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urrent" sheetId="1" r:id="rId4"/>
    <sheet state="hidden" name="202324 (Potential Hits change)" sheetId="2" r:id="rId5"/>
    <sheet state="visible" name="202324" sheetId="3" r:id="rId6"/>
    <sheet state="visible" name="202223" sheetId="4" r:id="rId7"/>
    <sheet state="visible" name="202122" sheetId="5" r:id="rId8"/>
    <sheet state="visible" name="202021" sheetId="6" r:id="rId9"/>
    <sheet state="visible" name="201920" sheetId="7" r:id="rId10"/>
    <sheet state="visible" name="201819" sheetId="8" r:id="rId11"/>
    <sheet state="visible" name="201718" sheetId="9" r:id="rId12"/>
  </sheets>
  <definedNames>
    <definedName hidden="1" localSheetId="4" name="_xlnm._FilterDatabase">'202122'!$D$1:$D$1125</definedName>
    <definedName hidden="1" localSheetId="5" name="_xlnm._FilterDatabase">'202021'!$A$1:$U$1013</definedName>
    <definedName hidden="1" localSheetId="6" name="_xlnm._FilterDatabase">'201920'!$D$1:$D$971</definedName>
    <definedName hidden="1" localSheetId="5" name="Z_0C87B9BA_4866_4A17_81B4_F4A9CD84B0B6_.wvu.FilterData">'202021'!$G$1:$G$1013</definedName>
  </definedNames>
  <calcPr/>
  <customWorkbookViews>
    <customWorkbookView activeSheetId="0" maximized="1" windowHeight="0" windowWidth="0" guid="{0C87B9BA-4866-4A17-81B4-F4A9CD84B0B6}" name="Filter 1"/>
  </customWorkbookViews>
</workbook>
</file>

<file path=xl/sharedStrings.xml><?xml version="1.0" encoding="utf-8"?>
<sst xmlns="http://schemas.openxmlformats.org/spreadsheetml/2006/main" count="25762" uniqueCount="2817">
  <si>
    <t>Player</t>
  </si>
  <si>
    <t>Pos</t>
  </si>
  <si>
    <t>TOTAL</t>
  </si>
  <si>
    <t>TOTAL / GP</t>
  </si>
  <si>
    <t>GP</t>
  </si>
  <si>
    <t>G</t>
  </si>
  <si>
    <t>A</t>
  </si>
  <si>
    <t>PTS</t>
  </si>
  <si>
    <t>SHOTS</t>
  </si>
  <si>
    <t>HIT</t>
  </si>
  <si>
    <t>BLK</t>
  </si>
  <si>
    <t>PPG</t>
  </si>
  <si>
    <t>PPA</t>
  </si>
  <si>
    <t>SHG</t>
  </si>
  <si>
    <t>SHA</t>
  </si>
  <si>
    <t>+/-</t>
  </si>
  <si>
    <t>PIM</t>
  </si>
  <si>
    <t>GWG</t>
  </si>
  <si>
    <t>GS</t>
  </si>
  <si>
    <t>W</t>
  </si>
  <si>
    <t>L</t>
  </si>
  <si>
    <t>GA</t>
  </si>
  <si>
    <t>SA</t>
  </si>
  <si>
    <t>SV</t>
  </si>
  <si>
    <t>SO</t>
  </si>
  <si>
    <t>Weights</t>
  </si>
  <si>
    <t>Connor Hellebuyck\helleco01</t>
  </si>
  <si>
    <t>Alex Ovechkin\ovechal01</t>
  </si>
  <si>
    <t>LW</t>
  </si>
  <si>
    <t>Andrei Vasilevskiy\vasilan02</t>
  </si>
  <si>
    <t>Connor McDavid\mcdavco01</t>
  </si>
  <si>
    <t>C</t>
  </si>
  <si>
    <t>Frederik Andersen\anderfr01</t>
  </si>
  <si>
    <t>Taylor Hall\hallta02</t>
  </si>
  <si>
    <t>Evgeni Malkin\malkiev01</t>
  </si>
  <si>
    <t>Nikita Kucherov\kucheni01</t>
  </si>
  <si>
    <t>RW</t>
  </si>
  <si>
    <t>Pekka Rinne\rinnepe01</t>
  </si>
  <si>
    <t>Nathan MacKinnon\mackina01</t>
  </si>
  <si>
    <t>Sergei Bobrovsky\bobrose01</t>
  </si>
  <si>
    <t>Blake Wheeler\wheelbl01</t>
  </si>
  <si>
    <t>Claude Giroux\giroucl01</t>
  </si>
  <si>
    <t>C/RW</t>
  </si>
  <si>
    <t>Tyler Seguin\seguity01</t>
  </si>
  <si>
    <t>Anze Kopitar\kopitan01</t>
  </si>
  <si>
    <t>Sidney Crosby\crosbsi01</t>
  </si>
  <si>
    <t>Phil Kessel\kesseph01</t>
  </si>
  <si>
    <t>Jamie Benn\bennja01</t>
  </si>
  <si>
    <t>Vincent Trocheck\trochvi01</t>
  </si>
  <si>
    <t>John Gibson\gibsojo02</t>
  </si>
  <si>
    <t>Jonathan Quick\quickjo01</t>
  </si>
  <si>
    <t>John Tavares\tavarjo01</t>
  </si>
  <si>
    <t>Henrik Lundqvist\lundqhe01</t>
  </si>
  <si>
    <t>Devan Dubnyk\dubnyde01</t>
  </si>
  <si>
    <t>Steven Stamkos\stamkst01</t>
  </si>
  <si>
    <t>Brent Burns\burnsbr01</t>
  </si>
  <si>
    <t>D/RW</t>
  </si>
  <si>
    <t>Cam Talbot\talboca01</t>
  </si>
  <si>
    <t>Patrik Laine\lainepa01</t>
  </si>
  <si>
    <t>David Pastrnak\pastrda01</t>
  </si>
  <si>
    <t>Eric Staal\staaler01</t>
  </si>
  <si>
    <t>Mikko Rantanen\rantami01</t>
  </si>
  <si>
    <t>William Karlsson\karlswi01</t>
  </si>
  <si>
    <t>Aleksander Barkov\barkoal01</t>
  </si>
  <si>
    <t>Brad Marchand\marchbr03</t>
  </si>
  <si>
    <t>John Carlson\carlsjo01</t>
  </si>
  <si>
    <t>D</t>
  </si>
  <si>
    <t>Jakub Voracek\voracja01</t>
  </si>
  <si>
    <t>Evgeny Kuznetsov\kuzneev01</t>
  </si>
  <si>
    <t>Jon Marchessault\audymjo01</t>
  </si>
  <si>
    <t>Vladimir Tarasenko\tarasvl01</t>
  </si>
  <si>
    <t>Victor Hedman\hedmavi01</t>
  </si>
  <si>
    <t>Sean Couturier\coutuse01</t>
  </si>
  <si>
    <t>Alexander Radulov\radulal01</t>
  </si>
  <si>
    <t>Brayden Schenn\schenbr01</t>
  </si>
  <si>
    <t>Rickard Rakell\rakelri01</t>
  </si>
  <si>
    <t>Johnny Gaudreau\gaudrjo01</t>
  </si>
  <si>
    <t>Martin Jones\jonesma02</t>
  </si>
  <si>
    <t>Artemi Panarin\panarar01</t>
  </si>
  <si>
    <t>Patrick Kane\kanepa01</t>
  </si>
  <si>
    <t>Mathew Barzal\barzama01</t>
  </si>
  <si>
    <t>Shayne Gostisbehere\gostish01</t>
  </si>
  <si>
    <t>Anders Lee\leean01</t>
  </si>
  <si>
    <t>Joe Pavelski\paveljo01</t>
  </si>
  <si>
    <t>Tuukka Rask\rasktu01</t>
  </si>
  <si>
    <t>Dustin Brown\browndu01</t>
  </si>
  <si>
    <t>Seth Jones\jonesse01</t>
  </si>
  <si>
    <t>Mike Smith\smithmi01</t>
  </si>
  <si>
    <t>Braden Holtby\holtbbr01</t>
  </si>
  <si>
    <t>Jason Zucker\zuckeja01</t>
  </si>
  <si>
    <t>Evander Kane\kaneev01</t>
  </si>
  <si>
    <t>Drew Doughty\doughdr01</t>
  </si>
  <si>
    <t>Logan Couture\coutulo01</t>
  </si>
  <si>
    <t>Jacob Markstrom\marksja02</t>
  </si>
  <si>
    <t>Gabriel Landeskog\landega01</t>
  </si>
  <si>
    <t>P.K. Subban\subbapk01</t>
  </si>
  <si>
    <t>Semyon Varlamov\varlasi01</t>
  </si>
  <si>
    <t>Brayden Point\pointbr01</t>
  </si>
  <si>
    <t>Patrice Bergeron\bergepa01</t>
  </si>
  <si>
    <t>Jonathan Huberdeau\huberjo01</t>
  </si>
  <si>
    <t>Marc-Andre Fleury\fleurma01</t>
  </si>
  <si>
    <t>Patric Hornqvist\hornqpa01</t>
  </si>
  <si>
    <t>Jimmy Howard\howarja02</t>
  </si>
  <si>
    <t>John Klingberg\klingjo01</t>
  </si>
  <si>
    <t>Jack Eichel\eicheja01</t>
  </si>
  <si>
    <t>Brendan Gallagher\gallabr01</t>
  </si>
  <si>
    <t>Nicklas Backstrom\backsni02</t>
  </si>
  <si>
    <t>Roman Josi\josiro01</t>
  </si>
  <si>
    <t>Alex Pietrangelo\pietral01</t>
  </si>
  <si>
    <t>Ryan O'Reilly\oreilry01</t>
  </si>
  <si>
    <t>Filip Forsberg\forsbfi01</t>
  </si>
  <si>
    <t>Erik Karlsson\karlser01</t>
  </si>
  <si>
    <t>Mikael Granlund\granlmi01</t>
  </si>
  <si>
    <t>Mitch Marner\marnemi01</t>
  </si>
  <si>
    <t>Viktor Arvidsson\arvidvi01</t>
  </si>
  <si>
    <t>Auston Matthews\matthau01</t>
  </si>
  <si>
    <t>Jaroslav Halak\halakja01</t>
  </si>
  <si>
    <t>Leon Draisaitl\draisle01</t>
  </si>
  <si>
    <t>Jake Allen\allenja01</t>
  </si>
  <si>
    <t>Sebastian Aho\ahose01</t>
  </si>
  <si>
    <t>Ben Bishop\bishobe01</t>
  </si>
  <si>
    <t>Antti Raanta\raantan01</t>
  </si>
  <si>
    <t>Torey Krug\krugto01</t>
  </si>
  <si>
    <t>Sean Monahan\monahse01</t>
  </si>
  <si>
    <t>Nazem Kadri\kadrina01</t>
  </si>
  <si>
    <t>James van Riemsdyk\vanrija01</t>
  </si>
  <si>
    <t>Josh Bailey\bailejo01</t>
  </si>
  <si>
    <t>Ivan Provorov\provoiv01</t>
  </si>
  <si>
    <t>Craig Anderson\andercr01</t>
  </si>
  <si>
    <t>Kris Letang\letankr01</t>
  </si>
  <si>
    <t>Jeff Petry\petryje01</t>
  </si>
  <si>
    <t>Dylan Larkin\larkidy01</t>
  </si>
  <si>
    <t>Nikolaj Ehlers\ehlerni01</t>
  </si>
  <si>
    <t>Evgeni Dadonov\dadonev01</t>
  </si>
  <si>
    <t>Clayton Keller\kellecl01</t>
  </si>
  <si>
    <t>Matt Duchene\duchema01</t>
  </si>
  <si>
    <t>Erik Haula\haulaer01</t>
  </si>
  <si>
    <t>Mathew Dumba\dumbama01</t>
  </si>
  <si>
    <t>Mika Zibanejad\zibanmi01</t>
  </si>
  <si>
    <t>Tyson Barrie\barrity01</t>
  </si>
  <si>
    <t>Mike Hoffman\hoffmmi02</t>
  </si>
  <si>
    <t>C/LW</t>
  </si>
  <si>
    <t>Yanni Gourde\gourdya01</t>
  </si>
  <si>
    <t>Teuvo Teravainen\teravte01</t>
  </si>
  <si>
    <t>Rasmus Ristolainen\ristora01</t>
  </si>
  <si>
    <t>David Perron\perroda01</t>
  </si>
  <si>
    <t>J.T. Miller\millejt01</t>
  </si>
  <si>
    <t>Dustin Byfuglien\byfugdu01</t>
  </si>
  <si>
    <t>Alexander Edler\edleral01</t>
  </si>
  <si>
    <t>Ryan Suter\suterry01</t>
  </si>
  <si>
    <t>Matt Murray\murrama02</t>
  </si>
  <si>
    <t>Derek Stepan\stepade01</t>
  </si>
  <si>
    <t>Dougie Hamilton\hamildo01</t>
  </si>
  <si>
    <t>Wayne Simmonds\simmowa01</t>
  </si>
  <si>
    <t>Mark Giordano\giordma01</t>
  </si>
  <si>
    <t>Brock Boeser\boesebr01</t>
  </si>
  <si>
    <t>Craig Smith\smithcr01</t>
  </si>
  <si>
    <t>Jordan Eberle\eberljo01</t>
  </si>
  <si>
    <t>Keith Yandle\yandlke01</t>
  </si>
  <si>
    <t>James Reimer\reimeja01</t>
  </si>
  <si>
    <t>Oliver Ekman-Larsson\ekmanol01</t>
  </si>
  <si>
    <t>Kyle Connor\connoky01</t>
  </si>
  <si>
    <t>Jake Muzzin\muzzija01</t>
  </si>
  <si>
    <t>Jake Guentzel\guentja01</t>
  </si>
  <si>
    <t>Mark Scheifele\scheima01</t>
  </si>
  <si>
    <t>Mats Zuccarello\zuccama01</t>
  </si>
  <si>
    <t>Ryan Getzlaf\getzlry01</t>
  </si>
  <si>
    <t>Mark Stone\stonema01</t>
  </si>
  <si>
    <t>Jaden Schwartz\schwaja01</t>
  </si>
  <si>
    <t>Sam Reinhart\reinhsa01</t>
  </si>
  <si>
    <t>Reilly Smith\smithre01</t>
  </si>
  <si>
    <t>Kyle Palmieri\palmiky01</t>
  </si>
  <si>
    <t>Pierre-Luc Dubois\duboipi01</t>
  </si>
  <si>
    <t>Alex Galchenyuk\galchal01</t>
  </si>
  <si>
    <t>Robin Lehner\lehnero01</t>
  </si>
  <si>
    <t>Tomas Hertl\hertlto01</t>
  </si>
  <si>
    <t>Jordan Staal\staaljo01</t>
  </si>
  <si>
    <t>Morgan Rielly\riellmo01</t>
  </si>
  <si>
    <t>Jeff Skinner\skinnje01</t>
  </si>
  <si>
    <t>Adam Henrique\henriad01</t>
  </si>
  <si>
    <t>Tyler Toffoli\toffoty01</t>
  </si>
  <si>
    <t>William Nylander\nylanwi01</t>
  </si>
  <si>
    <t>Anthony Mantha\manthan01</t>
  </si>
  <si>
    <t>Daniel Sedin\sedinda01</t>
  </si>
  <si>
    <t>Keith Kinkaid\kinkake01</t>
  </si>
  <si>
    <t>Justin Williams\williju01</t>
  </si>
  <si>
    <t>Patrick Marleau\marlepa01</t>
  </si>
  <si>
    <t>Alex DeBrincat\debrial01</t>
  </si>
  <si>
    <t>Thomas Vanek\vanekth01</t>
  </si>
  <si>
    <t>Matthew Tkachuk\tkachma01</t>
  </si>
  <si>
    <t>Tyler Johnson\johnsty01</t>
  </si>
  <si>
    <t>T.J. Oshie\oshietj01</t>
  </si>
  <si>
    <t>Nick Bjugstad\bjugsni01</t>
  </si>
  <si>
    <t>Colin Miller\milleco02</t>
  </si>
  <si>
    <t>Travis Konecny\konectr01</t>
  </si>
  <si>
    <t>Henrik Zetterberg\zettehe01</t>
  </si>
  <si>
    <t>Vladislav Namestnikov\namesvl01</t>
  </si>
  <si>
    <t>Colton Parayko\parayco01</t>
  </si>
  <si>
    <t>Aaron Ekblad\ekblaaa01</t>
  </si>
  <si>
    <t>Ryan Johansen\johanry01</t>
  </si>
  <si>
    <t>Jonathan Toews\toewsjo01</t>
  </si>
  <si>
    <t>Roberto Luongo\luongro01</t>
  </si>
  <si>
    <t>Nico Hischier\hischni01</t>
  </si>
  <si>
    <t>Jake Gardiner\gardija01</t>
  </si>
  <si>
    <t>Cam Atkinson\atkinca01</t>
  </si>
  <si>
    <t>Nick Leddy\leddyni01</t>
  </si>
  <si>
    <t>Brian Elliott\elliobr01</t>
  </si>
  <si>
    <t>Alex Goligoski\goligal01</t>
  </si>
  <si>
    <t>Carey Price\priceca01</t>
  </si>
  <si>
    <t>Derick Brassard\brassde01</t>
  </si>
  <si>
    <t>Boone Jenner\jennebo01</t>
  </si>
  <si>
    <t>Kevin Fiala\fialake01</t>
  </si>
  <si>
    <t>Ryan Nugent-Hopkins\nugenry01</t>
  </si>
  <si>
    <t>Paul Stastny\stastpa01</t>
  </si>
  <si>
    <t>Alex Steen\steenal01</t>
  </si>
  <si>
    <t>Micheal Ferland\ferlami01</t>
  </si>
  <si>
    <t>Mikael Backlund\backlmi01</t>
  </si>
  <si>
    <t>Corey Perry\perryco01</t>
  </si>
  <si>
    <t>James Neal\nealja01</t>
  </si>
  <si>
    <t>Zach Werenski\werenza01</t>
  </si>
  <si>
    <t>Justin Faulk\faulkju01</t>
  </si>
  <si>
    <t>Kyle Turris\turriky01</t>
  </si>
  <si>
    <t>Cam Ward\wardca01</t>
  </si>
  <si>
    <t>Max Pacioretty\pacioma01</t>
  </si>
  <si>
    <t>Mikko Koivu\koivumi01</t>
  </si>
  <si>
    <t>Kevin Hayes\hayeske01</t>
  </si>
  <si>
    <t>Kyle Okposo\okposky01</t>
  </si>
  <si>
    <t>Nick Schmaltz\schmani01</t>
  </si>
  <si>
    <t>Tom Wilson\wilsoto01</t>
  </si>
  <si>
    <t>Darnell Nurse\nurseda01</t>
  </si>
  <si>
    <t>Timo Meier\meierti01</t>
  </si>
  <si>
    <t>Gustav Nyquist\nyquigu01</t>
  </si>
  <si>
    <t>Alec Martinez\martial01</t>
  </si>
  <si>
    <t>Elias Lindholm\lindhel01</t>
  </si>
  <si>
    <t>Jonathan Drouin\drouijo01</t>
  </si>
  <si>
    <t>Dion Phaneuf\phanedi01</t>
  </si>
  <si>
    <t>Jakob Silfverberg\silfvja01</t>
  </si>
  <si>
    <t>Tyler Myers\myersty01</t>
  </si>
  <si>
    <t>Alex Killorn\killoal01</t>
  </si>
  <si>
    <t>Patrick Maroon\maroopa01</t>
  </si>
  <si>
    <t>Josh Manson\mansojo01</t>
  </si>
  <si>
    <t>Milan Lucic\lucicmi01</t>
  </si>
  <si>
    <t>Marc-Edouard Vlasic\vlasima01</t>
  </si>
  <si>
    <t>Bo Horvat\horvabo01</t>
  </si>
  <si>
    <t>Cory Schneider\schneco01</t>
  </si>
  <si>
    <t>Duncan Keith\keithdu01</t>
  </si>
  <si>
    <t>Tanner Pearson\pearsta01</t>
  </si>
  <si>
    <t>Justin Braun\braunju01</t>
  </si>
  <si>
    <t>Ryan Pulock\pulocry01</t>
  </si>
  <si>
    <t>Lars Eller\ellerla01</t>
  </si>
  <si>
    <t>Jared Spurgeon\spurgja01</t>
  </si>
  <si>
    <t>Mattias Ekholm\ekholma01</t>
  </si>
  <si>
    <t>Jonathan Bernier\bernijo01</t>
  </si>
  <si>
    <t>Mikhail Sergachev\sergami01</t>
  </si>
  <si>
    <t>Michael Del Zotto\delzomi01</t>
  </si>
  <si>
    <t>Mathieu Perreault\perrema01</t>
  </si>
  <si>
    <t>Nick Foligno\foligni01</t>
  </si>
  <si>
    <t>Zach Hyman\hymanza01</t>
  </si>
  <si>
    <t>Danton Heinen\heineda01</t>
  </si>
  <si>
    <t>Olli Maatta\maattol01</t>
  </si>
  <si>
    <t>Rick Nash\nashri01</t>
  </si>
  <si>
    <t>Alex Tuch\tuchal01</t>
  </si>
  <si>
    <t>Paul Byron\byronpa01</t>
  </si>
  <si>
    <t>Michael Grabner\grabnmi01</t>
  </si>
  <si>
    <t>Brent Seabrook\seabrbr01</t>
  </si>
  <si>
    <t>Pavel Buchnevich\buchnpa01</t>
  </si>
  <si>
    <t>Dmitry Orlov\orlovdm01</t>
  </si>
  <si>
    <t>Cody Ceci\cecico01</t>
  </si>
  <si>
    <t>Brandon Montour\montobr01</t>
  </si>
  <si>
    <t>Riley Nash\nashri02</t>
  </si>
  <si>
    <t>Erik Johnson\johnser01</t>
  </si>
  <si>
    <t>Jake Debrusk\debruja01</t>
  </si>
  <si>
    <t>Josh Morrissey\morrijo04</t>
  </si>
  <si>
    <t>Carl Soderberg\soderca01</t>
  </si>
  <si>
    <t>Justin Abdelkader\abdelju01</t>
  </si>
  <si>
    <t>Christian Dvorak\dvorach01</t>
  </si>
  <si>
    <t>Ryan Dzingel\dzingry01</t>
  </si>
  <si>
    <t>Bryan Little\littlbr01</t>
  </si>
  <si>
    <t>Sami Vatanen\vatansa01</t>
  </si>
  <si>
    <t>Jaccob Slavin\slavija01</t>
  </si>
  <si>
    <t>David Krejci\krejcda01</t>
  </si>
  <si>
    <t>Tomas Tatar\tatarto01</t>
  </si>
  <si>
    <t>Hampus Lindholm\lindhha01</t>
  </si>
  <si>
    <t>Oliver Bjorkstrand\bjorkol01</t>
  </si>
  <si>
    <t>Blake Coleman\colembl01</t>
  </si>
  <si>
    <t>Chris Kreider\kreidch01</t>
  </si>
  <si>
    <t>Alexander Kerfoot\kerfoal01</t>
  </si>
  <si>
    <t>Richard Panik\panikri01</t>
  </si>
  <si>
    <t>Tyler Bozak\bozakty01</t>
  </si>
  <si>
    <t>Mike Matheson\mathemi01</t>
  </si>
  <si>
    <t>Nikita Zadorov\zadorni01</t>
  </si>
  <si>
    <t>Kris Russell\russekr01</t>
  </si>
  <si>
    <t>Ryan McDonagh\mcdonry01</t>
  </si>
  <si>
    <t>Max Domi\domima01</t>
  </si>
  <si>
    <t>Philipp Grubauer\grubaph01</t>
  </si>
  <si>
    <t>Brandon Saad\saadbr01</t>
  </si>
  <si>
    <t>David Backes\backeda01</t>
  </si>
  <si>
    <t>Anthony Beauvillier\beauvan01</t>
  </si>
  <si>
    <t>Brayden McNabb\mcnabbr01</t>
  </si>
  <si>
    <t>Jean-Gabriel Pageau\pageaje01</t>
  </si>
  <si>
    <t>Brady Skjei\skjeibr01</t>
  </si>
  <si>
    <t>Stephen Johns\johnsst03</t>
  </si>
  <si>
    <t>Nate Schmidt\schmina01</t>
  </si>
  <si>
    <t>Will Butcher\butchwi01</t>
  </si>
  <si>
    <t>Bryan Rust\rustbr01</t>
  </si>
  <si>
    <t>Esa Lindell\lindees01</t>
  </si>
  <si>
    <t>Brock Nelson\nelsobr01</t>
  </si>
  <si>
    <t>Josh Anderson\anderjo05</t>
  </si>
  <si>
    <t>Noah Hanifin\hanifno01</t>
  </si>
  <si>
    <t>Chris Tierney\tiernch01</t>
  </si>
  <si>
    <t>Charles Hudon\hudonch01</t>
  </si>
  <si>
    <t>Zdeno Chara\charazd01</t>
  </si>
  <si>
    <t>Blake Comeau\comeabl01</t>
  </si>
  <si>
    <t>Mike Green\greenmi03</t>
  </si>
  <si>
    <t>Kevin Labanc\labanke01</t>
  </si>
  <si>
    <t>Christian Fischer\fischch01</t>
  </si>
  <si>
    <t>Radek Faksa\faksara01</t>
  </si>
  <si>
    <t>Frans Nielsen\nielsfr01</t>
  </si>
  <si>
    <t>Carter Hutton\huttoca01</t>
  </si>
  <si>
    <t>Charlie Coyle\coylech01</t>
  </si>
  <si>
    <t>Andrew Cogliano\coglian01</t>
  </si>
  <si>
    <t>LW/C</t>
  </si>
  <si>
    <t>Corey Crawford\crawfco01</t>
  </si>
  <si>
    <t>Oscar Klefbom\klefbos01</t>
  </si>
  <si>
    <t>Brock McGinn\mcginbr01</t>
  </si>
  <si>
    <t>Petr Mrazek\mrazepe01</t>
  </si>
  <si>
    <t>Deryk Engelland\engelde01</t>
  </si>
  <si>
    <t>Darren Helm\helmda01</t>
  </si>
  <si>
    <t>Cam Fowler\fowleca01</t>
  </si>
  <si>
    <t>Matt Niskanen\niskama01</t>
  </si>
  <si>
    <t>Nick Ritchie\ritchni01</t>
  </si>
  <si>
    <t>Derek Ryan\ryande01</t>
  </si>
  <si>
    <t>Charlie McAvoy\mcavoch01</t>
  </si>
  <si>
    <t>Ondrej Kase\kaseon01</t>
  </si>
  <si>
    <t>Vladimir Sobotka\sobotvl01</t>
  </si>
  <si>
    <t>Jason Pominville\pominja01</t>
  </si>
  <si>
    <t>Miles Wood\woodmi01</t>
  </si>
  <si>
    <t>Adrian Kempe\kempead01</t>
  </si>
  <si>
    <t>Devin Shore\shorede01</t>
  </si>
  <si>
    <t>Ondrej Palat\palaton01</t>
  </si>
  <si>
    <t>Carl Hagelin\hagelca01</t>
  </si>
  <si>
    <t>Kari Lehtonen\lehtoka01</t>
  </si>
  <si>
    <t>Ryan Spooner\spoonry01</t>
  </si>
  <si>
    <t>Brendan Perlini\perlibr01</t>
  </si>
  <si>
    <t>Adam Larsson\larssad01</t>
  </si>
  <si>
    <t>Brenden Dillon\dillobr01</t>
  </si>
  <si>
    <t>David Savard\savarda01</t>
  </si>
  <si>
    <t>Bobby Ryan\ryanbo01</t>
  </si>
  <si>
    <t>Austin Watson\watsoau01</t>
  </si>
  <si>
    <t>Henrik Sedin\sedinhe01</t>
  </si>
  <si>
    <t>Ron Hainsey\hainsro01</t>
  </si>
  <si>
    <t>Tyler Pitlick\pitlity01</t>
  </si>
  <si>
    <t>Mattias Janmark\janmama02</t>
  </si>
  <si>
    <t>Colton Sissons\sissoco01</t>
  </si>
  <si>
    <t>Dan Girardi\girarda01</t>
  </si>
  <si>
    <t>Jesper Fast\fastje01</t>
  </si>
  <si>
    <t>Anton Khudobin\khudoan01</t>
  </si>
  <si>
    <t>Joel Edmundson\edmunjo01</t>
  </si>
  <si>
    <t>Artem Anisimov\anisiar01</t>
  </si>
  <si>
    <t>Mikkel Boedker\boedkmi01</t>
  </si>
  <si>
    <t>Sam Bennett\bennesa01</t>
  </si>
  <si>
    <t>T.J. Brodie\broditj01</t>
  </si>
  <si>
    <t>Ryan Hartman\hartmry01</t>
  </si>
  <si>
    <t>Kyle Brodziak\brodzky01</t>
  </si>
  <si>
    <t>Radko Gudas\gudasra01</t>
  </si>
  <si>
    <t>Niklas Kronwall\kronwni01</t>
  </si>
  <si>
    <t>Nino Niederreiter\niedeni01</t>
  </si>
  <si>
    <t>Marco Scandella\scandma01</t>
  </si>
  <si>
    <t>John Moore\moorejo01</t>
  </si>
  <si>
    <t>Ryan Ellis\ellisry01</t>
  </si>
  <si>
    <t>Andreas Athanasiou\athanan01</t>
  </si>
  <si>
    <t>Sam Gagner\gagnesa01</t>
  </si>
  <si>
    <t>Trevor Lewis\lewistr01</t>
  </si>
  <si>
    <t>Victor Rask\raskvi01</t>
  </si>
  <si>
    <t>Scott Darling\darlisc01</t>
  </si>
  <si>
    <t>Patrik Berglund\berglpa01</t>
  </si>
  <si>
    <t>Jimmy Vesey\veseyji02</t>
  </si>
  <si>
    <t>Tim Schaller\schalti01</t>
  </si>
  <si>
    <t>Jesper Bratt\brattje01</t>
  </si>
  <si>
    <t>Jamie McGinn\mcginja01</t>
  </si>
  <si>
    <t>Ryan Strome\stromry01</t>
  </si>
  <si>
    <t>Joel Armia\armiajo01</t>
  </si>
  <si>
    <t>Jacob Trouba\troubja01</t>
  </si>
  <si>
    <t>Calle Jarnkrok\jarnkca01</t>
  </si>
  <si>
    <t>Johnny Boychuk\boychjo01</t>
  </si>
  <si>
    <t>Darcy Kuemper\kuempda01</t>
  </si>
  <si>
    <t>Leo Komarov\komarle01</t>
  </si>
  <si>
    <t>Derek Forbort\forbode01</t>
  </si>
  <si>
    <t>Colton Sceviour\scevico01</t>
  </si>
  <si>
    <t>Adam Pelech\pelecad01</t>
  </si>
  <si>
    <t>Stefan Noesen\noesest01</t>
  </si>
  <si>
    <t>Matt Benning\bennima01</t>
  </si>
  <si>
    <t>Juuse Saros\sarosju01</t>
  </si>
  <si>
    <t>Shea Theodore\theodsh01</t>
  </si>
  <si>
    <t>Chris Wagner\wagnech01</t>
  </si>
  <si>
    <t>Joe Thornton\thornjo01</t>
  </si>
  <si>
    <t>Cal Clutterbuck\cluttca01</t>
  </si>
  <si>
    <t>Brooks Orpik\orpikbr01</t>
  </si>
  <si>
    <t>Conor Sheary\shearco01</t>
  </si>
  <si>
    <t>Riley Sheahan\sheahri01</t>
  </si>
  <si>
    <t>Damon Severson\severda01</t>
  </si>
  <si>
    <t>Chris Kunitz\kunitch01</t>
  </si>
  <si>
    <t>Ryan Miller\millery01</t>
  </si>
  <si>
    <t>Luke Glendening\glendlu01</t>
  </si>
  <si>
    <t>Aaron Dell\dellaa01</t>
  </si>
  <si>
    <t>Justin Schultz\schulju01</t>
  </si>
  <si>
    <t>Greg Pateryn\patergr01</t>
  </si>
  <si>
    <t>Andrew Ladd\laddan01</t>
  </si>
  <si>
    <t>Joonas Donskoi\donskjo01</t>
  </si>
  <si>
    <t>Andy Greene\greenan01</t>
  </si>
  <si>
    <t>Brian Dumoulin\dumoubr01</t>
  </si>
  <si>
    <t>J.T. Compher\comphj.01</t>
  </si>
  <si>
    <t>Derrick Pouliot\poulide01</t>
  </si>
  <si>
    <t>Brian Boyle\boylebr01</t>
  </si>
  <si>
    <t>Andrew Copp\coppan01</t>
  </si>
  <si>
    <t>Marcus Foligno\foligma01</t>
  </si>
  <si>
    <t>Thomas Hickey\hicketh01</t>
  </si>
  <si>
    <t>Anton Forsberg\forsban01</t>
  </si>
  <si>
    <t>Nolan Patrick\patrino01</t>
  </si>
  <si>
    <t>Jordie Benn\bennjo01</t>
  </si>
  <si>
    <t>Dmitrij Jaskin\jaskidm01</t>
  </si>
  <si>
    <t>Patrik Nemeth\nemetpa01</t>
  </si>
  <si>
    <t>Tobias Rieder\riedeto01</t>
  </si>
  <si>
    <t>Kevin Connauton\connake01</t>
  </si>
  <si>
    <t>Mark Jankowski\jankoma01</t>
  </si>
  <si>
    <t>Valtteri Filppula\filppva01</t>
  </si>
  <si>
    <t>Anton Stralman\stralan01</t>
  </si>
  <si>
    <t>Ian Cole\coleia01</t>
  </si>
  <si>
    <t>Drake Caggiula\caggidr01</t>
  </si>
  <si>
    <t>Alexander Wennberg\wennbal01</t>
  </si>
  <si>
    <t>Brandon Tanev\tanevbr01</t>
  </si>
  <si>
    <t>Robert Hagg\haggro01</t>
  </si>
  <si>
    <t>Dan Hamhuis\hamhuda01</t>
  </si>
  <si>
    <t>Jake Virtanen\virtaja01</t>
  </si>
  <si>
    <t>Jonas Brodin\brodijo01</t>
  </si>
  <si>
    <t>Cody Eakin\eakinco01</t>
  </si>
  <si>
    <t>Michael Frolik\frolimi01</t>
  </si>
  <si>
    <t>Francois Beauchemin\beaucfr01</t>
  </si>
  <si>
    <t>Karl Alzner\alzneka01</t>
  </si>
  <si>
    <t>Mark Pysyk\pysykma01</t>
  </si>
  <si>
    <t>Brandon Manning\mannibr01</t>
  </si>
  <si>
    <t>Jamie Oleksiak\oleksja01</t>
  </si>
  <si>
    <t>Travis Zajac\zajactr01</t>
  </si>
  <si>
    <t>Kevan Miller\milleke03</t>
  </si>
  <si>
    <t>Jared McCann\mccanja01</t>
  </si>
  <si>
    <t>Michael Stone\stonemi01</t>
  </si>
  <si>
    <t>Andrew MacDonald\macdoan01</t>
  </si>
  <si>
    <t>Tom Pyatt\pyattto01</t>
  </si>
  <si>
    <t>Thomas Chabot\chaboth01</t>
  </si>
  <si>
    <t>Artturi Lehkonen\lehkoar01</t>
  </si>
  <si>
    <t>Mike Cammalleri\cammami01</t>
  </si>
  <si>
    <t>C/W</t>
  </si>
  <si>
    <t>Michael Raffl\rafflmi01</t>
  </si>
  <si>
    <t>Vince Dunn\dunnvi02</t>
  </si>
  <si>
    <t>Nicolas Deslauriers\deslani01</t>
  </si>
  <si>
    <t>Tommy Wingels\wingeto01</t>
  </si>
  <si>
    <t>Tomas Plekanec\plekato01</t>
  </si>
  <si>
    <t>Nick Cousins\cousini01</t>
  </si>
  <si>
    <t>Thomas Greiss\greisth01</t>
  </si>
  <si>
    <t>Connor Brown\brownco02</t>
  </si>
  <si>
    <t>Connor Murphy\murphco02</t>
  </si>
  <si>
    <t>Sven Baertschi\baertsv01</t>
  </si>
  <si>
    <t>Brett Connolly\connobr01</t>
  </si>
  <si>
    <t>Chad Johnson\johnsch02</t>
  </si>
  <si>
    <t>Alex Stalock\staloal01</t>
  </si>
  <si>
    <t>Devante Smith-Pelly\smithde06</t>
  </si>
  <si>
    <t>Nick Holden\holdeni01</t>
  </si>
  <si>
    <t>Matthew Nieto\nietoma01</t>
  </si>
  <si>
    <t>Brandon Sutter\suttebr03</t>
  </si>
  <si>
    <t>Trevor Daley\daleytr01</t>
  </si>
  <si>
    <t>Brian Gibbons\gibbobr02</t>
  </si>
  <si>
    <t>Jujhar Khaira\khairju01</t>
  </si>
  <si>
    <t>Troy Brouwer\brouwtr01</t>
  </si>
  <si>
    <t>Kevin Shattenkirk\shattke01</t>
  </si>
  <si>
    <t>Mark Borowiecki\borowma01</t>
  </si>
  <si>
    <t>Jakub Vrana\vranaja01</t>
  </si>
  <si>
    <t>Tristan Jarry\jarrytr01</t>
  </si>
  <si>
    <t>Jason Spezza\spezzja01</t>
  </si>
  <si>
    <t>Alex Iafallo\iafalal01</t>
  </si>
  <si>
    <t>Christian Folin\folinch01</t>
  </si>
  <si>
    <t>Samuel Girard\girarsa01</t>
  </si>
  <si>
    <t>Zach Parise\parisza01</t>
  </si>
  <si>
    <t>Mark Letestu\letesma01</t>
  </si>
  <si>
    <t>Martin Frk\frkma01</t>
  </si>
  <si>
    <t>Scott Hartnell\hartnsc01</t>
  </si>
  <si>
    <t>Nikita Zaitsev\zaitsni01</t>
  </si>
  <si>
    <t>Scott Laughton\laughsc01</t>
  </si>
  <si>
    <t>Pavel Zacha\zachapa01</t>
  </si>
  <si>
    <t>Nick Bonino\boninni01</t>
  </si>
  <si>
    <t>Jason Demers\demerja01</t>
  </si>
  <si>
    <t>Jack Johnson\johnsja02</t>
  </si>
  <si>
    <t>Ryan Callahan\callary01</t>
  </si>
  <si>
    <t>Matt Calvert\calvema01</t>
  </si>
  <si>
    <t>Joel Eriksson Ek\eriksjo02</t>
  </si>
  <si>
    <t>Phillip Danault\danauph01</t>
  </si>
  <si>
    <t>Robert Bortuzzo\borturo01</t>
  </si>
  <si>
    <t>Anders Nilsson\nilssan01</t>
  </si>
  <si>
    <t>Luke Schenn\schenlu01</t>
  </si>
  <si>
    <t>Jesse Puljujarvi\puljuje01</t>
  </si>
  <si>
    <t>Derek Grant\grantde01</t>
  </si>
  <si>
    <t>Mike Condon\condomi01</t>
  </si>
  <si>
    <t>Brandon Dubinsky\dubinbr01</t>
  </si>
  <si>
    <t>Patrick Sharp\sharppa01</t>
  </si>
  <si>
    <t>Brett Pesce\pescebr01</t>
  </si>
  <si>
    <t>Tyson Jost\jostty01</t>
  </si>
  <si>
    <t>Alexei Emelin\emelial01</t>
  </si>
  <si>
    <t>Melker Karlsson\karlsme01</t>
  </si>
  <si>
    <t>Jordan Oesterle\oestejo01</t>
  </si>
  <si>
    <t>Jonathan Ericsson\ericsjo01</t>
  </si>
  <si>
    <t>Adam Lowry\lowryad01</t>
  </si>
  <si>
    <t>Travis Hamonic\hamontr01</t>
  </si>
  <si>
    <t>Andrew Shaw\shawan01</t>
  </si>
  <si>
    <t>Andre Burakovsky\burakan01</t>
  </si>
  <si>
    <t>Casey Cizikas\cizikca01</t>
  </si>
  <si>
    <t>Brett Ritchie\ritchbr01</t>
  </si>
  <si>
    <t>Tyler Ennis\ennisty01</t>
  </si>
  <si>
    <t>Zemgus Girgensons\girgeze01</t>
  </si>
  <si>
    <t>Jordan Martinook\martijo01</t>
  </si>
  <si>
    <t>Curtis McElhinney\mcelhcu01</t>
  </si>
  <si>
    <t>Danny DeKeyser\dekeyda01</t>
  </si>
  <si>
    <t>Zack Smith\smithza01</t>
  </si>
  <si>
    <t>Malcolm Subban\subbama01</t>
  </si>
  <si>
    <t>Trevor van Riemsdyk\vanritr01</t>
  </si>
  <si>
    <t>Anthony Duclair\duclaan01</t>
  </si>
  <si>
    <t>Sean Kuraly\kuralse01</t>
  </si>
  <si>
    <t>Tyler Bertuzzi\bertuty01</t>
  </si>
  <si>
    <t>Benoit Pouliot\poulibe01</t>
  </si>
  <si>
    <t>Joseph Morrow\morrojo02</t>
  </si>
  <si>
    <t>Antti Niemi\niemian02</t>
  </si>
  <si>
    <t>Sven Andrighetto\andrisv01</t>
  </si>
  <si>
    <t>Johan Larsson\larssjo02</t>
  </si>
  <si>
    <t>David Desharnais\deshada01</t>
  </si>
  <si>
    <t>Denis Malgin\malgide01</t>
  </si>
  <si>
    <t>Matt Cullen\cullema01</t>
  </si>
  <si>
    <t>Zack Kassian\kassiza01</t>
  </si>
  <si>
    <t>Nick Jensen\jenseni02</t>
  </si>
  <si>
    <t>Jakob Chychrun\chychja01</t>
  </si>
  <si>
    <t>Jay Beagle\beaglja01</t>
  </si>
  <si>
    <t>RW/C</t>
  </si>
  <si>
    <t>Jeff Carter\carteje01</t>
  </si>
  <si>
    <t>Loui Eriksson\erikslo01</t>
  </si>
  <si>
    <t>Dylan DeMelo\demeldy01</t>
  </si>
  <si>
    <t>Magnus Paajarvi\paajama01</t>
  </si>
  <si>
    <t>Markus Nutivaara\nutivma01</t>
  </si>
  <si>
    <t>Daniel Winnik\winnida01</t>
  </si>
  <si>
    <t>Evan Rodrigues\rodriev01</t>
  </si>
  <si>
    <t>Alexander Petrovic\petroal01</t>
  </si>
  <si>
    <t>Scottie Upshall\upshasc01</t>
  </si>
  <si>
    <t>Scott Wilson\wilsosc01</t>
  </si>
  <si>
    <t>Noel Acciari\acciano01</t>
  </si>
  <si>
    <t>Logan Shaw\shawlo01</t>
  </si>
  <si>
    <t>Antoine Roussel\roussan01</t>
  </si>
  <si>
    <t>Derek MacKenzie\mackede01</t>
  </si>
  <si>
    <t>Shea Weber\webersh01</t>
  </si>
  <si>
    <t>Jan Rutta\ruttaja02</t>
  </si>
  <si>
    <t>Vinnie Hinostroza\hinosvi01</t>
  </si>
  <si>
    <t>Troy Stecher\stechtr01</t>
  </si>
  <si>
    <t>Ryan Reaves\reavery01</t>
  </si>
  <si>
    <t>Roman Polak\polakro01</t>
  </si>
  <si>
    <t>Nate Thompson\thompna01</t>
  </si>
  <si>
    <t>Sonny Milano\milanso01</t>
  </si>
  <si>
    <t>Ben Chiarot\chiarbe01</t>
  </si>
  <si>
    <t>Jake McCabe\mccabja01</t>
  </si>
  <si>
    <t>Garnet Hathaway\hathaga01</t>
  </si>
  <si>
    <t>Pierre-Edouard Bellemare\bellepi01</t>
  </si>
  <si>
    <t>Jordan Weal\wealjo01</t>
  </si>
  <si>
    <t>Fredrik Claesson\claesfr01</t>
  </si>
  <si>
    <t>Brad Richardson\richabr02</t>
  </si>
  <si>
    <t>Braydon Coburn\coburbr01</t>
  </si>
  <si>
    <t>Drew Stafford\staffdr01</t>
  </si>
  <si>
    <t>Michal Neuvirth\neuvimi01</t>
  </si>
  <si>
    <t>Antoine Vermette\vermean01</t>
  </si>
  <si>
    <t>Alex Chiasson\chiasal01</t>
  </si>
  <si>
    <t>Brendan Leipsic\leipsbr01</t>
  </si>
  <si>
    <t>Joakim Ryan\ryanjo02</t>
  </si>
  <si>
    <t>Brandon Davidson\davidbr01</t>
  </si>
  <si>
    <t>Marian Gaborik\gaborma01</t>
  </si>
  <si>
    <t>Matt Hendricks\hendrma01</t>
  </si>
  <si>
    <t>Ryan Kesler\keslery01</t>
  </si>
  <si>
    <t>Brad Hunt\huntbr01</t>
  </si>
  <si>
    <t>Steven Santini\santist01</t>
  </si>
  <si>
    <t>Gabriel Bourque\bourqga01</t>
  </si>
  <si>
    <t>Haydn Fleury\fleurha01</t>
  </si>
  <si>
    <t>Kevin Bieksa\biekske01</t>
  </si>
  <si>
    <t>Nail Yakupov\yakupna01</t>
  </si>
  <si>
    <t>Ryan Carpenter\carpery01</t>
  </si>
  <si>
    <t>Alexandre Burrows\burroal01</t>
  </si>
  <si>
    <t>Ben Lovejoy\lovejbe01</t>
  </si>
  <si>
    <t>Alex Biega\biegaal01</t>
  </si>
  <si>
    <t>Colin Wilson\wilsoco01</t>
  </si>
  <si>
    <t>Michal Kempny\kempnmi01</t>
  </si>
  <si>
    <t>Jason Chimera\chimeja01</t>
  </si>
  <si>
    <t>Jacob de La Rose\delarja01</t>
  </si>
  <si>
    <t>Nick Shore\shoreni01</t>
  </si>
  <si>
    <t>Scott Mayfield\mayfisc01</t>
  </si>
  <si>
    <t>Marc Staal\staalma01</t>
  </si>
  <si>
    <t>Tomas Nosek\nosekto01</t>
  </si>
  <si>
    <t>Tom Kuhnhackl\kuhnhto01</t>
  </si>
  <si>
    <t>Mike Reilly\reillmi01</t>
  </si>
  <si>
    <t>Zac Rinaldo\rinalza01</t>
  </si>
  <si>
    <t>Erik Gustafsson\gustaer02</t>
  </si>
  <si>
    <t>Remi Elie\eliere01</t>
  </si>
  <si>
    <t>Carl Gunnarsson\gunnaca01</t>
  </si>
  <si>
    <t>Jake Dotchin\dotchja01</t>
  </si>
  <si>
    <t>Erik Gudbranson\gudbrer01</t>
  </si>
  <si>
    <t>Matt Grzelcyk\grzelma01</t>
  </si>
  <si>
    <t>Joonas Korpisalo\korpijo01</t>
  </si>
  <si>
    <t>Dmitry Kulikov\kulikdm01</t>
  </si>
  <si>
    <t>John Hayden\haydejo01</t>
  </si>
  <si>
    <t>Curtis Lazar\lazarcu01</t>
  </si>
  <si>
    <t>MacKenzie Weegar\weegama01</t>
  </si>
  <si>
    <t>Gustav Forsling\forslgu02</t>
  </si>
  <si>
    <t>Brandon Carlo\carlobr01</t>
  </si>
  <si>
    <t>David Rittich\rittida01</t>
  </si>
  <si>
    <t>Chris Stewart\stewach02</t>
  </si>
  <si>
    <t>Oscar Lindberg\lindbos02</t>
  </si>
  <si>
    <t>Barclay Goodrow\goodrba01</t>
  </si>
  <si>
    <t>Louis Domingue\dominlo01</t>
  </si>
  <si>
    <t>Kyle Clifford\cliffky01</t>
  </si>
  <si>
    <t>Andreas Borgman\borgman01</t>
  </si>
  <si>
    <t>Joakim Nordstrom\nordsjo02</t>
  </si>
  <si>
    <t>Cedric Paquette\paquece01</t>
  </si>
  <si>
    <t>Jussi Jokinen\jokinju01</t>
  </si>
  <si>
    <t>Markus Granlund\granlma01</t>
  </si>
  <si>
    <t>Matt Martin\martima02</t>
  </si>
  <si>
    <t>Lance Bouma\boumala01</t>
  </si>
  <si>
    <t>Paul Carey\careypa01</t>
  </si>
  <si>
    <t>Mark Barberio\barbema01</t>
  </si>
  <si>
    <t>Niklas Hjalmarsson\hjalmni01</t>
  </si>
  <si>
    <t>Scott Wedgewood\wedgesc01</t>
  </si>
  <si>
    <t>Neal Pionk\pionkne01</t>
  </si>
  <si>
    <t>Johnny Oduya\oduyajo01</t>
  </si>
  <si>
    <t>Phillip Di Giuseppe\digiuph01</t>
  </si>
  <si>
    <t>Connor Carrick\carrico01</t>
  </si>
  <si>
    <t>Nate Prosser\prossna01</t>
  </si>
  <si>
    <t>Connor Brickley\brickco01</t>
  </si>
  <si>
    <t>Matt Stajan\stajama01</t>
  </si>
  <si>
    <t>Ondrej Pavelec\pavelon01</t>
  </si>
  <si>
    <t>Chandler Stephenson\stephch02</t>
  </si>
  <si>
    <t>Christian Djoos\djoosch01</t>
  </si>
  <si>
    <t>Ivan Barbashev\barbaiv01</t>
  </si>
  <si>
    <t>Ben Hutton\huttobe01</t>
  </si>
  <si>
    <t>Micheal Haley\haleymi01</t>
  </si>
  <si>
    <t>Calvin de Haan\dehaaca01</t>
  </si>
  <si>
    <t>Anton Slepyshev\slepyan01</t>
  </si>
  <si>
    <t>Luca Sbisa\sbisalu01</t>
  </si>
  <si>
    <t>Matt Irwin\irwinma01</t>
  </si>
  <si>
    <t>Nathan Beaulieu\beaulna01</t>
  </si>
  <si>
    <t>Matt Hunwick\hunwima01</t>
  </si>
  <si>
    <t>Daniel Carr\carrda01</t>
  </si>
  <si>
    <t>Radim Vrbata\vrbatra01</t>
  </si>
  <si>
    <t>Miikka Salomaki\salommi01</t>
  </si>
  <si>
    <t>Ryan Murray\murrary01</t>
  </si>
  <si>
    <t>Torrey Mitchell\mitchto01</t>
  </si>
  <si>
    <t>Jordan Nolan\nolanjo01</t>
  </si>
  <si>
    <t>Martin Hanzal\hanzama01</t>
  </si>
  <si>
    <t>Charlie Lindgren\lindgch01</t>
  </si>
  <si>
    <t>Tyler Motte\mottety01</t>
  </si>
  <si>
    <t>Byron Froese\froesby01</t>
  </si>
  <si>
    <t>Travis Dermott\dermotr01</t>
  </si>
  <si>
    <t>Pontus Aberg\abergpo01</t>
  </si>
  <si>
    <t>Chris Tanev\tanevch01</t>
  </si>
  <si>
    <t>Josh Archibald\archijo01</t>
  </si>
  <si>
    <t>Casey DeSmith\desmica01</t>
  </si>
  <si>
    <t>Frank Vatrano\vatrafr01</t>
  </si>
  <si>
    <t>Brett Kulak\kulakbr01</t>
  </si>
  <si>
    <t>Justin Falk\falkju01</t>
  </si>
  <si>
    <t>Madison Bowey\boweyma01</t>
  </si>
  <si>
    <t>Jannik Hansen\hanseja01</t>
  </si>
  <si>
    <t>Dominic Moore\mooredo01</t>
  </si>
  <si>
    <t>Brendan Smith\smithbr05</t>
  </si>
  <si>
    <t>Lukas Sedlak\sedlalu01</t>
  </si>
  <si>
    <t>Cory Conacher\conacco01</t>
  </si>
  <si>
    <t>Steve Mason\masonst01</t>
  </si>
  <si>
    <t>Anthony DeAngelo\deangan01</t>
  </si>
  <si>
    <t>Nikolay Goldobin\goldoni01</t>
  </si>
  <si>
    <t>Joel Ward\wardjo02</t>
  </si>
  <si>
    <t>Travis Sanheim\sanhetr01</t>
  </si>
  <si>
    <t>Chad Ruhwedel\ruhwech01</t>
  </si>
  <si>
    <t>Tim Heed\heedti01</t>
  </si>
  <si>
    <t>Kasperi Kapanen\kapanka01</t>
  </si>
  <si>
    <t>Jeff Glass\glassje01</t>
  </si>
  <si>
    <t>Adam McQuaid\mcquaad01</t>
  </si>
  <si>
    <t>David Schlemko\schleda01</t>
  </si>
  <si>
    <t>Andy Andreoff\andrean01</t>
  </si>
  <si>
    <t>Jay Bouwmeester\bouwmja01</t>
  </si>
  <si>
    <t>Darren Archibald\archida02</t>
  </si>
  <si>
    <t>Dale Weise\weiseda01</t>
  </si>
  <si>
    <t>Marcus Johansson\johanma03</t>
  </si>
  <si>
    <t>Dominik Simon\simondo01</t>
  </si>
  <si>
    <t>David Kampf\kampfda01</t>
  </si>
  <si>
    <t>Casey Nelson\nelsoca01</t>
  </si>
  <si>
    <t>Alexandar Georgiev\georgal01</t>
  </si>
  <si>
    <t>Jakub Jerabek\jerabja01</t>
  </si>
  <si>
    <t>Victor Mete\metevi01</t>
  </si>
  <si>
    <t>Cody McLeod\mcleoco01</t>
  </si>
  <si>
    <t>Anton Lindholm\lindhan01</t>
  </si>
  <si>
    <t>Jack Roslovic\rosloja01</t>
  </si>
  <si>
    <t>Nic Dowd\dowdni01</t>
  </si>
  <si>
    <t>Gemel Smith\smithge02</t>
  </si>
  <si>
    <t>Yohann Auvitu\auvityo01</t>
  </si>
  <si>
    <t>Chris Thorburn\thorbch01</t>
  </si>
  <si>
    <t>Jori Lehtera\lehtejo01</t>
  </si>
  <si>
    <t>Xavier Ouellet\ouellxa01</t>
  </si>
  <si>
    <t>J.T. Brown\brownjt01</t>
  </si>
  <si>
    <t>Derek Dorsett\dorsede01</t>
  </si>
  <si>
    <t>Klas Dahlbeck\dahlbkl01</t>
  </si>
  <si>
    <t>Jean-Francois Berube\berubje02</t>
  </si>
  <si>
    <t>Ian McCoshen\mccosia01</t>
  </si>
  <si>
    <t>Victor Antipin\antipvi01</t>
  </si>
  <si>
    <t>Anders Bjork\bjorkan01</t>
  </si>
  <si>
    <t>Slater Koekkoek\koekksl01</t>
  </si>
  <si>
    <t>Oscar Fantenberg\fanteos01</t>
  </si>
  <si>
    <t>Tomas Jurco\jurcoto01</t>
  </si>
  <si>
    <t>Marc Methot\methoma01</t>
  </si>
  <si>
    <t>Tage Thompson\thompta01</t>
  </si>
  <si>
    <t>Christopher Didomenico\didomch01</t>
  </si>
  <si>
    <t>Andrej Sekera\sekeran01</t>
  </si>
  <si>
    <t>Maxime Lagace\lagacma01</t>
  </si>
  <si>
    <t>William Carrier\carriwi01</t>
  </si>
  <si>
    <t>Tanner Fritz\fritzta01</t>
  </si>
  <si>
    <t>Dennis Seidenberg\seidede01</t>
  </si>
  <si>
    <t>Lee Stempniak\stemple01</t>
  </si>
  <si>
    <t>Al Montoya\montoal01</t>
  </si>
  <si>
    <t>Jimmy Hayes\hayesji01</t>
  </si>
  <si>
    <t>Brendan Gaunce\gauncbr01</t>
  </si>
  <si>
    <t>Yannick Weber\weberya01</t>
  </si>
  <si>
    <t>Scott Harrington\harrisc01</t>
  </si>
  <si>
    <t>Carter Rowney\rowneca01</t>
  </si>
  <si>
    <t>Harri Sateri\saterha01</t>
  </si>
  <si>
    <t>Toby Enstrom\enstrto01</t>
  </si>
  <si>
    <t>John Gilmour\gilmojo01</t>
  </si>
  <si>
    <t>Anthony Cirelli\cirelan01</t>
  </si>
  <si>
    <t>Josh Jooris\joorijo01</t>
  </si>
  <si>
    <t>Gustav Olofsson\olofsgu01</t>
  </si>
  <si>
    <t>Iiro Pakarinen\pakarii01</t>
  </si>
  <si>
    <t>Josh Gorges\gorgejo01</t>
  </si>
  <si>
    <t>Cody Franson\fransco01</t>
  </si>
  <si>
    <t>Andrej Sustr\sustran01</t>
  </si>
  <si>
    <t>Jonny Brodzinski\brodzjo01</t>
  </si>
  <si>
    <t>Kurtis MacDermid\macdeku01</t>
  </si>
  <si>
    <t>Kris Versteeg\verstkr01</t>
  </si>
  <si>
    <t>Noah Juulsen\juulsno01</t>
  </si>
  <si>
    <t>Nikita Scherbak\scherni01</t>
  </si>
  <si>
    <t>Boo Nieves\nievecr01</t>
  </si>
  <si>
    <t>Laurent Brossoit\brossla01</t>
  </si>
  <si>
    <t>Christopher Gibson\gibsoch01</t>
  </si>
  <si>
    <t>Marcus Kruger\krugema01</t>
  </si>
  <si>
    <t>Michael Amadio\amadimi01</t>
  </si>
  <si>
    <t>Marcus Sorensen\sorenma01</t>
  </si>
  <si>
    <t>Dylan Strome\stromdy01</t>
  </si>
  <si>
    <t>Jon Gillies\gillijo01</t>
  </si>
  <si>
    <t>Alex Lyon\lyonal01</t>
  </si>
  <si>
    <t>Max McCormick\mccorma01</t>
  </si>
  <si>
    <t>Ty Rattie\rattity01</t>
  </si>
  <si>
    <t>Ryan Donato\donatry01</t>
  </si>
  <si>
    <t>Zach Aston-Reese\astonza01</t>
  </si>
  <si>
    <t>Jonathon Merrill\merrijo01</t>
  </si>
  <si>
    <t>Markus Hannikainen\hannima01</t>
  </si>
  <si>
    <t>Oskar Sundqvist\sundqos01</t>
  </si>
  <si>
    <t>Jacob Josefson\josefja01</t>
  </si>
  <si>
    <t>Rob O'Gara\ogararo01</t>
  </si>
  <si>
    <t>Ben Harpur\harpube01</t>
  </si>
  <si>
    <t>Brian Gionta\giontbr01</t>
  </si>
  <si>
    <t>Chris Wideman\widemch01</t>
  </si>
  <si>
    <t>Ross Johnston\johnsro02</t>
  </si>
  <si>
    <t>Oskar Lindblom\lindbos01</t>
  </si>
  <si>
    <t>Joshua Ho-Sang\hosanjo01</t>
  </si>
  <si>
    <t>Kevin Roy\royke01</t>
  </si>
  <si>
    <t>Julius Honka\honkaju01</t>
  </si>
  <si>
    <t>Nicholas Baptiste\baptini01</t>
  </si>
  <si>
    <t>Steven Kampfer\kampfst01</t>
  </si>
  <si>
    <t>Gabriel Dumont\dumonga01</t>
  </si>
  <si>
    <t>Maxim Mamin\maminma01</t>
  </si>
  <si>
    <t>Anthony Bitetto\bitetan01</t>
  </si>
  <si>
    <t>Mirco Mueller\muellmi01</t>
  </si>
  <si>
    <t>David Booth\boothda01</t>
  </si>
  <si>
    <t>Taylor Leier\leierta01</t>
  </si>
  <si>
    <t>Adam Erne\ernead01</t>
  </si>
  <si>
    <t>Luke Witkowski\witkolu01</t>
  </si>
  <si>
    <t>Luke Kunin\kuninlu01</t>
  </si>
  <si>
    <t>Taylor Chorney\chornta01</t>
  </si>
  <si>
    <t>Ethan Bear\bearet01</t>
  </si>
  <si>
    <t>Colin White\whiteco02</t>
  </si>
  <si>
    <t>Eric Fehr\fehrer01</t>
  </si>
  <si>
    <t>Zack Mitchell\mitchza01</t>
  </si>
  <si>
    <t>Reid Boucher\bouchre01</t>
  </si>
  <si>
    <t>Marcus Pettersson\pettema01</t>
  </si>
  <si>
    <t>Eric Gryba\grybaer01</t>
  </si>
  <si>
    <t>Ryan Murphy\murphry01</t>
  </si>
  <si>
    <t>Jaromir Jagr\jagrja01</t>
  </si>
  <si>
    <t>Alexander Burmistrov\burmial01</t>
  </si>
  <si>
    <t>Dennis Rasmussen\rasmude01</t>
  </si>
  <si>
    <t>Vinni Lettieri\lettivi01</t>
  </si>
  <si>
    <t>Peter Budaj\budajpe01</t>
  </si>
  <si>
    <t>Nick Seeler\seeleni01</t>
  </si>
  <si>
    <t>Jack Campbell\campbja01</t>
  </si>
  <si>
    <t>Mike Fisher\fishemi01</t>
  </si>
  <si>
    <t>Peter Holland\hollape01</t>
  </si>
  <si>
    <t>Brett Lernout\lernobr01</t>
  </si>
  <si>
    <t>Filip Chlapik\chlapfi01</t>
  </si>
  <si>
    <t>Greg McKegg\mckeggr01</t>
  </si>
  <si>
    <t>Valentin Zykov\zykovva01</t>
  </si>
  <si>
    <t>Justin Bailey\baileju01</t>
  </si>
  <si>
    <t>Brendan Guhle\guhlebr01</t>
  </si>
  <si>
    <t>Mario Kempe\kempema01</t>
  </si>
  <si>
    <t>Michael McCarron\mccarmi01</t>
  </si>
  <si>
    <t>Ryan Sproul\sproury01</t>
  </si>
  <si>
    <t>Oscar Dansk\danskos01</t>
  </si>
  <si>
    <t>Shawn Matthias\matthsh01</t>
  </si>
  <si>
    <t>Sebastian Aho\ahose02</t>
  </si>
  <si>
    <t>Paul Ladue\laduepa01</t>
  </si>
  <si>
    <t>David Warsofsky\warsoda01</t>
  </si>
  <si>
    <t>Matthew Peca\pecama01</t>
  </si>
  <si>
    <t>Matt Bartkowski\bartkma01</t>
  </si>
  <si>
    <t>Tucker Poolman\poolmtu01</t>
  </si>
  <si>
    <t>Marko Dano\danoma01</t>
  </si>
  <si>
    <t>Zach Bogosian\bogosza01</t>
  </si>
  <si>
    <t>Duncan Siemens\siemedu01</t>
  </si>
  <si>
    <t>Linus Ullmark\ullmali01</t>
  </si>
  <si>
    <t>Kevin Gravel\graveke01</t>
  </si>
  <si>
    <t>Evgeny Svechnikov\svechev01</t>
  </si>
  <si>
    <t>Alan Quine\quineal01</t>
  </si>
  <si>
    <t>Dominic Toninato\tonindo01</t>
  </si>
  <si>
    <t>Kyle Quincey\quincky01</t>
  </si>
  <si>
    <t>Jason Dickinson\dickija01</t>
  </si>
  <si>
    <t>Eddie Lack\lacked01</t>
  </si>
  <si>
    <t>Andrei Mironov\mironan01</t>
  </si>
  <si>
    <t>Nikolai Kulemin\kulemni01</t>
  </si>
  <si>
    <t>Josh Leivo\leivojo01</t>
  </si>
  <si>
    <t>A.J. Greer\greeraj01</t>
  </si>
  <si>
    <t>Daniel Sprong\spronda01</t>
  </si>
  <si>
    <t>Matthew Highmore\highmma01</t>
  </si>
  <si>
    <t>Andreas Johnsson\johnsan01</t>
  </si>
  <si>
    <t>Seth Griffith\griffse01</t>
  </si>
  <si>
    <t>Daniel O'Regan\oregada01</t>
  </si>
  <si>
    <t>Jordan Szwarz\szwarjo01</t>
  </si>
  <si>
    <t>Casey Mittelstadt\mitteca01</t>
  </si>
  <si>
    <t>Reto Berra\berrare01</t>
  </si>
  <si>
    <t>Andreas Martinsen\martian01</t>
  </si>
  <si>
    <t>Adin Hill\hillad01</t>
  </si>
  <si>
    <t>Jaycob Megna\megnaja02</t>
  </si>
  <si>
    <t>Matt Read\readma01</t>
  </si>
  <si>
    <t>Nikita Soshnikov\soshnni01</t>
  </si>
  <si>
    <t>Dean Kukan\kukande01</t>
  </si>
  <si>
    <t>Jared Coreau\coreaja01</t>
  </si>
  <si>
    <t>Kailer Yamamoto\yamamka01</t>
  </si>
  <si>
    <t>Lawson Crouse\crousla01</t>
  </si>
  <si>
    <t>Samuel Blais\blaissa01</t>
  </si>
  <si>
    <t>Tomas Hyka\hykato01</t>
  </si>
  <si>
    <t>Frederick Gaudreau\gaudrfr01</t>
  </si>
  <si>
    <t>Joe Hicketts\hickejo01</t>
  </si>
  <si>
    <t>Michael Hutchinson\hutchmi01</t>
  </si>
  <si>
    <t>Gabriel Carlsson\carlsga01</t>
  </si>
  <si>
    <t>Jordan Schroeder\schrojo01</t>
  </si>
  <si>
    <t>Christian Wolanin\wolanch01</t>
  </si>
  <si>
    <t>Carl Dahlstrom\dahlsca01</t>
  </si>
  <si>
    <t>Filip Chytil\chytifi01</t>
  </si>
  <si>
    <t>Trevor Murphy\murphtr01</t>
  </si>
  <si>
    <t>Paul Martin\martipa01</t>
  </si>
  <si>
    <t>Brandon Pirri\pirribr01</t>
  </si>
  <si>
    <t>Freddie Hamilton\hamilfr01</t>
  </si>
  <si>
    <t>Jason Garrison\garrija01</t>
  </si>
  <si>
    <t>Shane Prince\princsh01</t>
  </si>
  <si>
    <t>Tanner Glass\glassta01</t>
  </si>
  <si>
    <t>Matt Beleskey\belesma01</t>
  </si>
  <si>
    <t>Spencer Foo\foosp01</t>
  </si>
  <si>
    <t>Nic Petan\petanni01</t>
  </si>
  <si>
    <t>Tanner Kero\kerota01</t>
  </si>
  <si>
    <t>Mark Alt\altma01</t>
  </si>
  <si>
    <t>Matt Tennyson\tennyma01</t>
  </si>
  <si>
    <t>Austin Czarnik\czarnau01</t>
  </si>
  <si>
    <t>Warren Foegele\foegewa01</t>
  </si>
  <si>
    <t>Korbinian Holzer\holzeko01</t>
  </si>
  <si>
    <t>Rocco Grimaldi\grimaro01</t>
  </si>
  <si>
    <t>Chris Bigras\bigrach01</t>
  </si>
  <si>
    <t>Paul Postma\postmpa01</t>
  </si>
  <si>
    <t>Dryden Hunt\huntdr01</t>
  </si>
  <si>
    <t>Brooks Laich\laichbr01</t>
  </si>
  <si>
    <t>Nick Paul\paulni01</t>
  </si>
  <si>
    <t>Kerby Rychel\rycheke01</t>
  </si>
  <si>
    <t>Kalle Kossila\kossika01</t>
  </si>
  <si>
    <t>Frederik Gauthier\gauthfr01</t>
  </si>
  <si>
    <t>Roland McKeown\mckeoro01</t>
  </si>
  <si>
    <t>Lucas Wallmark\wallmlu01</t>
  </si>
  <si>
    <t>Eric Comrie\comrier01</t>
  </si>
  <si>
    <t>Lias Andersson\anderli01</t>
  </si>
  <si>
    <t>Blake Hillman\hillmbl01</t>
  </si>
  <si>
    <t>Andy Welinski\welinan01</t>
  </si>
  <si>
    <t>Owen Tippett\tippeow01</t>
  </si>
  <si>
    <t>Dylan Sikura\sikurdy01</t>
  </si>
  <si>
    <t>Nathan Walker\walkena01</t>
  </si>
  <si>
    <t>Chris Kelly\kellych01</t>
  </si>
  <si>
    <t>Justin Holl\hollju01</t>
  </si>
  <si>
    <t>Curtis McKenzie\mckencu01</t>
  </si>
  <si>
    <t>Collin Delia\deliaco01</t>
  </si>
  <si>
    <t>Ken Appleby\appleke01</t>
  </si>
  <si>
    <t>Ashton Sautner\sautnas01</t>
  </si>
  <si>
    <t>Jim O'Brien\obrieji01</t>
  </si>
  <si>
    <t>Jordan Schmaltz\schmajo01</t>
  </si>
  <si>
    <t>Taylor Fedun\fedunta01</t>
  </si>
  <si>
    <t>Mike McKenna\mckenmi01</t>
  </si>
  <si>
    <t>Peter Cehlarik\cehlape01</t>
  </si>
  <si>
    <t>Adam Clendening\clendad01</t>
  </si>
  <si>
    <t>Brendan Lemieux\lemiebr01</t>
  </si>
  <si>
    <t>Nick Lappin\lappini01</t>
  </si>
  <si>
    <t>Matt Moulson\moulsma01</t>
  </si>
  <si>
    <t>Brad Malone\malonbr01</t>
  </si>
  <si>
    <t>Victor Ejdsell\ejdsevi01</t>
  </si>
  <si>
    <t>Kenny Agostino\agostke01</t>
  </si>
  <si>
    <t>Zac Dalpe\dalpeza01</t>
  </si>
  <si>
    <t>Mike Liambas\liambmi01</t>
  </si>
  <si>
    <t>Jared Boll\bollja01</t>
  </si>
  <si>
    <t>Jean-Sebastien Dea\deaje01</t>
  </si>
  <si>
    <t>Ryan Lomberg\lombery01</t>
  </si>
  <si>
    <t>Stefan Matteau\mattest02</t>
  </si>
  <si>
    <t>Dillon Heatherington\heathdi01</t>
  </si>
  <si>
    <t>Rasmus Andersson\anderra01</t>
  </si>
  <si>
    <t>Aaron Ness\nessaa01</t>
  </si>
  <si>
    <t>Patrick Eaves\eavespa01</t>
  </si>
  <si>
    <t>Henrik Borgström\borgshe01</t>
  </si>
  <si>
    <t>Jordan Greenway\greenjo02</t>
  </si>
  <si>
    <t>Andrew Hammond\hammoan01</t>
  </si>
  <si>
    <t>Sami Niku\nikusa01</t>
  </si>
  <si>
    <t>Henrik Haapala\haapahe01</t>
  </si>
  <si>
    <t>Kyle Criscuolo\criscky01</t>
  </si>
  <si>
    <t>Louis Belpedio\belpelo01</t>
  </si>
  <si>
    <t>Danick Martel\marteda01</t>
  </si>
  <si>
    <t>Andrew Mangiapane\mangian01</t>
  </si>
  <si>
    <t>Thatcher Demko\demkoth01</t>
  </si>
  <si>
    <t>Patrick Sieloff\sielopa01</t>
  </si>
  <si>
    <t>Dakota Mermis\mermida01</t>
  </si>
  <si>
    <t>Michael Chaput\chapumi01</t>
  </si>
  <si>
    <t>Kyle Rau\rauky01</t>
  </si>
  <si>
    <t>Michael Bournival\bournmi01</t>
  </si>
  <si>
    <t>Frank Corrado\corrafr01</t>
  </si>
  <si>
    <t>Erik Burgdoerfer\burgder01</t>
  </si>
  <si>
    <t>Tyrell Goulbourne\goulbty01</t>
  </si>
  <si>
    <t>Landon Ferraro\ferrala01</t>
  </si>
  <si>
    <t>Vadim Shipachyov\shipava01</t>
  </si>
  <si>
    <t>Adam Cracknell\crackad01</t>
  </si>
  <si>
    <t>Dominic Turgeon\turgedo01</t>
  </si>
  <si>
    <t>Alexander Nylander\nylanal01</t>
  </si>
  <si>
    <t>Shane Gersich\gersish01</t>
  </si>
  <si>
    <t>Dalton Prout\proutda01</t>
  </si>
  <si>
    <t>Steve Bernier\bernist01</t>
  </si>
  <si>
    <t>Logan Brown\brownlo01</t>
  </si>
  <si>
    <t>Beau Bennett\bennebe01</t>
  </si>
  <si>
    <t>Calle Rosen\rosenca01</t>
  </si>
  <si>
    <t>Adam Gaudette\gaudead01</t>
  </si>
  <si>
    <t>Travis Boyd\boydtr01</t>
  </si>
  <si>
    <t>Zach Redmond\redmoza01</t>
  </si>
  <si>
    <t>Daniel Taylor\tayloda02</t>
  </si>
  <si>
    <t>Adam Wilcox\wilcoad01</t>
  </si>
  <si>
    <t>Chase Balisy\balisch01</t>
  </si>
  <si>
    <t>Carson Soucy\soucyca01</t>
  </si>
  <si>
    <t>Daniel Brickley\brickda01</t>
  </si>
  <si>
    <t>Hudson Fasching\faschhu01</t>
  </si>
  <si>
    <t>Zach Trotman\trotmza01</t>
  </si>
  <si>
    <t>Marek Langhamer\langhma01</t>
  </si>
  <si>
    <t>Chris Butler\butlech01</t>
  </si>
  <si>
    <t>Samuel Morin\morinsa01</t>
  </si>
  <si>
    <t>Joel Hanley\hanlejo01</t>
  </si>
  <si>
    <t>Joseph Blandisi\blandjo01</t>
  </si>
  <si>
    <t>John Quenneville\quennjo02</t>
  </si>
  <si>
    <t>Janne Kuokkanen\kuokkja01</t>
  </si>
  <si>
    <t>Colby Cave\caveco01</t>
  </si>
  <si>
    <t>Jack Rodewald\rodewja01</t>
  </si>
  <si>
    <t>Ales Hemsky\hemskal01</t>
  </si>
  <si>
    <t>Calvin Pickard\pickaca01</t>
  </si>
  <si>
    <t>Marek Hrivik\hrivima01</t>
  </si>
  <si>
    <t>Tyler Graovac\graovty01</t>
  </si>
  <si>
    <t>Martin Marincin\marinma01</t>
  </si>
  <si>
    <t>Mike Blunden\blundmi01</t>
  </si>
  <si>
    <t>Scott Foster\fostesc01</t>
  </si>
  <si>
    <t>Ben Sexton\sextobe01</t>
  </si>
  <si>
    <t>Keegan Lowe\loweke02</t>
  </si>
  <si>
    <t>Eeli Tolvanen\tolvaee01</t>
  </si>
  <si>
    <t>Andreas Englund\engluan01</t>
  </si>
  <si>
    <t>Justin Auger\augerju01</t>
  </si>
  <si>
    <t>Troy Terry\terrytr01</t>
  </si>
  <si>
    <t>Blake Pietila\pietibl01</t>
  </si>
  <si>
    <t>Laurent Dauphin\dauphla01</t>
  </si>
  <si>
    <t>Rinat Valiev\valieri01</t>
  </si>
  <si>
    <t>Kevin Rooney\rooneke01</t>
  </si>
  <si>
    <t>Nathan Gerbe\gerbena01</t>
  </si>
  <si>
    <t>Mark Streit\streima01</t>
  </si>
  <si>
    <t>Liam O'Brien\obrieli01</t>
  </si>
  <si>
    <t>Kyle Capobianco\capobky01</t>
  </si>
  <si>
    <t>Mitch Reinke\reinkmi01</t>
  </si>
  <si>
    <t>Dylan Gambrell\gambrdy01</t>
  </si>
  <si>
    <t>Andrew Crescenzi\crescan01</t>
  </si>
  <si>
    <t>Christian Jaros\jarosch01</t>
  </si>
  <si>
    <t>Anthony Peluso\pelusan01</t>
  </si>
  <si>
    <t>Vladislav Kamenev\kamenvl01</t>
  </si>
  <si>
    <t>Daniel Catenacci\catenda01</t>
  </si>
  <si>
    <t>Michael Dal Colle\dalcomi01</t>
  </si>
  <si>
    <t>Anton Blidh\blidhan01</t>
  </si>
  <si>
    <t>Steven Fogarty\fogarst01</t>
  </si>
  <si>
    <t>Nicolas Roy\royni01</t>
  </si>
  <si>
    <t>Will O'Neill\oneilwi01</t>
  </si>
  <si>
    <t>Alex Formenton\formeal01</t>
  </si>
  <si>
    <t>Cal O'Reilly\oreilca01</t>
  </si>
  <si>
    <t>Eric Robinson\robiner01</t>
  </si>
  <si>
    <t>Zach Whitecloud\whiteza01</t>
  </si>
  <si>
    <t>Philip Holm\holmph01</t>
  </si>
  <si>
    <t>Morgan Klimchuk\klimcmo01</t>
  </si>
  <si>
    <t>Curtis Valk\valkcu01</t>
  </si>
  <si>
    <t>Trevor Carrick\carritr01</t>
  </si>
  <si>
    <t>Wade Megan\meganwa01</t>
  </si>
  <si>
    <t>Brandon Halverson\halvebr01</t>
  </si>
  <si>
    <t>Nicolas Kerdiles\kerdini01</t>
  </si>
  <si>
    <t>Alex Broadhurst\broadal01</t>
  </si>
  <si>
    <t>Christoph Bertschy\bertsch02</t>
  </si>
  <si>
    <t>Giovanni Fiore\fioregi01</t>
  </si>
  <si>
    <t>Justin Kloos\kloosju01</t>
  </si>
  <si>
    <t>Brian Lashoff\lashobr01</t>
  </si>
  <si>
    <t>Jayson Megna\megnaja01</t>
  </si>
  <si>
    <t>Nicholas Merkley\merklni01</t>
  </si>
  <si>
    <t>Martin Necas\necasma01</t>
  </si>
  <si>
    <t>Dylan Ferguson\fergudy01</t>
  </si>
  <si>
    <t>Total Rank</t>
  </si>
  <si>
    <t>Player Name</t>
  </si>
  <si>
    <t>Team</t>
  </si>
  <si>
    <t>Pts</t>
  </si>
  <si>
    <t>SOG</t>
  </si>
  <si>
    <t>Hits</t>
  </si>
  <si>
    <t>BS</t>
  </si>
  <si>
    <t>Rank Change</t>
  </si>
  <si>
    <t>Nathan MacKinnon</t>
  </si>
  <si>
    <t>COL</t>
  </si>
  <si>
    <t>Auston Matthews</t>
  </si>
  <si>
    <t>TOR</t>
  </si>
  <si>
    <t>Nikita Kucherov</t>
  </si>
  <si>
    <t>TB</t>
  </si>
  <si>
    <t>Connor McDavid</t>
  </si>
  <si>
    <t>EDM</t>
  </si>
  <si>
    <t>David Pastrnak</t>
  </si>
  <si>
    <t>BOS</t>
  </si>
  <si>
    <t>Artemi Panarin</t>
  </si>
  <si>
    <t>NYR</t>
  </si>
  <si>
    <t>Filip Forsberg</t>
  </si>
  <si>
    <t>NSH</t>
  </si>
  <si>
    <t>Brady Tkachuk</t>
  </si>
  <si>
    <t>OTT</t>
  </si>
  <si>
    <t>J.T. Miller</t>
  </si>
  <si>
    <t>VAN</t>
  </si>
  <si>
    <t>Sam Reinhart</t>
  </si>
  <si>
    <t>FLA</t>
  </si>
  <si>
    <t>Mikko Rantanen</t>
  </si>
  <si>
    <t>William Nylander</t>
  </si>
  <si>
    <t>Sidney Crosby</t>
  </si>
  <si>
    <t>PIT</t>
  </si>
  <si>
    <t>Kirill Kaprizov</t>
  </si>
  <si>
    <t>MIN</t>
  </si>
  <si>
    <t>Leon Draisaitl</t>
  </si>
  <si>
    <t>Roman Josi</t>
  </si>
  <si>
    <t>Cale Makar</t>
  </si>
  <si>
    <t>Matthew Tkachuk</t>
  </si>
  <si>
    <t>Zach Hyman</t>
  </si>
  <si>
    <t>Elias Pettersson</t>
  </si>
  <si>
    <t>Steven Stamkos</t>
  </si>
  <si>
    <t>Vincent Trocheck</t>
  </si>
  <si>
    <t>Brayden Point</t>
  </si>
  <si>
    <t>Frank Vatrano</t>
  </si>
  <si>
    <t>ANH</t>
  </si>
  <si>
    <t>Rasmus Dahlin</t>
  </si>
  <si>
    <t>BUF</t>
  </si>
  <si>
    <t>MacKenzie Weegar</t>
  </si>
  <si>
    <t>CGY</t>
  </si>
  <si>
    <t>Chris Kreider</t>
  </si>
  <si>
    <t>Evan Bouchard</t>
  </si>
  <si>
    <t>Sebastian Aho</t>
  </si>
  <si>
    <t>CAR</t>
  </si>
  <si>
    <t>Joel Eriksson Ek</t>
  </si>
  <si>
    <t>Jesper Bratt</t>
  </si>
  <si>
    <t>NJ</t>
  </si>
  <si>
    <t>Adrian Kempe</t>
  </si>
  <si>
    <t>LA</t>
  </si>
  <si>
    <t>Jonathan Marchessault</t>
  </si>
  <si>
    <t>VGK</t>
  </si>
  <si>
    <t>Alex Ovechkin</t>
  </si>
  <si>
    <t>WAS</t>
  </si>
  <si>
    <t>John Tavares</t>
  </si>
  <si>
    <t>Jason Robertson</t>
  </si>
  <si>
    <t>DAL</t>
  </si>
  <si>
    <t>Mathew Barzal</t>
  </si>
  <si>
    <t>NYI</t>
  </si>
  <si>
    <t>Nazem Kadri</t>
  </si>
  <si>
    <t>Quinn Hughes</t>
  </si>
  <si>
    <t>Travis Konecny</t>
  </si>
  <si>
    <t>PHI</t>
  </si>
  <si>
    <t>Aleksander Barkov</t>
  </si>
  <si>
    <t>Noah Dobson</t>
  </si>
  <si>
    <t>Jack Eichel</t>
  </si>
  <si>
    <t>Jake Guentzel</t>
  </si>
  <si>
    <t>Cole Caufield</t>
  </si>
  <si>
    <t>MON</t>
  </si>
  <si>
    <t>Brock Nelson</t>
  </si>
  <si>
    <t>Bo Horvat</t>
  </si>
  <si>
    <t>Mika Zibanejad</t>
  </si>
  <si>
    <t>Carter Verhaeghe</t>
  </si>
  <si>
    <t>Mitch Marner</t>
  </si>
  <si>
    <t>Nick Suzuki</t>
  </si>
  <si>
    <t>Owen Tippett</t>
  </si>
  <si>
    <t>Robert Thomas</t>
  </si>
  <si>
    <t>STL</t>
  </si>
  <si>
    <t>Brock Boeser</t>
  </si>
  <si>
    <t>Jack Hughes</t>
  </si>
  <si>
    <t>Mike Matheson</t>
  </si>
  <si>
    <t>Clayton Keller</t>
  </si>
  <si>
    <t>ARI</t>
  </si>
  <si>
    <t>Brad Marchand</t>
  </si>
  <si>
    <t>Kevin Fiala</t>
  </si>
  <si>
    <t>Seth Jarvis</t>
  </si>
  <si>
    <t>Connor Hellebuyck</t>
  </si>
  <si>
    <t>WPG</t>
  </si>
  <si>
    <t>Victor Hedman</t>
  </si>
  <si>
    <t>Trevor Moore</t>
  </si>
  <si>
    <t>Dylan Larkin</t>
  </si>
  <si>
    <t>DET</t>
  </si>
  <si>
    <t>Josh Morrissey</t>
  </si>
  <si>
    <t>Brandon Hagel</t>
  </si>
  <si>
    <t>Alex DeBrincat</t>
  </si>
  <si>
    <t>Joe Pavelski</t>
  </si>
  <si>
    <t>Jordan Kyrou</t>
  </si>
  <si>
    <t>Wyatt Johnston</t>
  </si>
  <si>
    <t>Adam Fox</t>
  </si>
  <si>
    <t>Matt Boldy</t>
  </si>
  <si>
    <t>Drake Batherson</t>
  </si>
  <si>
    <t>Tim Stutzle</t>
  </si>
  <si>
    <t>Moritz Seider</t>
  </si>
  <si>
    <t>Blake Coleman</t>
  </si>
  <si>
    <t>Evander Kane</t>
  </si>
  <si>
    <t>Lucas Raymond</t>
  </si>
  <si>
    <t>Tage Thompson</t>
  </si>
  <si>
    <t>John Carlson</t>
  </si>
  <si>
    <t>Charlie Coyle</t>
  </si>
  <si>
    <t>Alex Tuch</t>
  </si>
  <si>
    <t>Morgan Rielly</t>
  </si>
  <si>
    <t>Ryan O'Reilly</t>
  </si>
  <si>
    <t>Mark Scheifele</t>
  </si>
  <si>
    <t>Evgeni Malkin</t>
  </si>
  <si>
    <t>Gustav Nyquist</t>
  </si>
  <si>
    <t>Nico Hischier</t>
  </si>
  <si>
    <t>Jared McCann</t>
  </si>
  <si>
    <t>SEA</t>
  </si>
  <si>
    <t>Roope Hintz</t>
  </si>
  <si>
    <t>Kyle Palmieri</t>
  </si>
  <si>
    <t>Kris Letang</t>
  </si>
  <si>
    <t>Pavel Buchnevich</t>
  </si>
  <si>
    <t>Nikolaj Ehlers</t>
  </si>
  <si>
    <t>Anze Kopitar</t>
  </si>
  <si>
    <t>Ryan Nugent-Hopkins</t>
  </si>
  <si>
    <t>Jamie Benn</t>
  </si>
  <si>
    <t>Zach Werenski</t>
  </si>
  <si>
    <t>CLS</t>
  </si>
  <si>
    <t>Timo Meier</t>
  </si>
  <si>
    <t>Tyler Toffoli</t>
  </si>
  <si>
    <t>Dylan Strome</t>
  </si>
  <si>
    <t>Charlie McAvoy</t>
  </si>
  <si>
    <t>Kyle Connor</t>
  </si>
  <si>
    <t>Sergei Bobrovsky</t>
  </si>
  <si>
    <t>Alexis Lafreniere</t>
  </si>
  <si>
    <t>Juuse Saros</t>
  </si>
  <si>
    <t>William Karlsson</t>
  </si>
  <si>
    <t>Erik Karlsson</t>
  </si>
  <si>
    <t>Yegor Sharangovich</t>
  </si>
  <si>
    <t>Martin Necas</t>
  </si>
  <si>
    <t>Matt Duchene</t>
  </si>
  <si>
    <t>Bryan Rust</t>
  </si>
  <si>
    <t>Connor Bedard</t>
  </si>
  <si>
    <t>CHI</t>
  </si>
  <si>
    <t>Claude Giroux</t>
  </si>
  <si>
    <t>Fabian Zetterlund</t>
  </si>
  <si>
    <t>SJ</t>
  </si>
  <si>
    <t>Drew Doughty</t>
  </si>
  <si>
    <t>Darnell Nurse</t>
  </si>
  <si>
    <t>Jakob Chychrun</t>
  </si>
  <si>
    <t>Igor Shesterkin</t>
  </si>
  <si>
    <t>Jordan Binnington</t>
  </si>
  <si>
    <t>Thatcher Demko</t>
  </si>
  <si>
    <t>Juraj Slafkovsky</t>
  </si>
  <si>
    <t>Adam Henrique</t>
  </si>
  <si>
    <t>Brayden Schenn</t>
  </si>
  <si>
    <t>Oliver Bjorkstrand</t>
  </si>
  <si>
    <t>Lawson Crouse</t>
  </si>
  <si>
    <t>Sean Monahan</t>
  </si>
  <si>
    <t>Tom Wilson</t>
  </si>
  <si>
    <t>Pavel Zacha</t>
  </si>
  <si>
    <t>Mattias Ekholm</t>
  </si>
  <si>
    <t>Travis Sanheim</t>
  </si>
  <si>
    <t>Eeli Tolvanen</t>
  </si>
  <si>
    <t>Devon Toews</t>
  </si>
  <si>
    <t>Brady Skjei</t>
  </si>
  <si>
    <t>Noah Hanifin</t>
  </si>
  <si>
    <t>Thomas Harley</t>
  </si>
  <si>
    <t>Mats Zuccarello</t>
  </si>
  <si>
    <t>Ilya Sorokin</t>
  </si>
  <si>
    <t>Vladimir Tarasenko</t>
  </si>
  <si>
    <t>Dylan Cozens</t>
  </si>
  <si>
    <t>Miro Heiskanen</t>
  </si>
  <si>
    <t>John-Jason Peterka</t>
  </si>
  <si>
    <t>Nick Schmaltz</t>
  </si>
  <si>
    <t>Colton Parayko</t>
  </si>
  <si>
    <t>Joel Farabee</t>
  </si>
  <si>
    <t>Anders Lee</t>
  </si>
  <si>
    <t>Valeri Nichushkin</t>
  </si>
  <si>
    <t>Alexandar Georgiev</t>
  </si>
  <si>
    <t>Mason Marchment</t>
  </si>
  <si>
    <t>Sam Bennett</t>
  </si>
  <si>
    <t>Rasmus Andersson</t>
  </si>
  <si>
    <t>Brock Faber</t>
  </si>
  <si>
    <t>Scott Laughton</t>
  </si>
  <si>
    <t>Nick Bjugstad</t>
  </si>
  <si>
    <t>Andrei Svechnikov</t>
  </si>
  <si>
    <t>Mikael Granlund</t>
  </si>
  <si>
    <t>Neal Pionk</t>
  </si>
  <si>
    <t>Stuart Skinner</t>
  </si>
  <si>
    <t>Ryan Hartman</t>
  </si>
  <si>
    <t>Ivan Barbashev</t>
  </si>
  <si>
    <t>Quinton Byfield</t>
  </si>
  <si>
    <t>Phillip Danault</t>
  </si>
  <si>
    <t>Elias Lindholm</t>
  </si>
  <si>
    <t>Nick Paul</t>
  </si>
  <si>
    <t>Tyler Seguin</t>
  </si>
  <si>
    <t>Conor Garland</t>
  </si>
  <si>
    <t>Trent Frederic</t>
  </si>
  <si>
    <t>Matt Roy</t>
  </si>
  <si>
    <t>Filip Hronek</t>
  </si>
  <si>
    <t>Michael Bunting</t>
  </si>
  <si>
    <t>Jake Oettinger</t>
  </si>
  <si>
    <t>Jake DeBrusk</t>
  </si>
  <si>
    <t>Warren Foegele</t>
  </si>
  <si>
    <t>Cam Talbot</t>
  </si>
  <si>
    <t>Sean Durzi</t>
  </si>
  <si>
    <t>Gustav Forsling</t>
  </si>
  <si>
    <t>Shayne Gostisbehere</t>
  </si>
  <si>
    <t>Ukko-Pekka Luukkonen</t>
  </si>
  <si>
    <t>Troy Terry</t>
  </si>
  <si>
    <t>Nick Foligno</t>
  </si>
  <si>
    <t>Jake Neighbours</t>
  </si>
  <si>
    <t>Tyler Bertuzzi</t>
  </si>
  <si>
    <t>Brent Burns</t>
  </si>
  <si>
    <t>Boone Jenner</t>
  </si>
  <si>
    <t>Kirill Marchenko</t>
  </si>
  <si>
    <t>Jeff Skinner</t>
  </si>
  <si>
    <t>Jacob Trouba</t>
  </si>
  <si>
    <t>Jake Sanderson</t>
  </si>
  <si>
    <t>Teuvo Teravainen</t>
  </si>
  <si>
    <t>David Perron</t>
  </si>
  <si>
    <t>Charlie Lindgren</t>
  </si>
  <si>
    <t>Anthony Cirelli</t>
  </si>
  <si>
    <t>Jeremy Lauzon</t>
  </si>
  <si>
    <t>Matias Maccelli</t>
  </si>
  <si>
    <t>Ross Colton</t>
  </si>
  <si>
    <t>Jonathan Drouin</t>
  </si>
  <si>
    <t>Johnny Gaudreau</t>
  </si>
  <si>
    <t>Cam York</t>
  </si>
  <si>
    <t>Mikael Backlund</t>
  </si>
  <si>
    <t>Sean Walker</t>
  </si>
  <si>
    <t>Jason Dickinson</t>
  </si>
  <si>
    <t>Jean-Gabriel Pageau</t>
  </si>
  <si>
    <t>Philipp Kurashev</t>
  </si>
  <si>
    <t>Petr Mrazek</t>
  </si>
  <si>
    <t>Casey Mittelstadt</t>
  </si>
  <si>
    <t>Jonathan Huberdeau</t>
  </si>
  <si>
    <t>Brayden McNabb</t>
  </si>
  <si>
    <t>Seth Jones</t>
  </si>
  <si>
    <t>Adam Lowry</t>
  </si>
  <si>
    <t>Torey Krug</t>
  </si>
  <si>
    <t>Mark Stone</t>
  </si>
  <si>
    <t>Josh Manson</t>
  </si>
  <si>
    <t>Jaccob Slavin</t>
  </si>
  <si>
    <t>Connor Ingram</t>
  </si>
  <si>
    <t>Morgan Geekie</t>
  </si>
  <si>
    <t>Yanni Gourde</t>
  </si>
  <si>
    <t>Evan Rodrigues</t>
  </si>
  <si>
    <t>J.T. Compher</t>
  </si>
  <si>
    <t>Colton Sissons</t>
  </si>
  <si>
    <t>Jeremy Swayman</t>
  </si>
  <si>
    <t>Jake McCabe</t>
  </si>
  <si>
    <t>Alex Kerfoot</t>
  </si>
  <si>
    <t>Alexander Romanov</t>
  </si>
  <si>
    <t>Rickard Rakell</t>
  </si>
  <si>
    <t>Nino Niederreiter</t>
  </si>
  <si>
    <t>Tyson Foerster</t>
  </si>
  <si>
    <t>William Eklund</t>
  </si>
  <si>
    <t>Cole Sillinger</t>
  </si>
  <si>
    <t>Alex Pietrangelo</t>
  </si>
  <si>
    <t>Andrei Vasilevskiy</t>
  </si>
  <si>
    <t>Sean Couturier</t>
  </si>
  <si>
    <t>Marcus Pettersson</t>
  </si>
  <si>
    <t>Mario Ferraro</t>
  </si>
  <si>
    <t>Logan Cooley</t>
  </si>
  <si>
    <t>Joey Daccord</t>
  </si>
  <si>
    <t>Dakota Joshua</t>
  </si>
  <si>
    <t>Garnet Hathaway</t>
  </si>
  <si>
    <t>Pierre-Luc Dubois</t>
  </si>
  <si>
    <t>Erik Haula</t>
  </si>
  <si>
    <t>Radko Gudas</t>
  </si>
  <si>
    <t>Dylan DeMelo</t>
  </si>
  <si>
    <t>Chandler Stephenson</t>
  </si>
  <si>
    <t>Marco Rossi</t>
  </si>
  <si>
    <t>Brandon Montour</t>
  </si>
  <si>
    <t>Jordan Eberle</t>
  </si>
  <si>
    <t>Mason McTavish</t>
  </si>
  <si>
    <t>K'Andre Miller</t>
  </si>
  <si>
    <t>Jacob Middleton</t>
  </si>
  <si>
    <t>Vince Dunn</t>
  </si>
  <si>
    <t>Anthony Duclair</t>
  </si>
  <si>
    <t>Ben Chiarot</t>
  </si>
  <si>
    <t>Adam Larsson</t>
  </si>
  <si>
    <t>Matthew Knies</t>
  </si>
  <si>
    <t>Michael Rasmussen</t>
  </si>
  <si>
    <t>Luke Hughes</t>
  </si>
  <si>
    <t>Anthony Mantha</t>
  </si>
  <si>
    <t>Ivan Provorov</t>
  </si>
  <si>
    <t>Morgan Frost</t>
  </si>
  <si>
    <t>Patrick Kane</t>
  </si>
  <si>
    <t>Cam Fowler</t>
  </si>
  <si>
    <t>Drew O'Connor</t>
  </si>
  <si>
    <t>Daniel Sprong</t>
  </si>
  <si>
    <t>Beck Malenstyn</t>
  </si>
  <si>
    <t>Logan Thompson</t>
  </si>
  <si>
    <t>Mason Appleton</t>
  </si>
  <si>
    <t>Dmitri Voronkov</t>
  </si>
  <si>
    <t>Jacob Markstrom</t>
  </si>
  <si>
    <t>Max Domi</t>
  </si>
  <si>
    <t>Kaiden Guhle</t>
  </si>
  <si>
    <t>Will Borgen</t>
  </si>
  <si>
    <t>Erik Gudbranson</t>
  </si>
  <si>
    <t>Andrew Mangiapane</t>
  </si>
  <si>
    <t>Tyler Myers</t>
  </si>
  <si>
    <t>Esa Lindell</t>
  </si>
  <si>
    <t>Brenden Dillon</t>
  </si>
  <si>
    <t>Brandon Saad</t>
  </si>
  <si>
    <t>Anton Lundell</t>
  </si>
  <si>
    <t>Luke Evangelista</t>
  </si>
  <si>
    <t>Mathieu Joseph</t>
  </si>
  <si>
    <t>Linus Ullmark</t>
  </si>
  <si>
    <t>Tomas Hertl</t>
  </si>
  <si>
    <t>Nils Hoglander</t>
  </si>
  <si>
    <t>Reilly Smith</t>
  </si>
  <si>
    <t>Nick Seeler</t>
  </si>
  <si>
    <t>Danton Heinen</t>
  </si>
  <si>
    <t>Tristan Jarry</t>
  </si>
  <si>
    <t>Alex Killorn</t>
  </si>
  <si>
    <t>Nicolas Roy</t>
  </si>
  <si>
    <t>Andrei Kuzmenko</t>
  </si>
  <si>
    <t>Jordan Staal</t>
  </si>
  <si>
    <t>Lars Eller</t>
  </si>
  <si>
    <t>Kiefer Sherwood</t>
  </si>
  <si>
    <t>Justin Faulk</t>
  </si>
  <si>
    <t>Oliver Ekman-Larsson</t>
  </si>
  <si>
    <t>Will Cuylle</t>
  </si>
  <si>
    <t>Cole Smith</t>
  </si>
  <si>
    <t>Stefan Noesen</t>
  </si>
  <si>
    <t>Matty Beniers</t>
  </si>
  <si>
    <t>Jeff Petry</t>
  </si>
  <si>
    <t>Braden Schneider</t>
  </si>
  <si>
    <t>Ryan Strome</t>
  </si>
  <si>
    <t>Alex Lyon</t>
  </si>
  <si>
    <t>Owen Power</t>
  </si>
  <si>
    <t>Darren Raddysh</t>
  </si>
  <si>
    <t>Martin Pospisil</t>
  </si>
  <si>
    <t>Jordan Greenway</t>
  </si>
  <si>
    <t>Artem Zub</t>
  </si>
  <si>
    <t>Ryan Poehling</t>
  </si>
  <si>
    <t>Thomas Novak</t>
  </si>
  <si>
    <t>Jason Zucker</t>
  </si>
  <si>
    <t>Niko Mikkola</t>
  </si>
  <si>
    <t>Cole Perfetti</t>
  </si>
  <si>
    <t>Eetu Luostarinen</t>
  </si>
  <si>
    <t>Brendan Gallagher</t>
  </si>
  <si>
    <t>Jamie Oleksiak</t>
  </si>
  <si>
    <t>Connor McMichael</t>
  </si>
  <si>
    <t>Jordan Martinook</t>
  </si>
  <si>
    <t>Miles Wood</t>
  </si>
  <si>
    <t>Vladislav Namestnikov</t>
  </si>
  <si>
    <t>Paul Cotter</t>
  </si>
  <si>
    <t>Ryan Donato</t>
  </si>
  <si>
    <t>Bowen Byram</t>
  </si>
  <si>
    <t>Alexei Toropchenko</t>
  </si>
  <si>
    <t>Ryan McDonagh</t>
  </si>
  <si>
    <t>Michael Eyssimont</t>
  </si>
  <si>
    <t>Jonas Brodin</t>
  </si>
  <si>
    <t>Shea Theodore</t>
  </si>
  <si>
    <t>Connor Clifton</t>
  </si>
  <si>
    <t>Dawson Mercer</t>
  </si>
  <si>
    <t>Jake Walman</t>
  </si>
  <si>
    <t>Cam Atkinson</t>
  </si>
  <si>
    <t>Pyotr Kochetkov</t>
  </si>
  <si>
    <t>Tye Kartye</t>
  </si>
  <si>
    <t>James van Riemsdyk</t>
  </si>
  <si>
    <t>Dmitry Orlov</t>
  </si>
  <si>
    <t>Keegan Kolesar</t>
  </si>
  <si>
    <t>Josh Anderson</t>
  </si>
  <si>
    <t>Thomas Chabot</t>
  </si>
  <si>
    <t>Filip Gustavsson</t>
  </si>
  <si>
    <t>Ondrej Palat</t>
  </si>
  <si>
    <t>Cal Clutterbuck</t>
  </si>
  <si>
    <t>Dylan Guenther</t>
  </si>
  <si>
    <t>Yakov Trenin</t>
  </si>
  <si>
    <t>Ryan Pulock</t>
  </si>
  <si>
    <t>J.J. Moser</t>
  </si>
  <si>
    <t>Josh Norris</t>
  </si>
  <si>
    <t>Curtis Lazar</t>
  </si>
  <si>
    <t>Cody Ceci</t>
  </si>
  <si>
    <t>Joonas Korpisalo</t>
  </si>
  <si>
    <t>Gabriel Vilardi</t>
  </si>
  <si>
    <t>Andrew Copp</t>
  </si>
  <si>
    <t>Sam Lafferty</t>
  </si>
  <si>
    <t>Nick Leddy</t>
  </si>
  <si>
    <t>Kyle Burroughs</t>
  </si>
  <si>
    <t>Ridly Greig</t>
  </si>
  <si>
    <t>David Savard</t>
  </si>
  <si>
    <t>Vladislav Gavrikov</t>
  </si>
  <si>
    <t>Alex Laferriere</t>
  </si>
  <si>
    <t>Robby Fabbri</t>
  </si>
  <si>
    <t>Mikey Anderson</t>
  </si>
  <si>
    <t>Nikita Zadorov</t>
  </si>
  <si>
    <t>Joel Armia</t>
  </si>
  <si>
    <t>Sam Montembeault</t>
  </si>
  <si>
    <t>Ilya Mikheyev</t>
  </si>
  <si>
    <t>Jack McBain</t>
  </si>
  <si>
    <t>Casey Cizikas</t>
  </si>
  <si>
    <t>Matt Dumba</t>
  </si>
  <si>
    <t>Michael McCarron</t>
  </si>
  <si>
    <t>Alex Iafallo</t>
  </si>
  <si>
    <t>Parker Kelly</t>
  </si>
  <si>
    <t>Chris Tanev</t>
  </si>
  <si>
    <t>Luke Kunin</t>
  </si>
  <si>
    <t>Tyler Johnson</t>
  </si>
  <si>
    <t>Michael Carcone</t>
  </si>
  <si>
    <t>Brandon Carlo</t>
  </si>
  <si>
    <t>Kevin Hayes</t>
  </si>
  <si>
    <t>Lukas Dostal</t>
  </si>
  <si>
    <t>Alexander Wennberg</t>
  </si>
  <si>
    <t>Teddy Blueger</t>
  </si>
  <si>
    <t>Ryan McLeod</t>
  </si>
  <si>
    <t>Martin Fehervary</t>
  </si>
  <si>
    <t>Samuel Ersson</t>
  </si>
  <si>
    <t>Alexandre Texier</t>
  </si>
  <si>
    <t>Artturi Lehkonen</t>
  </si>
  <si>
    <t>Erik Gustafsson</t>
  </si>
  <si>
    <t>Bobby McMann</t>
  </si>
  <si>
    <t>Damon Severson</t>
  </si>
  <si>
    <t>Joe Veleno</t>
  </si>
  <si>
    <t>Jesperi Kotkaniemi</t>
  </si>
  <si>
    <t>Jimmy Vesey</t>
  </si>
  <si>
    <t>Nicolas Hague</t>
  </si>
  <si>
    <t>Jake Evans</t>
  </si>
  <si>
    <t>T.J. Brodie</t>
  </si>
  <si>
    <t>Hampus Lindholm</t>
  </si>
  <si>
    <t>Mackenzie Blackwood</t>
  </si>
  <si>
    <t>Pavel Mintyukov</t>
  </si>
  <si>
    <t>Jaden Schwartz</t>
  </si>
  <si>
    <t>Justin Danforth</t>
  </si>
  <si>
    <t>Jani Hakanpaa</t>
  </si>
  <si>
    <t>Timothy Liljegren</t>
  </si>
  <si>
    <t>Adin Hill</t>
  </si>
  <si>
    <t>Alexandre Carrier</t>
  </si>
  <si>
    <t>Alex Newhook</t>
  </si>
  <si>
    <t>Yegor Chinakhov</t>
  </si>
  <si>
    <t>Dmitry Kulikov</t>
  </si>
  <si>
    <t>Michael Amadio</t>
  </si>
  <si>
    <t>Henri Jokiharju</t>
  </si>
  <si>
    <t>Marcus Foligno</t>
  </si>
  <si>
    <t>Alexander Holtz</t>
  </si>
  <si>
    <t>Ilya Lyubushkin</t>
  </si>
  <si>
    <t>Connor Zary</t>
  </si>
  <si>
    <t>Ryan Suter</t>
  </si>
  <si>
    <t>Brett Leason</t>
  </si>
  <si>
    <t>Mike Reilly</t>
  </si>
  <si>
    <t>Marcus Johansson</t>
  </si>
  <si>
    <t>Erik Cernak</t>
  </si>
  <si>
    <t>T.J. Oshie</t>
  </si>
  <si>
    <t>Rasmus Sandin</t>
  </si>
  <si>
    <t>Nic Dowd</t>
  </si>
  <si>
    <t>Trevor Lewis</t>
  </si>
  <si>
    <t>Adam Fantilli</t>
  </si>
  <si>
    <t>Aliaksei Protas</t>
  </si>
  <si>
    <t>Pius Suter</t>
  </si>
  <si>
    <t>Filip Zadina</t>
  </si>
  <si>
    <t>Jack Roslovic</t>
  </si>
  <si>
    <t>Sam Carrick</t>
  </si>
  <si>
    <t>Nick Perbix</t>
  </si>
  <si>
    <t>Ilya Samsonov</t>
  </si>
  <si>
    <t>Elvis Merzlikins</t>
  </si>
  <si>
    <t>Sean Kuraly</t>
  </si>
  <si>
    <t>Kyle Okposo</t>
  </si>
  <si>
    <t>Alec Martinez</t>
  </si>
  <si>
    <t>Brandon Duhaime</t>
  </si>
  <si>
    <t>Zach Benson</t>
  </si>
  <si>
    <t>Alex Nedeljkovic</t>
  </si>
  <si>
    <t>Kevin Shattenkirk</t>
  </si>
  <si>
    <t>Ryan Lindgren</t>
  </si>
  <si>
    <t>Pierre Engvall</t>
  </si>
  <si>
    <t>Morgan Barron</t>
  </si>
  <si>
    <t>Logan O'Connor</t>
  </si>
  <si>
    <t>Jan Rutta</t>
  </si>
  <si>
    <t>Leo Carlsson</t>
  </si>
  <si>
    <t>Liam O'Brien</t>
  </si>
  <si>
    <t>Justin Schultz</t>
  </si>
  <si>
    <t>Brandon Tanev</t>
  </si>
  <si>
    <t>Ryan Graves</t>
  </si>
  <si>
    <t>Alex Vlasic</t>
  </si>
  <si>
    <t>Simon Benoit</t>
  </si>
  <si>
    <t>Shane Pinto</t>
  </si>
  <si>
    <t>Ian Cole</t>
  </si>
  <si>
    <t>Semyon Varlamov</t>
  </si>
  <si>
    <t>Simon Holmstrom</t>
  </si>
  <si>
    <t>Erik Brannstrom</t>
  </si>
  <si>
    <t>Barclay Goodrow</t>
  </si>
  <si>
    <t>Connor Dewar</t>
  </si>
  <si>
    <t>Jalen Chatfield</t>
  </si>
  <si>
    <t>Jacob Bernard-Docker</t>
  </si>
  <si>
    <t>Michael Kesselring</t>
  </si>
  <si>
    <t>Dylan Samberg</t>
  </si>
  <si>
    <t>Marc-Andre Fleury</t>
  </si>
  <si>
    <t>Jack Drury</t>
  </si>
  <si>
    <t>Nicholas Robertson</t>
  </si>
  <si>
    <t>Brendan Smith</t>
  </si>
  <si>
    <t>Christian Fischer</t>
  </si>
  <si>
    <t>Nick Cousins</t>
  </si>
  <si>
    <t>Luke Schenn</t>
  </si>
  <si>
    <t>Samuel Girard</t>
  </si>
  <si>
    <t>Sam Steel</t>
  </si>
  <si>
    <t>Brett Kulak</t>
  </si>
  <si>
    <t>Kevin Bahl</t>
  </si>
  <si>
    <t>Zach Whitecloud</t>
  </si>
  <si>
    <t>John Gibson</t>
  </si>
  <si>
    <t>Zach Bogosian</t>
  </si>
  <si>
    <t>Tanner Jeannot</t>
  </si>
  <si>
    <t>John Marino</t>
  </si>
  <si>
    <t>Aaron Ekblad</t>
  </si>
  <si>
    <t>Anthony Stolarz</t>
  </si>
  <si>
    <t>Joel Hofer</t>
  </si>
  <si>
    <t>Jonathan Quick</t>
  </si>
  <si>
    <t>Brett Howden</t>
  </si>
  <si>
    <t>Noah Gregor</t>
  </si>
  <si>
    <t>Jordan Spence</t>
  </si>
  <si>
    <t>Radek Faksa</t>
  </si>
  <si>
    <t>Jackson LaCombe</t>
  </si>
  <si>
    <t>Craig Smith</t>
  </si>
  <si>
    <t>Vincent Desharnais</t>
  </si>
  <si>
    <t>Oskar Sundqvist</t>
  </si>
  <si>
    <t>Adam Pelech</t>
  </si>
  <si>
    <t>Kasperi Kapanen</t>
  </si>
  <si>
    <t>Karel Vejmelka</t>
  </si>
  <si>
    <t>Kevin Stenlund</t>
  </si>
  <si>
    <t>Jack Johnson</t>
  </si>
  <si>
    <t>Brett Pesce</t>
  </si>
  <si>
    <t>Nick Jensen</t>
  </si>
  <si>
    <t>Andreas Englund</t>
  </si>
  <si>
    <t>Michael Pezzetta</t>
  </si>
  <si>
    <t>Max Pacioretty</t>
  </si>
  <si>
    <t>Philipp Grubauer</t>
  </si>
  <si>
    <t>Laurent Brossoit</t>
  </si>
  <si>
    <t>Simon Nemec</t>
  </si>
  <si>
    <t>Ryan Johansen</t>
  </si>
  <si>
    <t>Zemgus Girgensons</t>
  </si>
  <si>
    <t>Pavel Dorofeyev</t>
  </si>
  <si>
    <t>Juuso Valimaki</t>
  </si>
  <si>
    <t>Calen Addison</t>
  </si>
  <si>
    <t>Jake Allen</t>
  </si>
  <si>
    <t>Kaapo Kahkonen</t>
  </si>
  <si>
    <t>Brian Dumoulin</t>
  </si>
  <si>
    <t>Jeff Carter</t>
  </si>
  <si>
    <t>FA</t>
  </si>
  <si>
    <t>Egor Zamula</t>
  </si>
  <si>
    <t>Taylor Raddysh</t>
  </si>
  <si>
    <t>Michael McLeod</t>
  </si>
  <si>
    <t>Nicolas Aube-Kubel</t>
  </si>
  <si>
    <t>Erik Johnson</t>
  </si>
  <si>
    <t>Calle Jarnkrok</t>
  </si>
  <si>
    <t>David Kampf</t>
  </si>
  <si>
    <t>Evgeny Kuznetsov</t>
  </si>
  <si>
    <t>Jarred Tinordi</t>
  </si>
  <si>
    <t>Bobby Brink</t>
  </si>
  <si>
    <t>Olli Maatta</t>
  </si>
  <si>
    <t>Connor Murphy</t>
  </si>
  <si>
    <t>Kevin Korchinski</t>
  </si>
  <si>
    <t>Corey Perry</t>
  </si>
  <si>
    <t>Tomas Tatar</t>
  </si>
  <si>
    <t>Scott Wedgewood</t>
  </si>
  <si>
    <t>Mathieu Olivier</t>
  </si>
  <si>
    <t>Jake Bean</t>
  </si>
  <si>
    <t>Luke Glendening</t>
  </si>
  <si>
    <t>Marc-Edouard Vlasic</t>
  </si>
  <si>
    <t>Anthony Beauvillier</t>
  </si>
  <si>
    <t>David Rittich</t>
  </si>
  <si>
    <t>Jakob Silfverberg</t>
  </si>
  <si>
    <t>Nikita Okhotyuk</t>
  </si>
  <si>
    <t>Carl Grundstrom</t>
  </si>
  <si>
    <t>Blake Wheeler</t>
  </si>
  <si>
    <t>Jesper Fast</t>
  </si>
  <si>
    <t>Nate Schmidt</t>
  </si>
  <si>
    <t>Peyton Krebs</t>
  </si>
  <si>
    <t>Mike Hoffman</t>
  </si>
  <si>
    <t>Evgenii Dadonov</t>
  </si>
  <si>
    <t>Noel Acciari</t>
  </si>
  <si>
    <t>Noah Cates</t>
  </si>
  <si>
    <t>Valtteri Puustinen</t>
  </si>
  <si>
    <t>Trevor van Riemsdyk</t>
  </si>
  <si>
    <t>Kaapo Kakko</t>
  </si>
  <si>
    <t>Max Jones</t>
  </si>
  <si>
    <t>Jonas Siegenthaler</t>
  </si>
  <si>
    <t>Vitek Vanecek</t>
  </si>
  <si>
    <t>Darcy Kuemper</t>
  </si>
  <si>
    <t>Johnny Kovacevic</t>
  </si>
  <si>
    <t>Josh Brown</t>
  </si>
  <si>
    <t>Joseph Woll</t>
  </si>
  <si>
    <t>Mackenzie Entwistle</t>
  </si>
  <si>
    <t>Urho Vaakanainen</t>
  </si>
  <si>
    <t>Calvin de Haan</t>
  </si>
  <si>
    <t>Noah Juulsen</t>
  </si>
  <si>
    <t>Frederick Gaudreau</t>
  </si>
  <si>
    <t>Dominik Kubalik</t>
  </si>
  <si>
    <t>Andrew Cogliano</t>
  </si>
  <si>
    <t>Blake Lizotte</t>
  </si>
  <si>
    <t>Dante Fabbro</t>
  </si>
  <si>
    <t>Ryan Lomberg</t>
  </si>
  <si>
    <t>Tyler Motte</t>
  </si>
  <si>
    <t>Nathan Bastian</t>
  </si>
  <si>
    <t>Carter Hart</t>
  </si>
  <si>
    <t>Jonny Brodzinski</t>
  </si>
  <si>
    <t>Mikhail Sergachev</t>
  </si>
  <si>
    <t>Arber Xhekaj</t>
  </si>
  <si>
    <t>Sonny Milano</t>
  </si>
  <si>
    <t>Brayden Pachal</t>
  </si>
  <si>
    <t>Daniil Tarasov</t>
  </si>
  <si>
    <t>James Reimer</t>
  </si>
  <si>
    <t>Emil Bemstrom</t>
  </si>
  <si>
    <t>Nils Lundkvist</t>
  </si>
  <si>
    <t>Cayden Primeau</t>
  </si>
  <si>
    <t>Justin Barron</t>
  </si>
  <si>
    <t>Anton Forsberg</t>
  </si>
  <si>
    <t>Nico Sturm</t>
  </si>
  <si>
    <t>Hendrix Lapierre</t>
  </si>
  <si>
    <t>Jakub Lauko</t>
  </si>
  <si>
    <t>Pontus Holmberg</t>
  </si>
  <si>
    <t>Mark Kastelic</t>
  </si>
  <si>
    <t>Jayden Struble</t>
  </si>
  <si>
    <t>Justin Bailey</t>
  </si>
  <si>
    <t>Mattias Samuelsson</t>
  </si>
  <si>
    <t>Arthur Kaliyev</t>
  </si>
  <si>
    <t>Casey DeSmith</t>
  </si>
  <si>
    <t>Boris Katchouk</t>
  </si>
  <si>
    <t>Matt Grzelcyk</t>
  </si>
  <si>
    <t>Mark Giordano</t>
  </si>
  <si>
    <t>Andrew Peeke</t>
  </si>
  <si>
    <t>Nathan Walker</t>
  </si>
  <si>
    <t>Matt Martin</t>
  </si>
  <si>
    <t>Klim Kostin</t>
  </si>
  <si>
    <t>Frederik Andersen</t>
  </si>
  <si>
    <t>A.J. Greer</t>
  </si>
  <si>
    <t>Jordan Harris</t>
  </si>
  <si>
    <t>Tanner Pearson</t>
  </si>
  <si>
    <t>Lukas Reichel</t>
  </si>
  <si>
    <t>Connor Brown</t>
  </si>
  <si>
    <t>Colin Blackwell</t>
  </si>
  <si>
    <t>Patrick Maroon</t>
  </si>
  <si>
    <t>Kevin Lankinen</t>
  </si>
  <si>
    <t>Jonas Johansson</t>
  </si>
  <si>
    <t>Calvin Pickard</t>
  </si>
  <si>
    <t>Colin Miller</t>
  </si>
  <si>
    <t>Sammy Blais</t>
  </si>
  <si>
    <t>Andre Burakovsky</t>
  </si>
  <si>
    <t>Jack Quinn</t>
  </si>
  <si>
    <t>Philip Tomasino</t>
  </si>
  <si>
    <t>John Beecher</t>
  </si>
  <si>
    <t>Nicolas Deslauriers</t>
  </si>
  <si>
    <t>Joey Anderson</t>
  </si>
  <si>
    <t>Scott Mayfield</t>
  </si>
  <si>
    <t>Martin Jones</t>
  </si>
  <si>
    <t>Kailer Yamamoto</t>
  </si>
  <si>
    <t>Derek Ryan</t>
  </si>
  <si>
    <t>Cody Glass</t>
  </si>
  <si>
    <t>Troy Stecher</t>
  </si>
  <si>
    <t>Devon Levi</t>
  </si>
  <si>
    <t>Mason Lohrei</t>
  </si>
  <si>
    <t>Jesper Boqvist</t>
  </si>
  <si>
    <t>Alexander Nylander</t>
  </si>
  <si>
    <t>Phil Di Giuseppe</t>
  </si>
  <si>
    <t>Tyson Barrie</t>
  </si>
  <si>
    <t>Henry Thrun</t>
  </si>
  <si>
    <t>Scott Perunovich</t>
  </si>
  <si>
    <t>William Carrier</t>
  </si>
  <si>
    <t>Ryan Carpenter</t>
  </si>
  <si>
    <t>Dougie Hamilton</t>
  </si>
  <si>
    <t>Mattias Janmark</t>
  </si>
  <si>
    <t>Juuso Parssinen</t>
  </si>
  <si>
    <t>Trevor Zegras</t>
  </si>
  <si>
    <t>Eric Robinson</t>
  </si>
  <si>
    <t>Ryan Reaves</t>
  </si>
  <si>
    <t>Joel Edmundson</t>
  </si>
  <si>
    <t>Parker Wotherspoon</t>
  </si>
  <si>
    <t>Ty Emberson</t>
  </si>
  <si>
    <t>Dylan Holloway</t>
  </si>
  <si>
    <t>Gustav Lindstrom</t>
  </si>
  <si>
    <t>Travis Hamonic</t>
  </si>
  <si>
    <t>Jon Merrill</t>
  </si>
  <si>
    <t>Victor Olofsson</t>
  </si>
  <si>
    <t>Justus Annunen</t>
  </si>
  <si>
    <t>Conor Sheary</t>
  </si>
  <si>
    <t>Kent Johnson</t>
  </si>
  <si>
    <t>Ben Hutton</t>
  </si>
  <si>
    <t>Marco Scandella</t>
  </si>
  <si>
    <t>Nikita Zaitsev</t>
  </si>
  <si>
    <t>Joel Kiviranta</t>
  </si>
  <si>
    <t>Hudson Fasching</t>
  </si>
  <si>
    <t>Ross Johnston</t>
  </si>
  <si>
    <t>Alexander Barabanov</t>
  </si>
  <si>
    <t>Pierre-Olivier Joseph</t>
  </si>
  <si>
    <t>Viktor Arvidsson</t>
  </si>
  <si>
    <t>Dakota Mermis</t>
  </si>
  <si>
    <t>Jamie Drysdale</t>
  </si>
  <si>
    <t>Travis Dermott</t>
  </si>
  <si>
    <t>Isac Lundestrom</t>
  </si>
  <si>
    <t>Arvid Soderblom</t>
  </si>
  <si>
    <t>Emil Lilleberg</t>
  </si>
  <si>
    <t>Ryker Evans</t>
  </si>
  <si>
    <t>Carson Soucy</t>
  </si>
  <si>
    <t>Vinni Lettieri</t>
  </si>
  <si>
    <t>Kevin Labanc</t>
  </si>
  <si>
    <t>Mark Jankowski</t>
  </si>
  <si>
    <t>Nico Daws</t>
  </si>
  <si>
    <t>Reese Johnson</t>
  </si>
  <si>
    <t>Logan Stankoven</t>
  </si>
  <si>
    <t>Rafael Harvey-Pinard</t>
  </si>
  <si>
    <t>Ty Dellandrea</t>
  </si>
  <si>
    <t>Matthew Poitras</t>
  </si>
  <si>
    <t>Ville Husso</t>
  </si>
  <si>
    <t>Jesse Ylonen</t>
  </si>
  <si>
    <t>Jaycob Megna</t>
  </si>
  <si>
    <t>Chad Ruhwedel</t>
  </si>
  <si>
    <t>Fredrik Olofsson</t>
  </si>
  <si>
    <t>Jacob MacDonald</t>
  </si>
  <si>
    <t>Oliver Kylington</t>
  </si>
  <si>
    <t>Matt Kessel</t>
  </si>
  <si>
    <t>Zach Parise</t>
  </si>
  <si>
    <t>Mitchell Chaffee</t>
  </si>
  <si>
    <t>David Jiricek</t>
  </si>
  <si>
    <t>Julien Gauthier</t>
  </si>
  <si>
    <t>Barrett Hayton</t>
  </si>
  <si>
    <t>Thomas Bordeleau</t>
  </si>
  <si>
    <t>Derek Forbort</t>
  </si>
  <si>
    <t>Dennis Gilbert</t>
  </si>
  <si>
    <t>Adam Boqvist</t>
  </si>
  <si>
    <t>Rasmus Ristolainen</t>
  </si>
  <si>
    <t>William Lagesson</t>
  </si>
  <si>
    <t>Sam Gagner</t>
  </si>
  <si>
    <t>Alex Goligoski</t>
  </si>
  <si>
    <t>Kaedan Korczak</t>
  </si>
  <si>
    <t>Spencer Martin</t>
  </si>
  <si>
    <t>Nick Bonino</t>
  </si>
  <si>
    <t>Dan Vladar</t>
  </si>
  <si>
    <t>Dryden Hunt</t>
  </si>
  <si>
    <t>Antti Raanta</t>
  </si>
  <si>
    <t>John Ludvig</t>
  </si>
  <si>
    <t>Benoit-Olivier Groulx</t>
  </si>
  <si>
    <t>Alex Barre-Boulet</t>
  </si>
  <si>
    <t>Tyson Jost</t>
  </si>
  <si>
    <t>Dustin Wolf</t>
  </si>
  <si>
    <t>Isaak Phillips</t>
  </si>
  <si>
    <t>Olen Zellweger</t>
  </si>
  <si>
    <t>Zac Jones</t>
  </si>
  <si>
    <t>Kyle MacLean</t>
  </si>
  <si>
    <t>Tony DeAngelo</t>
  </si>
  <si>
    <t>Conor Timmins</t>
  </si>
  <si>
    <t>Samuel Bolduc</t>
  </si>
  <si>
    <t>Declan Chisholm</t>
  </si>
  <si>
    <t>Nick DeSimone</t>
  </si>
  <si>
    <t>Josh Mahura</t>
  </si>
  <si>
    <t>Walker Duehr</t>
  </si>
  <si>
    <t>Chris Tierney</t>
  </si>
  <si>
    <t>Daniil Miromanov</t>
  </si>
  <si>
    <t>Dillon Dube</t>
  </si>
  <si>
    <t>Kevin Rooney</t>
  </si>
  <si>
    <t>Christian Dvorak</t>
  </si>
  <si>
    <t>Alexander Alexeyev</t>
  </si>
  <si>
    <t>Matthew Coronato</t>
  </si>
  <si>
    <t>Tyler Pitlick</t>
  </si>
  <si>
    <t>Andreas Athanasiou</t>
  </si>
  <si>
    <t>Joel Hanley</t>
  </si>
  <si>
    <t>Sam Malinski</t>
  </si>
  <si>
    <t>Cole Guttman</t>
  </si>
  <si>
    <t>Akira Schmid</t>
  </si>
  <si>
    <t>Givani Smith</t>
  </si>
  <si>
    <t>Patrik Laine</t>
  </si>
  <si>
    <t>Jonah Gadjovich</t>
  </si>
  <si>
    <t>Justin Brazeau</t>
  </si>
  <si>
    <t>Pierre-Edouard Bellemare</t>
  </si>
  <si>
    <t>Oliver Wahlstrom</t>
  </si>
  <si>
    <t>Joshua Roy</t>
  </si>
  <si>
    <t>Zachary Bolduc</t>
  </si>
  <si>
    <t>Radim Zohorna</t>
  </si>
  <si>
    <t>Austin Watson</t>
  </si>
  <si>
    <t>Jansen Harkins</t>
  </si>
  <si>
    <t>Justin Holl</t>
  </si>
  <si>
    <t>Brendan Lemieux</t>
  </si>
  <si>
    <t>Jaret Anderson-Dolan</t>
  </si>
  <si>
    <t>Tomas Nosek</t>
  </si>
  <si>
    <t>Nils Aman</t>
  </si>
  <si>
    <t>David Gustafsson</t>
  </si>
  <si>
    <t>Ryan Johnson</t>
  </si>
  <si>
    <t>Wyatt Kaiser</t>
  </si>
  <si>
    <t>Adam Ruzicka</t>
  </si>
  <si>
    <t>Haydn Fleury</t>
  </si>
  <si>
    <t>Marc Staal</t>
  </si>
  <si>
    <t>Jacob Bryson</t>
  </si>
  <si>
    <t>Logan Stanley</t>
  </si>
  <si>
    <t>Steven Lorentz</t>
  </si>
  <si>
    <t>Ivan Miroshnichenko</t>
  </si>
  <si>
    <t>Kurtis MacDermid</t>
  </si>
  <si>
    <t>Oskar Steen</t>
  </si>
  <si>
    <t>Louis Crevier</t>
  </si>
  <si>
    <t>Jet Greaves</t>
  </si>
  <si>
    <t>Josh Doan</t>
  </si>
  <si>
    <t>Tyler Tucker</t>
  </si>
  <si>
    <t>Caleb Jones</t>
  </si>
  <si>
    <t>Brandt Clarke</t>
  </si>
  <si>
    <t>Rourke Chartier</t>
  </si>
  <si>
    <t>Brendan Gaunce</t>
  </si>
  <si>
    <t>Jesse Puljujarvi</t>
  </si>
  <si>
    <t>Michael Sgarbossa</t>
  </si>
  <si>
    <t>Zach Sanford</t>
  </si>
  <si>
    <t>Jakub Vrana</t>
  </si>
  <si>
    <t>Ethan Bear</t>
  </si>
  <si>
    <t>Jared Spurgeon</t>
  </si>
  <si>
    <t>Robert Bortuzzo</t>
  </si>
  <si>
    <t>Jake Lucchini</t>
  </si>
  <si>
    <t>Brendan Brisson</t>
  </si>
  <si>
    <t>Axel Jonsson-Fjallby</t>
  </si>
  <si>
    <t>Zack MacEwen</t>
  </si>
  <si>
    <t>Vasily Podkolzin</t>
  </si>
  <si>
    <t>Travis Boyd</t>
  </si>
  <si>
    <t>Brock McGinn</t>
  </si>
  <si>
    <t>Uvis Balinskis</t>
  </si>
  <si>
    <t>Mark Friedman</t>
  </si>
  <si>
    <t>Ivan Prosvetov</t>
  </si>
  <si>
    <t>Adam Erne</t>
  </si>
  <si>
    <t>Jordan Oesterle</t>
  </si>
  <si>
    <t>Matthew Phillips</t>
  </si>
  <si>
    <t>Max Willman</t>
  </si>
  <si>
    <t>James Hamblin</t>
  </si>
  <si>
    <t>James Malatesta</t>
  </si>
  <si>
    <t>Dominic Toninato</t>
  </si>
  <si>
    <t>Spencer Stastney</t>
  </si>
  <si>
    <t>Louis Belpedio</t>
  </si>
  <si>
    <t>Simon Edvinsson</t>
  </si>
  <si>
    <t>William Lockwood</t>
  </si>
  <si>
    <t>Devin Shore</t>
  </si>
  <si>
    <t>Olle Lycksell</t>
  </si>
  <si>
    <t>Mason Shaw</t>
  </si>
  <si>
    <t>John Klingberg</t>
  </si>
  <si>
    <t>Matt Benning</t>
  </si>
  <si>
    <t>Matt Rempe</t>
  </si>
  <si>
    <t>Ryan Shea</t>
  </si>
  <si>
    <t>Angus Crookshank</t>
  </si>
  <si>
    <t>Jack Studnicka</t>
  </si>
  <si>
    <t>Filip Chytil</t>
  </si>
  <si>
    <t>Jonatan Berggren</t>
  </si>
  <si>
    <t>Vinnie Hinostroza</t>
  </si>
  <si>
    <t>Mason Morelli</t>
  </si>
  <si>
    <t>Jonas Rondbjerg</t>
  </si>
  <si>
    <t>Rasmus Kupari</t>
  </si>
  <si>
    <t>Shane Wright</t>
  </si>
  <si>
    <t>Jiri Smejkal</t>
  </si>
  <si>
    <t>Mikael Pyyhtia</t>
  </si>
  <si>
    <t>Ben Meyers</t>
  </si>
  <si>
    <t>Austin Czarnik</t>
  </si>
  <si>
    <t>Ilya Solovyov</t>
  </si>
  <si>
    <t>Matt Nieto</t>
  </si>
  <si>
    <t>Landon Slaggert</t>
  </si>
  <si>
    <t>Taylor Hall</t>
  </si>
  <si>
    <t>Matt Tomkins</t>
  </si>
  <si>
    <t>Chris Wagner</t>
  </si>
  <si>
    <t>Denis Gurianov</t>
  </si>
  <si>
    <t>Alex Turcotte</t>
  </si>
  <si>
    <t>Ronnie Attard</t>
  </si>
  <si>
    <t>Trey Fix-Wolansky</t>
  </si>
  <si>
    <t>Waltteri Merela</t>
  </si>
  <si>
    <t>Nikita Alexandrov</t>
  </si>
  <si>
    <t>Pheonix Copley</t>
  </si>
  <si>
    <t>Marat Khusnutdinov</t>
  </si>
  <si>
    <t>Carson Meyer</t>
  </si>
  <si>
    <t>Mitchell Stephens</t>
  </si>
  <si>
    <t>Jack St. Ivany</t>
  </si>
  <si>
    <t>Jacob Moverare</t>
  </si>
  <si>
    <t>Akil Thomas</t>
  </si>
  <si>
    <t>Marc Del Gaizo</t>
  </si>
  <si>
    <t>Anthony Richard</t>
  </si>
  <si>
    <t>Eric Comrie</t>
  </si>
  <si>
    <t>Nick Blankenburg</t>
  </si>
  <si>
    <t>Jiri Patera</t>
  </si>
  <si>
    <t>Adam Edstrom</t>
  </si>
  <si>
    <t>Johnny Gruden</t>
  </si>
  <si>
    <t>Max Crozier</t>
  </si>
  <si>
    <t>Byron Froese</t>
  </si>
  <si>
    <t>Santeri Hatakka</t>
  </si>
  <si>
    <t>Colin White</t>
  </si>
  <si>
    <t>Sheldon Rempal</t>
  </si>
  <si>
    <t>Tristan Luneau</t>
  </si>
  <si>
    <t>Jake Christiansen</t>
  </si>
  <si>
    <t>Vladislav Kolyachonok</t>
  </si>
  <si>
    <t>Jakob Pelletier</t>
  </si>
  <si>
    <t>Hunter Shepard</t>
  </si>
  <si>
    <t>Ian Mitchell</t>
  </si>
  <si>
    <t>Nikolai Knyzhov</t>
  </si>
  <si>
    <t>Cole Koepke</t>
  </si>
  <si>
    <t>Jesper Wallstedt</t>
  </si>
  <si>
    <t>Devin Cooley</t>
  </si>
  <si>
    <t>Adam Ginning</t>
  </si>
  <si>
    <t>Daemon Hunt</t>
  </si>
  <si>
    <t>Liam Foudy</t>
  </si>
  <si>
    <t>Adam Beckman</t>
  </si>
  <si>
    <t>Patrick Brown</t>
  </si>
  <si>
    <t>Arturs Silovs</t>
  </si>
  <si>
    <t>Philip Broberg</t>
  </si>
  <si>
    <t>Robert Hagg</t>
  </si>
  <si>
    <t>Adam Klapka</t>
  </si>
  <si>
    <t>Magnus Chrona</t>
  </si>
  <si>
    <t>Riley Tufte</t>
  </si>
  <si>
    <t>Collin Graf</t>
  </si>
  <si>
    <t>Samuel Fagemo</t>
  </si>
  <si>
    <t>Jack Campbell</t>
  </si>
  <si>
    <t>Milos Kelemen</t>
  </si>
  <si>
    <t>Tyler Kleven</t>
  </si>
  <si>
    <t>Nicolas Petan</t>
  </si>
  <si>
    <t>Danil Gushchin</t>
  </si>
  <si>
    <t>Logan Couture</t>
  </si>
  <si>
    <t>Brandon Gignac</t>
  </si>
  <si>
    <t>Lukas Rousek</t>
  </si>
  <si>
    <t>Magnus Hellberg</t>
  </si>
  <si>
    <t>Cal Petersen</t>
  </si>
  <si>
    <t>Matt Murray</t>
  </si>
  <si>
    <t>Jason Polin</t>
  </si>
  <si>
    <t>Shakir Mukhamadullin</t>
  </si>
  <si>
    <t>Rem Pitlick</t>
  </si>
  <si>
    <t>Liam Ohgren</t>
  </si>
  <si>
    <t>Nicklas Backstrom</t>
  </si>
  <si>
    <t>Chris Driedger</t>
  </si>
  <si>
    <t>Hardy Haman-Aktell</t>
  </si>
  <si>
    <t>Milan Lucic</t>
  </si>
  <si>
    <t>Max Lajoie</t>
  </si>
  <si>
    <t>Brandon Biro</t>
  </si>
  <si>
    <t>Zach Dean</t>
  </si>
  <si>
    <t>Ryan Winterton</t>
  </si>
  <si>
    <t>Nikita Nesterenko</t>
  </si>
  <si>
    <t>Roby Jarventie</t>
  </si>
  <si>
    <t>Sam Colangelo</t>
  </si>
  <si>
    <t>Zack Ostapchuk</t>
  </si>
  <si>
    <t>Yaroslav Askarov</t>
  </si>
  <si>
    <t>John Leonard</t>
  </si>
  <si>
    <t>Pavol Regenda</t>
  </si>
  <si>
    <t>Calle Rosen</t>
  </si>
  <si>
    <t>Jan Jenik</t>
  </si>
  <si>
    <t>Nolan Foote</t>
  </si>
  <si>
    <t>Matthew Highmore</t>
  </si>
  <si>
    <t>Mackenzie MacEachern</t>
  </si>
  <si>
    <t>Mads Sogaard</t>
  </si>
  <si>
    <t>Louis Domingue</t>
  </si>
  <si>
    <t>Lucas Johansen</t>
  </si>
  <si>
    <t>Philippe Myers</t>
  </si>
  <si>
    <t>Mackie Samoskevich</t>
  </si>
  <si>
    <t>Bokondji Imama</t>
  </si>
  <si>
    <t>Kirby Dach</t>
  </si>
  <si>
    <t>Cal Foote</t>
  </si>
  <si>
    <t>Vasily Ponomarev</t>
  </si>
  <si>
    <t>Grigori Denisenko</t>
  </si>
  <si>
    <t>Maxence Guenette</t>
  </si>
  <si>
    <t>Lane Hutson</t>
  </si>
  <si>
    <t>Nikita Chibrikov</t>
  </si>
  <si>
    <t>Logan Morrison</t>
  </si>
  <si>
    <t>Marc McLaughlin</t>
  </si>
  <si>
    <t>Georgi Romanov</t>
  </si>
  <si>
    <t>Dylan McIlrath</t>
  </si>
  <si>
    <t>Raphael Lavoie</t>
  </si>
  <si>
    <t>Justin Dowling</t>
  </si>
  <si>
    <t>Brett Seney</t>
  </si>
  <si>
    <t>Derrick Pouliot</t>
  </si>
  <si>
    <t>Jacob Peterson</t>
  </si>
  <si>
    <t>Shane Bowers</t>
  </si>
  <si>
    <t>Frank Nazar</t>
  </si>
  <si>
    <t>Hugh McGing</t>
  </si>
  <si>
    <t>Lukas Cormier</t>
  </si>
  <si>
    <t>Egor Afanasyev</t>
  </si>
  <si>
    <t>Brennan Othmann</t>
  </si>
  <si>
    <t>Vincent Iorio</t>
  </si>
  <si>
    <t>Luca Del Bel Belluz</t>
  </si>
  <si>
    <t>Jean-Luc Foudy</t>
  </si>
  <si>
    <t>Scott Sabourin</t>
  </si>
  <si>
    <t>Arshdeep Bains</t>
  </si>
  <si>
    <t>Michael Hutchinson</t>
  </si>
  <si>
    <t>Tobias Bjornfot</t>
  </si>
  <si>
    <t>Malcolm Subban</t>
  </si>
  <si>
    <t>Isak Rosen</t>
  </si>
  <si>
    <t>Jack Thompson</t>
  </si>
  <si>
    <t>Logan Mailloux</t>
  </si>
  <si>
    <t>Filip Roos</t>
  </si>
  <si>
    <t>Emil Andrae</t>
  </si>
  <si>
    <t>Adam Raska</t>
  </si>
  <si>
    <t>Victor Soderstrom</t>
  </si>
  <si>
    <t>Cutter Gauthier</t>
  </si>
  <si>
    <t>Brad Lambert</t>
  </si>
  <si>
    <t>Scott Morrow</t>
  </si>
  <si>
    <t>Kale Clague</t>
  </si>
  <si>
    <t>Samuel Poulin</t>
  </si>
  <si>
    <t>Georgi Merkulov</t>
  </si>
  <si>
    <t>Joona Koppanen</t>
  </si>
  <si>
    <t>Linus Karlsson</t>
  </si>
  <si>
    <t>Ruslan Iskhakov</t>
  </si>
  <si>
    <t>Justin Sourdif</t>
  </si>
  <si>
    <t>Aku Raty</t>
  </si>
  <si>
    <t>Pierrick Dube</t>
  </si>
  <si>
    <t>Akito Hirose</t>
  </si>
  <si>
    <t>Max Comtois</t>
  </si>
  <si>
    <t>Nikolas Matinpalo</t>
  </si>
  <si>
    <t>Fraser Minten</t>
  </si>
  <si>
    <t>Dylan Coghlan</t>
  </si>
  <si>
    <t>Lucas Condotta</t>
  </si>
  <si>
    <t>Graeme Clarke</t>
  </si>
  <si>
    <t>Justin Kirkland</t>
  </si>
  <si>
    <t>Cole Schwindt</t>
  </si>
  <si>
    <t>Oskar Olausson</t>
  </si>
  <si>
    <t>Samuel Walker</t>
  </si>
  <si>
    <t>Alex Steeves</t>
  </si>
  <si>
    <t>Emil Heineman</t>
  </si>
  <si>
    <t>Patrik Koch</t>
  </si>
  <si>
    <t>Cameron Crotty</t>
  </si>
  <si>
    <t>Marshall Rifai</t>
  </si>
  <si>
    <t>Connor Mackey</t>
  </si>
  <si>
    <t>Tyler Angle</t>
  </si>
  <si>
    <t>Brett Murray</t>
  </si>
  <si>
    <t>John Hayden</t>
  </si>
  <si>
    <t>Bradly Nadeau</t>
  </si>
  <si>
    <t>Glenn Gawdin</t>
  </si>
  <si>
    <t>Grant Hutton</t>
  </si>
  <si>
    <t>Adam Gaudette</t>
  </si>
  <si>
    <t>Marian Studenic</t>
  </si>
  <si>
    <t>Ondrej Pavel</t>
  </si>
  <si>
    <t>Alex Petrovic</t>
  </si>
  <si>
    <t>Maksymilian Szuber</t>
  </si>
  <si>
    <t>Brian Halonen</t>
  </si>
  <si>
    <t>Cale Fleury</t>
  </si>
  <si>
    <t>Zach Aston-Reese</t>
  </si>
  <si>
    <t>Yan Kuznetsov</t>
  </si>
  <si>
    <t>Gustav Olofsson</t>
  </si>
  <si>
    <t>Mavrik Bourque</t>
  </si>
  <si>
    <t>Jujhar Khaira</t>
  </si>
  <si>
    <t>Declan Carlile</t>
  </si>
  <si>
    <t>Felix Sandstrom</t>
  </si>
  <si>
    <t>Callahan Burke</t>
  </si>
  <si>
    <t>Samuel Laberge</t>
  </si>
  <si>
    <t>Jackson Blake</t>
  </si>
  <si>
    <t>Anton Blidh</t>
  </si>
  <si>
    <t>Riley Nash</t>
  </si>
  <si>
    <t>Oskar Lindblom</t>
  </si>
  <si>
    <t>Jiri Kulich</t>
  </si>
  <si>
    <t>Rhett Gardner</t>
  </si>
  <si>
    <t>Marc Johnstone</t>
  </si>
  <si>
    <t>Kole Lind</t>
  </si>
  <si>
    <t>Ethan Del Mastro</t>
  </si>
  <si>
    <t>Gage Goncalves</t>
  </si>
  <si>
    <t>Victor Mete</t>
  </si>
  <si>
    <t>Jake Leschyshyn</t>
  </si>
  <si>
    <t>Cole McWard</t>
  </si>
  <si>
    <t>Brandon Scanlin</t>
  </si>
  <si>
    <t>Joe Snively</t>
  </si>
  <si>
    <t>Yaniv Perets</t>
  </si>
  <si>
    <t>Philip Kemp</t>
  </si>
  <si>
    <t>Cameron Butler</t>
  </si>
  <si>
    <t>Gavin Brindley</t>
  </si>
  <si>
    <t>Jayson Megna</t>
  </si>
  <si>
    <t>Matthew Savoie</t>
  </si>
  <si>
    <t>Max McCormick</t>
  </si>
  <si>
    <t>Andrew Poturalski</t>
  </si>
  <si>
    <t>Matt Villalta</t>
  </si>
  <si>
    <t>Ken Appleby</t>
  </si>
  <si>
    <t>Ivan Fedotov</t>
  </si>
  <si>
    <t>Mitchell Marner</t>
  </si>
  <si>
    <t>Matthew Boldy</t>
  </si>
  <si>
    <t>Patrice Bergeron</t>
  </si>
  <si>
    <t>David Krejci</t>
  </si>
  <si>
    <t>Janis Moser</t>
  </si>
  <si>
    <t>Nick Ritchie</t>
  </si>
  <si>
    <t>Phil Kessel</t>
  </si>
  <si>
    <t>Eric Staal</t>
  </si>
  <si>
    <t>Wade Allison</t>
  </si>
  <si>
    <t>Jonathan Toews</t>
  </si>
  <si>
    <t>Denis Malgin</t>
  </si>
  <si>
    <t>Derick Brassard</t>
  </si>
  <si>
    <t>Sheldon Dries</t>
  </si>
  <si>
    <t>Mikey Eyssimont</t>
  </si>
  <si>
    <t>Craig Anderson</t>
  </si>
  <si>
    <t>Nick Holden</t>
  </si>
  <si>
    <t>Josh Archibald</t>
  </si>
  <si>
    <t>Alexander Edler</t>
  </si>
  <si>
    <t>Josh Bailey</t>
  </si>
  <si>
    <t>Alex Stalock</t>
  </si>
  <si>
    <t>Patrik Nemeth</t>
  </si>
  <si>
    <t>Paul Stastny</t>
  </si>
  <si>
    <t>Michael Stone</t>
  </si>
  <si>
    <t>Gavin Bayreuther</t>
  </si>
  <si>
    <t>Matt Irwin</t>
  </si>
  <si>
    <t>Evgeny Svechnikov</t>
  </si>
  <si>
    <t>Josh Leivo</t>
  </si>
  <si>
    <t>Derek Grant</t>
  </si>
  <si>
    <t>Jaroslav Halak</t>
  </si>
  <si>
    <t>Brian Elliott</t>
  </si>
  <si>
    <t>Saku Maenalanen</t>
  </si>
  <si>
    <t>Alexei Protas</t>
  </si>
  <si>
    <t>Derek Stepan</t>
  </si>
  <si>
    <t>Brett Ritchie</t>
  </si>
  <si>
    <t>Scott Harrington</t>
  </si>
  <si>
    <t>Tim Berni</t>
  </si>
  <si>
    <t>Spencer Knight</t>
  </si>
  <si>
    <t>Dylan Gambrell</t>
  </si>
  <si>
    <t>Pavel Francouz</t>
  </si>
  <si>
    <t>Thomas Greiss</t>
  </si>
  <si>
    <t>Marcus Bjork</t>
  </si>
  <si>
    <t>Radim Simek</t>
  </si>
  <si>
    <t>Alex Belzile</t>
  </si>
  <si>
    <t>Riley Stillman</t>
  </si>
  <si>
    <t>Lukas Sedlak</t>
  </si>
  <si>
    <t>Ben Harpur</t>
  </si>
  <si>
    <t>Nathan Beaulieu</t>
  </si>
  <si>
    <t>Collin Delia</t>
  </si>
  <si>
    <t>Karson Kuhlman</t>
  </si>
  <si>
    <t>Brad Hunt</t>
  </si>
  <si>
    <t>Rasmus Asplund</t>
  </si>
  <si>
    <t>Vitali Kravtsov</t>
  </si>
  <si>
    <t>Chris Wideman</t>
  </si>
  <si>
    <t>Justin Braun</t>
  </si>
  <si>
    <t>Martin Kaut</t>
  </si>
  <si>
    <t>Colton White</t>
  </si>
  <si>
    <t>Lane Pederson</t>
  </si>
  <si>
    <t>Elmer Soderblom</t>
  </si>
  <si>
    <t>Alex Chiasson</t>
  </si>
  <si>
    <t>Kieffer Bellows</t>
  </si>
  <si>
    <t>Jaxson Stauber</t>
  </si>
  <si>
    <t>Nick Robertson</t>
  </si>
  <si>
    <t>Patric Hornqvist</t>
  </si>
  <si>
    <t>Logan Brown</t>
  </si>
  <si>
    <t>Tanner Laczynski</t>
  </si>
  <si>
    <t>Anders Bjork</t>
  </si>
  <si>
    <t>Erik Kallgren</t>
  </si>
  <si>
    <t>Jakub Zboril</t>
  </si>
  <si>
    <t>Kevin Gravel</t>
  </si>
  <si>
    <t>Jordie Benn</t>
  </si>
  <si>
    <t>Jordan Gross</t>
  </si>
  <si>
    <t>Rudolfs Balcers</t>
  </si>
  <si>
    <t>Matt Luff</t>
  </si>
  <si>
    <t>Guillaume Brisebois</t>
  </si>
  <si>
    <t>Ty Smith</t>
  </si>
  <si>
    <t>Zack Kassian</t>
  </si>
  <si>
    <t>Jakub Voracek</t>
  </si>
  <si>
    <t>Markus Niemelainen</t>
  </si>
  <si>
    <t>Nick Cicek</t>
  </si>
  <si>
    <t>Zac Dalpe</t>
  </si>
  <si>
    <t>Casey Fitzgerald</t>
  </si>
  <si>
    <t>Robin Salo</t>
  </si>
  <si>
    <t>Aatu Raty</t>
  </si>
  <si>
    <t>Matt Kiersted</t>
  </si>
  <si>
    <t>Lawrence Pilut</t>
  </si>
  <si>
    <t>Laurent Dauphin</t>
  </si>
  <si>
    <t>Libor Hajek</t>
  </si>
  <si>
    <t>Wayne Simmonds</t>
  </si>
  <si>
    <t>Billy Sweezey</t>
  </si>
  <si>
    <t>Christian Wolanin</t>
  </si>
  <si>
    <t>Jesper Froden</t>
  </si>
  <si>
    <t>Buddy Robinson</t>
  </si>
  <si>
    <t>Andreas Johnsson</t>
  </si>
  <si>
    <t>Kyle Capobianco</t>
  </si>
  <si>
    <t>Andrew Agozzino</t>
  </si>
  <si>
    <t>Ryan Murray</t>
  </si>
  <si>
    <t>Dysin Mayo</t>
  </si>
  <si>
    <t>Kevin Mandolese</t>
  </si>
  <si>
    <t>Austin Wagner</t>
  </si>
  <si>
    <t>Dylan Ferguson</t>
  </si>
  <si>
    <t>Jack Rathbone</t>
  </si>
  <si>
    <t>Hunter McKown</t>
  </si>
  <si>
    <t>Dustin Tokarski</t>
  </si>
  <si>
    <t>Jake Muzzin</t>
  </si>
  <si>
    <t>Aaron Dell</t>
  </si>
  <si>
    <t>Aleksi Heponiemi</t>
  </si>
  <si>
    <t>Corey Schueneman</t>
  </si>
  <si>
    <t>Charles Hudon</t>
  </si>
  <si>
    <t>Mike Hardman</t>
  </si>
  <si>
    <t>Egor Sokolov</t>
  </si>
  <si>
    <t>Joona Luoto</t>
  </si>
  <si>
    <t>Steve Santini</t>
  </si>
  <si>
    <t>Otto Koivula</t>
  </si>
  <si>
    <t>Brad Malone</t>
  </si>
  <si>
    <t>Mac Hollowell</t>
  </si>
  <si>
    <t>Jake Livingstone</t>
  </si>
  <si>
    <t>Keith Kinkaid</t>
  </si>
  <si>
    <t>Matej Blumel</t>
  </si>
  <si>
    <t>Ville Heinola</t>
  </si>
  <si>
    <t>Darren Helm</t>
  </si>
  <si>
    <t>Sean Farrell</t>
  </si>
  <si>
    <t>Anton Stralman</t>
  </si>
  <si>
    <t>David Gust</t>
  </si>
  <si>
    <t>Aidan McDonough</t>
  </si>
  <si>
    <t>Gabriel Carlsson</t>
  </si>
  <si>
    <t>Josh Dunne</t>
  </si>
  <si>
    <t>Drew Helleson</t>
  </si>
  <si>
    <t>Alex Galchenyuk</t>
  </si>
  <si>
    <t>Joseph Cramarossa</t>
  </si>
  <si>
    <t>Nick Abruzzese</t>
  </si>
  <si>
    <t>Eetu Makiniemi</t>
  </si>
  <si>
    <t>Jacob Larsson</t>
  </si>
  <si>
    <t>Jon Gillies</t>
  </si>
  <si>
    <t>Kyle Criscuolo</t>
  </si>
  <si>
    <t>Sampo Ranta</t>
  </si>
  <si>
    <t>Arnaud Durandeau</t>
  </si>
  <si>
    <t>Tucker Poolman</t>
  </si>
  <si>
    <t>Alec Regula</t>
  </si>
  <si>
    <t>Andy Andreoff</t>
  </si>
  <si>
    <t>Elliot Desnoyers</t>
  </si>
  <si>
    <t>Austin Strand</t>
  </si>
  <si>
    <t>Kyle Clifford</t>
  </si>
  <si>
    <t>Will Bitten</t>
  </si>
  <si>
    <t>Roland McKeown</t>
  </si>
  <si>
    <t>Stanislav Svozil</t>
  </si>
  <si>
    <t>Taylor Fedun</t>
  </si>
  <si>
    <t>Connor Carrick</t>
  </si>
  <si>
    <t>Joel Teasdale</t>
  </si>
  <si>
    <t>Jeffrey Viel</t>
  </si>
  <si>
    <t>Damien Giroux</t>
  </si>
  <si>
    <t>Justin Richards</t>
  </si>
  <si>
    <t>Kristian Reichel</t>
  </si>
  <si>
    <t>Nikita Soshnikov</t>
  </si>
  <si>
    <t>Frederic Allard</t>
  </si>
  <si>
    <t>Luke Philp</t>
  </si>
  <si>
    <t>Nathan Smith</t>
  </si>
  <si>
    <t>Mikhail Maltsev</t>
  </si>
  <si>
    <t>Leevi Merilainen</t>
  </si>
  <si>
    <t>Dan Renouf</t>
  </si>
  <si>
    <t>Fredrik Karlstrom</t>
  </si>
  <si>
    <t>Jackson Cates</t>
  </si>
  <si>
    <t>Tristen Robins</t>
  </si>
  <si>
    <t>Drake Caggiula</t>
  </si>
  <si>
    <t>Jason Demers</t>
  </si>
  <si>
    <t>Olle Eriksson Ek</t>
  </si>
  <si>
    <t>Lucas Carlsson</t>
  </si>
  <si>
    <t>Taro Hirose</t>
  </si>
  <si>
    <t>Mark Borowiecki</t>
  </si>
  <si>
    <t>Dylan Wells</t>
  </si>
  <si>
    <t>Dillon Heatherington</t>
  </si>
  <si>
    <t>Filip Hallander</t>
  </si>
  <si>
    <t>Jean-Sebastien Dea</t>
  </si>
  <si>
    <t>Dmitri Samorukov</t>
  </si>
  <si>
    <t>Tyce Thompson</t>
  </si>
  <si>
    <t>Filip Kral</t>
  </si>
  <si>
    <t>Marco Kasper</t>
  </si>
  <si>
    <t>Lias Andersson</t>
  </si>
  <si>
    <t>Jeremy Davies</t>
  </si>
  <si>
    <t>Lassi Thomson</t>
  </si>
  <si>
    <t>Nick Swaney</t>
  </si>
  <si>
    <t>Steven Fogarty</t>
  </si>
  <si>
    <t>Cole Bardreau</t>
  </si>
  <si>
    <t>Owen Beck</t>
  </si>
  <si>
    <t>Riley Sheahan</t>
  </si>
  <si>
    <t>Dennis Cholowski</t>
  </si>
  <si>
    <t>Tyler Benson</t>
  </si>
  <si>
    <t>Samuel Knazko</t>
  </si>
  <si>
    <t>Anton Levtchi</t>
  </si>
  <si>
    <t>Matt Berlin</t>
  </si>
  <si>
    <t>Ondrej Kase</t>
  </si>
  <si>
    <t>C.J. Suess</t>
  </si>
  <si>
    <t>Gabriel Fortier</t>
  </si>
  <si>
    <t>William Dufour</t>
  </si>
  <si>
    <t>Hayden Hodgson</t>
  </si>
  <si>
    <t>Henrik Borgstrom</t>
  </si>
  <si>
    <t>Semyon Der-Arguchintsev</t>
  </si>
  <si>
    <t>Jett Alexander</t>
  </si>
  <si>
    <t>Anton Khudobin</t>
  </si>
  <si>
    <t>Gabriel Landeskog</t>
  </si>
  <si>
    <t>Mikko Koskinen</t>
  </si>
  <si>
    <t>Alex Formenton</t>
  </si>
  <si>
    <t>Robin Lehner</t>
  </si>
  <si>
    <t>Ryan Getzlaf</t>
  </si>
  <si>
    <t>Dustin Brown</t>
  </si>
  <si>
    <t>P.K. Subban</t>
  </si>
  <si>
    <t>Vasili Podkolzin</t>
  </si>
  <si>
    <t>Mike Smith</t>
  </si>
  <si>
    <t>Brian Boyle</t>
  </si>
  <si>
    <t>Duncan Keith</t>
  </si>
  <si>
    <t>Michael Raffl</t>
  </si>
  <si>
    <t>Zdeno Chara</t>
  </si>
  <si>
    <t>Jason Spezza</t>
  </si>
  <si>
    <t>Tyler Ennis</t>
  </si>
  <si>
    <t>Jonathan Dahlen</t>
  </si>
  <si>
    <t>Alexander Radulov</t>
  </si>
  <si>
    <t>Joonas Donskoi</t>
  </si>
  <si>
    <t>Keith Yandle</t>
  </si>
  <si>
    <t>Juho Lammikko</t>
  </si>
  <si>
    <t>Andy Greene</t>
  </si>
  <si>
    <t>Braden Holtby</t>
  </si>
  <si>
    <t>Johan Larsson</t>
  </si>
  <si>
    <t>Mark Pysyk</t>
  </si>
  <si>
    <t>Danny DeKeyser</t>
  </si>
  <si>
    <t>Dominik Simon</t>
  </si>
  <si>
    <t>Loui Eriksson</t>
  </si>
  <si>
    <t>Janne Kuokkanen</t>
  </si>
  <si>
    <t>Victor Rask</t>
  </si>
  <si>
    <t>Nicolas Meloche</t>
  </si>
  <si>
    <t>Andrew Ladd</t>
  </si>
  <si>
    <t>Gerald Mayhew</t>
  </si>
  <si>
    <t>Cody Eakin</t>
  </si>
  <si>
    <t>Maxim Mamin</t>
  </si>
  <si>
    <t>Carl Hagelin</t>
  </si>
  <si>
    <t>Antoine Roussel</t>
  </si>
  <si>
    <t>Kris Russell</t>
  </si>
  <si>
    <t>Michael Del Zotto</t>
  </si>
  <si>
    <t>Dean Kukan</t>
  </si>
  <si>
    <t>Jasper Weatherby</t>
  </si>
  <si>
    <t>Tyler Bozak</t>
  </si>
  <si>
    <t>Cam Dineen</t>
  </si>
  <si>
    <t>Scott Reedy</t>
  </si>
  <si>
    <t>Brad Richardson</t>
  </si>
  <si>
    <t>Paul Byron</t>
  </si>
  <si>
    <t>Will Butcher</t>
  </si>
  <si>
    <t>Mathieu Perreault</t>
  </si>
  <si>
    <t>Joe Thornton</t>
  </si>
  <si>
    <t>Kevin Connauton</t>
  </si>
  <si>
    <t>Colton Sceviour</t>
  </si>
  <si>
    <t>Kristian Vesalainen</t>
  </si>
  <si>
    <t>Andrej Sustr</t>
  </si>
  <si>
    <t>Ryan Dzingel</t>
  </si>
  <si>
    <t>Greg McKegg</t>
  </si>
  <si>
    <t>Carter Rowney</t>
  </si>
  <si>
    <t>Ryan Merkley</t>
  </si>
  <si>
    <t>Gregory Hofmann</t>
  </si>
  <si>
    <t>Nolan Patrick</t>
  </si>
  <si>
    <t>Alex Chmelevski</t>
  </si>
  <si>
    <t>Jonathan Bernier</t>
  </si>
  <si>
    <t>Nate Thompson</t>
  </si>
  <si>
    <t>Andrej Sekera</t>
  </si>
  <si>
    <t>Brendan Perlini</t>
  </si>
  <si>
    <t>Jay Beagle</t>
  </si>
  <si>
    <t>Andrew Hammond</t>
  </si>
  <si>
    <t>James Neal</t>
  </si>
  <si>
    <t>Cedric Paquette</t>
  </si>
  <si>
    <t>Sami Niku</t>
  </si>
  <si>
    <t>Jean-Francois Berube</t>
  </si>
  <si>
    <t>Arttu Ruotsalainen</t>
  </si>
  <si>
    <t>Slater Koekkoek</t>
  </si>
  <si>
    <t>Dmitrij Jaskin</t>
  </si>
  <si>
    <t>Kyle Turris</t>
  </si>
  <si>
    <t>Isaac Ratcliffe</t>
  </si>
  <si>
    <t>Michal Kempny</t>
  </si>
  <si>
    <t>Adam Brooks</t>
  </si>
  <si>
    <t>Logan Shaw</t>
  </si>
  <si>
    <t>Mason Geertsen</t>
  </si>
  <si>
    <t>Greg Pateryn</t>
  </si>
  <si>
    <t>Tanner Kero</t>
  </si>
  <si>
    <t>Ryan Ellis</t>
  </si>
  <si>
    <t>Michael Houser</t>
  </si>
  <si>
    <t>Zach Sawchenko</t>
  </si>
  <si>
    <t>Martin Frk</t>
  </si>
  <si>
    <t>Petteri Lindbohm</t>
  </si>
  <si>
    <t>Olli Juolevi</t>
  </si>
  <si>
    <t>Nicholas Merkley</t>
  </si>
  <si>
    <t>Zach Fucale</t>
  </si>
  <si>
    <t>Matt Tennyson</t>
  </si>
  <si>
    <t>John Moore</t>
  </si>
  <si>
    <t>Harri Sateri</t>
  </si>
  <si>
    <t>Carey Price</t>
  </si>
  <si>
    <t>Christian Jaros</t>
  </si>
  <si>
    <t>Josiah Slavin</t>
  </si>
  <si>
    <t>Riley Damiani</t>
  </si>
  <si>
    <t>Lukas Vejdemo</t>
  </si>
  <si>
    <t>Austin Poganski</t>
  </si>
  <si>
    <t>Kasper Bjorkqvist</t>
  </si>
  <si>
    <t>Garret Sparks</t>
  </si>
  <si>
    <t>Clark Bishop</t>
  </si>
  <si>
    <t>Jack Ahcan</t>
  </si>
  <si>
    <t>Linus Hogberg</t>
  </si>
  <si>
    <t>Juuso Riikola</t>
  </si>
  <si>
    <t>Connor Bunnaman</t>
  </si>
  <si>
    <t>Blake Comeau</t>
  </si>
  <si>
    <t>Alex True</t>
  </si>
  <si>
    <t>Carl Dahlstrom</t>
  </si>
  <si>
    <t>Brett Connolly</t>
  </si>
  <si>
    <t>Jakub Galvas</t>
  </si>
  <si>
    <t>Richard Panik</t>
  </si>
  <si>
    <t>Fredrik Claesson</t>
  </si>
  <si>
    <t>Tuukka Rask</t>
  </si>
  <si>
    <t>Brendan Guhle</t>
  </si>
  <si>
    <t>Tim Gettinger</t>
  </si>
  <si>
    <t>Frederik Gauthier</t>
  </si>
  <si>
    <t>Ethan Prow</t>
  </si>
  <si>
    <t>Jayden Halbgewachs</t>
  </si>
  <si>
    <t>Danny O'Regan</t>
  </si>
  <si>
    <t>Vladimir Tkachev</t>
  </si>
  <si>
    <t>Cory Schneider</t>
  </si>
  <si>
    <t>Mattias Norlinder</t>
  </si>
  <si>
    <t>Kristians Rubins</t>
  </si>
  <si>
    <t>Dylan Sikura</t>
  </si>
  <si>
    <t>Matthew Peca</t>
  </si>
  <si>
    <t>Garrett Pilon</t>
  </si>
  <si>
    <t>Rocco Grimaldi</t>
  </si>
  <si>
    <t>Josef Korenar</t>
  </si>
  <si>
    <t>Reilly Walsh</t>
  </si>
  <si>
    <t>Anthony Angello</t>
  </si>
  <si>
    <t>Chase Priskie</t>
  </si>
  <si>
    <t>Gemel Smith</t>
  </si>
  <si>
    <t>Zack Hayes</t>
  </si>
  <si>
    <t>Cooper Marody</t>
  </si>
  <si>
    <t>Anthony Greco</t>
  </si>
  <si>
    <t>Jon Lizotte</t>
  </si>
  <si>
    <t>Markus Nutivaara</t>
  </si>
  <si>
    <t>Riley Barber</t>
  </si>
  <si>
    <t>Kyle Rau</t>
  </si>
  <si>
    <t>Sean Day</t>
  </si>
  <si>
    <t>T.J. Tynan</t>
  </si>
  <si>
    <t>Alex Biega</t>
  </si>
  <si>
    <t>Wyatt Kalynuk</t>
  </si>
  <si>
    <t>Ben McCartney</t>
  </si>
  <si>
    <t>Max Lagace</t>
  </si>
  <si>
    <t>Chase De Leo</t>
  </si>
  <si>
    <t>Tyler Lewington</t>
  </si>
  <si>
    <t>Blake Speers</t>
  </si>
  <si>
    <t>Ben Jones</t>
  </si>
  <si>
    <t>Thomas Hickey</t>
  </si>
  <si>
    <t>Madison Bowey</t>
  </si>
  <si>
    <t>Chase Pearson</t>
  </si>
  <si>
    <t>Kole Sherwood</t>
  </si>
  <si>
    <t>Turner Elson</t>
  </si>
  <si>
    <t>Remi Elie</t>
  </si>
  <si>
    <t>Kurtis Gabriel</t>
  </si>
  <si>
    <t>Kirill Semyonov</t>
  </si>
  <si>
    <t>Mike Vecchione</t>
  </si>
  <si>
    <t>Paul LaDue</t>
  </si>
  <si>
    <t>Brandon Baddock</t>
  </si>
  <si>
    <t>Viktor Lodin</t>
  </si>
  <si>
    <t>Linus Sandin</t>
  </si>
  <si>
    <t>Artemi Kniazev</t>
  </si>
  <si>
    <t>Hunter Drew</t>
  </si>
  <si>
    <t>Ryan MacInnis</t>
  </si>
  <si>
    <t>Cameron Hillis</t>
  </si>
  <si>
    <t>Nicolas Beaudin</t>
  </si>
  <si>
    <t>Michael Dal Colle</t>
  </si>
  <si>
    <t>Cole Reinhardt</t>
  </si>
  <si>
    <t>Zachary Senyshyn</t>
  </si>
  <si>
    <t>Bryce Kindopp</t>
  </si>
  <si>
    <t>Jeff Malott</t>
  </si>
  <si>
    <t>Joey Keane</t>
  </si>
  <si>
    <t>Leo Komarov</t>
  </si>
  <si>
    <t>Sven Baertschi</t>
  </si>
  <si>
    <t>Brayden Tracey</t>
  </si>
  <si>
    <t>Jacob Perreault</t>
  </si>
  <si>
    <t>Luke Witkowski</t>
  </si>
  <si>
    <t>C.J. Smith</t>
  </si>
  <si>
    <t>Seth Griffith</t>
  </si>
  <si>
    <t>Stefan Matteau</t>
  </si>
  <si>
    <t>Michael DiPietro</t>
  </si>
  <si>
    <t>Adam Huska</t>
  </si>
  <si>
    <t>Hugo Alnefelt</t>
  </si>
  <si>
    <t>Michael McNiven</t>
  </si>
  <si>
    <t>Jack LaFontaine</t>
  </si>
  <si>
    <t>Carter Hutton</t>
  </si>
  <si>
    <t>Maxime Comtois</t>
  </si>
  <si>
    <t>Shea Weber</t>
  </si>
  <si>
    <t>Carl Soderberg</t>
  </si>
  <si>
    <t>Pekka Rinne</t>
  </si>
  <si>
    <t>Travis Zajac</t>
  </si>
  <si>
    <t>Bobby Ryan</t>
  </si>
  <si>
    <t>Brandon Sutter</t>
  </si>
  <si>
    <t>Dominik Kahun</t>
  </si>
  <si>
    <t>Alexander Volkov</t>
  </si>
  <si>
    <t>Devan Dubnyk</t>
  </si>
  <si>
    <t>Joakim Nordstrom</t>
  </si>
  <si>
    <t>Tobias Rieder</t>
  </si>
  <si>
    <t>Sami Vatanen</t>
  </si>
  <si>
    <t>Patrick Marleau</t>
  </si>
  <si>
    <t>Valtteri Filppula</t>
  </si>
  <si>
    <t>Jake Virtanen</t>
  </si>
  <si>
    <t>Nikita Gusev</t>
  </si>
  <si>
    <t>Mikhail Grigorenko</t>
  </si>
  <si>
    <t>Christian Djoos</t>
  </si>
  <si>
    <t>Niklas Hjalmarsson</t>
  </si>
  <si>
    <t>Kevan Miller</t>
  </si>
  <si>
    <t>Nikita Nesterov</t>
  </si>
  <si>
    <t>Artem Anisimov</t>
  </si>
  <si>
    <t>Ryan Miller</t>
  </si>
  <si>
    <t>Mikko Lehtonen</t>
  </si>
  <si>
    <t>Steven Kampfer</t>
  </si>
  <si>
    <t>David Backes</t>
  </si>
  <si>
    <t>Jake Gardiner</t>
  </si>
  <si>
    <t>Gaetan Haas</t>
  </si>
  <si>
    <t>Frans Nielsen</t>
  </si>
  <si>
    <t>Jayce Hawryluk</t>
  </si>
  <si>
    <t>Marcus Sorensen</t>
  </si>
  <si>
    <t>Curtis McElhinney</t>
  </si>
  <si>
    <t>Marcus Hogberg</t>
  </si>
  <si>
    <t>Andrew Shaw</t>
  </si>
  <si>
    <t>Nick Caamano</t>
  </si>
  <si>
    <t>Braydon Coburn</t>
  </si>
  <si>
    <t>Tyler Graovac</t>
  </si>
  <si>
    <t>Anthony Bitetto</t>
  </si>
  <si>
    <t>Matt Calvert</t>
  </si>
  <si>
    <t>Samuel Morin</t>
  </si>
  <si>
    <t>Mathias Brome</t>
  </si>
  <si>
    <t>Lucas Wallmark</t>
  </si>
  <si>
    <t>Zachary Jones</t>
  </si>
  <si>
    <t>Daniel Vladar</t>
  </si>
  <si>
    <t>Nathan Gerbe</t>
  </si>
  <si>
    <t>Carl Gunnarsson</t>
  </si>
  <si>
    <t>Luke Johnson</t>
  </si>
  <si>
    <t>Jacob De La Rose</t>
  </si>
  <si>
    <t>Joel L'Esperance</t>
  </si>
  <si>
    <t>Joel Kellman</t>
  </si>
  <si>
    <t>Nate Prosser</t>
  </si>
  <si>
    <t>Troy Grosenick</t>
  </si>
  <si>
    <t>Patrick Russell</t>
  </si>
  <si>
    <t>Andy Welinski</t>
  </si>
  <si>
    <t>Andreas Borgman</t>
  </si>
  <si>
    <t>Anthony DeAngelo</t>
  </si>
  <si>
    <t>Mikko Koivu</t>
  </si>
  <si>
    <t>Matiss Kivlenieks</t>
  </si>
  <si>
    <t>Fredrik Handemark</t>
  </si>
  <si>
    <t>Xavier Ouellet</t>
  </si>
  <si>
    <t>Tomas Jurco</t>
  </si>
  <si>
    <t>Michael Chaput</t>
  </si>
  <si>
    <t>Daniel Carr</t>
  </si>
  <si>
    <t>Michael Frolik</t>
  </si>
  <si>
    <t>Brandon Davidson</t>
  </si>
  <si>
    <t>Marc Michaelis</t>
  </si>
  <si>
    <t>Tarmo Reunanen</t>
  </si>
  <si>
    <t>Joachim Blichfeld</t>
  </si>
  <si>
    <t>Carsen Twarynski</t>
  </si>
  <si>
    <t>Ivan Chekhovich</t>
  </si>
  <si>
    <t>Christopher Gibson</t>
  </si>
  <si>
    <t>Antti Suomela</t>
  </si>
  <si>
    <t>Alexei Melnichuk</t>
  </si>
  <si>
    <t>Oscar Dansk</t>
  </si>
  <si>
    <t>Ben Thomas</t>
  </si>
  <si>
    <t>Brogan Rafferty</t>
  </si>
  <si>
    <t>Joakim Nygard</t>
  </si>
  <si>
    <t>Hunter Miska</t>
  </si>
  <si>
    <t>Zac Rinaldo</t>
  </si>
  <si>
    <t>Sean Malone</t>
  </si>
  <si>
    <t>Brinson Pasichnuk</t>
  </si>
  <si>
    <t>Yegor Zamula</t>
  </si>
  <si>
    <t>Cameron Hughes</t>
  </si>
  <si>
    <t>Mark Alt</t>
  </si>
  <si>
    <t>Keaton Middleton</t>
  </si>
  <si>
    <t>Micheal Haley</t>
  </si>
  <si>
    <t>Olle Alsing</t>
  </si>
  <si>
    <t>Daniel Walcott</t>
  </si>
  <si>
    <t>Kevin Czuczman</t>
  </si>
  <si>
    <t>Brian Pinho</t>
  </si>
  <si>
    <t>David Farrance</t>
  </si>
  <si>
    <t>Drew Shore</t>
  </si>
  <si>
    <t>Luca Sbisa</t>
  </si>
  <si>
    <t>Matt Bartkowski</t>
  </si>
  <si>
    <t>Lean Bergmann</t>
  </si>
  <si>
    <t>Joakim Ryan</t>
  </si>
  <si>
    <t>Yannick Weber</t>
  </si>
  <si>
    <t>Brandon Pirri</t>
  </si>
  <si>
    <t>Aaron Ness</t>
  </si>
  <si>
    <t>Dmytro Timashov</t>
  </si>
  <si>
    <t>Kasimir Kaskisuo</t>
  </si>
  <si>
    <t>Filip Chlapik</t>
  </si>
  <si>
    <t>Philippe Maillet</t>
  </si>
  <si>
    <t>David Kase</t>
  </si>
  <si>
    <t>Maksim Sushko</t>
  </si>
  <si>
    <t>Otto Leskinen</t>
  </si>
  <si>
    <t>Brady Keeper</t>
  </si>
  <si>
    <t>Josh Currie</t>
  </si>
  <si>
    <t>Kenny Agostino</t>
  </si>
  <si>
    <t>Vitali Abramov</t>
  </si>
  <si>
    <t>Drake Rymsha</t>
  </si>
  <si>
    <t>Par Lindholm</t>
  </si>
  <si>
    <t>Artyom Zagidulin</t>
  </si>
  <si>
    <t>Veini Vehvilainen</t>
  </si>
  <si>
    <t>Oscar Klefbom</t>
  </si>
  <si>
    <t>MacKenzie Blackwood</t>
  </si>
  <si>
    <t>Ben Bishop</t>
  </si>
  <si>
    <t>Matt Niskanen</t>
  </si>
  <si>
    <t>Corey Crawford</t>
  </si>
  <si>
    <t>Johnny Boychuk</t>
  </si>
  <si>
    <t>Ilya Kovalchuk</t>
  </si>
  <si>
    <t>Henrik Lundqvist</t>
  </si>
  <si>
    <t>Ron Hainsey</t>
  </si>
  <si>
    <t>Alexander Steen</t>
  </si>
  <si>
    <t>Mike Green</t>
  </si>
  <si>
    <t>Deryk Engelland</t>
  </si>
  <si>
    <t>Jordan Weal</t>
  </si>
  <si>
    <t>Anders Nilsson</t>
  </si>
  <si>
    <t>Korbinian Holzer</t>
  </si>
  <si>
    <t>Roman Polak</t>
  </si>
  <si>
    <t>Melker Karlsson</t>
  </si>
  <si>
    <t>Jay Bouwmeester</t>
  </si>
  <si>
    <t>Zack Smith</t>
  </si>
  <si>
    <t>Mirco Mueller</t>
  </si>
  <si>
    <t>Nikolai Prokhorkin</t>
  </si>
  <si>
    <t>Oscar Fantenberg</t>
  </si>
  <si>
    <t>Gabriel Bourque</t>
  </si>
  <si>
    <t>Michael Grabner</t>
  </si>
  <si>
    <t>Dan Hamhuis</t>
  </si>
  <si>
    <t>Brendan Leipsic</t>
  </si>
  <si>
    <t>Justin Williams</t>
  </si>
  <si>
    <t>Brent Seabrook</t>
  </si>
  <si>
    <t>Tim Schaller</t>
  </si>
  <si>
    <t>Jimmy Howard</t>
  </si>
  <si>
    <t>Nick Shore</t>
  </si>
  <si>
    <t>Justin Abdelkader</t>
  </si>
  <si>
    <t>Trevor Daley</t>
  </si>
  <si>
    <t>Vladislav Kamenev</t>
  </si>
  <si>
    <t>Tim Heed</t>
  </si>
  <si>
    <t>Tom Kuhnhackl</t>
  </si>
  <si>
    <t>Christoffer Ehn</t>
  </si>
  <si>
    <t>Stephen Johns</t>
  </si>
  <si>
    <t>Martin Marincin</t>
  </si>
  <si>
    <t>Samuel Montembeault</t>
  </si>
  <si>
    <t>Dale Weise</t>
  </si>
  <si>
    <t>Jakob Lilja</t>
  </si>
  <si>
    <t>Markus Granlund</t>
  </si>
  <si>
    <t>Cody Goloubef</t>
  </si>
  <si>
    <t>Mikkel Boedker</t>
  </si>
  <si>
    <t>Micheal Ferland</t>
  </si>
  <si>
    <t>Joseph Blandisi</t>
  </si>
  <si>
    <t>Christian Folin</t>
  </si>
  <si>
    <t>Mark Barberio</t>
  </si>
  <si>
    <t>Vladimir Sobotka</t>
  </si>
  <si>
    <t>Jean-Christophe Beaudin</t>
  </si>
  <si>
    <t>Valentin Zykov</t>
  </si>
  <si>
    <t>Bryan Little</t>
  </si>
  <si>
    <t>Aleksi Saarela</t>
  </si>
  <si>
    <t>Colin Wilson</t>
  </si>
  <si>
    <t>Joel Persson</t>
  </si>
  <si>
    <t>Jonathan Ericsson</t>
  </si>
  <si>
    <t>Mikhail Vorobyov</t>
  </si>
  <si>
    <t>Steve Kampfer</t>
  </si>
  <si>
    <t>Troy Brouwer</t>
  </si>
  <si>
    <t>Joe Hicketts</t>
  </si>
  <si>
    <t>Cameron Gaunce</t>
  </si>
  <si>
    <t>Chris Stewart</t>
  </si>
  <si>
    <t>Zach Trotman</t>
  </si>
  <si>
    <t>Brandon Manning</t>
  </si>
  <si>
    <t>John Quenneville</t>
  </si>
  <si>
    <t>Brian Lashoff</t>
  </si>
  <si>
    <t>Alan Quine</t>
  </si>
  <si>
    <t>Colby Cave</t>
  </si>
  <si>
    <t>Adam Johnson</t>
  </si>
  <si>
    <t>Scott Wilson</t>
  </si>
  <si>
    <t>Adam Werner</t>
  </si>
  <si>
    <t>Lukas Radil</t>
  </si>
  <si>
    <t>Brian Gibbons</t>
  </si>
  <si>
    <t>Miikka Salomaki</t>
  </si>
  <si>
    <t>Jake Bischoff</t>
  </si>
  <si>
    <t>Anton Lindholm</t>
  </si>
  <si>
    <t>Cory Conacher</t>
  </si>
  <si>
    <t>Antoine Bibeau</t>
  </si>
  <si>
    <t>Maxim Letunov</t>
  </si>
  <si>
    <t>Joshua Norris</t>
  </si>
  <si>
    <t>Jonathan Davidsson</t>
  </si>
  <si>
    <t>Ben Street</t>
  </si>
  <si>
    <t>Pontus Aberg</t>
  </si>
  <si>
    <t>Mark Letestu</t>
  </si>
  <si>
    <t>Yegor Korshkov</t>
  </si>
  <si>
    <t>Gilles Senn</t>
  </si>
  <si>
    <t>Gabriel Dumont</t>
  </si>
  <si>
    <t>John Gilmour</t>
  </si>
  <si>
    <t>Gage Quinney</t>
  </si>
  <si>
    <t>Peter Cehlarik</t>
  </si>
  <si>
    <t>Brennan Menell</t>
  </si>
  <si>
    <t>Joshua Jacobs</t>
  </si>
  <si>
    <t>Alexander Yelesin</t>
  </si>
  <si>
    <t>Karl Alzner</t>
  </si>
  <si>
    <t>Marko Dano</t>
  </si>
  <si>
    <t>German Rubtsov</t>
  </si>
  <si>
    <t>Dalton Prout</t>
  </si>
  <si>
    <t>Jordan Szwarz</t>
  </si>
  <si>
    <t>Max Veronneau</t>
  </si>
  <si>
    <t>Boo Nieves</t>
  </si>
  <si>
    <t>Danil Yurtaikin</t>
  </si>
  <si>
    <t>Anton Wedin</t>
  </si>
  <si>
    <t>Thomas Di Pauli</t>
  </si>
  <si>
    <t>Calvin Thurkauf</t>
  </si>
  <si>
    <t>Andrei Chibisov</t>
  </si>
  <si>
    <t>Trevor Carrick</t>
  </si>
  <si>
    <t>Paul Carey</t>
  </si>
  <si>
    <t>Ashton Sautner</t>
  </si>
  <si>
    <t>Nikolay Goldobin</t>
  </si>
  <si>
    <t>Dalton Smith</t>
  </si>
  <si>
    <t>Thomas Vanek</t>
  </si>
  <si>
    <t>Dustin Byfuglien</t>
  </si>
  <si>
    <t>Roberto Luongo</t>
  </si>
  <si>
    <t>Jason Pominville</t>
  </si>
  <si>
    <t>Niklas Kronwall</t>
  </si>
  <si>
    <t>Magnus Paajarvi</t>
  </si>
  <si>
    <t>Dan Girardi</t>
  </si>
  <si>
    <t>Cam Ward</t>
  </si>
  <si>
    <t>Mathew Dumba</t>
  </si>
  <si>
    <t>Oscar Lindberg</t>
  </si>
  <si>
    <t>Ben Lovejoy</t>
  </si>
  <si>
    <t>Matt Cullen</t>
  </si>
  <si>
    <t>Zachary Sanford</t>
  </si>
  <si>
    <t>Ryan Callahan</t>
  </si>
  <si>
    <t>Brandon Dubinsky</t>
  </si>
  <si>
    <t>Sven Andrighetto</t>
  </si>
  <si>
    <t>Dion Phaneuf</t>
  </si>
  <si>
    <t>Ryan Kesler</t>
  </si>
  <si>
    <t>Eric Fehr</t>
  </si>
  <si>
    <t>Brooks Orpik</t>
  </si>
  <si>
    <t>Kyle Brodziak</t>
  </si>
  <si>
    <t>Adam McQuaid</t>
  </si>
  <si>
    <t>Marcus Kruger</t>
  </si>
  <si>
    <t>Drew Stafford</t>
  </si>
  <si>
    <t>Andrew MacDonald</t>
  </si>
  <si>
    <t>Mario Kempe</t>
  </si>
  <si>
    <t>Ty Rattie</t>
  </si>
  <si>
    <t>Devante Smith-Pelly</t>
  </si>
  <si>
    <t>Garrett Wilson</t>
  </si>
  <si>
    <t>J.T. Brown</t>
  </si>
  <si>
    <t>Chris Kunitz</t>
  </si>
  <si>
    <t>Igor Ozhiganov</t>
  </si>
  <si>
    <t>Ryan Spooner</t>
  </si>
  <si>
    <t>Antti Niemi</t>
  </si>
  <si>
    <t>Markus Hannikainen</t>
  </si>
  <si>
    <t>Joe Morrow</t>
  </si>
  <si>
    <t>Casey Nelson</t>
  </si>
  <si>
    <t>Philip Varone</t>
  </si>
  <si>
    <t>Samuel Blais</t>
  </si>
  <si>
    <t>Bogdan Kiselevich</t>
  </si>
  <si>
    <t>Julius Honka</t>
  </si>
  <si>
    <t>David Schlemko</t>
  </si>
  <si>
    <t>Jakob Forsbacka-Karlsson</t>
  </si>
  <si>
    <t>Egor Yakovlev</t>
  </si>
  <si>
    <t>Andreas Martinsen</t>
  </si>
  <si>
    <t>Jamie McGinn</t>
  </si>
  <si>
    <t>Cody McLeod</t>
  </si>
  <si>
    <t>Alexandre Fortin</t>
  </si>
  <si>
    <t>Tom Pyatt</t>
  </si>
  <si>
    <t>Chad Johnson</t>
  </si>
  <si>
    <t>Patrik Berglund</t>
  </si>
  <si>
    <t>Mike McKenna</t>
  </si>
  <si>
    <t>Matt Hendricks</t>
  </si>
  <si>
    <t>Connor Brickley</t>
  </si>
  <si>
    <t>Ian McCoshen</t>
  </si>
  <si>
    <t>Jake Dotchin</t>
  </si>
  <si>
    <t>Corban Knight</t>
  </si>
  <si>
    <t>Jori Lehtera</t>
  </si>
  <si>
    <t>Kevin Boyle</t>
  </si>
  <si>
    <t>Tomas Hyka</t>
  </si>
  <si>
    <t>Scott Darling</t>
  </si>
  <si>
    <t>Jason Garrison</t>
  </si>
  <si>
    <t>Blake Pietila</t>
  </si>
  <si>
    <t>Chris Butler</t>
  </si>
  <si>
    <t>Jordan Schmaltz</t>
  </si>
  <si>
    <t>Jordan Nolan</t>
  </si>
  <si>
    <t>Martin Hanzal</t>
  </si>
  <si>
    <t>Eric Gryba</t>
  </si>
  <si>
    <t>Joseph Gambardella</t>
  </si>
  <si>
    <t>Matt Read</t>
  </si>
  <si>
    <t>Danick Martel</t>
  </si>
  <si>
    <t>Darren Archibald</t>
  </si>
  <si>
    <t>Matt Hunwick</t>
  </si>
  <si>
    <t>Justin Falk</t>
  </si>
  <si>
    <t>Edward Pasquale</t>
  </si>
  <si>
    <t>Josh Ho-Sang</t>
  </si>
  <si>
    <t>Wade Megan</t>
  </si>
  <si>
    <t>Tanner Fritz</t>
  </si>
  <si>
    <t>Nikita Scherbak</t>
  </si>
  <si>
    <t>Matt Puempel</t>
  </si>
  <si>
    <t>Kalle Kossila</t>
  </si>
  <si>
    <t>Eric Tangradi</t>
  </si>
  <si>
    <t>Michal Neuvirth</t>
  </si>
  <si>
    <t>Nick Lappin</t>
  </si>
  <si>
    <t>Erik Condra</t>
  </si>
  <si>
    <t>Libor Sulak</t>
  </si>
  <si>
    <t>Marc Methot</t>
  </si>
  <si>
    <t>Tomas Plekanec</t>
  </si>
  <si>
    <t>Matt Beleskey</t>
  </si>
  <si>
    <t>Ryan Kuffner</t>
  </si>
  <si>
    <t>Daniel Brickley</t>
  </si>
  <si>
    <t>Cameron Schilling</t>
  </si>
  <si>
    <t>Patrick Eaves</t>
  </si>
  <si>
    <t>Jake Chelios</t>
  </si>
  <si>
    <t>Stephen Gionta</t>
  </si>
  <si>
    <t>Zach MacEwen</t>
  </si>
  <si>
    <t>Stefan Elliott</t>
  </si>
  <si>
    <t>Ryan Murphy</t>
  </si>
  <si>
    <t>Matt Donovan</t>
  </si>
  <si>
    <t>Erik Burgdoerfer</t>
  </si>
  <si>
    <t>Benjamin Gleason</t>
  </si>
  <si>
    <t>Jack Rodewald</t>
  </si>
  <si>
    <t>Jimmy Schuldt</t>
  </si>
  <si>
    <t>Landon Bow</t>
  </si>
  <si>
    <t>Adam Clendening</t>
  </si>
  <si>
    <t>Dominic Turgeon</t>
  </si>
  <si>
    <t>Adam Cracknell</t>
  </si>
  <si>
    <t>Tyrell Goulbourne</t>
  </si>
  <si>
    <t>Kevin Roy</t>
  </si>
  <si>
    <t>Kerby Rychel</t>
  </si>
  <si>
    <t>Anthony Peluso</t>
  </si>
  <si>
    <t>Josh Teves</t>
  </si>
  <si>
    <t>Justin Kloos</t>
  </si>
  <si>
    <t>Jakub Jerabek</t>
  </si>
  <si>
    <t>Nelson Nogier</t>
  </si>
  <si>
    <t>Jacob Nilsson</t>
  </si>
  <si>
    <t>Lee Stempniak</t>
  </si>
  <si>
    <t>Chris Thorburn</t>
  </si>
  <si>
    <t>Reid Boucher</t>
  </si>
  <si>
    <t>Derek MacKenzie</t>
  </si>
  <si>
    <t>Kaden Fulcher</t>
  </si>
  <si>
    <t>Peter Budaj</t>
  </si>
  <si>
    <t>Richard Bachman</t>
  </si>
  <si>
    <t>Mike Condon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</si>
</sst>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2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1" numFmtId="2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hidden="1" min="1" max="1" width="28.13"/>
    <col customWidth="1" min="2" max="2" width="20.0"/>
    <col customWidth="1" hidden="1" min="3" max="3" width="28.13"/>
    <col customWidth="1" min="4" max="6" width="11.5"/>
    <col customWidth="1" min="7" max="7" width="7.0"/>
    <col customWidth="1" min="8" max="8" width="5.63"/>
    <col customWidth="1" min="9" max="9" width="5.25"/>
    <col customWidth="1" min="10" max="10" width="4.75"/>
    <col customWidth="1" min="11" max="11" width="6.63"/>
    <col customWidth="1" min="12" max="12" width="4.88"/>
    <col customWidth="1" min="13" max="13" width="5.38"/>
    <col customWidth="1" min="14" max="14" width="7.38"/>
    <col customWidth="1" min="15" max="15" width="6.63"/>
    <col customWidth="1" min="16" max="16" width="5.13"/>
    <col customWidth="1" min="17" max="17" width="4.63"/>
    <col customWidth="1" hidden="1" min="18" max="18" width="6.25"/>
    <col customWidth="1" hidden="1" min="19" max="19" width="4.38"/>
    <col customWidth="1" hidden="1" min="20" max="20" width="6.0"/>
    <col customWidth="1" hidden="1" min="21" max="21" width="6.25"/>
    <col customWidth="1" min="22" max="22" width="6.25"/>
    <col customWidth="1" hidden="1" min="23" max="23" width="6.25"/>
    <col customWidth="1" min="24" max="24" width="6.25"/>
    <col customWidth="1" hidden="1" min="25" max="25" width="6.25"/>
    <col customWidth="1" min="26" max="27" width="6.25"/>
  </cols>
  <sheetData>
    <row r="1" ht="12.75" customHeight="1">
      <c r="A1" s="1" t="s">
        <v>0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ht="12.75" customHeight="1">
      <c r="A2" s="1"/>
      <c r="B2" s="1" t="s">
        <v>25</v>
      </c>
      <c r="C2" s="1"/>
      <c r="D2" s="1"/>
      <c r="E2" s="1"/>
      <c r="F2" s="1"/>
      <c r="G2" s="1">
        <v>0.0</v>
      </c>
      <c r="H2" s="1">
        <v>4.0</v>
      </c>
      <c r="I2" s="1">
        <v>2.5</v>
      </c>
      <c r="J2" s="1">
        <v>0.0</v>
      </c>
      <c r="K2" s="1">
        <v>0.25</v>
      </c>
      <c r="L2" s="1">
        <v>0.25</v>
      </c>
      <c r="M2" s="1">
        <v>0.4</v>
      </c>
      <c r="N2" s="1">
        <v>1.0</v>
      </c>
      <c r="O2" s="1">
        <v>1.0</v>
      </c>
      <c r="P2" s="1">
        <v>1.0</v>
      </c>
      <c r="Q2" s="1">
        <v>1.0</v>
      </c>
      <c r="R2" s="1">
        <v>0.0</v>
      </c>
      <c r="S2" s="1">
        <v>0.0</v>
      </c>
      <c r="T2" s="1">
        <v>0.0</v>
      </c>
      <c r="U2" s="1">
        <v>0.0</v>
      </c>
      <c r="V2" s="1">
        <v>3.0</v>
      </c>
      <c r="W2" s="1">
        <v>0.0</v>
      </c>
      <c r="X2" s="1">
        <v>-1.0</v>
      </c>
      <c r="Y2" s="1">
        <v>0.0</v>
      </c>
      <c r="Z2" s="1">
        <v>0.25</v>
      </c>
      <c r="AA2" s="1">
        <v>1.0</v>
      </c>
    </row>
    <row r="3" ht="12.75" customHeight="1">
      <c r="A3" s="1" t="s">
        <v>26</v>
      </c>
      <c r="B3" s="1" t="str">
        <f>IFERROR(__xludf.DUMMYFUNCTION("split(A3, ""\"")"),"Connor Hellebuyck")</f>
        <v>Connor Hellebuyck</v>
      </c>
      <c r="C3" s="2" t="str">
        <f>IFERROR(__xludf.DUMMYFUNCTION("""COMPUTED_VALUE"""),"helleco01")</f>
        <v>helleco01</v>
      </c>
      <c r="D3" s="1" t="s">
        <v>5</v>
      </c>
      <c r="E3" s="1">
        <f t="shared" ref="E3:E987" si="1">SUMPRODUCT(G$2:AA$2, G3:AA3)</f>
        <v>455</v>
      </c>
      <c r="F3" s="1">
        <f t="shared" ref="F3:F987" si="2">round(E3/G3, 2)</f>
        <v>6.79</v>
      </c>
      <c r="G3" s="1">
        <v>67.0</v>
      </c>
      <c r="U3" s="1">
        <v>64.0</v>
      </c>
      <c r="V3" s="1">
        <v>44.0</v>
      </c>
      <c r="W3" s="1">
        <v>11.0</v>
      </c>
      <c r="X3" s="1">
        <v>156.0</v>
      </c>
      <c r="Y3" s="1">
        <v>2048.0</v>
      </c>
      <c r="Z3" s="1">
        <v>1892.0</v>
      </c>
      <c r="AA3" s="1">
        <v>6.0</v>
      </c>
    </row>
    <row r="4" ht="12.75" customHeight="1">
      <c r="A4" s="1" t="s">
        <v>27</v>
      </c>
      <c r="B4" s="1" t="str">
        <f>IFERROR(__xludf.DUMMYFUNCTION("split(A4, ""\"")"),"Alex Ovechkin")</f>
        <v>Alex Ovechkin</v>
      </c>
      <c r="C4" s="1" t="str">
        <f>IFERROR(__xludf.DUMMYFUNCTION("""COMPUTED_VALUE"""),"ovechal01")</f>
        <v>ovechal01</v>
      </c>
      <c r="D4" s="1" t="s">
        <v>28</v>
      </c>
      <c r="E4" s="1">
        <f t="shared" si="1"/>
        <v>453.9</v>
      </c>
      <c r="F4" s="1">
        <f t="shared" si="2"/>
        <v>5.54</v>
      </c>
      <c r="G4" s="1">
        <v>82.0</v>
      </c>
      <c r="H4" s="1">
        <v>49.0</v>
      </c>
      <c r="I4" s="1">
        <v>38.0</v>
      </c>
      <c r="J4" s="1">
        <v>87.0</v>
      </c>
      <c r="K4" s="1">
        <v>355.0</v>
      </c>
      <c r="L4" s="1">
        <v>139.0</v>
      </c>
      <c r="M4" s="1">
        <v>21.0</v>
      </c>
      <c r="N4" s="1">
        <v>17.0</v>
      </c>
      <c r="O4" s="1">
        <v>14.0</v>
      </c>
      <c r="P4" s="1">
        <v>0.0</v>
      </c>
      <c r="Q4" s="1">
        <v>0.0</v>
      </c>
      <c r="R4" s="1">
        <v>3.0</v>
      </c>
      <c r="S4" s="1">
        <v>32.0</v>
      </c>
      <c r="T4" s="1">
        <v>7.0</v>
      </c>
    </row>
    <row r="5" ht="12.75" customHeight="1">
      <c r="A5" s="1" t="s">
        <v>29</v>
      </c>
      <c r="B5" s="1" t="str">
        <f>IFERROR(__xludf.DUMMYFUNCTION("split(A5, ""\"")"),"Andrei Vasilevskiy")</f>
        <v>Andrei Vasilevskiy</v>
      </c>
      <c r="C5" s="2" t="str">
        <f>IFERROR(__xludf.DUMMYFUNCTION("""COMPUTED_VALUE"""),"vasilan02")</f>
        <v>vasilan02</v>
      </c>
      <c r="D5" s="1" t="s">
        <v>5</v>
      </c>
      <c r="E5" s="1">
        <f t="shared" si="1"/>
        <v>450</v>
      </c>
      <c r="F5" s="1">
        <f t="shared" si="2"/>
        <v>6.92</v>
      </c>
      <c r="G5" s="1">
        <v>65.0</v>
      </c>
      <c r="U5" s="1">
        <v>64.0</v>
      </c>
      <c r="V5" s="1">
        <v>44.0</v>
      </c>
      <c r="W5" s="1">
        <v>17.0</v>
      </c>
      <c r="X5" s="1">
        <v>167.0</v>
      </c>
      <c r="Y5" s="1">
        <v>2075.0</v>
      </c>
      <c r="Z5" s="1">
        <v>1908.0</v>
      </c>
      <c r="AA5" s="1">
        <v>8.0</v>
      </c>
    </row>
    <row r="6" ht="12.75" customHeight="1">
      <c r="A6" s="1" t="s">
        <v>30</v>
      </c>
      <c r="B6" s="1" t="str">
        <f>IFERROR(__xludf.DUMMYFUNCTION("split(A6, ""\"")"),"Connor McDavid")</f>
        <v>Connor McDavid</v>
      </c>
      <c r="C6" s="1" t="str">
        <f>IFERROR(__xludf.DUMMYFUNCTION("""COMPUTED_VALUE"""),"mcdavco01")</f>
        <v>mcdavco01</v>
      </c>
      <c r="D6" s="1" t="s">
        <v>31</v>
      </c>
      <c r="E6" s="1">
        <f t="shared" si="1"/>
        <v>449.4</v>
      </c>
      <c r="F6" s="1">
        <f t="shared" si="2"/>
        <v>5.48</v>
      </c>
      <c r="G6" s="1">
        <v>82.0</v>
      </c>
      <c r="H6" s="1">
        <v>41.0</v>
      </c>
      <c r="I6" s="1">
        <v>67.0</v>
      </c>
      <c r="J6" s="1">
        <v>108.0</v>
      </c>
      <c r="K6" s="1">
        <v>274.0</v>
      </c>
      <c r="L6" s="1">
        <v>28.0</v>
      </c>
      <c r="M6" s="1">
        <v>46.0</v>
      </c>
      <c r="N6" s="1">
        <v>5.0</v>
      </c>
      <c r="O6" s="1">
        <v>15.0</v>
      </c>
      <c r="P6" s="1">
        <v>1.0</v>
      </c>
      <c r="Q6" s="1">
        <v>3.0</v>
      </c>
      <c r="R6" s="1">
        <v>20.0</v>
      </c>
      <c r="S6" s="1">
        <v>26.0</v>
      </c>
      <c r="T6" s="1">
        <v>7.0</v>
      </c>
    </row>
    <row r="7" ht="12.75" customHeight="1">
      <c r="A7" s="1" t="s">
        <v>32</v>
      </c>
      <c r="B7" s="1" t="str">
        <f>IFERROR(__xludf.DUMMYFUNCTION("split(A7, ""\"")"),"Frederik Andersen")</f>
        <v>Frederik Andersen</v>
      </c>
      <c r="C7" s="2" t="str">
        <f>IFERROR(__xludf.DUMMYFUNCTION("""COMPUTED_VALUE"""),"anderfr01")</f>
        <v>anderfr01</v>
      </c>
      <c r="D7" s="1" t="s">
        <v>5</v>
      </c>
      <c r="E7" s="1">
        <f t="shared" si="1"/>
        <v>444.25</v>
      </c>
      <c r="F7" s="1">
        <f t="shared" si="2"/>
        <v>6.73</v>
      </c>
      <c r="G7" s="1">
        <v>66.0</v>
      </c>
      <c r="U7" s="1">
        <v>66.0</v>
      </c>
      <c r="V7" s="1">
        <v>38.0</v>
      </c>
      <c r="W7" s="1">
        <v>21.0</v>
      </c>
      <c r="X7" s="1">
        <v>182.0</v>
      </c>
      <c r="Y7" s="1">
        <v>2211.0</v>
      </c>
      <c r="Z7" s="1">
        <v>2029.0</v>
      </c>
      <c r="AA7" s="1">
        <v>5.0</v>
      </c>
    </row>
    <row r="8" ht="12.75" customHeight="1">
      <c r="A8" s="1" t="s">
        <v>33</v>
      </c>
      <c r="B8" s="1" t="str">
        <f>IFERROR(__xludf.DUMMYFUNCTION("split(A8, ""\"")"),"Taylor Hall")</f>
        <v>Taylor Hall</v>
      </c>
      <c r="C8" s="1" t="str">
        <f>IFERROR(__xludf.DUMMYFUNCTION("""COMPUTED_VALUE"""),"hallta02")</f>
        <v>hallta02</v>
      </c>
      <c r="D8" s="1" t="s">
        <v>28</v>
      </c>
      <c r="E8" s="1">
        <f t="shared" si="1"/>
        <v>434.1</v>
      </c>
      <c r="F8" s="1">
        <f t="shared" si="2"/>
        <v>5.71</v>
      </c>
      <c r="G8" s="1">
        <v>76.0</v>
      </c>
      <c r="H8" s="1">
        <v>39.0</v>
      </c>
      <c r="I8" s="1">
        <v>54.0</v>
      </c>
      <c r="J8" s="1">
        <v>93.0</v>
      </c>
      <c r="K8" s="1">
        <v>278.0</v>
      </c>
      <c r="L8" s="1">
        <v>72.0</v>
      </c>
      <c r="M8" s="1">
        <v>44.0</v>
      </c>
      <c r="N8" s="1">
        <v>13.0</v>
      </c>
      <c r="O8" s="1">
        <v>24.0</v>
      </c>
      <c r="P8" s="1">
        <v>1.0</v>
      </c>
      <c r="Q8" s="1">
        <v>0.0</v>
      </c>
      <c r="R8" s="1">
        <v>14.0</v>
      </c>
      <c r="S8" s="1">
        <v>34.0</v>
      </c>
      <c r="T8" s="1">
        <v>7.0</v>
      </c>
    </row>
    <row r="9" ht="12.75" customHeight="1">
      <c r="A9" s="1" t="s">
        <v>34</v>
      </c>
      <c r="B9" s="1" t="str">
        <f>IFERROR(__xludf.DUMMYFUNCTION("split(A9, ""\"")"),"Evgeni Malkin")</f>
        <v>Evgeni Malkin</v>
      </c>
      <c r="C9" s="1" t="str">
        <f>IFERROR(__xludf.DUMMYFUNCTION("""COMPUTED_VALUE"""),"malkiev01")</f>
        <v>malkiev01</v>
      </c>
      <c r="D9" s="1" t="s">
        <v>31</v>
      </c>
      <c r="E9" s="1">
        <f t="shared" si="1"/>
        <v>430.55</v>
      </c>
      <c r="F9" s="1">
        <f t="shared" si="2"/>
        <v>5.52</v>
      </c>
      <c r="G9" s="1">
        <v>78.0</v>
      </c>
      <c r="H9" s="1">
        <v>42.0</v>
      </c>
      <c r="I9" s="1">
        <v>56.0</v>
      </c>
      <c r="J9" s="1">
        <v>98.0</v>
      </c>
      <c r="K9" s="1">
        <v>239.0</v>
      </c>
      <c r="L9" s="1">
        <v>48.0</v>
      </c>
      <c r="M9" s="1">
        <v>32.0</v>
      </c>
      <c r="N9" s="1">
        <v>14.0</v>
      </c>
      <c r="O9" s="1">
        <v>24.0</v>
      </c>
      <c r="P9" s="1">
        <v>0.0</v>
      </c>
      <c r="Q9" s="1">
        <v>0.0</v>
      </c>
      <c r="R9" s="1">
        <v>16.0</v>
      </c>
      <c r="S9" s="1">
        <v>87.0</v>
      </c>
      <c r="T9" s="1">
        <v>7.0</v>
      </c>
    </row>
    <row r="10" ht="12.75" customHeight="1">
      <c r="A10" s="1" t="s">
        <v>35</v>
      </c>
      <c r="B10" s="1" t="str">
        <f>IFERROR(__xludf.DUMMYFUNCTION("split(A10, ""\"")"),"Nikita Kucherov")</f>
        <v>Nikita Kucherov</v>
      </c>
      <c r="C10" s="1" t="str">
        <f>IFERROR(__xludf.DUMMYFUNCTION("""COMPUTED_VALUE"""),"kucheni01")</f>
        <v>kucheni01</v>
      </c>
      <c r="D10" s="1" t="s">
        <v>36</v>
      </c>
      <c r="E10" s="1">
        <f t="shared" si="1"/>
        <v>428</v>
      </c>
      <c r="F10" s="1">
        <f t="shared" si="2"/>
        <v>5.35</v>
      </c>
      <c r="G10" s="1">
        <v>80.0</v>
      </c>
      <c r="H10" s="1">
        <v>39.0</v>
      </c>
      <c r="I10" s="1">
        <v>61.0</v>
      </c>
      <c r="J10" s="1">
        <v>100.0</v>
      </c>
      <c r="K10" s="1">
        <v>279.0</v>
      </c>
      <c r="L10" s="1">
        <v>31.0</v>
      </c>
      <c r="M10" s="1">
        <v>15.0</v>
      </c>
      <c r="N10" s="1">
        <v>8.0</v>
      </c>
      <c r="O10" s="1">
        <v>28.0</v>
      </c>
      <c r="P10" s="1">
        <v>0.0</v>
      </c>
      <c r="Q10" s="1">
        <v>0.0</v>
      </c>
      <c r="R10" s="1">
        <v>15.0</v>
      </c>
      <c r="S10" s="1">
        <v>42.0</v>
      </c>
      <c r="T10" s="1">
        <v>7.0</v>
      </c>
    </row>
    <row r="11" ht="12.75" customHeight="1">
      <c r="A11" s="1" t="s">
        <v>37</v>
      </c>
      <c r="B11" s="1" t="str">
        <f>IFERROR(__xludf.DUMMYFUNCTION("split(A11, ""\"")"),"Pekka Rinne")</f>
        <v>Pekka Rinne</v>
      </c>
      <c r="C11" s="2" t="str">
        <f>IFERROR(__xludf.DUMMYFUNCTION("""COMPUTED_VALUE"""),"rinnepe01")</f>
        <v>rinnepe01</v>
      </c>
      <c r="D11" s="1" t="s">
        <v>5</v>
      </c>
      <c r="E11" s="1">
        <f t="shared" si="1"/>
        <v>426.5</v>
      </c>
      <c r="F11" s="1">
        <f t="shared" si="2"/>
        <v>7.23</v>
      </c>
      <c r="G11" s="1">
        <v>59.0</v>
      </c>
      <c r="U11" s="1">
        <v>59.0</v>
      </c>
      <c r="V11" s="1">
        <v>42.0</v>
      </c>
      <c r="W11" s="1">
        <v>13.0</v>
      </c>
      <c r="X11" s="1">
        <v>134.0</v>
      </c>
      <c r="Y11" s="1">
        <v>1840.0</v>
      </c>
      <c r="Z11" s="1">
        <v>1706.0</v>
      </c>
      <c r="AA11" s="1">
        <v>8.0</v>
      </c>
    </row>
    <row r="12" ht="12.75" customHeight="1">
      <c r="A12" s="1" t="s">
        <v>38</v>
      </c>
      <c r="B12" s="1" t="str">
        <f>IFERROR(__xludf.DUMMYFUNCTION("split(A12, ""\"")"),"Nathan MacKinnon")</f>
        <v>Nathan MacKinnon</v>
      </c>
      <c r="C12" s="1" t="str">
        <f>IFERROR(__xludf.DUMMYFUNCTION("""COMPUTED_VALUE"""),"mackina01")</f>
        <v>mackina01</v>
      </c>
      <c r="D12" s="1" t="s">
        <v>31</v>
      </c>
      <c r="E12" s="1">
        <f t="shared" si="1"/>
        <v>423.3</v>
      </c>
      <c r="F12" s="1">
        <f t="shared" si="2"/>
        <v>5.72</v>
      </c>
      <c r="G12" s="1">
        <v>74.0</v>
      </c>
      <c r="H12" s="1">
        <v>39.0</v>
      </c>
      <c r="I12" s="1">
        <v>58.0</v>
      </c>
      <c r="J12" s="1">
        <v>97.0</v>
      </c>
      <c r="K12" s="1">
        <v>284.0</v>
      </c>
      <c r="L12" s="1">
        <v>38.0</v>
      </c>
      <c r="M12" s="1">
        <v>22.0</v>
      </c>
      <c r="N12" s="1">
        <v>12.0</v>
      </c>
      <c r="O12" s="1">
        <v>20.0</v>
      </c>
      <c r="P12" s="1">
        <v>0.0</v>
      </c>
      <c r="Q12" s="1">
        <v>1.0</v>
      </c>
      <c r="R12" s="1">
        <v>11.0</v>
      </c>
      <c r="S12" s="1">
        <v>55.0</v>
      </c>
      <c r="T12" s="1">
        <v>12.0</v>
      </c>
    </row>
    <row r="13" ht="12.75" customHeight="1">
      <c r="A13" s="1" t="s">
        <v>39</v>
      </c>
      <c r="B13" s="1" t="str">
        <f>IFERROR(__xludf.DUMMYFUNCTION("split(A13, ""\"")"),"Sergei Bobrovsky")</f>
        <v>Sergei Bobrovsky</v>
      </c>
      <c r="C13" s="2" t="str">
        <f>IFERROR(__xludf.DUMMYFUNCTION("""COMPUTED_VALUE"""),"bobrose01")</f>
        <v>bobrose01</v>
      </c>
      <c r="D13" s="1" t="s">
        <v>5</v>
      </c>
      <c r="E13" s="1">
        <f t="shared" si="1"/>
        <v>416.75</v>
      </c>
      <c r="F13" s="1">
        <f t="shared" si="2"/>
        <v>6.41</v>
      </c>
      <c r="G13" s="1">
        <v>65.0</v>
      </c>
      <c r="U13" s="1">
        <v>65.0</v>
      </c>
      <c r="V13" s="1">
        <v>37.0</v>
      </c>
      <c r="W13" s="1">
        <v>22.0</v>
      </c>
      <c r="X13" s="1">
        <v>158.0</v>
      </c>
      <c r="Y13" s="1">
        <v>1993.0</v>
      </c>
      <c r="Z13" s="1">
        <v>1835.0</v>
      </c>
      <c r="AA13" s="1">
        <v>5.0</v>
      </c>
    </row>
    <row r="14" ht="12.75" customHeight="1">
      <c r="A14" s="1" t="s">
        <v>40</v>
      </c>
      <c r="B14" s="1" t="str">
        <f>IFERROR(__xludf.DUMMYFUNCTION("split(A14, ""\"")"),"Blake Wheeler")</f>
        <v>Blake Wheeler</v>
      </c>
      <c r="C14" s="1" t="str">
        <f>IFERROR(__xludf.DUMMYFUNCTION("""COMPUTED_VALUE"""),"wheelbl01")</f>
        <v>wheelbl01</v>
      </c>
      <c r="D14" s="1" t="s">
        <v>36</v>
      </c>
      <c r="E14" s="1">
        <f t="shared" si="1"/>
        <v>415.4</v>
      </c>
      <c r="F14" s="1">
        <f t="shared" si="2"/>
        <v>5.13</v>
      </c>
      <c r="G14" s="1">
        <v>81.0</v>
      </c>
      <c r="H14" s="1">
        <v>23.0</v>
      </c>
      <c r="I14" s="1">
        <v>68.0</v>
      </c>
      <c r="J14" s="1">
        <v>91.0</v>
      </c>
      <c r="K14" s="1">
        <v>246.0</v>
      </c>
      <c r="L14" s="1">
        <v>94.0</v>
      </c>
      <c r="M14" s="1">
        <v>66.0</v>
      </c>
      <c r="N14" s="1">
        <v>6.0</v>
      </c>
      <c r="O14" s="1">
        <v>34.0</v>
      </c>
      <c r="P14" s="1">
        <v>0.0</v>
      </c>
      <c r="Q14" s="1">
        <v>2.0</v>
      </c>
      <c r="R14" s="1">
        <v>13.0</v>
      </c>
      <c r="S14" s="1">
        <v>52.0</v>
      </c>
      <c r="T14" s="1">
        <v>2.0</v>
      </c>
    </row>
    <row r="15" ht="12.75" customHeight="1">
      <c r="A15" s="1" t="s">
        <v>41</v>
      </c>
      <c r="B15" s="1" t="str">
        <f>IFERROR(__xludf.DUMMYFUNCTION("split(A15, ""\"")"),"Claude Giroux")</f>
        <v>Claude Giroux</v>
      </c>
      <c r="C15" s="1" t="str">
        <f>IFERROR(__xludf.DUMMYFUNCTION("""COMPUTED_VALUE"""),"giroucl01")</f>
        <v>giroucl01</v>
      </c>
      <c r="D15" s="1" t="s">
        <v>42</v>
      </c>
      <c r="E15" s="1">
        <f t="shared" si="1"/>
        <v>406.95</v>
      </c>
      <c r="F15" s="1">
        <f t="shared" si="2"/>
        <v>4.96</v>
      </c>
      <c r="G15" s="1">
        <v>82.0</v>
      </c>
      <c r="H15" s="1">
        <v>34.0</v>
      </c>
      <c r="I15" s="1">
        <v>68.0</v>
      </c>
      <c r="J15" s="1">
        <v>102.0</v>
      </c>
      <c r="K15" s="1">
        <v>193.0</v>
      </c>
      <c r="L15" s="1">
        <v>30.0</v>
      </c>
      <c r="M15" s="1">
        <v>23.0</v>
      </c>
      <c r="N15" s="1">
        <v>9.0</v>
      </c>
      <c r="O15" s="1">
        <v>27.0</v>
      </c>
      <c r="P15" s="1">
        <v>0.0</v>
      </c>
      <c r="Q15" s="1">
        <v>0.0</v>
      </c>
      <c r="R15" s="1">
        <v>28.0</v>
      </c>
      <c r="S15" s="1">
        <v>20.0</v>
      </c>
      <c r="T15" s="1">
        <v>1.0</v>
      </c>
    </row>
    <row r="16" ht="12.75" customHeight="1">
      <c r="A16" s="1" t="s">
        <v>43</v>
      </c>
      <c r="B16" s="1" t="str">
        <f>IFERROR(__xludf.DUMMYFUNCTION("split(A16, ""\"")"),"Tyler Seguin")</f>
        <v>Tyler Seguin</v>
      </c>
      <c r="C16" s="1" t="str">
        <f>IFERROR(__xludf.DUMMYFUNCTION("""COMPUTED_VALUE"""),"seguity01")</f>
        <v>seguity01</v>
      </c>
      <c r="D16" s="1" t="s">
        <v>31</v>
      </c>
      <c r="E16" s="1">
        <f t="shared" si="1"/>
        <v>401.85</v>
      </c>
      <c r="F16" s="1">
        <f t="shared" si="2"/>
        <v>4.9</v>
      </c>
      <c r="G16" s="1">
        <v>82.0</v>
      </c>
      <c r="H16" s="1">
        <v>40.0</v>
      </c>
      <c r="I16" s="1">
        <v>38.0</v>
      </c>
      <c r="J16" s="1">
        <v>78.0</v>
      </c>
      <c r="K16" s="1">
        <v>335.0</v>
      </c>
      <c r="L16" s="1">
        <v>74.0</v>
      </c>
      <c r="M16" s="1">
        <v>44.0</v>
      </c>
      <c r="N16" s="1">
        <v>14.0</v>
      </c>
      <c r="O16" s="1">
        <v>11.0</v>
      </c>
      <c r="P16" s="1">
        <v>1.0</v>
      </c>
      <c r="Q16" s="1">
        <v>1.0</v>
      </c>
      <c r="R16" s="1">
        <v>12.0</v>
      </c>
      <c r="S16" s="1">
        <v>43.0</v>
      </c>
      <c r="T16" s="1">
        <v>6.0</v>
      </c>
    </row>
    <row r="17" ht="12.75" customHeight="1">
      <c r="A17" s="1" t="s">
        <v>44</v>
      </c>
      <c r="B17" s="1" t="str">
        <f>IFERROR(__xludf.DUMMYFUNCTION("split(A17, ""\"")"),"Anze Kopitar")</f>
        <v>Anze Kopitar</v>
      </c>
      <c r="C17" s="1" t="str">
        <f>IFERROR(__xludf.DUMMYFUNCTION("""COMPUTED_VALUE"""),"kopitan01")</f>
        <v>kopitan01</v>
      </c>
      <c r="D17" s="1" t="s">
        <v>31</v>
      </c>
      <c r="E17" s="1">
        <f t="shared" si="1"/>
        <v>399.6</v>
      </c>
      <c r="F17" s="1">
        <f t="shared" si="2"/>
        <v>4.87</v>
      </c>
      <c r="G17" s="1">
        <v>82.0</v>
      </c>
      <c r="H17" s="1">
        <v>35.0</v>
      </c>
      <c r="I17" s="1">
        <v>57.0</v>
      </c>
      <c r="J17" s="1">
        <v>92.0</v>
      </c>
      <c r="K17" s="1">
        <v>200.0</v>
      </c>
      <c r="L17" s="1">
        <v>50.0</v>
      </c>
      <c r="M17" s="1">
        <v>64.0</v>
      </c>
      <c r="N17" s="1">
        <v>7.0</v>
      </c>
      <c r="O17" s="1">
        <v>20.0</v>
      </c>
      <c r="P17" s="1">
        <v>0.0</v>
      </c>
      <c r="Q17" s="1">
        <v>2.0</v>
      </c>
      <c r="R17" s="1">
        <v>21.0</v>
      </c>
      <c r="S17" s="1">
        <v>20.0</v>
      </c>
      <c r="T17" s="1">
        <v>6.0</v>
      </c>
    </row>
    <row r="18" ht="12.75" customHeight="1">
      <c r="A18" s="1" t="s">
        <v>45</v>
      </c>
      <c r="B18" s="1" t="str">
        <f>IFERROR(__xludf.DUMMYFUNCTION("split(A18, ""\"")"),"Sidney Crosby")</f>
        <v>Sidney Crosby</v>
      </c>
      <c r="C18" s="1" t="str">
        <f>IFERROR(__xludf.DUMMYFUNCTION("""COMPUTED_VALUE"""),"crosbsi01")</f>
        <v>crosbsi01</v>
      </c>
      <c r="D18" s="1" t="s">
        <v>31</v>
      </c>
      <c r="E18" s="1">
        <f t="shared" si="1"/>
        <v>398.9</v>
      </c>
      <c r="F18" s="1">
        <f t="shared" si="2"/>
        <v>4.86</v>
      </c>
      <c r="G18" s="1">
        <v>82.0</v>
      </c>
      <c r="H18" s="1">
        <v>29.0</v>
      </c>
      <c r="I18" s="1">
        <v>60.0</v>
      </c>
      <c r="J18" s="1">
        <v>89.0</v>
      </c>
      <c r="K18" s="1">
        <v>247.0</v>
      </c>
      <c r="L18" s="1">
        <v>75.0</v>
      </c>
      <c r="M18" s="1">
        <v>36.0</v>
      </c>
      <c r="N18" s="1">
        <v>9.0</v>
      </c>
      <c r="O18" s="1">
        <v>29.0</v>
      </c>
      <c r="P18" s="1">
        <v>0.0</v>
      </c>
      <c r="Q18" s="1">
        <v>0.0</v>
      </c>
      <c r="R18" s="1">
        <v>0.0</v>
      </c>
      <c r="S18" s="1">
        <v>46.0</v>
      </c>
      <c r="T18" s="1">
        <v>6.0</v>
      </c>
    </row>
    <row r="19" ht="12.75" customHeight="1">
      <c r="A19" s="1" t="s">
        <v>46</v>
      </c>
      <c r="B19" s="1" t="str">
        <f>IFERROR(__xludf.DUMMYFUNCTION("split(A19, ""\"")"),"Phil Kessel")</f>
        <v>Phil Kessel</v>
      </c>
      <c r="C19" s="1" t="str">
        <f>IFERROR(__xludf.DUMMYFUNCTION("""COMPUTED_VALUE"""),"kesseph01")</f>
        <v>kesseph01</v>
      </c>
      <c r="D19" s="1" t="s">
        <v>36</v>
      </c>
      <c r="E19" s="1">
        <f t="shared" si="1"/>
        <v>397.55</v>
      </c>
      <c r="F19" s="1">
        <f t="shared" si="2"/>
        <v>4.85</v>
      </c>
      <c r="G19" s="1">
        <v>82.0</v>
      </c>
      <c r="H19" s="1">
        <v>34.0</v>
      </c>
      <c r="I19" s="1">
        <v>58.0</v>
      </c>
      <c r="J19" s="1">
        <v>92.0</v>
      </c>
      <c r="K19" s="1">
        <v>261.0</v>
      </c>
      <c r="L19" s="1">
        <v>10.0</v>
      </c>
      <c r="M19" s="1">
        <v>17.0</v>
      </c>
      <c r="N19" s="1">
        <v>12.0</v>
      </c>
      <c r="O19" s="1">
        <v>30.0</v>
      </c>
      <c r="P19" s="1">
        <v>0.0</v>
      </c>
      <c r="Q19" s="1">
        <v>0.0</v>
      </c>
      <c r="R19" s="1">
        <v>-4.0</v>
      </c>
      <c r="S19" s="1">
        <v>36.0</v>
      </c>
      <c r="T19" s="1">
        <v>6.0</v>
      </c>
    </row>
    <row r="20" ht="12.75" customHeight="1">
      <c r="A20" s="1" t="s">
        <v>47</v>
      </c>
      <c r="B20" s="1" t="str">
        <f>IFERROR(__xludf.DUMMYFUNCTION("split(A20, ""\"")"),"Jamie Benn")</f>
        <v>Jamie Benn</v>
      </c>
      <c r="C20" s="1" t="str">
        <f>IFERROR(__xludf.DUMMYFUNCTION("""COMPUTED_VALUE"""),"bennja01")</f>
        <v>bennja01</v>
      </c>
      <c r="D20" s="1" t="s">
        <v>28</v>
      </c>
      <c r="E20" s="1">
        <f t="shared" si="1"/>
        <v>395.55</v>
      </c>
      <c r="F20" s="1">
        <f t="shared" si="2"/>
        <v>4.82</v>
      </c>
      <c r="G20" s="1">
        <v>82.0</v>
      </c>
      <c r="H20" s="1">
        <v>36.0</v>
      </c>
      <c r="I20" s="1">
        <v>43.0</v>
      </c>
      <c r="J20" s="1">
        <v>79.0</v>
      </c>
      <c r="K20" s="1">
        <v>241.0</v>
      </c>
      <c r="L20" s="1">
        <v>140.0</v>
      </c>
      <c r="M20" s="1">
        <v>62.0</v>
      </c>
      <c r="N20" s="1">
        <v>9.0</v>
      </c>
      <c r="O20" s="1">
        <v>13.0</v>
      </c>
      <c r="P20" s="1">
        <v>1.0</v>
      </c>
      <c r="Q20" s="1">
        <v>1.0</v>
      </c>
      <c r="R20" s="1">
        <v>20.0</v>
      </c>
      <c r="S20" s="1">
        <v>54.0</v>
      </c>
      <c r="T20" s="1">
        <v>7.0</v>
      </c>
    </row>
    <row r="21" ht="12.75" customHeight="1">
      <c r="A21" s="1" t="s">
        <v>48</v>
      </c>
      <c r="B21" s="1" t="str">
        <f>IFERROR(__xludf.DUMMYFUNCTION("split(A21, ""\"")"),"Vincent Trocheck")</f>
        <v>Vincent Trocheck</v>
      </c>
      <c r="C21" s="1" t="str">
        <f>IFERROR(__xludf.DUMMYFUNCTION("""COMPUTED_VALUE"""),"trochvi01")</f>
        <v>trochvi01</v>
      </c>
      <c r="D21" s="1" t="s">
        <v>31</v>
      </c>
      <c r="E21" s="1">
        <f t="shared" si="1"/>
        <v>395</v>
      </c>
      <c r="F21" s="1">
        <f t="shared" si="2"/>
        <v>4.82</v>
      </c>
      <c r="G21" s="1">
        <v>82.0</v>
      </c>
      <c r="H21" s="1">
        <v>31.0</v>
      </c>
      <c r="I21" s="1">
        <v>44.0</v>
      </c>
      <c r="J21" s="1">
        <v>75.0</v>
      </c>
      <c r="K21" s="1">
        <v>287.0</v>
      </c>
      <c r="L21" s="1">
        <v>145.0</v>
      </c>
      <c r="M21" s="1">
        <v>55.0</v>
      </c>
      <c r="N21" s="1">
        <v>13.0</v>
      </c>
      <c r="O21" s="1">
        <v>14.0</v>
      </c>
      <c r="P21" s="1">
        <v>3.0</v>
      </c>
      <c r="Q21" s="1">
        <v>1.0</v>
      </c>
      <c r="R21" s="1">
        <v>-9.0</v>
      </c>
      <c r="S21" s="1">
        <v>54.0</v>
      </c>
      <c r="T21" s="1">
        <v>5.0</v>
      </c>
    </row>
    <row r="22" ht="12.75" customHeight="1">
      <c r="A22" s="1" t="s">
        <v>49</v>
      </c>
      <c r="B22" s="1" t="str">
        <f>IFERROR(__xludf.DUMMYFUNCTION("split(A22, ""\"")"),"John Gibson")</f>
        <v>John Gibson</v>
      </c>
      <c r="C22" s="2" t="str">
        <f>IFERROR(__xludf.DUMMYFUNCTION("""COMPUTED_VALUE"""),"gibsojo02")</f>
        <v>gibsojo02</v>
      </c>
      <c r="D22" s="1" t="s">
        <v>5</v>
      </c>
      <c r="E22" s="1">
        <f t="shared" si="1"/>
        <v>391.25</v>
      </c>
      <c r="F22" s="1">
        <f t="shared" si="2"/>
        <v>6.52</v>
      </c>
      <c r="G22" s="1">
        <v>60.0</v>
      </c>
      <c r="U22" s="1">
        <v>60.0</v>
      </c>
      <c r="V22" s="1">
        <v>31.0</v>
      </c>
      <c r="W22" s="1">
        <v>18.0</v>
      </c>
      <c r="X22" s="1">
        <v>139.0</v>
      </c>
      <c r="Y22" s="1">
        <v>1872.0</v>
      </c>
      <c r="Z22" s="1">
        <v>1733.0</v>
      </c>
      <c r="AA22" s="1">
        <v>4.0</v>
      </c>
    </row>
    <row r="23" ht="12.75" customHeight="1">
      <c r="A23" s="1" t="s">
        <v>50</v>
      </c>
      <c r="B23" s="1" t="str">
        <f>IFERROR(__xludf.DUMMYFUNCTION("split(A23, ""\"")"),"Jonathan Quick")</f>
        <v>Jonathan Quick</v>
      </c>
      <c r="C23" s="2" t="str">
        <f>IFERROR(__xludf.DUMMYFUNCTION("""COMPUTED_VALUE"""),"quickjo01")</f>
        <v>quickjo01</v>
      </c>
      <c r="D23" s="1" t="s">
        <v>5</v>
      </c>
      <c r="E23" s="1">
        <f t="shared" si="1"/>
        <v>387</v>
      </c>
      <c r="F23" s="1">
        <f t="shared" si="2"/>
        <v>6.05</v>
      </c>
      <c r="G23" s="1">
        <v>64.0</v>
      </c>
      <c r="U23" s="1">
        <v>63.0</v>
      </c>
      <c r="V23" s="1">
        <v>33.0</v>
      </c>
      <c r="W23" s="1">
        <v>28.0</v>
      </c>
      <c r="X23" s="1">
        <v>147.0</v>
      </c>
      <c r="Y23" s="1">
        <v>1867.0</v>
      </c>
      <c r="Z23" s="1">
        <v>1720.0</v>
      </c>
      <c r="AA23" s="1">
        <v>5.0</v>
      </c>
    </row>
    <row r="24" ht="12.75" customHeight="1">
      <c r="A24" s="1" t="s">
        <v>51</v>
      </c>
      <c r="B24" s="1" t="str">
        <f>IFERROR(__xludf.DUMMYFUNCTION("split(A24, ""\"")"),"John Tavares")</f>
        <v>John Tavares</v>
      </c>
      <c r="C24" s="1" t="str">
        <f>IFERROR(__xludf.DUMMYFUNCTION("""COMPUTED_VALUE"""),"tavarjo01")</f>
        <v>tavarjo01</v>
      </c>
      <c r="D24" s="1" t="s">
        <v>31</v>
      </c>
      <c r="E24" s="1">
        <f t="shared" si="1"/>
        <v>383.85</v>
      </c>
      <c r="F24" s="1">
        <f t="shared" si="2"/>
        <v>4.68</v>
      </c>
      <c r="G24" s="1">
        <v>82.0</v>
      </c>
      <c r="H24" s="1">
        <v>37.0</v>
      </c>
      <c r="I24" s="1">
        <v>47.0</v>
      </c>
      <c r="J24" s="1">
        <v>84.0</v>
      </c>
      <c r="K24" s="1">
        <v>257.0</v>
      </c>
      <c r="L24" s="1">
        <v>30.0</v>
      </c>
      <c r="M24" s="1">
        <v>34.0</v>
      </c>
      <c r="N24" s="1">
        <v>12.0</v>
      </c>
      <c r="O24" s="1">
        <v>18.0</v>
      </c>
      <c r="P24" s="1">
        <v>2.0</v>
      </c>
      <c r="Q24" s="1">
        <v>1.0</v>
      </c>
      <c r="R24" s="1">
        <v>-12.0</v>
      </c>
      <c r="S24" s="1">
        <v>26.0</v>
      </c>
      <c r="T24" s="1">
        <v>3.0</v>
      </c>
    </row>
    <row r="25" ht="12.75" customHeight="1">
      <c r="A25" s="1" t="s">
        <v>52</v>
      </c>
      <c r="B25" s="1" t="str">
        <f>IFERROR(__xludf.DUMMYFUNCTION("split(A25, ""\"")"),"Henrik Lundqvist")</f>
        <v>Henrik Lundqvist</v>
      </c>
      <c r="C25" s="2" t="str">
        <f>IFERROR(__xludf.DUMMYFUNCTION("""COMPUTED_VALUE"""),"lundqhe01")</f>
        <v>lundqhe01</v>
      </c>
      <c r="D25" s="1" t="s">
        <v>5</v>
      </c>
      <c r="E25" s="1">
        <f t="shared" si="1"/>
        <v>371.5</v>
      </c>
      <c r="F25" s="1">
        <f t="shared" si="2"/>
        <v>5.9</v>
      </c>
      <c r="G25" s="1">
        <v>63.0</v>
      </c>
      <c r="U25" s="1">
        <v>61.0</v>
      </c>
      <c r="V25" s="1">
        <v>26.0</v>
      </c>
      <c r="W25" s="1">
        <v>26.0</v>
      </c>
      <c r="X25" s="1">
        <v>174.0</v>
      </c>
      <c r="Y25" s="1">
        <v>2036.0</v>
      </c>
      <c r="Z25" s="1">
        <v>1862.0</v>
      </c>
      <c r="AA25" s="1">
        <v>2.0</v>
      </c>
    </row>
    <row r="26" ht="12.75" customHeight="1">
      <c r="A26" s="1" t="s">
        <v>53</v>
      </c>
      <c r="B26" s="1" t="str">
        <f>IFERROR(__xludf.DUMMYFUNCTION("split(A26, ""\"")"),"Devan Dubnyk")</f>
        <v>Devan Dubnyk</v>
      </c>
      <c r="C26" s="2" t="str">
        <f>IFERROR(__xludf.DUMMYFUNCTION("""COMPUTED_VALUE"""),"dubnyde01")</f>
        <v>dubnyde01</v>
      </c>
      <c r="D26" s="1" t="s">
        <v>5</v>
      </c>
      <c r="E26" s="1">
        <f t="shared" si="1"/>
        <v>371</v>
      </c>
      <c r="F26" s="1">
        <f t="shared" si="2"/>
        <v>6.18</v>
      </c>
      <c r="G26" s="1">
        <v>60.0</v>
      </c>
      <c r="U26" s="1">
        <v>59.0</v>
      </c>
      <c r="V26" s="1">
        <v>35.0</v>
      </c>
      <c r="W26" s="1">
        <v>16.0</v>
      </c>
      <c r="X26" s="1">
        <v>145.0</v>
      </c>
      <c r="Y26" s="1">
        <v>1769.0</v>
      </c>
      <c r="Z26" s="1">
        <v>1624.0</v>
      </c>
      <c r="AA26" s="1">
        <v>5.0</v>
      </c>
    </row>
    <row r="27" ht="12.75" customHeight="1">
      <c r="A27" s="1" t="s">
        <v>54</v>
      </c>
      <c r="B27" s="1" t="str">
        <f>IFERROR(__xludf.DUMMYFUNCTION("split(A27, ""\"")"),"Steven Stamkos")</f>
        <v>Steven Stamkos</v>
      </c>
      <c r="C27" s="1" t="str">
        <f>IFERROR(__xludf.DUMMYFUNCTION("""COMPUTED_VALUE"""),"stamkst01")</f>
        <v>stamkst01</v>
      </c>
      <c r="D27" s="1" t="s">
        <v>31</v>
      </c>
      <c r="E27" s="1">
        <f t="shared" si="1"/>
        <v>370.75</v>
      </c>
      <c r="F27" s="1">
        <f t="shared" si="2"/>
        <v>4.75</v>
      </c>
      <c r="G27" s="1">
        <v>78.0</v>
      </c>
      <c r="H27" s="1">
        <v>27.0</v>
      </c>
      <c r="I27" s="1">
        <v>59.0</v>
      </c>
      <c r="J27" s="1">
        <v>86.0</v>
      </c>
      <c r="K27" s="1">
        <v>212.0</v>
      </c>
      <c r="L27" s="1">
        <v>61.0</v>
      </c>
      <c r="M27" s="1">
        <v>35.0</v>
      </c>
      <c r="N27" s="1">
        <v>15.0</v>
      </c>
      <c r="O27" s="1">
        <v>18.0</v>
      </c>
      <c r="P27" s="1">
        <v>0.0</v>
      </c>
      <c r="Q27" s="1">
        <v>0.0</v>
      </c>
      <c r="R27" s="1">
        <v>18.0</v>
      </c>
      <c r="S27" s="1">
        <v>72.0</v>
      </c>
      <c r="T27" s="1">
        <v>1.0</v>
      </c>
    </row>
    <row r="28" ht="12.75" customHeight="1">
      <c r="A28" s="1" t="s">
        <v>55</v>
      </c>
      <c r="B28" s="1" t="str">
        <f>IFERROR(__xludf.DUMMYFUNCTION("split(A28, ""\"")"),"Brent Burns")</f>
        <v>Brent Burns</v>
      </c>
      <c r="C28" s="1" t="str">
        <f>IFERROR(__xludf.DUMMYFUNCTION("""COMPUTED_VALUE"""),"burnsbr01")</f>
        <v>burnsbr01</v>
      </c>
      <c r="D28" s="1" t="s">
        <v>56</v>
      </c>
      <c r="E28" s="1">
        <f t="shared" si="1"/>
        <v>370.65</v>
      </c>
      <c r="F28" s="1">
        <f t="shared" si="2"/>
        <v>4.52</v>
      </c>
      <c r="G28" s="1">
        <v>82.0</v>
      </c>
      <c r="H28" s="1">
        <v>12.0</v>
      </c>
      <c r="I28" s="1">
        <v>55.0</v>
      </c>
      <c r="J28" s="1">
        <v>67.0</v>
      </c>
      <c r="K28" s="1">
        <v>332.0</v>
      </c>
      <c r="L28" s="1">
        <v>79.0</v>
      </c>
      <c r="M28" s="1">
        <v>136.0</v>
      </c>
      <c r="N28" s="1">
        <v>5.0</v>
      </c>
      <c r="O28" s="1">
        <v>22.0</v>
      </c>
      <c r="P28" s="1">
        <v>0.0</v>
      </c>
      <c r="Q28" s="1">
        <v>1.0</v>
      </c>
      <c r="R28" s="1">
        <v>-16.0</v>
      </c>
      <c r="S28" s="1">
        <v>46.0</v>
      </c>
      <c r="T28" s="1">
        <v>2.0</v>
      </c>
    </row>
    <row r="29" ht="12.75" customHeight="1">
      <c r="A29" s="1" t="s">
        <v>57</v>
      </c>
      <c r="B29" s="1" t="str">
        <f>IFERROR(__xludf.DUMMYFUNCTION("split(A29, ""\"")"),"Cam Talbot")</f>
        <v>Cam Talbot</v>
      </c>
      <c r="C29" s="2" t="str">
        <f>IFERROR(__xludf.DUMMYFUNCTION("""COMPUTED_VALUE"""),"talboca01")</f>
        <v>talboca01</v>
      </c>
      <c r="D29" s="1" t="s">
        <v>5</v>
      </c>
      <c r="E29" s="1">
        <f t="shared" si="1"/>
        <v>368</v>
      </c>
      <c r="F29" s="1">
        <f t="shared" si="2"/>
        <v>5.49</v>
      </c>
      <c r="G29" s="1">
        <v>67.0</v>
      </c>
      <c r="U29" s="1">
        <v>67.0</v>
      </c>
      <c r="V29" s="1">
        <v>31.0</v>
      </c>
      <c r="W29" s="1">
        <v>31.0</v>
      </c>
      <c r="X29" s="1">
        <v>188.0</v>
      </c>
      <c r="Y29" s="1">
        <v>2036.0</v>
      </c>
      <c r="Z29" s="1">
        <v>1848.0</v>
      </c>
      <c r="AA29" s="1">
        <v>1.0</v>
      </c>
    </row>
    <row r="30" ht="12.75" customHeight="1">
      <c r="A30" s="1" t="s">
        <v>58</v>
      </c>
      <c r="B30" s="1" t="str">
        <f>IFERROR(__xludf.DUMMYFUNCTION("split(A30, ""\"")"),"Patrik Laine")</f>
        <v>Patrik Laine</v>
      </c>
      <c r="C30" s="1" t="str">
        <f>IFERROR(__xludf.DUMMYFUNCTION("""COMPUTED_VALUE"""),"lainepa01")</f>
        <v>lainepa01</v>
      </c>
      <c r="D30" s="1" t="s">
        <v>36</v>
      </c>
      <c r="E30" s="1">
        <f t="shared" si="1"/>
        <v>367.95</v>
      </c>
      <c r="F30" s="1">
        <f t="shared" si="2"/>
        <v>4.49</v>
      </c>
      <c r="G30" s="1">
        <v>82.0</v>
      </c>
      <c r="H30" s="1">
        <v>44.0</v>
      </c>
      <c r="I30" s="1">
        <v>26.0</v>
      </c>
      <c r="J30" s="1">
        <v>70.0</v>
      </c>
      <c r="K30" s="1">
        <v>241.0</v>
      </c>
      <c r="L30" s="1">
        <v>74.0</v>
      </c>
      <c r="M30" s="1">
        <v>43.0</v>
      </c>
      <c r="N30" s="1">
        <v>20.0</v>
      </c>
      <c r="O30" s="1">
        <v>11.0</v>
      </c>
      <c r="P30" s="1">
        <v>0.0</v>
      </c>
      <c r="Q30" s="1">
        <v>0.0</v>
      </c>
      <c r="R30" s="1">
        <v>8.0</v>
      </c>
      <c r="S30" s="1">
        <v>24.0</v>
      </c>
      <c r="T30" s="1">
        <v>8.0</v>
      </c>
    </row>
    <row r="31" ht="12.75" customHeight="1">
      <c r="A31" s="1" t="s">
        <v>59</v>
      </c>
      <c r="B31" s="1" t="str">
        <f>IFERROR(__xludf.DUMMYFUNCTION("split(A31, ""\"")"),"David Pastrnak")</f>
        <v>David Pastrnak</v>
      </c>
      <c r="C31" s="1" t="str">
        <f>IFERROR(__xludf.DUMMYFUNCTION("""COMPUTED_VALUE"""),"pastrda01")</f>
        <v>pastrda01</v>
      </c>
      <c r="D31" s="1" t="s">
        <v>36</v>
      </c>
      <c r="E31" s="1">
        <f t="shared" si="1"/>
        <v>366.15</v>
      </c>
      <c r="F31" s="1">
        <f t="shared" si="2"/>
        <v>4.47</v>
      </c>
      <c r="G31" s="1">
        <v>82.0</v>
      </c>
      <c r="H31" s="1">
        <v>35.0</v>
      </c>
      <c r="I31" s="1">
        <v>45.0</v>
      </c>
      <c r="J31" s="1">
        <v>80.0</v>
      </c>
      <c r="K31" s="1">
        <v>246.0</v>
      </c>
      <c r="L31" s="1">
        <v>55.0</v>
      </c>
      <c r="M31" s="1">
        <v>31.0</v>
      </c>
      <c r="N31" s="1">
        <v>13.0</v>
      </c>
      <c r="O31" s="1">
        <v>13.0</v>
      </c>
      <c r="P31" s="1">
        <v>0.0</v>
      </c>
      <c r="Q31" s="1">
        <v>0.0</v>
      </c>
      <c r="R31" s="1">
        <v>10.0</v>
      </c>
      <c r="S31" s="1">
        <v>37.0</v>
      </c>
      <c r="T31" s="1">
        <v>5.0</v>
      </c>
    </row>
    <row r="32" ht="12.75" customHeight="1">
      <c r="A32" s="1" t="s">
        <v>60</v>
      </c>
      <c r="B32" s="1" t="str">
        <f>IFERROR(__xludf.DUMMYFUNCTION("split(A32, ""\"")"),"Eric Staal")</f>
        <v>Eric Staal</v>
      </c>
      <c r="C32" s="1" t="str">
        <f>IFERROR(__xludf.DUMMYFUNCTION("""COMPUTED_VALUE"""),"staaler01")</f>
        <v>staaler01</v>
      </c>
      <c r="D32" s="1" t="s">
        <v>31</v>
      </c>
      <c r="E32" s="1">
        <f t="shared" si="1"/>
        <v>363.35</v>
      </c>
      <c r="F32" s="1">
        <f t="shared" si="2"/>
        <v>4.43</v>
      </c>
      <c r="G32" s="1">
        <v>82.0</v>
      </c>
      <c r="H32" s="1">
        <v>42.0</v>
      </c>
      <c r="I32" s="1">
        <v>34.0</v>
      </c>
      <c r="J32" s="1">
        <v>76.0</v>
      </c>
      <c r="K32" s="1">
        <v>241.0</v>
      </c>
      <c r="L32" s="1">
        <v>42.0</v>
      </c>
      <c r="M32" s="1">
        <v>49.0</v>
      </c>
      <c r="N32" s="1">
        <v>11.0</v>
      </c>
      <c r="O32" s="1">
        <v>6.0</v>
      </c>
      <c r="P32" s="1">
        <v>2.0</v>
      </c>
      <c r="Q32" s="1">
        <v>1.0</v>
      </c>
      <c r="R32" s="1">
        <v>8.0</v>
      </c>
      <c r="S32" s="1">
        <v>42.0</v>
      </c>
      <c r="T32" s="1">
        <v>4.0</v>
      </c>
    </row>
    <row r="33" ht="12.75" customHeight="1">
      <c r="A33" s="1" t="s">
        <v>61</v>
      </c>
      <c r="B33" s="1" t="str">
        <f>IFERROR(__xludf.DUMMYFUNCTION("split(A33, ""\"")"),"Mikko Rantanen")</f>
        <v>Mikko Rantanen</v>
      </c>
      <c r="C33" s="1" t="str">
        <f>IFERROR(__xludf.DUMMYFUNCTION("""COMPUTED_VALUE"""),"rantami01")</f>
        <v>rantami01</v>
      </c>
      <c r="D33" s="1" t="s">
        <v>36</v>
      </c>
      <c r="E33" s="1">
        <f t="shared" si="1"/>
        <v>357</v>
      </c>
      <c r="F33" s="1">
        <f t="shared" si="2"/>
        <v>4.41</v>
      </c>
      <c r="G33" s="1">
        <v>81.0</v>
      </c>
      <c r="H33" s="1">
        <v>29.0</v>
      </c>
      <c r="I33" s="1">
        <v>55.0</v>
      </c>
      <c r="J33" s="1">
        <v>84.0</v>
      </c>
      <c r="K33" s="1">
        <v>178.0</v>
      </c>
      <c r="L33" s="1">
        <v>32.0</v>
      </c>
      <c r="M33" s="1">
        <v>40.0</v>
      </c>
      <c r="N33" s="1">
        <v>12.0</v>
      </c>
      <c r="O33" s="1">
        <v>23.0</v>
      </c>
      <c r="P33" s="1">
        <v>0.0</v>
      </c>
      <c r="Q33" s="1">
        <v>0.0</v>
      </c>
      <c r="R33" s="1">
        <v>0.0</v>
      </c>
      <c r="S33" s="1">
        <v>34.0</v>
      </c>
      <c r="T33" s="1">
        <v>3.0</v>
      </c>
    </row>
    <row r="34" ht="12.75" customHeight="1">
      <c r="A34" s="1" t="s">
        <v>62</v>
      </c>
      <c r="B34" s="1" t="str">
        <f>IFERROR(__xludf.DUMMYFUNCTION("split(A34, ""\"")"),"William Karlsson")</f>
        <v>William Karlsson</v>
      </c>
      <c r="C34" s="1" t="str">
        <f>IFERROR(__xludf.DUMMYFUNCTION("""COMPUTED_VALUE"""),"karlswi01")</f>
        <v>karlswi01</v>
      </c>
      <c r="D34" s="1" t="s">
        <v>31</v>
      </c>
      <c r="E34" s="1">
        <f t="shared" si="1"/>
        <v>356.5</v>
      </c>
      <c r="F34" s="1">
        <f t="shared" si="2"/>
        <v>4.35</v>
      </c>
      <c r="G34" s="1">
        <v>82.0</v>
      </c>
      <c r="H34" s="1">
        <v>43.0</v>
      </c>
      <c r="I34" s="1">
        <v>35.0</v>
      </c>
      <c r="J34" s="1">
        <v>78.0</v>
      </c>
      <c r="K34" s="1">
        <v>184.0</v>
      </c>
      <c r="L34" s="1">
        <v>48.0</v>
      </c>
      <c r="M34" s="1">
        <v>45.0</v>
      </c>
      <c r="N34" s="1">
        <v>8.0</v>
      </c>
      <c r="O34" s="1">
        <v>8.0</v>
      </c>
      <c r="P34" s="1">
        <v>4.0</v>
      </c>
      <c r="Q34" s="1">
        <v>1.0</v>
      </c>
      <c r="R34" s="1">
        <v>49.0</v>
      </c>
      <c r="S34" s="1">
        <v>12.0</v>
      </c>
      <c r="T34" s="1">
        <v>6.0</v>
      </c>
    </row>
    <row r="35" ht="12.75" customHeight="1">
      <c r="A35" s="1" t="s">
        <v>63</v>
      </c>
      <c r="B35" s="1" t="str">
        <f>IFERROR(__xludf.DUMMYFUNCTION("split(A35, ""\"")"),"Aleksander Barkov")</f>
        <v>Aleksander Barkov</v>
      </c>
      <c r="C35" s="1" t="str">
        <f>IFERROR(__xludf.DUMMYFUNCTION("""COMPUTED_VALUE"""),"barkoal01")</f>
        <v>barkoal01</v>
      </c>
      <c r="D35" s="1" t="s">
        <v>31</v>
      </c>
      <c r="E35" s="1">
        <f t="shared" si="1"/>
        <v>355.8</v>
      </c>
      <c r="F35" s="1">
        <f t="shared" si="2"/>
        <v>4.5</v>
      </c>
      <c r="G35" s="1">
        <v>79.0</v>
      </c>
      <c r="H35" s="1">
        <v>27.0</v>
      </c>
      <c r="I35" s="1">
        <v>51.0</v>
      </c>
      <c r="J35" s="1">
        <v>78.0</v>
      </c>
      <c r="K35" s="1">
        <v>256.0</v>
      </c>
      <c r="L35" s="1">
        <v>30.0</v>
      </c>
      <c r="M35" s="1">
        <v>67.0</v>
      </c>
      <c r="N35" s="1">
        <v>5.0</v>
      </c>
      <c r="O35" s="1">
        <v>12.0</v>
      </c>
      <c r="P35" s="1">
        <v>5.0</v>
      </c>
      <c r="Q35" s="1">
        <v>0.0</v>
      </c>
      <c r="R35" s="1">
        <v>9.0</v>
      </c>
      <c r="S35" s="1">
        <v>14.0</v>
      </c>
      <c r="T35" s="1">
        <v>3.0</v>
      </c>
    </row>
    <row r="36" ht="12.75" customHeight="1">
      <c r="A36" s="1" t="s">
        <v>64</v>
      </c>
      <c r="B36" s="1" t="str">
        <f>IFERROR(__xludf.DUMMYFUNCTION("split(A36, ""\"")"),"Brad Marchand")</f>
        <v>Brad Marchand</v>
      </c>
      <c r="C36" s="1" t="str">
        <f>IFERROR(__xludf.DUMMYFUNCTION("""COMPUTED_VALUE"""),"marchbr03")</f>
        <v>marchbr03</v>
      </c>
      <c r="D36" s="1" t="s">
        <v>28</v>
      </c>
      <c r="E36" s="1">
        <f t="shared" si="1"/>
        <v>355.25</v>
      </c>
      <c r="F36" s="1">
        <f t="shared" si="2"/>
        <v>5.22</v>
      </c>
      <c r="G36" s="1">
        <v>68.0</v>
      </c>
      <c r="H36" s="1">
        <v>34.0</v>
      </c>
      <c r="I36" s="1">
        <v>51.0</v>
      </c>
      <c r="J36" s="1">
        <v>85.0</v>
      </c>
      <c r="K36" s="1">
        <v>182.0</v>
      </c>
      <c r="L36" s="1">
        <v>37.0</v>
      </c>
      <c r="M36" s="1">
        <v>25.0</v>
      </c>
      <c r="N36" s="1">
        <v>8.0</v>
      </c>
      <c r="O36" s="1">
        <v>15.0</v>
      </c>
      <c r="P36" s="1">
        <v>1.0</v>
      </c>
      <c r="Q36" s="1">
        <v>3.0</v>
      </c>
      <c r="R36" s="1">
        <v>25.0</v>
      </c>
      <c r="S36" s="1">
        <v>63.0</v>
      </c>
      <c r="T36" s="1">
        <v>8.0</v>
      </c>
    </row>
    <row r="37" ht="12.75" customHeight="1">
      <c r="A37" s="1" t="s">
        <v>65</v>
      </c>
      <c r="B37" s="1" t="str">
        <f>IFERROR(__xludf.DUMMYFUNCTION("split(A37, ""\"")"),"John Carlson")</f>
        <v>John Carlson</v>
      </c>
      <c r="C37" s="1" t="str">
        <f>IFERROR(__xludf.DUMMYFUNCTION("""COMPUTED_VALUE"""),"carlsjo01")</f>
        <v>carlsjo01</v>
      </c>
      <c r="D37" s="1" t="s">
        <v>66</v>
      </c>
      <c r="E37" s="1">
        <f t="shared" si="1"/>
        <v>353.9</v>
      </c>
      <c r="F37" s="1">
        <f t="shared" si="2"/>
        <v>4.32</v>
      </c>
      <c r="G37" s="1">
        <v>82.0</v>
      </c>
      <c r="H37" s="1">
        <v>15.0</v>
      </c>
      <c r="I37" s="1">
        <v>53.0</v>
      </c>
      <c r="J37" s="1">
        <v>68.0</v>
      </c>
      <c r="K37" s="1">
        <v>237.0</v>
      </c>
      <c r="L37" s="1">
        <v>47.0</v>
      </c>
      <c r="M37" s="1">
        <v>146.0</v>
      </c>
      <c r="N37" s="1">
        <v>4.0</v>
      </c>
      <c r="O37" s="1">
        <v>28.0</v>
      </c>
      <c r="P37" s="1">
        <v>0.0</v>
      </c>
      <c r="Q37" s="1">
        <v>0.0</v>
      </c>
      <c r="R37" s="1">
        <v>0.0</v>
      </c>
      <c r="S37" s="1">
        <v>32.0</v>
      </c>
      <c r="T37" s="1">
        <v>4.0</v>
      </c>
    </row>
    <row r="38" ht="12.75" customHeight="1">
      <c r="A38" s="1" t="s">
        <v>67</v>
      </c>
      <c r="B38" s="1" t="str">
        <f>IFERROR(__xludf.DUMMYFUNCTION("split(A38, ""\"")"),"Jakub Voracek")</f>
        <v>Jakub Voracek</v>
      </c>
      <c r="C38" s="1" t="str">
        <f>IFERROR(__xludf.DUMMYFUNCTION("""COMPUTED_VALUE"""),"voracja01")</f>
        <v>voracja01</v>
      </c>
      <c r="D38" s="1" t="s">
        <v>36</v>
      </c>
      <c r="E38" s="1">
        <f t="shared" si="1"/>
        <v>353.05</v>
      </c>
      <c r="F38" s="1">
        <f t="shared" si="2"/>
        <v>4.31</v>
      </c>
      <c r="G38" s="1">
        <v>82.0</v>
      </c>
      <c r="H38" s="1">
        <v>20.0</v>
      </c>
      <c r="I38" s="1">
        <v>65.0</v>
      </c>
      <c r="J38" s="1">
        <v>85.0</v>
      </c>
      <c r="K38" s="1">
        <v>228.0</v>
      </c>
      <c r="L38" s="1">
        <v>23.0</v>
      </c>
      <c r="M38" s="1">
        <v>32.0</v>
      </c>
      <c r="N38" s="1">
        <v>5.0</v>
      </c>
      <c r="O38" s="1">
        <v>30.0</v>
      </c>
      <c r="P38" s="1">
        <v>0.0</v>
      </c>
      <c r="Q38" s="1">
        <v>0.0</v>
      </c>
      <c r="R38" s="1">
        <v>10.0</v>
      </c>
      <c r="S38" s="1">
        <v>50.0</v>
      </c>
      <c r="T38" s="1">
        <v>3.0</v>
      </c>
    </row>
    <row r="39" ht="12.75" customHeight="1">
      <c r="A39" s="1" t="s">
        <v>68</v>
      </c>
      <c r="B39" s="1" t="str">
        <f>IFERROR(__xludf.DUMMYFUNCTION("split(A39, ""\"")"),"Evgeny Kuznetsov")</f>
        <v>Evgeny Kuznetsov</v>
      </c>
      <c r="C39" s="1" t="str">
        <f>IFERROR(__xludf.DUMMYFUNCTION("""COMPUTED_VALUE"""),"kuzneev01")</f>
        <v>kuzneev01</v>
      </c>
      <c r="D39" s="1" t="s">
        <v>31</v>
      </c>
      <c r="E39" s="1">
        <f t="shared" si="1"/>
        <v>348.65</v>
      </c>
      <c r="F39" s="1">
        <f t="shared" si="2"/>
        <v>4.41</v>
      </c>
      <c r="G39" s="1">
        <v>79.0</v>
      </c>
      <c r="H39" s="1">
        <v>27.0</v>
      </c>
      <c r="I39" s="1">
        <v>56.0</v>
      </c>
      <c r="J39" s="1">
        <v>83.0</v>
      </c>
      <c r="K39" s="1">
        <v>187.0</v>
      </c>
      <c r="L39" s="1">
        <v>50.0</v>
      </c>
      <c r="M39" s="1">
        <v>26.0</v>
      </c>
      <c r="N39" s="1">
        <v>7.0</v>
      </c>
      <c r="O39" s="1">
        <v>23.0</v>
      </c>
      <c r="P39" s="1">
        <v>1.0</v>
      </c>
      <c r="Q39" s="1">
        <v>0.0</v>
      </c>
      <c r="R39" s="1">
        <v>3.0</v>
      </c>
      <c r="S39" s="1">
        <v>48.0</v>
      </c>
      <c r="T39" s="1">
        <v>8.0</v>
      </c>
    </row>
    <row r="40" ht="12.75" customHeight="1">
      <c r="A40" s="1" t="s">
        <v>69</v>
      </c>
      <c r="B40" s="1" t="str">
        <f>IFERROR(__xludf.DUMMYFUNCTION("split(A40, ""\"")"),"Jon Marchessault")</f>
        <v>Jon Marchessault</v>
      </c>
      <c r="C40" s="1" t="str">
        <f>IFERROR(__xludf.DUMMYFUNCTION("""COMPUTED_VALUE"""),"audymjo01")</f>
        <v>audymjo01</v>
      </c>
      <c r="D40" s="1" t="s">
        <v>31</v>
      </c>
      <c r="E40" s="1">
        <f t="shared" si="1"/>
        <v>346.15</v>
      </c>
      <c r="F40" s="1">
        <f t="shared" si="2"/>
        <v>4.5</v>
      </c>
      <c r="G40" s="1">
        <v>77.0</v>
      </c>
      <c r="H40" s="1">
        <v>27.0</v>
      </c>
      <c r="I40" s="1">
        <v>48.0</v>
      </c>
      <c r="J40" s="1">
        <v>75.0</v>
      </c>
      <c r="K40" s="1">
        <v>268.0</v>
      </c>
      <c r="L40" s="1">
        <v>99.0</v>
      </c>
      <c r="M40" s="1">
        <v>26.0</v>
      </c>
      <c r="N40" s="1">
        <v>6.0</v>
      </c>
      <c r="O40" s="1">
        <v>10.0</v>
      </c>
      <c r="P40" s="1">
        <v>0.0</v>
      </c>
      <c r="Q40" s="1">
        <v>0.0</v>
      </c>
      <c r="R40" s="1">
        <v>36.0</v>
      </c>
      <c r="S40" s="1">
        <v>40.0</v>
      </c>
      <c r="T40" s="1">
        <v>6.0</v>
      </c>
    </row>
    <row r="41" ht="12.75" customHeight="1">
      <c r="A41" s="1" t="s">
        <v>70</v>
      </c>
      <c r="B41" s="1" t="str">
        <f>IFERROR(__xludf.DUMMYFUNCTION("split(A41, ""\"")"),"Vladimir Tarasenko")</f>
        <v>Vladimir Tarasenko</v>
      </c>
      <c r="C41" s="1" t="str">
        <f>IFERROR(__xludf.DUMMYFUNCTION("""COMPUTED_VALUE"""),"tarasvl01")</f>
        <v>tarasvl01</v>
      </c>
      <c r="D41" s="1" t="s">
        <v>36</v>
      </c>
      <c r="E41" s="1">
        <f t="shared" si="1"/>
        <v>344.05</v>
      </c>
      <c r="F41" s="1">
        <f t="shared" si="2"/>
        <v>4.3</v>
      </c>
      <c r="G41" s="1">
        <v>80.0</v>
      </c>
      <c r="H41" s="1">
        <v>33.0</v>
      </c>
      <c r="I41" s="1">
        <v>33.0</v>
      </c>
      <c r="J41" s="1">
        <v>66.0</v>
      </c>
      <c r="K41" s="1">
        <v>306.0</v>
      </c>
      <c r="L41" s="1">
        <v>89.0</v>
      </c>
      <c r="M41" s="1">
        <v>37.0</v>
      </c>
      <c r="N41" s="1">
        <v>6.0</v>
      </c>
      <c r="O41" s="1">
        <v>10.0</v>
      </c>
      <c r="P41" s="1">
        <v>0.0</v>
      </c>
      <c r="Q41" s="1">
        <v>0.0</v>
      </c>
      <c r="R41" s="1">
        <v>15.0</v>
      </c>
      <c r="S41" s="1">
        <v>17.0</v>
      </c>
      <c r="T41" s="1">
        <v>5.0</v>
      </c>
    </row>
    <row r="42" ht="12.75" customHeight="1">
      <c r="A42" s="1" t="s">
        <v>71</v>
      </c>
      <c r="B42" s="1" t="str">
        <f>IFERROR(__xludf.DUMMYFUNCTION("split(A42, ""\"")"),"Victor Hedman")</f>
        <v>Victor Hedman</v>
      </c>
      <c r="C42" s="1" t="str">
        <f>IFERROR(__xludf.DUMMYFUNCTION("""COMPUTED_VALUE"""),"hedmavi01")</f>
        <v>hedmavi01</v>
      </c>
      <c r="D42" s="1" t="s">
        <v>66</v>
      </c>
      <c r="E42" s="1">
        <f t="shared" si="1"/>
        <v>343.75</v>
      </c>
      <c r="F42" s="1">
        <f t="shared" si="2"/>
        <v>4.46</v>
      </c>
      <c r="G42" s="1">
        <v>77.0</v>
      </c>
      <c r="H42" s="1">
        <v>17.0</v>
      </c>
      <c r="I42" s="1">
        <v>46.0</v>
      </c>
      <c r="J42" s="1">
        <v>63.0</v>
      </c>
      <c r="K42" s="1">
        <v>216.0</v>
      </c>
      <c r="L42" s="1">
        <v>139.0</v>
      </c>
      <c r="M42" s="1">
        <v>110.0</v>
      </c>
      <c r="N42" s="1">
        <v>2.0</v>
      </c>
      <c r="O42" s="1">
        <v>24.0</v>
      </c>
      <c r="P42" s="1">
        <v>0.0</v>
      </c>
      <c r="Q42" s="1">
        <v>2.0</v>
      </c>
      <c r="R42" s="1">
        <v>32.0</v>
      </c>
      <c r="S42" s="1">
        <v>54.0</v>
      </c>
      <c r="T42" s="1">
        <v>1.0</v>
      </c>
    </row>
    <row r="43" ht="12.75" customHeight="1">
      <c r="A43" s="1" t="s">
        <v>72</v>
      </c>
      <c r="B43" s="1" t="str">
        <f>IFERROR(__xludf.DUMMYFUNCTION("split(A43, ""\"")"),"Sean Couturier")</f>
        <v>Sean Couturier</v>
      </c>
      <c r="C43" s="1" t="str">
        <f>IFERROR(__xludf.DUMMYFUNCTION("""COMPUTED_VALUE"""),"coutuse01")</f>
        <v>coutuse01</v>
      </c>
      <c r="D43" s="1" t="s">
        <v>31</v>
      </c>
      <c r="E43" s="1">
        <f t="shared" si="1"/>
        <v>343.35</v>
      </c>
      <c r="F43" s="1">
        <f t="shared" si="2"/>
        <v>4.19</v>
      </c>
      <c r="G43" s="1">
        <v>82.0</v>
      </c>
      <c r="H43" s="1">
        <v>31.0</v>
      </c>
      <c r="I43" s="1">
        <v>45.0</v>
      </c>
      <c r="J43" s="1">
        <v>76.0</v>
      </c>
      <c r="K43" s="1">
        <v>227.0</v>
      </c>
      <c r="L43" s="1">
        <v>74.0</v>
      </c>
      <c r="M43" s="1">
        <v>44.0</v>
      </c>
      <c r="N43" s="1">
        <v>7.0</v>
      </c>
      <c r="O43" s="1">
        <v>7.0</v>
      </c>
      <c r="P43" s="1">
        <v>0.0</v>
      </c>
      <c r="Q43" s="1">
        <v>0.0</v>
      </c>
      <c r="R43" s="1">
        <v>34.0</v>
      </c>
      <c r="S43" s="1">
        <v>31.0</v>
      </c>
      <c r="T43" s="1">
        <v>6.0</v>
      </c>
    </row>
    <row r="44" ht="12.75" customHeight="1">
      <c r="A44" s="1" t="s">
        <v>73</v>
      </c>
      <c r="B44" s="1" t="str">
        <f>IFERROR(__xludf.DUMMYFUNCTION("split(A44, ""\"")"),"Alexander Radulov")</f>
        <v>Alexander Radulov</v>
      </c>
      <c r="C44" s="1" t="str">
        <f>IFERROR(__xludf.DUMMYFUNCTION("""COMPUTED_VALUE"""),"radulal01")</f>
        <v>radulal01</v>
      </c>
      <c r="D44" s="1" t="s">
        <v>36</v>
      </c>
      <c r="E44" s="1">
        <f t="shared" si="1"/>
        <v>342.6</v>
      </c>
      <c r="F44" s="1">
        <f t="shared" si="2"/>
        <v>4.18</v>
      </c>
      <c r="G44" s="1">
        <v>82.0</v>
      </c>
      <c r="H44" s="1">
        <v>27.0</v>
      </c>
      <c r="I44" s="1">
        <v>45.0</v>
      </c>
      <c r="J44" s="1">
        <v>72.0</v>
      </c>
      <c r="K44" s="1">
        <v>217.0</v>
      </c>
      <c r="L44" s="1">
        <v>77.0</v>
      </c>
      <c r="M44" s="1">
        <v>64.0</v>
      </c>
      <c r="N44" s="1">
        <v>7.0</v>
      </c>
      <c r="O44" s="1">
        <v>16.0</v>
      </c>
      <c r="P44" s="1">
        <v>0.0</v>
      </c>
      <c r="Q44" s="1">
        <v>0.0</v>
      </c>
      <c r="R44" s="1">
        <v>4.0</v>
      </c>
      <c r="S44" s="1">
        <v>72.0</v>
      </c>
      <c r="T44" s="1">
        <v>4.0</v>
      </c>
    </row>
    <row r="45" ht="12.75" customHeight="1">
      <c r="A45" s="1" t="s">
        <v>74</v>
      </c>
      <c r="B45" s="1" t="str">
        <f>IFERROR(__xludf.DUMMYFUNCTION("split(A45, ""\"")"),"Brayden Schenn")</f>
        <v>Brayden Schenn</v>
      </c>
      <c r="C45" s="1" t="str">
        <f>IFERROR(__xludf.DUMMYFUNCTION("""COMPUTED_VALUE"""),"schenbr01")</f>
        <v>schenbr01</v>
      </c>
      <c r="D45" s="1" t="s">
        <v>31</v>
      </c>
      <c r="E45" s="1">
        <f t="shared" si="1"/>
        <v>341.8</v>
      </c>
      <c r="F45" s="1">
        <f t="shared" si="2"/>
        <v>4.17</v>
      </c>
      <c r="G45" s="1">
        <v>82.0</v>
      </c>
      <c r="H45" s="1">
        <v>28.0</v>
      </c>
      <c r="I45" s="1">
        <v>42.0</v>
      </c>
      <c r="J45" s="1">
        <v>70.0</v>
      </c>
      <c r="K45" s="1">
        <v>210.0</v>
      </c>
      <c r="L45" s="1">
        <v>154.0</v>
      </c>
      <c r="M45" s="1">
        <v>37.0</v>
      </c>
      <c r="N45" s="1">
        <v>8.0</v>
      </c>
      <c r="O45" s="1">
        <v>11.0</v>
      </c>
      <c r="P45" s="1">
        <v>0.0</v>
      </c>
      <c r="Q45" s="1">
        <v>0.0</v>
      </c>
      <c r="R45" s="1">
        <v>10.0</v>
      </c>
      <c r="S45" s="1">
        <v>56.0</v>
      </c>
      <c r="T45" s="1">
        <v>8.0</v>
      </c>
    </row>
    <row r="46" ht="12.75" customHeight="1">
      <c r="A46" s="1" t="s">
        <v>75</v>
      </c>
      <c r="B46" s="1" t="str">
        <f>IFERROR(__xludf.DUMMYFUNCTION("split(A46, ""\"")"),"Rickard Rakell")</f>
        <v>Rickard Rakell</v>
      </c>
      <c r="C46" s="1" t="str">
        <f>IFERROR(__xludf.DUMMYFUNCTION("""COMPUTED_VALUE"""),"rakelri01")</f>
        <v>rakelri01</v>
      </c>
      <c r="D46" s="1" t="s">
        <v>36</v>
      </c>
      <c r="E46" s="1">
        <f t="shared" si="1"/>
        <v>339.75</v>
      </c>
      <c r="F46" s="1">
        <f t="shared" si="2"/>
        <v>4.41</v>
      </c>
      <c r="G46" s="1">
        <v>77.0</v>
      </c>
      <c r="H46" s="1">
        <v>34.0</v>
      </c>
      <c r="I46" s="1">
        <v>35.0</v>
      </c>
      <c r="J46" s="1">
        <v>69.0</v>
      </c>
      <c r="K46" s="1">
        <v>230.0</v>
      </c>
      <c r="L46" s="1">
        <v>115.0</v>
      </c>
      <c r="M46" s="1">
        <v>30.0</v>
      </c>
      <c r="N46" s="1">
        <v>8.0</v>
      </c>
      <c r="O46" s="1">
        <v>10.0</v>
      </c>
      <c r="P46" s="1">
        <v>0.0</v>
      </c>
      <c r="Q46" s="1">
        <v>0.0</v>
      </c>
      <c r="R46" s="1">
        <v>6.0</v>
      </c>
      <c r="S46" s="1">
        <v>14.0</v>
      </c>
      <c r="T46" s="1">
        <v>3.0</v>
      </c>
    </row>
    <row r="47" ht="12.75" customHeight="1">
      <c r="A47" s="1" t="s">
        <v>76</v>
      </c>
      <c r="B47" s="1" t="str">
        <f>IFERROR(__xludf.DUMMYFUNCTION("split(A47, ""\"")"),"Johnny Gaudreau")</f>
        <v>Johnny Gaudreau</v>
      </c>
      <c r="C47" s="1" t="str">
        <f>IFERROR(__xludf.DUMMYFUNCTION("""COMPUTED_VALUE"""),"gaudrjo01")</f>
        <v>gaudrjo01</v>
      </c>
      <c r="D47" s="1" t="s">
        <v>28</v>
      </c>
      <c r="E47" s="1">
        <f t="shared" si="1"/>
        <v>337.95</v>
      </c>
      <c r="F47" s="1">
        <f t="shared" si="2"/>
        <v>4.22</v>
      </c>
      <c r="G47" s="1">
        <v>80.0</v>
      </c>
      <c r="H47" s="1">
        <v>24.0</v>
      </c>
      <c r="I47" s="1">
        <v>60.0</v>
      </c>
      <c r="J47" s="1">
        <v>84.0</v>
      </c>
      <c r="K47" s="1">
        <v>227.0</v>
      </c>
      <c r="L47" s="1">
        <v>16.0</v>
      </c>
      <c r="M47" s="1">
        <v>18.0</v>
      </c>
      <c r="N47" s="1">
        <v>3.0</v>
      </c>
      <c r="O47" s="1">
        <v>21.0</v>
      </c>
      <c r="P47" s="1">
        <v>0.0</v>
      </c>
      <c r="Q47" s="1">
        <v>0.0</v>
      </c>
      <c r="R47" s="1">
        <v>2.0</v>
      </c>
      <c r="S47" s="1">
        <v>26.0</v>
      </c>
      <c r="T47" s="1">
        <v>4.0</v>
      </c>
    </row>
    <row r="48" ht="12.75" customHeight="1">
      <c r="A48" s="1" t="s">
        <v>77</v>
      </c>
      <c r="B48" s="1" t="str">
        <f>IFERROR(__xludf.DUMMYFUNCTION("split(A48, ""\"")"),"Martin Jones")</f>
        <v>Martin Jones</v>
      </c>
      <c r="C48" s="2" t="str">
        <f>IFERROR(__xludf.DUMMYFUNCTION("""COMPUTED_VALUE"""),"jonesma02")</f>
        <v>jonesma02</v>
      </c>
      <c r="D48" s="1" t="s">
        <v>5</v>
      </c>
      <c r="E48" s="1">
        <f t="shared" si="1"/>
        <v>337.5</v>
      </c>
      <c r="F48" s="1">
        <f t="shared" si="2"/>
        <v>5.63</v>
      </c>
      <c r="G48" s="1">
        <v>60.0</v>
      </c>
      <c r="U48" s="1">
        <v>60.0</v>
      </c>
      <c r="V48" s="1">
        <v>30.0</v>
      </c>
      <c r="W48" s="1">
        <v>22.0</v>
      </c>
      <c r="X48" s="1">
        <v>145.0</v>
      </c>
      <c r="Y48" s="1">
        <v>1699.0</v>
      </c>
      <c r="Z48" s="1">
        <v>1554.0</v>
      </c>
      <c r="AA48" s="1">
        <v>4.0</v>
      </c>
    </row>
    <row r="49" ht="12.75" customHeight="1">
      <c r="A49" s="1" t="s">
        <v>78</v>
      </c>
      <c r="B49" s="1" t="str">
        <f>IFERROR(__xludf.DUMMYFUNCTION("split(A49, ""\"")"),"Artemi Panarin")</f>
        <v>Artemi Panarin</v>
      </c>
      <c r="C49" s="1" t="str">
        <f>IFERROR(__xludf.DUMMYFUNCTION("""COMPUTED_VALUE"""),"panarar01")</f>
        <v>panarar01</v>
      </c>
      <c r="D49" s="1" t="s">
        <v>28</v>
      </c>
      <c r="E49" s="1">
        <f t="shared" si="1"/>
        <v>334.85</v>
      </c>
      <c r="F49" s="1">
        <f t="shared" si="2"/>
        <v>4.13</v>
      </c>
      <c r="G49" s="1">
        <v>81.0</v>
      </c>
      <c r="H49" s="1">
        <v>27.0</v>
      </c>
      <c r="I49" s="1">
        <v>55.0</v>
      </c>
      <c r="J49" s="1">
        <v>82.0</v>
      </c>
      <c r="K49" s="1">
        <v>228.0</v>
      </c>
      <c r="L49" s="1">
        <v>15.0</v>
      </c>
      <c r="M49" s="1">
        <v>19.0</v>
      </c>
      <c r="N49" s="1">
        <v>7.0</v>
      </c>
      <c r="O49" s="1">
        <v>14.0</v>
      </c>
      <c r="P49" s="1">
        <v>0.0</v>
      </c>
      <c r="Q49" s="1">
        <v>0.0</v>
      </c>
      <c r="R49" s="1">
        <v>23.0</v>
      </c>
      <c r="S49" s="1">
        <v>26.0</v>
      </c>
      <c r="T49" s="1">
        <v>5.0</v>
      </c>
    </row>
    <row r="50" ht="12.75" customHeight="1">
      <c r="A50" s="1" t="s">
        <v>79</v>
      </c>
      <c r="B50" s="1" t="str">
        <f>IFERROR(__xludf.DUMMYFUNCTION("split(A50, ""\"")"),"Patrick Kane")</f>
        <v>Patrick Kane</v>
      </c>
      <c r="C50" s="1" t="str">
        <f>IFERROR(__xludf.DUMMYFUNCTION("""COMPUTED_VALUE"""),"kanepa01")</f>
        <v>kanepa01</v>
      </c>
      <c r="D50" s="1" t="s">
        <v>36</v>
      </c>
      <c r="E50" s="1">
        <f t="shared" si="1"/>
        <v>333.85</v>
      </c>
      <c r="F50" s="1">
        <f t="shared" si="2"/>
        <v>4.07</v>
      </c>
      <c r="G50" s="1">
        <v>82.0</v>
      </c>
      <c r="H50" s="1">
        <v>27.0</v>
      </c>
      <c r="I50" s="1">
        <v>49.0</v>
      </c>
      <c r="J50" s="1">
        <v>76.0</v>
      </c>
      <c r="K50" s="1">
        <v>285.0</v>
      </c>
      <c r="L50" s="1">
        <v>18.0</v>
      </c>
      <c r="M50" s="1">
        <v>14.0</v>
      </c>
      <c r="N50" s="1">
        <v>5.0</v>
      </c>
      <c r="O50" s="1">
        <v>17.0</v>
      </c>
      <c r="P50" s="1">
        <v>0.0</v>
      </c>
      <c r="Q50" s="1">
        <v>0.0</v>
      </c>
      <c r="R50" s="1">
        <v>-20.0</v>
      </c>
      <c r="S50" s="1">
        <v>32.0</v>
      </c>
      <c r="T50" s="1">
        <v>4.0</v>
      </c>
    </row>
    <row r="51" ht="12.75" customHeight="1">
      <c r="A51" s="1" t="s">
        <v>80</v>
      </c>
      <c r="B51" s="1" t="str">
        <f>IFERROR(__xludf.DUMMYFUNCTION("split(A51, ""\"")"),"Mathew Barzal")</f>
        <v>Mathew Barzal</v>
      </c>
      <c r="C51" s="1" t="str">
        <f>IFERROR(__xludf.DUMMYFUNCTION("""COMPUTED_VALUE"""),"barzama01")</f>
        <v>barzama01</v>
      </c>
      <c r="D51" s="1" t="s">
        <v>31</v>
      </c>
      <c r="E51" s="1">
        <f t="shared" si="1"/>
        <v>332.65</v>
      </c>
      <c r="F51" s="1">
        <f t="shared" si="2"/>
        <v>4.06</v>
      </c>
      <c r="G51" s="1">
        <v>82.0</v>
      </c>
      <c r="H51" s="1">
        <v>22.0</v>
      </c>
      <c r="I51" s="1">
        <v>63.0</v>
      </c>
      <c r="J51" s="1">
        <v>85.0</v>
      </c>
      <c r="K51" s="1">
        <v>170.0</v>
      </c>
      <c r="L51" s="1">
        <v>21.0</v>
      </c>
      <c r="M51" s="1">
        <v>31.0</v>
      </c>
      <c r="N51" s="1">
        <v>5.0</v>
      </c>
      <c r="O51" s="1">
        <v>22.0</v>
      </c>
      <c r="P51" s="1">
        <v>0.0</v>
      </c>
      <c r="Q51" s="1">
        <v>0.0</v>
      </c>
      <c r="R51" s="1">
        <v>1.0</v>
      </c>
      <c r="S51" s="1">
        <v>30.0</v>
      </c>
      <c r="T51" s="1">
        <v>4.0</v>
      </c>
    </row>
    <row r="52" ht="12.75" customHeight="1">
      <c r="A52" s="1" t="s">
        <v>81</v>
      </c>
      <c r="B52" s="1" t="str">
        <f>IFERROR(__xludf.DUMMYFUNCTION("split(A52, ""\"")"),"Shayne Gostisbehere")</f>
        <v>Shayne Gostisbehere</v>
      </c>
      <c r="C52" s="1" t="str">
        <f>IFERROR(__xludf.DUMMYFUNCTION("""COMPUTED_VALUE"""),"gostish01")</f>
        <v>gostish01</v>
      </c>
      <c r="D52" s="1" t="s">
        <v>66</v>
      </c>
      <c r="E52" s="1">
        <f t="shared" si="1"/>
        <v>329.9</v>
      </c>
      <c r="F52" s="1">
        <f t="shared" si="2"/>
        <v>4.23</v>
      </c>
      <c r="G52" s="1">
        <v>78.0</v>
      </c>
      <c r="H52" s="1">
        <v>13.0</v>
      </c>
      <c r="I52" s="1">
        <v>52.0</v>
      </c>
      <c r="J52" s="1">
        <v>65.0</v>
      </c>
      <c r="K52" s="1">
        <v>221.0</v>
      </c>
      <c r="L52" s="1">
        <v>53.0</v>
      </c>
      <c r="M52" s="1">
        <v>116.0</v>
      </c>
      <c r="N52" s="1">
        <v>7.0</v>
      </c>
      <c r="O52" s="1">
        <v>26.0</v>
      </c>
      <c r="P52" s="1">
        <v>0.0</v>
      </c>
      <c r="Q52" s="1">
        <v>0.0</v>
      </c>
      <c r="R52" s="1">
        <v>10.0</v>
      </c>
      <c r="S52" s="1">
        <v>25.0</v>
      </c>
      <c r="T52" s="1">
        <v>2.0</v>
      </c>
    </row>
    <row r="53" ht="12.75" customHeight="1">
      <c r="A53" s="1" t="s">
        <v>82</v>
      </c>
      <c r="B53" s="1" t="str">
        <f>IFERROR(__xludf.DUMMYFUNCTION("split(A53, ""\"")"),"Anders Lee")</f>
        <v>Anders Lee</v>
      </c>
      <c r="C53" s="1" t="str">
        <f>IFERROR(__xludf.DUMMYFUNCTION("""COMPUTED_VALUE"""),"leean01")</f>
        <v>leean01</v>
      </c>
      <c r="D53" s="1" t="s">
        <v>31</v>
      </c>
      <c r="E53" s="1">
        <f t="shared" si="1"/>
        <v>329.7</v>
      </c>
      <c r="F53" s="1">
        <f t="shared" si="2"/>
        <v>4.02</v>
      </c>
      <c r="G53" s="1">
        <v>82.0</v>
      </c>
      <c r="H53" s="1">
        <v>40.0</v>
      </c>
      <c r="I53" s="1">
        <v>22.0</v>
      </c>
      <c r="J53" s="1">
        <v>62.0</v>
      </c>
      <c r="K53" s="1">
        <v>208.0</v>
      </c>
      <c r="L53" s="1">
        <v>102.0</v>
      </c>
      <c r="M53" s="1">
        <v>38.0</v>
      </c>
      <c r="N53" s="1">
        <v>14.0</v>
      </c>
      <c r="O53" s="1">
        <v>8.0</v>
      </c>
      <c r="P53" s="1">
        <v>0.0</v>
      </c>
      <c r="Q53" s="1">
        <v>0.0</v>
      </c>
      <c r="R53" s="1">
        <v>-25.0</v>
      </c>
      <c r="S53" s="1">
        <v>44.0</v>
      </c>
      <c r="T53" s="1">
        <v>2.0</v>
      </c>
    </row>
    <row r="54" ht="12.75" customHeight="1">
      <c r="A54" s="1" t="s">
        <v>83</v>
      </c>
      <c r="B54" s="1" t="str">
        <f>IFERROR(__xludf.DUMMYFUNCTION("split(A54, ""\"")"),"Joe Pavelski")</f>
        <v>Joe Pavelski</v>
      </c>
      <c r="C54" s="1" t="str">
        <f>IFERROR(__xludf.DUMMYFUNCTION("""COMPUTED_VALUE"""),"paveljo01")</f>
        <v>paveljo01</v>
      </c>
      <c r="D54" s="1" t="s">
        <v>31</v>
      </c>
      <c r="E54" s="1">
        <f t="shared" si="1"/>
        <v>328.25</v>
      </c>
      <c r="F54" s="1">
        <f t="shared" si="2"/>
        <v>4</v>
      </c>
      <c r="G54" s="1">
        <v>82.0</v>
      </c>
      <c r="H54" s="1">
        <v>22.0</v>
      </c>
      <c r="I54" s="1">
        <v>44.0</v>
      </c>
      <c r="J54" s="1">
        <v>66.0</v>
      </c>
      <c r="K54" s="1">
        <v>224.0</v>
      </c>
      <c r="L54" s="1">
        <v>93.0</v>
      </c>
      <c r="M54" s="1">
        <v>70.0</v>
      </c>
      <c r="N54" s="1">
        <v>7.0</v>
      </c>
      <c r="O54" s="1">
        <v>16.0</v>
      </c>
      <c r="P54" s="1">
        <v>0.0</v>
      </c>
      <c r="Q54" s="1">
        <v>0.0</v>
      </c>
      <c r="R54" s="1">
        <v>0.0</v>
      </c>
      <c r="S54" s="1">
        <v>41.0</v>
      </c>
      <c r="T54" s="1">
        <v>1.0</v>
      </c>
    </row>
    <row r="55" ht="12.75" customHeight="1">
      <c r="A55" s="1" t="s">
        <v>84</v>
      </c>
      <c r="B55" s="1" t="str">
        <f>IFERROR(__xludf.DUMMYFUNCTION("split(A55, ""\"")"),"Tuukka Rask")</f>
        <v>Tuukka Rask</v>
      </c>
      <c r="C55" s="2" t="str">
        <f>IFERROR(__xludf.DUMMYFUNCTION("""COMPUTED_VALUE"""),"rasktu01")</f>
        <v>rasktu01</v>
      </c>
      <c r="D55" s="1" t="s">
        <v>5</v>
      </c>
      <c r="E55" s="1">
        <f t="shared" si="1"/>
        <v>327</v>
      </c>
      <c r="F55" s="1">
        <f t="shared" si="2"/>
        <v>6.06</v>
      </c>
      <c r="G55" s="1">
        <v>54.0</v>
      </c>
      <c r="U55" s="1">
        <v>53.0</v>
      </c>
      <c r="V55" s="1">
        <v>34.0</v>
      </c>
      <c r="W55" s="1">
        <v>14.0</v>
      </c>
      <c r="X55" s="1">
        <v>125.0</v>
      </c>
      <c r="Y55" s="1">
        <v>1513.0</v>
      </c>
      <c r="Z55" s="1">
        <v>1388.0</v>
      </c>
      <c r="AA55" s="1">
        <v>3.0</v>
      </c>
    </row>
    <row r="56" ht="12.75" customHeight="1">
      <c r="A56" s="1" t="s">
        <v>85</v>
      </c>
      <c r="B56" s="1" t="str">
        <f>IFERROR(__xludf.DUMMYFUNCTION("split(A56, ""\"")"),"Dustin Brown")</f>
        <v>Dustin Brown</v>
      </c>
      <c r="C56" s="1" t="str">
        <f>IFERROR(__xludf.DUMMYFUNCTION("""COMPUTED_VALUE"""),"browndu01")</f>
        <v>browndu01</v>
      </c>
      <c r="D56" s="1" t="s">
        <v>36</v>
      </c>
      <c r="E56" s="1">
        <f t="shared" si="1"/>
        <v>326.45</v>
      </c>
      <c r="F56" s="1">
        <f t="shared" si="2"/>
        <v>4.03</v>
      </c>
      <c r="G56" s="1">
        <v>81.0</v>
      </c>
      <c r="H56" s="1">
        <v>28.0</v>
      </c>
      <c r="I56" s="1">
        <v>33.0</v>
      </c>
      <c r="J56" s="1">
        <v>61.0</v>
      </c>
      <c r="K56" s="1">
        <v>222.0</v>
      </c>
      <c r="L56" s="1">
        <v>189.0</v>
      </c>
      <c r="M56" s="1">
        <v>33.0</v>
      </c>
      <c r="N56" s="1">
        <v>9.0</v>
      </c>
      <c r="O56" s="1">
        <v>6.0</v>
      </c>
      <c r="P56" s="1">
        <v>1.0</v>
      </c>
      <c r="Q56" s="1">
        <v>0.0</v>
      </c>
      <c r="R56" s="1">
        <v>31.0</v>
      </c>
      <c r="S56" s="1">
        <v>58.0</v>
      </c>
      <c r="T56" s="1">
        <v>6.0</v>
      </c>
    </row>
    <row r="57" ht="12.75" customHeight="1">
      <c r="A57" s="1" t="s">
        <v>86</v>
      </c>
      <c r="B57" s="1" t="str">
        <f>IFERROR(__xludf.DUMMYFUNCTION("split(A57, ""\"")"),"Seth Jones")</f>
        <v>Seth Jones</v>
      </c>
      <c r="C57" s="1" t="str">
        <f>IFERROR(__xludf.DUMMYFUNCTION("""COMPUTED_VALUE"""),"jonesse01")</f>
        <v>jonesse01</v>
      </c>
      <c r="D57" s="1" t="s">
        <v>66</v>
      </c>
      <c r="E57" s="1">
        <f t="shared" si="1"/>
        <v>325.35</v>
      </c>
      <c r="F57" s="1">
        <f t="shared" si="2"/>
        <v>4.17</v>
      </c>
      <c r="G57" s="1">
        <v>78.0</v>
      </c>
      <c r="H57" s="1">
        <v>16.0</v>
      </c>
      <c r="I57" s="1">
        <v>41.0</v>
      </c>
      <c r="J57" s="1">
        <v>57.0</v>
      </c>
      <c r="K57" s="1">
        <v>249.0</v>
      </c>
      <c r="L57" s="1">
        <v>92.0</v>
      </c>
      <c r="M57" s="1">
        <v>124.0</v>
      </c>
      <c r="N57" s="1">
        <v>7.0</v>
      </c>
      <c r="O57" s="1">
        <v>17.0</v>
      </c>
      <c r="P57" s="1">
        <v>0.0</v>
      </c>
      <c r="Q57" s="1">
        <v>0.0</v>
      </c>
      <c r="R57" s="1">
        <v>10.0</v>
      </c>
      <c r="S57" s="1">
        <v>30.0</v>
      </c>
      <c r="T57" s="1">
        <v>4.0</v>
      </c>
    </row>
    <row r="58" ht="12.75" customHeight="1">
      <c r="A58" s="1" t="s">
        <v>87</v>
      </c>
      <c r="B58" s="1" t="str">
        <f>IFERROR(__xludf.DUMMYFUNCTION("split(A58, ""\"")"),"Mike Smith")</f>
        <v>Mike Smith</v>
      </c>
      <c r="C58" s="2" t="str">
        <f>IFERROR(__xludf.DUMMYFUNCTION("""COMPUTED_VALUE"""),"smithmi01")</f>
        <v>smithmi01</v>
      </c>
      <c r="D58" s="1" t="s">
        <v>5</v>
      </c>
      <c r="E58" s="1">
        <f t="shared" si="1"/>
        <v>323.25</v>
      </c>
      <c r="F58" s="1">
        <f t="shared" si="2"/>
        <v>5.88</v>
      </c>
      <c r="G58" s="1">
        <v>55.0</v>
      </c>
      <c r="U58" s="1">
        <v>55.0</v>
      </c>
      <c r="V58" s="1">
        <v>25.0</v>
      </c>
      <c r="W58" s="1">
        <v>22.0</v>
      </c>
      <c r="X58" s="1">
        <v>141.0</v>
      </c>
      <c r="Y58" s="1">
        <v>1686.0</v>
      </c>
      <c r="Z58" s="1">
        <v>1545.0</v>
      </c>
      <c r="AA58" s="1">
        <v>3.0</v>
      </c>
    </row>
    <row r="59" ht="12.75" customHeight="1">
      <c r="A59" s="1" t="s">
        <v>88</v>
      </c>
      <c r="B59" s="1" t="str">
        <f>IFERROR(__xludf.DUMMYFUNCTION("split(A59, ""\"")"),"Braden Holtby")</f>
        <v>Braden Holtby</v>
      </c>
      <c r="C59" s="2" t="str">
        <f>IFERROR(__xludf.DUMMYFUNCTION("""COMPUTED_VALUE"""),"holtbbr01")</f>
        <v>holtbbr01</v>
      </c>
      <c r="D59" s="1" t="s">
        <v>5</v>
      </c>
      <c r="E59" s="1">
        <f t="shared" si="1"/>
        <v>322.75</v>
      </c>
      <c r="F59" s="1">
        <f t="shared" si="2"/>
        <v>5.98</v>
      </c>
      <c r="G59" s="1">
        <v>54.0</v>
      </c>
      <c r="U59" s="1">
        <v>54.0</v>
      </c>
      <c r="V59" s="1">
        <v>34.0</v>
      </c>
      <c r="W59" s="1">
        <v>16.0</v>
      </c>
      <c r="X59" s="1">
        <v>153.0</v>
      </c>
      <c r="Y59" s="1">
        <v>1648.0</v>
      </c>
      <c r="Z59" s="1">
        <v>1495.0</v>
      </c>
      <c r="AA59" s="1">
        <v>0.0</v>
      </c>
    </row>
    <row r="60" ht="12.75" customHeight="1">
      <c r="A60" s="1" t="s">
        <v>89</v>
      </c>
      <c r="B60" s="1" t="str">
        <f>IFERROR(__xludf.DUMMYFUNCTION("split(A60, ""\"")"),"Jason Zucker")</f>
        <v>Jason Zucker</v>
      </c>
      <c r="C60" s="1" t="str">
        <f>IFERROR(__xludf.DUMMYFUNCTION("""COMPUTED_VALUE"""),"zuckeja01")</f>
        <v>zuckeja01</v>
      </c>
      <c r="D60" s="1" t="s">
        <v>28</v>
      </c>
      <c r="E60" s="1">
        <f t="shared" si="1"/>
        <v>321.8</v>
      </c>
      <c r="F60" s="1">
        <f t="shared" si="2"/>
        <v>3.92</v>
      </c>
      <c r="G60" s="1">
        <v>82.0</v>
      </c>
      <c r="H60" s="1">
        <v>33.0</v>
      </c>
      <c r="I60" s="1">
        <v>31.0</v>
      </c>
      <c r="J60" s="1">
        <v>64.0</v>
      </c>
      <c r="K60" s="1">
        <v>222.0</v>
      </c>
      <c r="L60" s="1">
        <v>80.0</v>
      </c>
      <c r="M60" s="1">
        <v>47.0</v>
      </c>
      <c r="N60" s="1">
        <v>7.0</v>
      </c>
      <c r="O60" s="1">
        <v>9.0</v>
      </c>
      <c r="P60" s="1">
        <v>1.0</v>
      </c>
      <c r="Q60" s="1">
        <v>1.0</v>
      </c>
      <c r="R60" s="1">
        <v>8.0</v>
      </c>
      <c r="S60" s="1">
        <v>44.0</v>
      </c>
      <c r="T60" s="1">
        <v>7.0</v>
      </c>
    </row>
    <row r="61" ht="12.75" customHeight="1">
      <c r="A61" s="1" t="s">
        <v>90</v>
      </c>
      <c r="B61" s="1" t="str">
        <f>IFERROR(__xludf.DUMMYFUNCTION("split(A61, ""\"")"),"Evander Kane")</f>
        <v>Evander Kane</v>
      </c>
      <c r="C61" s="1" t="str">
        <f>IFERROR(__xludf.DUMMYFUNCTION("""COMPUTED_VALUE"""),"kaneev01")</f>
        <v>kaneev01</v>
      </c>
      <c r="D61" s="1" t="s">
        <v>28</v>
      </c>
      <c r="E61" s="1">
        <f t="shared" si="1"/>
        <v>321.6</v>
      </c>
      <c r="F61" s="1">
        <f t="shared" si="2"/>
        <v>4.12</v>
      </c>
      <c r="G61" s="1">
        <v>78.0</v>
      </c>
      <c r="H61" s="1">
        <v>29.0</v>
      </c>
      <c r="I61" s="1">
        <v>25.0</v>
      </c>
      <c r="J61" s="1">
        <v>54.0</v>
      </c>
      <c r="K61" s="1">
        <v>307.0</v>
      </c>
      <c r="L61" s="1">
        <v>159.0</v>
      </c>
      <c r="M61" s="1">
        <v>34.0</v>
      </c>
      <c r="N61" s="1">
        <v>3.0</v>
      </c>
      <c r="O61" s="1">
        <v>6.0</v>
      </c>
      <c r="P61" s="1">
        <v>4.0</v>
      </c>
      <c r="Q61" s="1">
        <v>0.0</v>
      </c>
      <c r="R61" s="1">
        <v>-9.0</v>
      </c>
      <c r="S61" s="1">
        <v>82.0</v>
      </c>
      <c r="T61" s="1">
        <v>2.0</v>
      </c>
    </row>
    <row r="62" ht="12.75" customHeight="1">
      <c r="A62" s="1" t="s">
        <v>91</v>
      </c>
      <c r="B62" s="1" t="str">
        <f>IFERROR(__xludf.DUMMYFUNCTION("split(A62, ""\"")"),"Drew Doughty")</f>
        <v>Drew Doughty</v>
      </c>
      <c r="C62" s="1" t="str">
        <f>IFERROR(__xludf.DUMMYFUNCTION("""COMPUTED_VALUE"""),"doughdr01")</f>
        <v>doughdr01</v>
      </c>
      <c r="D62" s="1" t="s">
        <v>66</v>
      </c>
      <c r="E62" s="1">
        <f t="shared" si="1"/>
        <v>320.2</v>
      </c>
      <c r="F62" s="1">
        <f t="shared" si="2"/>
        <v>3.9</v>
      </c>
      <c r="G62" s="1">
        <v>82.0</v>
      </c>
      <c r="H62" s="1">
        <v>10.0</v>
      </c>
      <c r="I62" s="1">
        <v>50.0</v>
      </c>
      <c r="J62" s="1">
        <v>60.0</v>
      </c>
      <c r="K62" s="1">
        <v>205.0</v>
      </c>
      <c r="L62" s="1">
        <v>127.0</v>
      </c>
      <c r="M62" s="1">
        <v>128.0</v>
      </c>
      <c r="N62" s="1">
        <v>3.0</v>
      </c>
      <c r="O62" s="1">
        <v>17.0</v>
      </c>
      <c r="P62" s="1">
        <v>1.0</v>
      </c>
      <c r="Q62" s="1">
        <v>0.0</v>
      </c>
      <c r="R62" s="1">
        <v>23.0</v>
      </c>
      <c r="S62" s="1">
        <v>54.0</v>
      </c>
      <c r="T62" s="1">
        <v>4.0</v>
      </c>
    </row>
    <row r="63" ht="12.75" customHeight="1">
      <c r="A63" s="1" t="s">
        <v>92</v>
      </c>
      <c r="B63" s="1" t="str">
        <f>IFERROR(__xludf.DUMMYFUNCTION("split(A63, ""\"")"),"Logan Couture")</f>
        <v>Logan Couture</v>
      </c>
      <c r="C63" s="1" t="str">
        <f>IFERROR(__xludf.DUMMYFUNCTION("""COMPUTED_VALUE"""),"coutulo01")</f>
        <v>coutulo01</v>
      </c>
      <c r="D63" s="1" t="s">
        <v>31</v>
      </c>
      <c r="E63" s="1">
        <f t="shared" si="1"/>
        <v>315.55</v>
      </c>
      <c r="F63" s="1">
        <f t="shared" si="2"/>
        <v>4.05</v>
      </c>
      <c r="G63" s="1">
        <v>78.0</v>
      </c>
      <c r="H63" s="1">
        <v>34.0</v>
      </c>
      <c r="I63" s="1">
        <v>27.0</v>
      </c>
      <c r="J63" s="1">
        <v>61.0</v>
      </c>
      <c r="K63" s="1">
        <v>204.0</v>
      </c>
      <c r="L63" s="1">
        <v>33.0</v>
      </c>
      <c r="M63" s="1">
        <v>72.0</v>
      </c>
      <c r="N63" s="1">
        <v>10.0</v>
      </c>
      <c r="O63" s="1">
        <v>11.0</v>
      </c>
      <c r="P63" s="1">
        <v>2.0</v>
      </c>
      <c r="Q63" s="1">
        <v>1.0</v>
      </c>
      <c r="R63" s="1">
        <v>-2.0</v>
      </c>
      <c r="S63" s="1">
        <v>18.0</v>
      </c>
      <c r="T63" s="1">
        <v>4.0</v>
      </c>
    </row>
    <row r="64" ht="12.75" customHeight="1">
      <c r="A64" s="1" t="s">
        <v>93</v>
      </c>
      <c r="B64" s="1" t="str">
        <f>IFERROR(__xludf.DUMMYFUNCTION("split(A64, ""\"")"),"Jacob Markstrom")</f>
        <v>Jacob Markstrom</v>
      </c>
      <c r="C64" s="2" t="str">
        <f>IFERROR(__xludf.DUMMYFUNCTION("""COMPUTED_VALUE"""),"marksja02")</f>
        <v>marksja02</v>
      </c>
      <c r="D64" s="1" t="s">
        <v>5</v>
      </c>
      <c r="E64" s="1">
        <f t="shared" si="1"/>
        <v>314.75</v>
      </c>
      <c r="F64" s="1">
        <f t="shared" si="2"/>
        <v>5.25</v>
      </c>
      <c r="G64" s="1">
        <v>60.0</v>
      </c>
      <c r="U64" s="1">
        <v>57.0</v>
      </c>
      <c r="V64" s="1">
        <v>23.0</v>
      </c>
      <c r="W64" s="1">
        <v>26.0</v>
      </c>
      <c r="X64" s="1">
        <v>154.0</v>
      </c>
      <c r="Y64" s="1">
        <v>1745.0</v>
      </c>
      <c r="Z64" s="1">
        <v>1591.0</v>
      </c>
      <c r="AA64" s="1">
        <v>2.0</v>
      </c>
    </row>
    <row r="65" ht="12.75" customHeight="1">
      <c r="A65" s="1" t="s">
        <v>94</v>
      </c>
      <c r="B65" s="1" t="str">
        <f>IFERROR(__xludf.DUMMYFUNCTION("split(A65, ""\"")"),"Gabriel Landeskog")</f>
        <v>Gabriel Landeskog</v>
      </c>
      <c r="C65" s="1" t="str">
        <f>IFERROR(__xludf.DUMMYFUNCTION("""COMPUTED_VALUE"""),"landega01")</f>
        <v>landega01</v>
      </c>
      <c r="D65" s="1" t="s">
        <v>28</v>
      </c>
      <c r="E65" s="1">
        <f t="shared" si="1"/>
        <v>313.9</v>
      </c>
      <c r="F65" s="1">
        <f t="shared" si="2"/>
        <v>4.02</v>
      </c>
      <c r="G65" s="1">
        <v>78.0</v>
      </c>
      <c r="H65" s="1">
        <v>25.0</v>
      </c>
      <c r="I65" s="1">
        <v>37.0</v>
      </c>
      <c r="J65" s="1">
        <v>62.0</v>
      </c>
      <c r="K65" s="1">
        <v>183.0</v>
      </c>
      <c r="L65" s="1">
        <v>149.0</v>
      </c>
      <c r="M65" s="1">
        <v>51.0</v>
      </c>
      <c r="N65" s="1">
        <v>8.0</v>
      </c>
      <c r="O65" s="1">
        <v>9.0</v>
      </c>
      <c r="P65" s="1">
        <v>0.0</v>
      </c>
      <c r="Q65" s="1">
        <v>1.0</v>
      </c>
      <c r="R65" s="1">
        <v>16.0</v>
      </c>
      <c r="S65" s="1">
        <v>37.0</v>
      </c>
      <c r="T65" s="1">
        <v>1.0</v>
      </c>
    </row>
    <row r="66" ht="12.75" customHeight="1">
      <c r="A66" s="1" t="s">
        <v>95</v>
      </c>
      <c r="B66" s="1" t="str">
        <f>IFERROR(__xludf.DUMMYFUNCTION("split(A66, ""\"")"),"P.K. Subban")</f>
        <v>P.K. Subban</v>
      </c>
      <c r="C66" s="1" t="str">
        <f>IFERROR(__xludf.DUMMYFUNCTION("""COMPUTED_VALUE"""),"subbapk01")</f>
        <v>subbapk01</v>
      </c>
      <c r="D66" s="1" t="s">
        <v>66</v>
      </c>
      <c r="E66" s="1">
        <f t="shared" si="1"/>
        <v>313</v>
      </c>
      <c r="F66" s="1">
        <f t="shared" si="2"/>
        <v>3.82</v>
      </c>
      <c r="G66" s="1">
        <v>82.0</v>
      </c>
      <c r="H66" s="1">
        <v>16.0</v>
      </c>
      <c r="I66" s="1">
        <v>43.0</v>
      </c>
      <c r="J66" s="1">
        <v>59.0</v>
      </c>
      <c r="K66" s="1">
        <v>207.0</v>
      </c>
      <c r="L66" s="1">
        <v>111.0</v>
      </c>
      <c r="M66" s="1">
        <v>90.0</v>
      </c>
      <c r="N66" s="1">
        <v>5.0</v>
      </c>
      <c r="O66" s="1">
        <v>20.0</v>
      </c>
      <c r="P66" s="1">
        <v>0.0</v>
      </c>
      <c r="Q66" s="1">
        <v>1.0</v>
      </c>
      <c r="R66" s="1">
        <v>18.0</v>
      </c>
      <c r="S66" s="1">
        <v>82.0</v>
      </c>
      <c r="T66" s="1">
        <v>2.0</v>
      </c>
    </row>
    <row r="67" ht="12.75" customHeight="1">
      <c r="A67" s="1" t="s">
        <v>96</v>
      </c>
      <c r="B67" s="1" t="str">
        <f>IFERROR(__xludf.DUMMYFUNCTION("split(A67, ""\"")"),"Semyon Varlamov")</f>
        <v>Semyon Varlamov</v>
      </c>
      <c r="C67" s="2" t="str">
        <f>IFERROR(__xludf.DUMMYFUNCTION("""COMPUTED_VALUE"""),"varlasi01")</f>
        <v>varlasi01</v>
      </c>
      <c r="D67" s="1" t="s">
        <v>5</v>
      </c>
      <c r="E67" s="1">
        <f t="shared" si="1"/>
        <v>312.75</v>
      </c>
      <c r="F67" s="1">
        <f t="shared" si="2"/>
        <v>6.13</v>
      </c>
      <c r="G67" s="1">
        <v>51.0</v>
      </c>
      <c r="U67" s="1">
        <v>47.0</v>
      </c>
      <c r="V67" s="1">
        <v>24.0</v>
      </c>
      <c r="W67" s="1">
        <v>16.0</v>
      </c>
      <c r="X67" s="1">
        <v>128.0</v>
      </c>
      <c r="Y67" s="1">
        <v>1595.0</v>
      </c>
      <c r="Z67" s="1">
        <v>1467.0</v>
      </c>
      <c r="AA67" s="1">
        <v>2.0</v>
      </c>
    </row>
    <row r="68" ht="12.75" customHeight="1">
      <c r="A68" s="1" t="s">
        <v>97</v>
      </c>
      <c r="B68" s="1" t="str">
        <f>IFERROR(__xludf.DUMMYFUNCTION("split(A68, ""\"")"),"Brayden Point")</f>
        <v>Brayden Point</v>
      </c>
      <c r="C68" s="1" t="str">
        <f>IFERROR(__xludf.DUMMYFUNCTION("""COMPUTED_VALUE"""),"pointbr01")</f>
        <v>pointbr01</v>
      </c>
      <c r="D68" s="1" t="s">
        <v>31</v>
      </c>
      <c r="E68" s="1">
        <f t="shared" si="1"/>
        <v>312.55</v>
      </c>
      <c r="F68" s="1">
        <f t="shared" si="2"/>
        <v>3.81</v>
      </c>
      <c r="G68" s="1">
        <v>82.0</v>
      </c>
      <c r="H68" s="1">
        <v>32.0</v>
      </c>
      <c r="I68" s="1">
        <v>34.0</v>
      </c>
      <c r="J68" s="1">
        <v>66.0</v>
      </c>
      <c r="K68" s="1">
        <v>217.0</v>
      </c>
      <c r="L68" s="1">
        <v>26.0</v>
      </c>
      <c r="M68" s="1">
        <v>57.0</v>
      </c>
      <c r="N68" s="1">
        <v>5.0</v>
      </c>
      <c r="O68" s="1">
        <v>6.0</v>
      </c>
      <c r="P68" s="1">
        <v>3.0</v>
      </c>
      <c r="Q68" s="1">
        <v>2.0</v>
      </c>
      <c r="R68" s="1">
        <v>18.0</v>
      </c>
      <c r="S68" s="1">
        <v>24.0</v>
      </c>
      <c r="T68" s="1">
        <v>12.0</v>
      </c>
    </row>
    <row r="69" ht="12.75" customHeight="1">
      <c r="A69" s="1" t="s">
        <v>98</v>
      </c>
      <c r="B69" s="1" t="str">
        <f>IFERROR(__xludf.DUMMYFUNCTION("split(A69, ""\"")"),"Patrice Bergeron")</f>
        <v>Patrice Bergeron</v>
      </c>
      <c r="C69" s="1" t="str">
        <f>IFERROR(__xludf.DUMMYFUNCTION("""COMPUTED_VALUE"""),"bergepa01")</f>
        <v>bergepa01</v>
      </c>
      <c r="D69" s="1" t="s">
        <v>31</v>
      </c>
      <c r="E69" s="1">
        <f t="shared" si="1"/>
        <v>311.3</v>
      </c>
      <c r="F69" s="1">
        <f t="shared" si="2"/>
        <v>4.86</v>
      </c>
      <c r="G69" s="1">
        <v>64.0</v>
      </c>
      <c r="H69" s="1">
        <v>30.0</v>
      </c>
      <c r="I69" s="1">
        <v>33.0</v>
      </c>
      <c r="J69" s="1">
        <v>63.0</v>
      </c>
      <c r="K69" s="1">
        <v>224.0</v>
      </c>
      <c r="L69" s="1">
        <v>48.0</v>
      </c>
      <c r="M69" s="1">
        <v>42.0</v>
      </c>
      <c r="N69" s="1">
        <v>10.0</v>
      </c>
      <c r="O69" s="1">
        <v>11.0</v>
      </c>
      <c r="P69" s="1">
        <v>2.0</v>
      </c>
      <c r="Q69" s="1">
        <v>1.0</v>
      </c>
      <c r="R69" s="1">
        <v>21.0</v>
      </c>
      <c r="S69" s="1">
        <v>26.0</v>
      </c>
      <c r="T69" s="1">
        <v>6.0</v>
      </c>
    </row>
    <row r="70" ht="12.75" customHeight="1">
      <c r="A70" s="1" t="s">
        <v>99</v>
      </c>
      <c r="B70" s="1" t="str">
        <f>IFERROR(__xludf.DUMMYFUNCTION("split(A70, ""\"")"),"Jonathan Huberdeau")</f>
        <v>Jonathan Huberdeau</v>
      </c>
      <c r="C70" s="1" t="str">
        <f>IFERROR(__xludf.DUMMYFUNCTION("""COMPUTED_VALUE"""),"huberjo01")</f>
        <v>huberjo01</v>
      </c>
      <c r="D70" s="1" t="s">
        <v>31</v>
      </c>
      <c r="E70" s="1">
        <f t="shared" si="1"/>
        <v>310.05</v>
      </c>
      <c r="F70" s="1">
        <f t="shared" si="2"/>
        <v>3.78</v>
      </c>
      <c r="G70" s="1">
        <v>82.0</v>
      </c>
      <c r="H70" s="1">
        <v>27.0</v>
      </c>
      <c r="I70" s="1">
        <v>42.0</v>
      </c>
      <c r="J70" s="1">
        <v>69.0</v>
      </c>
      <c r="K70" s="1">
        <v>204.0</v>
      </c>
      <c r="L70" s="1">
        <v>41.0</v>
      </c>
      <c r="M70" s="1">
        <v>42.0</v>
      </c>
      <c r="N70" s="1">
        <v>7.0</v>
      </c>
      <c r="O70" s="1">
        <v>12.0</v>
      </c>
      <c r="P70" s="1">
        <v>0.0</v>
      </c>
      <c r="Q70" s="1">
        <v>0.0</v>
      </c>
      <c r="R70" s="1">
        <v>-2.0</v>
      </c>
      <c r="S70" s="1">
        <v>32.0</v>
      </c>
      <c r="T70" s="1">
        <v>4.0</v>
      </c>
    </row>
    <row r="71" ht="12.75" customHeight="1">
      <c r="A71" s="1" t="s">
        <v>100</v>
      </c>
      <c r="B71" s="1" t="str">
        <f>IFERROR(__xludf.DUMMYFUNCTION("split(A71, ""\"")"),"Marc-Andre Fleury")</f>
        <v>Marc-Andre Fleury</v>
      </c>
      <c r="C71" s="2" t="str">
        <f>IFERROR(__xludf.DUMMYFUNCTION("""COMPUTED_VALUE"""),"fleurma01")</f>
        <v>fleurma01</v>
      </c>
      <c r="D71" s="1" t="s">
        <v>5</v>
      </c>
      <c r="E71" s="1">
        <f t="shared" si="1"/>
        <v>310</v>
      </c>
      <c r="F71" s="1">
        <f t="shared" si="2"/>
        <v>6.74</v>
      </c>
      <c r="G71" s="1">
        <v>46.0</v>
      </c>
      <c r="U71" s="1">
        <v>46.0</v>
      </c>
      <c r="V71" s="1">
        <v>29.0</v>
      </c>
      <c r="W71" s="1">
        <v>13.0</v>
      </c>
      <c r="X71" s="1">
        <v>100.0</v>
      </c>
      <c r="Y71" s="1">
        <v>1376.0</v>
      </c>
      <c r="Z71" s="1">
        <v>1276.0</v>
      </c>
      <c r="AA71" s="1">
        <v>4.0</v>
      </c>
    </row>
    <row r="72" ht="12.75" customHeight="1">
      <c r="A72" s="1" t="s">
        <v>101</v>
      </c>
      <c r="B72" s="1" t="str">
        <f>IFERROR(__xludf.DUMMYFUNCTION("split(A72, ""\"")"),"Patric Hornqvist")</f>
        <v>Patric Hornqvist</v>
      </c>
      <c r="C72" s="1" t="str">
        <f>IFERROR(__xludf.DUMMYFUNCTION("""COMPUTED_VALUE"""),"hornqpa01")</f>
        <v>hornqpa01</v>
      </c>
      <c r="D72" s="1" t="s">
        <v>36</v>
      </c>
      <c r="E72" s="1">
        <f t="shared" si="1"/>
        <v>309.6</v>
      </c>
      <c r="F72" s="1">
        <f t="shared" si="2"/>
        <v>4.42</v>
      </c>
      <c r="G72" s="1">
        <v>70.0</v>
      </c>
      <c r="H72" s="1">
        <v>29.0</v>
      </c>
      <c r="I72" s="1">
        <v>20.0</v>
      </c>
      <c r="J72" s="1">
        <v>49.0</v>
      </c>
      <c r="K72" s="1">
        <v>247.0</v>
      </c>
      <c r="L72" s="1">
        <v>137.0</v>
      </c>
      <c r="M72" s="1">
        <v>64.0</v>
      </c>
      <c r="N72" s="1">
        <v>15.0</v>
      </c>
      <c r="O72" s="1">
        <v>7.0</v>
      </c>
      <c r="P72" s="1">
        <v>0.0</v>
      </c>
      <c r="Q72" s="1">
        <v>0.0</v>
      </c>
      <c r="R72" s="1">
        <v>2.0</v>
      </c>
      <c r="S72" s="1">
        <v>58.0</v>
      </c>
      <c r="T72" s="1">
        <v>1.0</v>
      </c>
    </row>
    <row r="73" ht="12.75" customHeight="1">
      <c r="A73" s="1" t="s">
        <v>102</v>
      </c>
      <c r="B73" s="1" t="str">
        <f>IFERROR(__xludf.DUMMYFUNCTION("split(A73, ""\"")"),"Jimmy Howard")</f>
        <v>Jimmy Howard</v>
      </c>
      <c r="C73" s="2" t="str">
        <f>IFERROR(__xludf.DUMMYFUNCTION("""COMPUTED_VALUE"""),"howarja02")</f>
        <v>howarja02</v>
      </c>
      <c r="D73" s="1" t="s">
        <v>5</v>
      </c>
      <c r="E73" s="1">
        <f t="shared" si="1"/>
        <v>309.5</v>
      </c>
      <c r="F73" s="1">
        <f t="shared" si="2"/>
        <v>5.16</v>
      </c>
      <c r="G73" s="1">
        <v>60.0</v>
      </c>
      <c r="U73" s="1">
        <v>57.0</v>
      </c>
      <c r="V73" s="1">
        <v>22.0</v>
      </c>
      <c r="W73" s="1">
        <v>27.0</v>
      </c>
      <c r="X73" s="1">
        <v>160.0</v>
      </c>
      <c r="Y73" s="1">
        <v>1770.0</v>
      </c>
      <c r="Z73" s="1">
        <v>1610.0</v>
      </c>
      <c r="AA73" s="1">
        <v>1.0</v>
      </c>
    </row>
    <row r="74" ht="12.75" customHeight="1">
      <c r="A74" s="1" t="s">
        <v>103</v>
      </c>
      <c r="B74" s="1" t="str">
        <f>IFERROR(__xludf.DUMMYFUNCTION("split(A74, ""\"")"),"John Klingberg")</f>
        <v>John Klingberg</v>
      </c>
      <c r="C74" s="1" t="str">
        <f>IFERROR(__xludf.DUMMYFUNCTION("""COMPUTED_VALUE"""),"klingjo01")</f>
        <v>klingjo01</v>
      </c>
      <c r="D74" s="1" t="s">
        <v>66</v>
      </c>
      <c r="E74" s="1">
        <f t="shared" si="1"/>
        <v>308.1</v>
      </c>
      <c r="F74" s="1">
        <f t="shared" si="2"/>
        <v>3.76</v>
      </c>
      <c r="G74" s="1">
        <v>82.0</v>
      </c>
      <c r="H74" s="1">
        <v>8.0</v>
      </c>
      <c r="I74" s="1">
        <v>59.0</v>
      </c>
      <c r="J74" s="1">
        <v>67.0</v>
      </c>
      <c r="K74" s="1">
        <v>204.0</v>
      </c>
      <c r="L74" s="1">
        <v>44.0</v>
      </c>
      <c r="M74" s="1">
        <v>109.0</v>
      </c>
      <c r="N74" s="1">
        <v>1.0</v>
      </c>
      <c r="O74" s="1">
        <v>22.0</v>
      </c>
      <c r="P74" s="1">
        <v>0.0</v>
      </c>
      <c r="Q74" s="1">
        <v>0.0</v>
      </c>
      <c r="R74" s="1">
        <v>10.0</v>
      </c>
      <c r="S74" s="1">
        <v>26.0</v>
      </c>
      <c r="T74" s="1">
        <v>3.0</v>
      </c>
    </row>
    <row r="75" ht="12.75" customHeight="1">
      <c r="A75" s="1" t="s">
        <v>104</v>
      </c>
      <c r="B75" s="1" t="str">
        <f>IFERROR(__xludf.DUMMYFUNCTION("split(A75, ""\"")"),"Jack Eichel")</f>
        <v>Jack Eichel</v>
      </c>
      <c r="C75" s="1" t="str">
        <f>IFERROR(__xludf.DUMMYFUNCTION("""COMPUTED_VALUE"""),"eicheja01")</f>
        <v>eicheja01</v>
      </c>
      <c r="D75" s="1" t="s">
        <v>31</v>
      </c>
      <c r="E75" s="1">
        <f t="shared" si="1"/>
        <v>308</v>
      </c>
      <c r="F75" s="1">
        <f t="shared" si="2"/>
        <v>4.6</v>
      </c>
      <c r="G75" s="1">
        <v>67.0</v>
      </c>
      <c r="H75" s="1">
        <v>25.0</v>
      </c>
      <c r="I75" s="1">
        <v>39.0</v>
      </c>
      <c r="J75" s="1">
        <v>64.0</v>
      </c>
      <c r="K75" s="1">
        <v>246.0</v>
      </c>
      <c r="L75" s="1">
        <v>52.0</v>
      </c>
      <c r="M75" s="1">
        <v>35.0</v>
      </c>
      <c r="N75" s="1">
        <v>3.0</v>
      </c>
      <c r="O75" s="1">
        <v>17.0</v>
      </c>
      <c r="P75" s="1">
        <v>0.0</v>
      </c>
      <c r="Q75" s="1">
        <v>2.0</v>
      </c>
      <c r="R75" s="1">
        <v>-25.0</v>
      </c>
      <c r="S75" s="1">
        <v>32.0</v>
      </c>
      <c r="T75" s="1">
        <v>4.0</v>
      </c>
    </row>
    <row r="76" ht="12.75" customHeight="1">
      <c r="A76" s="1" t="s">
        <v>105</v>
      </c>
      <c r="B76" s="1" t="str">
        <f>IFERROR(__xludf.DUMMYFUNCTION("split(A76, ""\"")"),"Brendan Gallagher")</f>
        <v>Brendan Gallagher</v>
      </c>
      <c r="C76" s="1" t="str">
        <f>IFERROR(__xludf.DUMMYFUNCTION("""COMPUTED_VALUE"""),"gallabr01")</f>
        <v>gallabr01</v>
      </c>
      <c r="D76" s="1" t="s">
        <v>36</v>
      </c>
      <c r="E76" s="1">
        <f t="shared" si="1"/>
        <v>307.9</v>
      </c>
      <c r="F76" s="1">
        <f t="shared" si="2"/>
        <v>3.75</v>
      </c>
      <c r="G76" s="1">
        <v>82.0</v>
      </c>
      <c r="H76" s="1">
        <v>31.0</v>
      </c>
      <c r="I76" s="1">
        <v>23.0</v>
      </c>
      <c r="J76" s="1">
        <v>54.0</v>
      </c>
      <c r="K76" s="1">
        <v>278.0</v>
      </c>
      <c r="L76" s="1">
        <v>90.0</v>
      </c>
      <c r="M76" s="1">
        <v>41.0</v>
      </c>
      <c r="N76" s="1">
        <v>8.0</v>
      </c>
      <c r="O76" s="1">
        <v>9.0</v>
      </c>
      <c r="P76" s="1">
        <v>1.0</v>
      </c>
      <c r="Q76" s="1">
        <v>0.0</v>
      </c>
      <c r="R76" s="1">
        <v>-13.0</v>
      </c>
      <c r="S76" s="1">
        <v>34.0</v>
      </c>
      <c r="T76" s="1">
        <v>4.0</v>
      </c>
    </row>
    <row r="77" ht="12.75" customHeight="1">
      <c r="A77" s="1" t="s">
        <v>106</v>
      </c>
      <c r="B77" s="1" t="str">
        <f>IFERROR(__xludf.DUMMYFUNCTION("split(A77, ""\"")"),"Nicklas Backstrom")</f>
        <v>Nicklas Backstrom</v>
      </c>
      <c r="C77" s="1" t="str">
        <f>IFERROR(__xludf.DUMMYFUNCTION("""COMPUTED_VALUE"""),"backsni02")</f>
        <v>backsni02</v>
      </c>
      <c r="D77" s="1" t="s">
        <v>31</v>
      </c>
      <c r="E77" s="1">
        <f t="shared" si="1"/>
        <v>305.9</v>
      </c>
      <c r="F77" s="1">
        <f t="shared" si="2"/>
        <v>3.78</v>
      </c>
      <c r="G77" s="1">
        <v>81.0</v>
      </c>
      <c r="H77" s="1">
        <v>21.0</v>
      </c>
      <c r="I77" s="1">
        <v>50.0</v>
      </c>
      <c r="J77" s="1">
        <v>71.0</v>
      </c>
      <c r="K77" s="1">
        <v>165.0</v>
      </c>
      <c r="L77" s="1">
        <v>37.0</v>
      </c>
      <c r="M77" s="1">
        <v>51.0</v>
      </c>
      <c r="N77" s="1">
        <v>7.0</v>
      </c>
      <c r="O77" s="1">
        <v>19.0</v>
      </c>
      <c r="P77" s="1">
        <v>0.0</v>
      </c>
      <c r="Q77" s="1">
        <v>0.0</v>
      </c>
      <c r="R77" s="1">
        <v>5.0</v>
      </c>
      <c r="S77" s="1">
        <v>46.0</v>
      </c>
      <c r="T77" s="1">
        <v>4.0</v>
      </c>
    </row>
    <row r="78" ht="12.75" customHeight="1">
      <c r="A78" s="1" t="s">
        <v>107</v>
      </c>
      <c r="B78" s="1" t="str">
        <f>IFERROR(__xludf.DUMMYFUNCTION("split(A78, ""\"")"),"Roman Josi")</f>
        <v>Roman Josi</v>
      </c>
      <c r="C78" s="1" t="str">
        <f>IFERROR(__xludf.DUMMYFUNCTION("""COMPUTED_VALUE"""),"josiro01")</f>
        <v>josiro01</v>
      </c>
      <c r="D78" s="1" t="s">
        <v>66</v>
      </c>
      <c r="E78" s="1">
        <f t="shared" si="1"/>
        <v>305.75</v>
      </c>
      <c r="F78" s="1">
        <f t="shared" si="2"/>
        <v>4.08</v>
      </c>
      <c r="G78" s="1">
        <v>75.0</v>
      </c>
      <c r="H78" s="1">
        <v>14.0</v>
      </c>
      <c r="I78" s="1">
        <v>39.0</v>
      </c>
      <c r="J78" s="1">
        <v>53.0</v>
      </c>
      <c r="K78" s="1">
        <v>253.0</v>
      </c>
      <c r="L78" s="1">
        <v>80.0</v>
      </c>
      <c r="M78" s="1">
        <v>120.0</v>
      </c>
      <c r="N78" s="1">
        <v>7.0</v>
      </c>
      <c r="O78" s="1">
        <v>13.0</v>
      </c>
      <c r="P78" s="1">
        <v>0.0</v>
      </c>
      <c r="Q78" s="1">
        <v>1.0</v>
      </c>
      <c r="R78" s="1">
        <v>24.0</v>
      </c>
      <c r="S78" s="1">
        <v>24.0</v>
      </c>
      <c r="T78" s="1">
        <v>3.0</v>
      </c>
    </row>
    <row r="79" ht="12.75" customHeight="1">
      <c r="A79" s="1" t="s">
        <v>108</v>
      </c>
      <c r="B79" s="1" t="str">
        <f>IFERROR(__xludf.DUMMYFUNCTION("split(A79, ""\"")"),"Alex Pietrangelo")</f>
        <v>Alex Pietrangelo</v>
      </c>
      <c r="C79" s="1" t="str">
        <f>IFERROR(__xludf.DUMMYFUNCTION("""COMPUTED_VALUE"""),"pietral01")</f>
        <v>pietral01</v>
      </c>
      <c r="D79" s="1" t="s">
        <v>66</v>
      </c>
      <c r="E79" s="1">
        <f t="shared" si="1"/>
        <v>303.1</v>
      </c>
      <c r="F79" s="1">
        <f t="shared" si="2"/>
        <v>3.89</v>
      </c>
      <c r="G79" s="1">
        <v>78.0</v>
      </c>
      <c r="H79" s="1">
        <v>15.0</v>
      </c>
      <c r="I79" s="1">
        <v>39.0</v>
      </c>
      <c r="J79" s="1">
        <v>54.0</v>
      </c>
      <c r="K79" s="1">
        <v>216.0</v>
      </c>
      <c r="L79" s="1">
        <v>48.0</v>
      </c>
      <c r="M79" s="1">
        <v>164.0</v>
      </c>
      <c r="N79" s="1">
        <v>3.0</v>
      </c>
      <c r="O79" s="1">
        <v>10.0</v>
      </c>
      <c r="P79" s="1">
        <v>0.0</v>
      </c>
      <c r="Q79" s="1">
        <v>1.0</v>
      </c>
      <c r="R79" s="1">
        <v>8.0</v>
      </c>
      <c r="S79" s="1">
        <v>22.0</v>
      </c>
      <c r="T79" s="1">
        <v>5.0</v>
      </c>
    </row>
    <row r="80" ht="12.75" customHeight="1">
      <c r="A80" s="1" t="s">
        <v>109</v>
      </c>
      <c r="B80" s="1" t="str">
        <f>IFERROR(__xludf.DUMMYFUNCTION("split(A80, ""\"")"),"Ryan O'Reilly")</f>
        <v>Ryan O'Reilly</v>
      </c>
      <c r="C80" s="1" t="str">
        <f>IFERROR(__xludf.DUMMYFUNCTION("""COMPUTED_VALUE"""),"oreilry01")</f>
        <v>oreilry01</v>
      </c>
      <c r="D80" s="1" t="s">
        <v>31</v>
      </c>
      <c r="E80" s="1">
        <f t="shared" si="1"/>
        <v>302.7</v>
      </c>
      <c r="F80" s="1">
        <f t="shared" si="2"/>
        <v>3.74</v>
      </c>
      <c r="G80" s="1">
        <v>81.0</v>
      </c>
      <c r="H80" s="1">
        <v>24.0</v>
      </c>
      <c r="I80" s="1">
        <v>37.0</v>
      </c>
      <c r="J80" s="1">
        <v>61.0</v>
      </c>
      <c r="K80" s="1">
        <v>230.0</v>
      </c>
      <c r="L80" s="1">
        <v>42.0</v>
      </c>
      <c r="M80" s="1">
        <v>48.0</v>
      </c>
      <c r="N80" s="1">
        <v>15.0</v>
      </c>
      <c r="O80" s="1">
        <v>8.0</v>
      </c>
      <c r="P80" s="1">
        <v>0.0</v>
      </c>
      <c r="Q80" s="1">
        <v>4.0</v>
      </c>
      <c r="R80" s="1">
        <v>-23.0</v>
      </c>
      <c r="S80" s="1">
        <v>2.0</v>
      </c>
      <c r="T80" s="1">
        <v>3.0</v>
      </c>
    </row>
    <row r="81" ht="12.75" customHeight="1">
      <c r="A81" s="1" t="s">
        <v>110</v>
      </c>
      <c r="B81" s="1" t="str">
        <f>IFERROR(__xludf.DUMMYFUNCTION("split(A81, ""\"")"),"Filip Forsberg")</f>
        <v>Filip Forsberg</v>
      </c>
      <c r="C81" s="1" t="str">
        <f>IFERROR(__xludf.DUMMYFUNCTION("""COMPUTED_VALUE"""),"forsbfi01")</f>
        <v>forsbfi01</v>
      </c>
      <c r="D81" s="1" t="s">
        <v>31</v>
      </c>
      <c r="E81" s="1">
        <f t="shared" si="1"/>
        <v>302.05</v>
      </c>
      <c r="F81" s="1">
        <f t="shared" si="2"/>
        <v>4.51</v>
      </c>
      <c r="G81" s="1">
        <v>67.0</v>
      </c>
      <c r="H81" s="1">
        <v>26.0</v>
      </c>
      <c r="I81" s="1">
        <v>38.0</v>
      </c>
      <c r="J81" s="1">
        <v>64.0</v>
      </c>
      <c r="K81" s="1">
        <v>179.0</v>
      </c>
      <c r="L81" s="1">
        <v>86.0</v>
      </c>
      <c r="M81" s="1">
        <v>37.0</v>
      </c>
      <c r="N81" s="1">
        <v>13.0</v>
      </c>
      <c r="O81" s="1">
        <v>8.0</v>
      </c>
      <c r="P81" s="1">
        <v>0.0</v>
      </c>
      <c r="Q81" s="1">
        <v>1.0</v>
      </c>
      <c r="R81" s="1">
        <v>27.0</v>
      </c>
      <c r="S81" s="1">
        <v>38.0</v>
      </c>
      <c r="T81" s="1">
        <v>6.0</v>
      </c>
    </row>
    <row r="82" ht="12.75" customHeight="1">
      <c r="A82" s="1" t="s">
        <v>111</v>
      </c>
      <c r="B82" s="1" t="str">
        <f>IFERROR(__xludf.DUMMYFUNCTION("split(A82, ""\"")"),"Erik Karlsson")</f>
        <v>Erik Karlsson</v>
      </c>
      <c r="C82" s="1" t="str">
        <f>IFERROR(__xludf.DUMMYFUNCTION("""COMPUTED_VALUE"""),"karlser01")</f>
        <v>karlser01</v>
      </c>
      <c r="D82" s="1" t="s">
        <v>66</v>
      </c>
      <c r="E82" s="1">
        <f t="shared" si="1"/>
        <v>299</v>
      </c>
      <c r="F82" s="1">
        <f t="shared" si="2"/>
        <v>4.21</v>
      </c>
      <c r="G82" s="1">
        <v>71.0</v>
      </c>
      <c r="H82" s="1">
        <v>9.0</v>
      </c>
      <c r="I82" s="1">
        <v>53.0</v>
      </c>
      <c r="J82" s="1">
        <v>62.0</v>
      </c>
      <c r="K82" s="1">
        <v>196.0</v>
      </c>
      <c r="L82" s="1">
        <v>58.0</v>
      </c>
      <c r="M82" s="1">
        <v>120.0</v>
      </c>
      <c r="N82" s="1">
        <v>3.0</v>
      </c>
      <c r="O82" s="1">
        <v>15.0</v>
      </c>
      <c r="P82" s="1">
        <v>0.0</v>
      </c>
      <c r="Q82" s="1">
        <v>1.0</v>
      </c>
      <c r="R82" s="1">
        <v>-25.0</v>
      </c>
      <c r="S82" s="1">
        <v>36.0</v>
      </c>
      <c r="T82" s="1">
        <v>2.0</v>
      </c>
    </row>
    <row r="83" ht="12.75" customHeight="1">
      <c r="A83" s="1" t="s">
        <v>112</v>
      </c>
      <c r="B83" s="1" t="str">
        <f>IFERROR(__xludf.DUMMYFUNCTION("split(A83, ""\"")"),"Mikael Granlund")</f>
        <v>Mikael Granlund</v>
      </c>
      <c r="C83" s="1" t="str">
        <f>IFERROR(__xludf.DUMMYFUNCTION("""COMPUTED_VALUE"""),"granlmi01")</f>
        <v>granlmi01</v>
      </c>
      <c r="D83" s="1" t="s">
        <v>31</v>
      </c>
      <c r="E83" s="1">
        <f t="shared" si="1"/>
        <v>299</v>
      </c>
      <c r="F83" s="1">
        <f t="shared" si="2"/>
        <v>3.88</v>
      </c>
      <c r="G83" s="1">
        <v>77.0</v>
      </c>
      <c r="H83" s="1">
        <v>21.0</v>
      </c>
      <c r="I83" s="1">
        <v>46.0</v>
      </c>
      <c r="J83" s="1">
        <v>67.0</v>
      </c>
      <c r="K83" s="1">
        <v>193.0</v>
      </c>
      <c r="L83" s="1">
        <v>47.0</v>
      </c>
      <c r="M83" s="1">
        <v>45.0</v>
      </c>
      <c r="N83" s="1">
        <v>7.0</v>
      </c>
      <c r="O83" s="1">
        <v>12.0</v>
      </c>
      <c r="P83" s="1">
        <v>1.0</v>
      </c>
      <c r="Q83" s="1">
        <v>2.0</v>
      </c>
      <c r="R83" s="1">
        <v>13.0</v>
      </c>
      <c r="S83" s="1">
        <v>18.0</v>
      </c>
      <c r="T83" s="1">
        <v>2.0</v>
      </c>
    </row>
    <row r="84" ht="12.75" customHeight="1">
      <c r="A84" s="1" t="s">
        <v>113</v>
      </c>
      <c r="B84" s="1" t="str">
        <f>IFERROR(__xludf.DUMMYFUNCTION("split(A84, ""\"")"),"Mitch Marner")</f>
        <v>Mitch Marner</v>
      </c>
      <c r="C84" s="1" t="str">
        <f>IFERROR(__xludf.DUMMYFUNCTION("""COMPUTED_VALUE"""),"marnemi01")</f>
        <v>marnemi01</v>
      </c>
      <c r="D84" s="1" t="s">
        <v>31</v>
      </c>
      <c r="E84" s="1">
        <f t="shared" si="1"/>
        <v>298.75</v>
      </c>
      <c r="F84" s="1">
        <f t="shared" si="2"/>
        <v>3.64</v>
      </c>
      <c r="G84" s="1">
        <v>82.0</v>
      </c>
      <c r="H84" s="1">
        <v>22.0</v>
      </c>
      <c r="I84" s="1">
        <v>47.0</v>
      </c>
      <c r="J84" s="1">
        <v>69.0</v>
      </c>
      <c r="K84" s="1">
        <v>194.0</v>
      </c>
      <c r="L84" s="1">
        <v>31.0</v>
      </c>
      <c r="M84" s="1">
        <v>25.0</v>
      </c>
      <c r="N84" s="1">
        <v>8.0</v>
      </c>
      <c r="O84" s="1">
        <v>19.0</v>
      </c>
      <c r="P84" s="1">
        <v>0.0</v>
      </c>
      <c r="Q84" s="1">
        <v>0.0</v>
      </c>
      <c r="R84" s="1">
        <v>-1.0</v>
      </c>
      <c r="S84" s="1">
        <v>26.0</v>
      </c>
      <c r="T84" s="1">
        <v>2.0</v>
      </c>
    </row>
    <row r="85" ht="12.75" customHeight="1">
      <c r="A85" s="1" t="s">
        <v>114</v>
      </c>
      <c r="B85" s="1" t="str">
        <f>IFERROR(__xludf.DUMMYFUNCTION("split(A85, ""\"")"),"Viktor Arvidsson")</f>
        <v>Viktor Arvidsson</v>
      </c>
      <c r="C85" s="1" t="str">
        <f>IFERROR(__xludf.DUMMYFUNCTION("""COMPUTED_VALUE"""),"arvidvi01")</f>
        <v>arvidvi01</v>
      </c>
      <c r="D85" s="1" t="s">
        <v>28</v>
      </c>
      <c r="E85" s="1">
        <f t="shared" si="1"/>
        <v>297.05</v>
      </c>
      <c r="F85" s="1">
        <f t="shared" si="2"/>
        <v>3.81</v>
      </c>
      <c r="G85" s="1">
        <v>78.0</v>
      </c>
      <c r="H85" s="1">
        <v>29.0</v>
      </c>
      <c r="I85" s="1">
        <v>32.0</v>
      </c>
      <c r="J85" s="1">
        <v>61.0</v>
      </c>
      <c r="K85" s="1">
        <v>247.0</v>
      </c>
      <c r="L85" s="1">
        <v>30.0</v>
      </c>
      <c r="M85" s="1">
        <v>52.0</v>
      </c>
      <c r="N85" s="1">
        <v>3.0</v>
      </c>
      <c r="O85" s="1">
        <v>5.0</v>
      </c>
      <c r="P85" s="1">
        <v>3.0</v>
      </c>
      <c r="Q85" s="1">
        <v>0.0</v>
      </c>
      <c r="R85" s="1">
        <v>20.0</v>
      </c>
      <c r="S85" s="1">
        <v>36.0</v>
      </c>
      <c r="T85" s="1">
        <v>6.0</v>
      </c>
    </row>
    <row r="86" ht="12.75" customHeight="1">
      <c r="A86" s="1" t="s">
        <v>115</v>
      </c>
      <c r="B86" s="1" t="str">
        <f>IFERROR(__xludf.DUMMYFUNCTION("split(A86, ""\"")"),"Auston Matthews")</f>
        <v>Auston Matthews</v>
      </c>
      <c r="C86" s="1" t="str">
        <f>IFERROR(__xludf.DUMMYFUNCTION("""COMPUTED_VALUE"""),"matthau01")</f>
        <v>matthau01</v>
      </c>
      <c r="D86" s="1" t="s">
        <v>31</v>
      </c>
      <c r="E86" s="1">
        <f t="shared" si="1"/>
        <v>296.65</v>
      </c>
      <c r="F86" s="1">
        <f t="shared" si="2"/>
        <v>4.78</v>
      </c>
      <c r="G86" s="1">
        <v>62.0</v>
      </c>
      <c r="H86" s="1">
        <v>34.0</v>
      </c>
      <c r="I86" s="1">
        <v>29.0</v>
      </c>
      <c r="J86" s="1">
        <v>63.0</v>
      </c>
      <c r="K86" s="1">
        <v>187.0</v>
      </c>
      <c r="L86" s="1">
        <v>16.0</v>
      </c>
      <c r="M86" s="1">
        <v>61.0</v>
      </c>
      <c r="N86" s="1">
        <v>5.0</v>
      </c>
      <c r="O86" s="1">
        <v>8.0</v>
      </c>
      <c r="P86" s="1">
        <v>0.0</v>
      </c>
      <c r="Q86" s="1">
        <v>0.0</v>
      </c>
      <c r="R86" s="1">
        <v>25.0</v>
      </c>
      <c r="S86" s="1">
        <v>12.0</v>
      </c>
      <c r="T86" s="1">
        <v>5.0</v>
      </c>
    </row>
    <row r="87" ht="12.75" customHeight="1">
      <c r="A87" s="1" t="s">
        <v>116</v>
      </c>
      <c r="B87" s="1" t="str">
        <f>IFERROR(__xludf.DUMMYFUNCTION("split(A87, ""\"")"),"Jaroslav Halak")</f>
        <v>Jaroslav Halak</v>
      </c>
      <c r="C87" s="2" t="str">
        <f>IFERROR(__xludf.DUMMYFUNCTION("""COMPUTED_VALUE"""),"halakja01")</f>
        <v>halakja01</v>
      </c>
      <c r="D87" s="1" t="s">
        <v>5</v>
      </c>
      <c r="E87" s="1">
        <f t="shared" si="1"/>
        <v>295.75</v>
      </c>
      <c r="F87" s="1">
        <f t="shared" si="2"/>
        <v>5.48</v>
      </c>
      <c r="G87" s="1">
        <v>54.0</v>
      </c>
      <c r="U87" s="1">
        <v>49.0</v>
      </c>
      <c r="V87" s="1">
        <v>20.0</v>
      </c>
      <c r="W87" s="1">
        <v>26.0</v>
      </c>
      <c r="X87" s="1">
        <v>161.0</v>
      </c>
      <c r="Y87" s="1">
        <v>1744.0</v>
      </c>
      <c r="Z87" s="1">
        <v>1583.0</v>
      </c>
      <c r="AA87" s="1">
        <v>1.0</v>
      </c>
    </row>
    <row r="88" ht="12.75" customHeight="1">
      <c r="A88" s="1" t="s">
        <v>117</v>
      </c>
      <c r="B88" s="1" t="str">
        <f>IFERROR(__xludf.DUMMYFUNCTION("split(A88, ""\"")"),"Leon Draisaitl")</f>
        <v>Leon Draisaitl</v>
      </c>
      <c r="C88" s="1" t="str">
        <f>IFERROR(__xludf.DUMMYFUNCTION("""COMPUTED_VALUE"""),"draisle01")</f>
        <v>draisle01</v>
      </c>
      <c r="D88" s="1" t="s">
        <v>31</v>
      </c>
      <c r="E88" s="1">
        <f t="shared" si="1"/>
        <v>295.6</v>
      </c>
      <c r="F88" s="1">
        <f t="shared" si="2"/>
        <v>3.79</v>
      </c>
      <c r="G88" s="1">
        <v>78.0</v>
      </c>
      <c r="H88" s="1">
        <v>25.0</v>
      </c>
      <c r="I88" s="1">
        <v>45.0</v>
      </c>
      <c r="J88" s="1">
        <v>70.0</v>
      </c>
      <c r="K88" s="1">
        <v>194.0</v>
      </c>
      <c r="L88" s="1">
        <v>40.0</v>
      </c>
      <c r="M88" s="1">
        <v>24.0</v>
      </c>
      <c r="N88" s="1">
        <v>6.0</v>
      </c>
      <c r="O88" s="1">
        <v>5.0</v>
      </c>
      <c r="P88" s="1">
        <v>3.0</v>
      </c>
      <c r="Q88" s="1">
        <v>1.0</v>
      </c>
      <c r="R88" s="1">
        <v>-7.0</v>
      </c>
      <c r="S88" s="1">
        <v>30.0</v>
      </c>
      <c r="T88" s="1">
        <v>1.0</v>
      </c>
    </row>
    <row r="89" ht="12.75" customHeight="1">
      <c r="A89" s="1" t="s">
        <v>118</v>
      </c>
      <c r="B89" s="1" t="str">
        <f>IFERROR(__xludf.DUMMYFUNCTION("split(A89, ""\"")"),"Jake Allen")</f>
        <v>Jake Allen</v>
      </c>
      <c r="C89" s="2" t="str">
        <f>IFERROR(__xludf.DUMMYFUNCTION("""COMPUTED_VALUE"""),"allenja01")</f>
        <v>allenja01</v>
      </c>
      <c r="D89" s="1" t="s">
        <v>5</v>
      </c>
      <c r="E89" s="1">
        <f t="shared" si="1"/>
        <v>295.5</v>
      </c>
      <c r="F89" s="1">
        <f t="shared" si="2"/>
        <v>5.01</v>
      </c>
      <c r="G89" s="1">
        <v>59.0</v>
      </c>
      <c r="U89" s="1">
        <v>56.0</v>
      </c>
      <c r="V89" s="1">
        <v>27.0</v>
      </c>
      <c r="W89" s="1">
        <v>25.0</v>
      </c>
      <c r="X89" s="1">
        <v>152.0</v>
      </c>
      <c r="Y89" s="1">
        <v>1614.0</v>
      </c>
      <c r="Z89" s="1">
        <v>1462.0</v>
      </c>
      <c r="AA89" s="1">
        <v>1.0</v>
      </c>
    </row>
    <row r="90" ht="12.75" customHeight="1">
      <c r="A90" s="1" t="s">
        <v>119</v>
      </c>
      <c r="B90" s="1" t="str">
        <f>IFERROR(__xludf.DUMMYFUNCTION("split(A90, ""\"")"),"Sebastian Aho")</f>
        <v>Sebastian Aho</v>
      </c>
      <c r="C90" s="1" t="str">
        <f>IFERROR(__xludf.DUMMYFUNCTION("""COMPUTED_VALUE"""),"ahose01")</f>
        <v>ahose01</v>
      </c>
      <c r="D90" s="1" t="s">
        <v>36</v>
      </c>
      <c r="E90" s="1">
        <f t="shared" si="1"/>
        <v>295.05</v>
      </c>
      <c r="F90" s="1">
        <f t="shared" si="2"/>
        <v>3.78</v>
      </c>
      <c r="G90" s="1">
        <v>78.0</v>
      </c>
      <c r="H90" s="1">
        <v>29.0</v>
      </c>
      <c r="I90" s="1">
        <v>36.0</v>
      </c>
      <c r="J90" s="1">
        <v>65.0</v>
      </c>
      <c r="K90" s="1">
        <v>200.0</v>
      </c>
      <c r="L90" s="1">
        <v>65.0</v>
      </c>
      <c r="M90" s="1">
        <v>17.0</v>
      </c>
      <c r="N90" s="1">
        <v>8.0</v>
      </c>
      <c r="O90" s="1">
        <v>8.0</v>
      </c>
      <c r="P90" s="1">
        <v>0.0</v>
      </c>
      <c r="Q90" s="1">
        <v>0.0</v>
      </c>
      <c r="R90" s="1">
        <v>4.0</v>
      </c>
      <c r="S90" s="1">
        <v>24.0</v>
      </c>
      <c r="T90" s="1">
        <v>4.0</v>
      </c>
    </row>
    <row r="91" ht="12.75" customHeight="1">
      <c r="A91" s="1" t="s">
        <v>120</v>
      </c>
      <c r="B91" s="1" t="str">
        <f>IFERROR(__xludf.DUMMYFUNCTION("split(A91, ""\"")"),"Ben Bishop")</f>
        <v>Ben Bishop</v>
      </c>
      <c r="C91" s="2" t="str">
        <f>IFERROR(__xludf.DUMMYFUNCTION("""COMPUTED_VALUE"""),"bishobe01")</f>
        <v>bishobe01</v>
      </c>
      <c r="D91" s="1" t="s">
        <v>5</v>
      </c>
      <c r="E91" s="1">
        <f t="shared" si="1"/>
        <v>292.25</v>
      </c>
      <c r="F91" s="1">
        <f t="shared" si="2"/>
        <v>5.51</v>
      </c>
      <c r="G91" s="1">
        <v>53.0</v>
      </c>
      <c r="U91" s="1">
        <v>51.0</v>
      </c>
      <c r="V91" s="1">
        <v>26.0</v>
      </c>
      <c r="W91" s="1">
        <v>17.0</v>
      </c>
      <c r="X91" s="1">
        <v>120.0</v>
      </c>
      <c r="Y91" s="1">
        <v>1437.0</v>
      </c>
      <c r="Z91" s="1">
        <v>1317.0</v>
      </c>
      <c r="AA91" s="1">
        <v>5.0</v>
      </c>
    </row>
    <row r="92" ht="12.75" customHeight="1">
      <c r="A92" s="1" t="s">
        <v>121</v>
      </c>
      <c r="B92" s="1" t="str">
        <f>IFERROR(__xludf.DUMMYFUNCTION("split(A92, ""\"")"),"Antti Raanta")</f>
        <v>Antti Raanta</v>
      </c>
      <c r="C92" s="2" t="str">
        <f>IFERROR(__xludf.DUMMYFUNCTION("""COMPUTED_VALUE"""),"raantan01")</f>
        <v>raantan01</v>
      </c>
      <c r="D92" s="1" t="s">
        <v>5</v>
      </c>
      <c r="E92" s="1">
        <f t="shared" si="1"/>
        <v>291.75</v>
      </c>
      <c r="F92" s="1">
        <f t="shared" si="2"/>
        <v>6.21</v>
      </c>
      <c r="G92" s="1">
        <v>47.0</v>
      </c>
      <c r="U92" s="1">
        <v>46.0</v>
      </c>
      <c r="V92" s="1">
        <v>21.0</v>
      </c>
      <c r="W92" s="1">
        <v>17.0</v>
      </c>
      <c r="X92" s="1">
        <v>97.0</v>
      </c>
      <c r="Y92" s="1">
        <v>1388.0</v>
      </c>
      <c r="Z92" s="1">
        <v>1291.0</v>
      </c>
      <c r="AA92" s="1">
        <v>3.0</v>
      </c>
    </row>
    <row r="93" ht="12.75" customHeight="1">
      <c r="A93" s="1" t="s">
        <v>122</v>
      </c>
      <c r="B93" s="1" t="str">
        <f>IFERROR(__xludf.DUMMYFUNCTION("split(A93, ""\"")"),"Torey Krug")</f>
        <v>Torey Krug</v>
      </c>
      <c r="C93" s="1" t="str">
        <f>IFERROR(__xludf.DUMMYFUNCTION("""COMPUTED_VALUE"""),"krugto01")</f>
        <v>krugto01</v>
      </c>
      <c r="D93" s="1" t="s">
        <v>66</v>
      </c>
      <c r="E93" s="1">
        <f t="shared" si="1"/>
        <v>291.7</v>
      </c>
      <c r="F93" s="1">
        <f t="shared" si="2"/>
        <v>3.84</v>
      </c>
      <c r="G93" s="1">
        <v>76.0</v>
      </c>
      <c r="H93" s="1">
        <v>14.0</v>
      </c>
      <c r="I93" s="1">
        <v>45.0</v>
      </c>
      <c r="J93" s="1">
        <v>59.0</v>
      </c>
      <c r="K93" s="1">
        <v>197.0</v>
      </c>
      <c r="L93" s="1">
        <v>79.0</v>
      </c>
      <c r="M93" s="1">
        <v>73.0</v>
      </c>
      <c r="N93" s="1">
        <v>5.0</v>
      </c>
      <c r="O93" s="1">
        <v>19.0</v>
      </c>
      <c r="P93" s="1">
        <v>1.0</v>
      </c>
      <c r="Q93" s="1">
        <v>0.0</v>
      </c>
      <c r="R93" s="1">
        <v>0.0</v>
      </c>
      <c r="S93" s="1">
        <v>36.0</v>
      </c>
      <c r="T93" s="1">
        <v>4.0</v>
      </c>
    </row>
    <row r="94" ht="12.75" customHeight="1">
      <c r="A94" s="1" t="s">
        <v>123</v>
      </c>
      <c r="B94" s="1" t="str">
        <f>IFERROR(__xludf.DUMMYFUNCTION("split(A94, ""\"")"),"Sean Monahan")</f>
        <v>Sean Monahan</v>
      </c>
      <c r="C94" s="1" t="str">
        <f>IFERROR(__xludf.DUMMYFUNCTION("""COMPUTED_VALUE"""),"monahse01")</f>
        <v>monahse01</v>
      </c>
      <c r="D94" s="1" t="s">
        <v>31</v>
      </c>
      <c r="E94" s="1">
        <f t="shared" si="1"/>
        <v>291.55</v>
      </c>
      <c r="F94" s="1">
        <f t="shared" si="2"/>
        <v>3.94</v>
      </c>
      <c r="G94" s="1">
        <v>74.0</v>
      </c>
      <c r="H94" s="1">
        <v>31.0</v>
      </c>
      <c r="I94" s="1">
        <v>33.0</v>
      </c>
      <c r="J94" s="1">
        <v>64.0</v>
      </c>
      <c r="K94" s="1">
        <v>202.0</v>
      </c>
      <c r="L94" s="1">
        <v>35.0</v>
      </c>
      <c r="M94" s="1">
        <v>17.0</v>
      </c>
      <c r="N94" s="1">
        <v>9.0</v>
      </c>
      <c r="O94" s="1">
        <v>10.0</v>
      </c>
      <c r="P94" s="1">
        <v>0.0</v>
      </c>
      <c r="Q94" s="1">
        <v>0.0</v>
      </c>
      <c r="R94" s="1">
        <v>3.0</v>
      </c>
      <c r="S94" s="1">
        <v>24.0</v>
      </c>
      <c r="T94" s="1">
        <v>11.0</v>
      </c>
    </row>
    <row r="95" ht="12.75" customHeight="1">
      <c r="A95" s="1" t="s">
        <v>124</v>
      </c>
      <c r="B95" s="1" t="str">
        <f>IFERROR(__xludf.DUMMYFUNCTION("split(A95, ""\"")"),"Nazem Kadri")</f>
        <v>Nazem Kadri</v>
      </c>
      <c r="C95" s="1" t="str">
        <f>IFERROR(__xludf.DUMMYFUNCTION("""COMPUTED_VALUE"""),"kadrina01")</f>
        <v>kadrina01</v>
      </c>
      <c r="D95" s="1" t="s">
        <v>31</v>
      </c>
      <c r="E95" s="1">
        <f t="shared" si="1"/>
        <v>291.15</v>
      </c>
      <c r="F95" s="1">
        <f t="shared" si="2"/>
        <v>3.64</v>
      </c>
      <c r="G95" s="1">
        <v>80.0</v>
      </c>
      <c r="H95" s="1">
        <v>32.0</v>
      </c>
      <c r="I95" s="1">
        <v>23.0</v>
      </c>
      <c r="J95" s="1">
        <v>55.0</v>
      </c>
      <c r="K95" s="1">
        <v>211.0</v>
      </c>
      <c r="L95" s="1">
        <v>94.0</v>
      </c>
      <c r="M95" s="1">
        <v>26.0</v>
      </c>
      <c r="N95" s="1">
        <v>12.0</v>
      </c>
      <c r="O95" s="1">
        <v>7.0</v>
      </c>
      <c r="P95" s="1">
        <v>0.0</v>
      </c>
      <c r="Q95" s="1">
        <v>0.0</v>
      </c>
      <c r="R95" s="1">
        <v>2.0</v>
      </c>
      <c r="S95" s="1">
        <v>42.0</v>
      </c>
      <c r="T95" s="1">
        <v>3.0</v>
      </c>
    </row>
    <row r="96" ht="12.75" customHeight="1">
      <c r="A96" s="1" t="s">
        <v>125</v>
      </c>
      <c r="B96" s="1" t="str">
        <f>IFERROR(__xludf.DUMMYFUNCTION("split(A96, ""\"")"),"James van Riemsdyk")</f>
        <v>James van Riemsdyk</v>
      </c>
      <c r="C96" s="1" t="str">
        <f>IFERROR(__xludf.DUMMYFUNCTION("""COMPUTED_VALUE"""),"vanrija01")</f>
        <v>vanrija01</v>
      </c>
      <c r="D96" s="1" t="s">
        <v>28</v>
      </c>
      <c r="E96" s="1">
        <f t="shared" si="1"/>
        <v>290.2</v>
      </c>
      <c r="F96" s="1">
        <f t="shared" si="2"/>
        <v>3.58</v>
      </c>
      <c r="G96" s="1">
        <v>81.0</v>
      </c>
      <c r="H96" s="1">
        <v>36.0</v>
      </c>
      <c r="I96" s="1">
        <v>18.0</v>
      </c>
      <c r="J96" s="1">
        <v>54.0</v>
      </c>
      <c r="K96" s="1">
        <v>248.0</v>
      </c>
      <c r="L96" s="1">
        <v>40.0</v>
      </c>
      <c r="M96" s="1">
        <v>23.0</v>
      </c>
      <c r="N96" s="1">
        <v>11.0</v>
      </c>
      <c r="O96" s="1">
        <v>9.0</v>
      </c>
      <c r="P96" s="1">
        <v>0.0</v>
      </c>
      <c r="Q96" s="1">
        <v>0.0</v>
      </c>
      <c r="R96" s="1">
        <v>1.0</v>
      </c>
      <c r="S96" s="1">
        <v>30.0</v>
      </c>
      <c r="T96" s="1">
        <v>5.0</v>
      </c>
    </row>
    <row r="97" ht="12.75" customHeight="1">
      <c r="A97" s="1" t="s">
        <v>126</v>
      </c>
      <c r="B97" s="1" t="str">
        <f>IFERROR(__xludf.DUMMYFUNCTION("split(A97, ""\"")"),"Josh Bailey")</f>
        <v>Josh Bailey</v>
      </c>
      <c r="C97" s="1" t="str">
        <f>IFERROR(__xludf.DUMMYFUNCTION("""COMPUTED_VALUE"""),"bailejo01")</f>
        <v>bailejo01</v>
      </c>
      <c r="D97" s="1" t="s">
        <v>31</v>
      </c>
      <c r="E97" s="1">
        <f t="shared" si="1"/>
        <v>289.45</v>
      </c>
      <c r="F97" s="1">
        <f t="shared" si="2"/>
        <v>3.81</v>
      </c>
      <c r="G97" s="1">
        <v>76.0</v>
      </c>
      <c r="H97" s="1">
        <v>18.0</v>
      </c>
      <c r="I97" s="1">
        <v>53.0</v>
      </c>
      <c r="J97" s="1">
        <v>71.0</v>
      </c>
      <c r="K97" s="1">
        <v>151.0</v>
      </c>
      <c r="L97" s="1">
        <v>12.0</v>
      </c>
      <c r="M97" s="1">
        <v>33.0</v>
      </c>
      <c r="N97" s="1">
        <v>5.0</v>
      </c>
      <c r="O97" s="1">
        <v>26.0</v>
      </c>
      <c r="P97" s="1">
        <v>0.0</v>
      </c>
      <c r="Q97" s="1">
        <v>0.0</v>
      </c>
      <c r="R97" s="1">
        <v>-20.0</v>
      </c>
      <c r="S97" s="1">
        <v>17.0</v>
      </c>
      <c r="T97" s="1">
        <v>3.0</v>
      </c>
    </row>
    <row r="98" ht="12.75" customHeight="1">
      <c r="A98" s="1" t="s">
        <v>127</v>
      </c>
      <c r="B98" s="1" t="str">
        <f>IFERROR(__xludf.DUMMYFUNCTION("split(A98, ""\"")"),"Ivan Provorov")</f>
        <v>Ivan Provorov</v>
      </c>
      <c r="C98" s="1" t="str">
        <f>IFERROR(__xludf.DUMMYFUNCTION("""COMPUTED_VALUE"""),"provoiv01")</f>
        <v>provoiv01</v>
      </c>
      <c r="D98" s="1" t="s">
        <v>66</v>
      </c>
      <c r="E98" s="1">
        <f t="shared" si="1"/>
        <v>288.35</v>
      </c>
      <c r="F98" s="1">
        <f t="shared" si="2"/>
        <v>3.52</v>
      </c>
      <c r="G98" s="1">
        <v>82.0</v>
      </c>
      <c r="H98" s="1">
        <v>17.0</v>
      </c>
      <c r="I98" s="1">
        <v>24.0</v>
      </c>
      <c r="J98" s="1">
        <v>41.0</v>
      </c>
      <c r="K98" s="1">
        <v>203.0</v>
      </c>
      <c r="L98" s="1">
        <v>148.0</v>
      </c>
      <c r="M98" s="1">
        <v>169.0</v>
      </c>
      <c r="N98" s="1">
        <v>2.0</v>
      </c>
      <c r="O98" s="1">
        <v>3.0</v>
      </c>
      <c r="P98" s="1">
        <v>0.0</v>
      </c>
      <c r="Q98" s="1">
        <v>0.0</v>
      </c>
      <c r="R98" s="1">
        <v>17.0</v>
      </c>
      <c r="S98" s="1">
        <v>20.0</v>
      </c>
      <c r="T98" s="1">
        <v>2.0</v>
      </c>
    </row>
    <row r="99" ht="12.75" customHeight="1">
      <c r="A99" s="1" t="s">
        <v>128</v>
      </c>
      <c r="B99" s="1" t="str">
        <f>IFERROR(__xludf.DUMMYFUNCTION("split(A99, ""\"")"),"Craig Anderson")</f>
        <v>Craig Anderson</v>
      </c>
      <c r="C99" s="2" t="str">
        <f>IFERROR(__xludf.DUMMYFUNCTION("""COMPUTED_VALUE"""),"andercr01")</f>
        <v>andercr01</v>
      </c>
      <c r="D99" s="1" t="s">
        <v>5</v>
      </c>
      <c r="E99" s="1">
        <f t="shared" si="1"/>
        <v>288</v>
      </c>
      <c r="F99" s="1">
        <f t="shared" si="2"/>
        <v>4.97</v>
      </c>
      <c r="G99" s="1">
        <v>58.0</v>
      </c>
      <c r="U99" s="1">
        <v>55.0</v>
      </c>
      <c r="V99" s="1">
        <v>23.0</v>
      </c>
      <c r="W99" s="1">
        <v>25.0</v>
      </c>
      <c r="X99" s="1">
        <v>180.0</v>
      </c>
      <c r="Y99" s="1">
        <v>1768.0</v>
      </c>
      <c r="Z99" s="1">
        <v>1588.0</v>
      </c>
      <c r="AA99" s="1">
        <v>2.0</v>
      </c>
    </row>
    <row r="100" ht="12.75" customHeight="1">
      <c r="A100" s="1" t="s">
        <v>129</v>
      </c>
      <c r="B100" s="1" t="str">
        <f>IFERROR(__xludf.DUMMYFUNCTION("split(A100, ""\"")"),"Kris Letang")</f>
        <v>Kris Letang</v>
      </c>
      <c r="C100" s="1" t="str">
        <f>IFERROR(__xludf.DUMMYFUNCTION("""COMPUTED_VALUE"""),"letankr01")</f>
        <v>letankr01</v>
      </c>
      <c r="D100" s="1" t="s">
        <v>66</v>
      </c>
      <c r="E100" s="1">
        <f t="shared" si="1"/>
        <v>287.95</v>
      </c>
      <c r="F100" s="1">
        <f t="shared" si="2"/>
        <v>3.64</v>
      </c>
      <c r="G100" s="1">
        <v>79.0</v>
      </c>
      <c r="H100" s="1">
        <v>9.0</v>
      </c>
      <c r="I100" s="1">
        <v>42.0</v>
      </c>
      <c r="J100" s="1">
        <v>51.0</v>
      </c>
      <c r="K100" s="1">
        <v>222.0</v>
      </c>
      <c r="L100" s="1">
        <v>109.0</v>
      </c>
      <c r="M100" s="1">
        <v>108.0</v>
      </c>
      <c r="N100" s="1">
        <v>4.0</v>
      </c>
      <c r="O100" s="1">
        <v>16.0</v>
      </c>
      <c r="P100" s="1">
        <v>0.0</v>
      </c>
      <c r="Q100" s="1">
        <v>1.0</v>
      </c>
      <c r="R100" s="1">
        <v>-9.0</v>
      </c>
      <c r="S100" s="1">
        <v>56.0</v>
      </c>
      <c r="T100" s="1">
        <v>1.0</v>
      </c>
    </row>
    <row r="101" ht="12.75" customHeight="1">
      <c r="A101" s="1" t="s">
        <v>130</v>
      </c>
      <c r="B101" s="1" t="str">
        <f>IFERROR(__xludf.DUMMYFUNCTION("split(A101, ""\"")"),"Jeff Petry")</f>
        <v>Jeff Petry</v>
      </c>
      <c r="C101" s="1" t="str">
        <f>IFERROR(__xludf.DUMMYFUNCTION("""COMPUTED_VALUE"""),"petryje01")</f>
        <v>petryje01</v>
      </c>
      <c r="D101" s="1" t="s">
        <v>66</v>
      </c>
      <c r="E101" s="1">
        <f t="shared" si="1"/>
        <v>287.45</v>
      </c>
      <c r="F101" s="1">
        <f t="shared" si="2"/>
        <v>3.51</v>
      </c>
      <c r="G101" s="1">
        <v>82.0</v>
      </c>
      <c r="H101" s="1">
        <v>12.0</v>
      </c>
      <c r="I101" s="1">
        <v>30.0</v>
      </c>
      <c r="J101" s="1">
        <v>42.0</v>
      </c>
      <c r="K101" s="1">
        <v>178.0</v>
      </c>
      <c r="L101" s="1">
        <v>167.0</v>
      </c>
      <c r="M101" s="1">
        <v>138.0</v>
      </c>
      <c r="N101" s="1">
        <v>6.0</v>
      </c>
      <c r="O101" s="1">
        <v>17.0</v>
      </c>
      <c r="P101" s="1">
        <v>0.0</v>
      </c>
      <c r="Q101" s="1">
        <v>0.0</v>
      </c>
      <c r="R101" s="1">
        <v>-30.0</v>
      </c>
      <c r="S101" s="1">
        <v>28.0</v>
      </c>
      <c r="T101" s="1">
        <v>2.0</v>
      </c>
    </row>
    <row r="102" ht="12.75" customHeight="1">
      <c r="A102" s="1" t="s">
        <v>131</v>
      </c>
      <c r="B102" s="1" t="str">
        <f>IFERROR(__xludf.DUMMYFUNCTION("split(A102, ""\"")"),"Dylan Larkin")</f>
        <v>Dylan Larkin</v>
      </c>
      <c r="C102" s="1" t="str">
        <f>IFERROR(__xludf.DUMMYFUNCTION("""COMPUTED_VALUE"""),"larkidy01")</f>
        <v>larkidy01</v>
      </c>
      <c r="D102" s="1" t="s">
        <v>31</v>
      </c>
      <c r="E102" s="1">
        <f t="shared" si="1"/>
        <v>286.3</v>
      </c>
      <c r="F102" s="1">
        <f t="shared" si="2"/>
        <v>3.49</v>
      </c>
      <c r="G102" s="1">
        <v>82.0</v>
      </c>
      <c r="H102" s="1">
        <v>16.0</v>
      </c>
      <c r="I102" s="1">
        <v>47.0</v>
      </c>
      <c r="J102" s="1">
        <v>63.0</v>
      </c>
      <c r="K102" s="1">
        <v>232.0</v>
      </c>
      <c r="L102" s="1">
        <v>76.0</v>
      </c>
      <c r="M102" s="1">
        <v>42.0</v>
      </c>
      <c r="N102" s="1">
        <v>1.0</v>
      </c>
      <c r="O102" s="1">
        <v>7.0</v>
      </c>
      <c r="P102" s="1">
        <v>2.0</v>
      </c>
      <c r="Q102" s="1">
        <v>1.0</v>
      </c>
      <c r="R102" s="1">
        <v>-9.0</v>
      </c>
      <c r="S102" s="1">
        <v>61.0</v>
      </c>
      <c r="T102" s="1">
        <v>4.0</v>
      </c>
    </row>
    <row r="103" ht="12.75" customHeight="1">
      <c r="A103" s="1" t="s">
        <v>132</v>
      </c>
      <c r="B103" s="1" t="str">
        <f>IFERROR(__xludf.DUMMYFUNCTION("split(A103, ""\"")"),"Nikolaj Ehlers")</f>
        <v>Nikolaj Ehlers</v>
      </c>
      <c r="C103" s="1" t="str">
        <f>IFERROR(__xludf.DUMMYFUNCTION("""COMPUTED_VALUE"""),"ehlerni01")</f>
        <v>ehlerni01</v>
      </c>
      <c r="D103" s="1" t="s">
        <v>28</v>
      </c>
      <c r="E103" s="1">
        <f t="shared" si="1"/>
        <v>284.8</v>
      </c>
      <c r="F103" s="1">
        <f t="shared" si="2"/>
        <v>3.47</v>
      </c>
      <c r="G103" s="1">
        <v>82.0</v>
      </c>
      <c r="H103" s="1">
        <v>29.0</v>
      </c>
      <c r="I103" s="1">
        <v>31.0</v>
      </c>
      <c r="J103" s="1">
        <v>60.0</v>
      </c>
      <c r="K103" s="1">
        <v>231.0</v>
      </c>
      <c r="L103" s="1">
        <v>39.0</v>
      </c>
      <c r="M103" s="1">
        <v>27.0</v>
      </c>
      <c r="N103" s="1">
        <v>7.0</v>
      </c>
      <c r="O103" s="1">
        <v>6.0</v>
      </c>
      <c r="P103" s="1">
        <v>0.0</v>
      </c>
      <c r="Q103" s="1">
        <v>0.0</v>
      </c>
      <c r="R103" s="1">
        <v>14.0</v>
      </c>
      <c r="S103" s="1">
        <v>26.0</v>
      </c>
      <c r="T103" s="1">
        <v>7.0</v>
      </c>
    </row>
    <row r="104" ht="12.75" customHeight="1">
      <c r="A104" s="1" t="s">
        <v>133</v>
      </c>
      <c r="B104" s="1" t="str">
        <f>IFERROR(__xludf.DUMMYFUNCTION("split(A104, ""\"")"),"Evgeni Dadonov")</f>
        <v>Evgeni Dadonov</v>
      </c>
      <c r="C104" s="1" t="str">
        <f>IFERROR(__xludf.DUMMYFUNCTION("""COMPUTED_VALUE"""),"dadonev01")</f>
        <v>dadonev01</v>
      </c>
      <c r="D104" s="1" t="s">
        <v>36</v>
      </c>
      <c r="E104" s="1">
        <f t="shared" si="1"/>
        <v>284.45</v>
      </c>
      <c r="F104" s="1">
        <f t="shared" si="2"/>
        <v>3.84</v>
      </c>
      <c r="G104" s="1">
        <v>74.0</v>
      </c>
      <c r="H104" s="1">
        <v>28.0</v>
      </c>
      <c r="I104" s="1">
        <v>37.0</v>
      </c>
      <c r="J104" s="1">
        <v>65.0</v>
      </c>
      <c r="K104" s="1">
        <v>188.0</v>
      </c>
      <c r="L104" s="1">
        <v>27.0</v>
      </c>
      <c r="M104" s="1">
        <v>33.0</v>
      </c>
      <c r="N104" s="1">
        <v>6.0</v>
      </c>
      <c r="O104" s="1">
        <v>7.0</v>
      </c>
      <c r="P104" s="1">
        <v>0.0</v>
      </c>
      <c r="Q104" s="1">
        <v>0.0</v>
      </c>
      <c r="R104" s="1">
        <v>10.0</v>
      </c>
      <c r="S104" s="1">
        <v>8.0</v>
      </c>
      <c r="T104" s="1">
        <v>6.0</v>
      </c>
    </row>
    <row r="105" ht="12.75" customHeight="1">
      <c r="A105" s="1" t="s">
        <v>134</v>
      </c>
      <c r="B105" s="1" t="str">
        <f>IFERROR(__xludf.DUMMYFUNCTION("split(A105, ""\"")"),"Clayton Keller")</f>
        <v>Clayton Keller</v>
      </c>
      <c r="C105" s="1" t="str">
        <f>IFERROR(__xludf.DUMMYFUNCTION("""COMPUTED_VALUE"""),"kellecl01")</f>
        <v>kellecl01</v>
      </c>
      <c r="D105" s="1" t="s">
        <v>31</v>
      </c>
      <c r="E105" s="1">
        <f t="shared" si="1"/>
        <v>283.95</v>
      </c>
      <c r="F105" s="1">
        <f t="shared" si="2"/>
        <v>3.46</v>
      </c>
      <c r="G105" s="1">
        <v>82.0</v>
      </c>
      <c r="H105" s="1">
        <v>23.0</v>
      </c>
      <c r="I105" s="1">
        <v>42.0</v>
      </c>
      <c r="J105" s="1">
        <v>65.0</v>
      </c>
      <c r="K105" s="1">
        <v>212.0</v>
      </c>
      <c r="L105" s="1">
        <v>7.0</v>
      </c>
      <c r="M105" s="1">
        <v>28.0</v>
      </c>
      <c r="N105" s="1">
        <v>6.0</v>
      </c>
      <c r="O105" s="1">
        <v>14.0</v>
      </c>
      <c r="P105" s="1">
        <v>0.0</v>
      </c>
      <c r="Q105" s="1">
        <v>1.0</v>
      </c>
      <c r="R105" s="1">
        <v>-7.0</v>
      </c>
      <c r="S105" s="1">
        <v>24.0</v>
      </c>
      <c r="T105" s="1">
        <v>3.0</v>
      </c>
    </row>
    <row r="106" ht="12.75" customHeight="1">
      <c r="A106" s="1" t="s">
        <v>135</v>
      </c>
      <c r="B106" s="1" t="str">
        <f>IFERROR(__xludf.DUMMYFUNCTION("split(A106, ""\"")"),"Matt Duchene")</f>
        <v>Matt Duchene</v>
      </c>
      <c r="C106" s="1" t="str">
        <f>IFERROR(__xludf.DUMMYFUNCTION("""COMPUTED_VALUE"""),"duchema01")</f>
        <v>duchema01</v>
      </c>
      <c r="D106" s="1" t="s">
        <v>31</v>
      </c>
      <c r="E106" s="1">
        <f t="shared" si="1"/>
        <v>283.1</v>
      </c>
      <c r="F106" s="1">
        <f t="shared" si="2"/>
        <v>3.45</v>
      </c>
      <c r="G106" s="1">
        <v>82.0</v>
      </c>
      <c r="H106" s="1">
        <v>27.0</v>
      </c>
      <c r="I106" s="1">
        <v>32.0</v>
      </c>
      <c r="J106" s="1">
        <v>59.0</v>
      </c>
      <c r="K106" s="1">
        <v>190.0</v>
      </c>
      <c r="L106" s="1">
        <v>60.0</v>
      </c>
      <c r="M106" s="1">
        <v>49.0</v>
      </c>
      <c r="N106" s="1">
        <v>9.0</v>
      </c>
      <c r="O106" s="1">
        <v>4.0</v>
      </c>
      <c r="P106" s="1">
        <v>0.0</v>
      </c>
      <c r="Q106" s="1">
        <v>0.0</v>
      </c>
      <c r="R106" s="1">
        <v>-22.0</v>
      </c>
      <c r="S106" s="1">
        <v>18.0</v>
      </c>
      <c r="T106" s="1">
        <v>3.0</v>
      </c>
    </row>
    <row r="107" ht="12.75" customHeight="1">
      <c r="A107" s="1" t="s">
        <v>136</v>
      </c>
      <c r="B107" s="1" t="str">
        <f>IFERROR(__xludf.DUMMYFUNCTION("split(A107, ""\"")"),"Erik Haula")</f>
        <v>Erik Haula</v>
      </c>
      <c r="C107" s="1" t="str">
        <f>IFERROR(__xludf.DUMMYFUNCTION("""COMPUTED_VALUE"""),"haulaer01")</f>
        <v>haulaer01</v>
      </c>
      <c r="D107" s="1" t="s">
        <v>28</v>
      </c>
      <c r="E107" s="1">
        <f t="shared" si="1"/>
        <v>281.8</v>
      </c>
      <c r="F107" s="1">
        <f t="shared" si="2"/>
        <v>3.71</v>
      </c>
      <c r="G107" s="1">
        <v>76.0</v>
      </c>
      <c r="H107" s="1">
        <v>29.0</v>
      </c>
      <c r="I107" s="1">
        <v>26.0</v>
      </c>
      <c r="J107" s="1">
        <v>55.0</v>
      </c>
      <c r="K107" s="1">
        <v>175.0</v>
      </c>
      <c r="L107" s="1">
        <v>85.0</v>
      </c>
      <c r="M107" s="1">
        <v>42.0</v>
      </c>
      <c r="N107" s="1">
        <v>12.0</v>
      </c>
      <c r="O107" s="1">
        <v>7.0</v>
      </c>
      <c r="P107" s="1">
        <v>0.0</v>
      </c>
      <c r="Q107" s="1">
        <v>0.0</v>
      </c>
      <c r="R107" s="1">
        <v>-16.0</v>
      </c>
      <c r="S107" s="1">
        <v>37.0</v>
      </c>
      <c r="T107" s="1">
        <v>4.0</v>
      </c>
    </row>
    <row r="108" ht="12.75" customHeight="1">
      <c r="A108" s="1" t="s">
        <v>137</v>
      </c>
      <c r="B108" s="1" t="str">
        <f>IFERROR(__xludf.DUMMYFUNCTION("split(A108, ""\"")"),"Mathew Dumba")</f>
        <v>Mathew Dumba</v>
      </c>
      <c r="C108" s="1" t="str">
        <f>IFERROR(__xludf.DUMMYFUNCTION("""COMPUTED_VALUE"""),"dumbama01")</f>
        <v>dumbama01</v>
      </c>
      <c r="D108" s="1" t="s">
        <v>66</v>
      </c>
      <c r="E108" s="1">
        <f t="shared" si="1"/>
        <v>281.8</v>
      </c>
      <c r="F108" s="1">
        <f t="shared" si="2"/>
        <v>3.44</v>
      </c>
      <c r="G108" s="1">
        <v>82.0</v>
      </c>
      <c r="H108" s="1">
        <v>14.0</v>
      </c>
      <c r="I108" s="1">
        <v>36.0</v>
      </c>
      <c r="J108" s="1">
        <v>50.0</v>
      </c>
      <c r="K108" s="1">
        <v>176.0</v>
      </c>
      <c r="L108" s="1">
        <v>136.0</v>
      </c>
      <c r="M108" s="1">
        <v>112.0</v>
      </c>
      <c r="N108" s="1">
        <v>2.0</v>
      </c>
      <c r="O108" s="1">
        <v>10.0</v>
      </c>
      <c r="P108" s="1">
        <v>0.0</v>
      </c>
      <c r="Q108" s="1">
        <v>1.0</v>
      </c>
      <c r="R108" s="1">
        <v>15.0</v>
      </c>
      <c r="S108" s="1">
        <v>41.0</v>
      </c>
      <c r="T108" s="1">
        <v>4.0</v>
      </c>
    </row>
    <row r="109" ht="12.75" customHeight="1">
      <c r="A109" s="1" t="s">
        <v>138</v>
      </c>
      <c r="B109" s="1" t="str">
        <f>IFERROR(__xludf.DUMMYFUNCTION("split(A109, ""\"")"),"Mika Zibanejad")</f>
        <v>Mika Zibanejad</v>
      </c>
      <c r="C109" s="1" t="str">
        <f>IFERROR(__xludf.DUMMYFUNCTION("""COMPUTED_VALUE"""),"zibanmi01")</f>
        <v>zibanmi01</v>
      </c>
      <c r="D109" s="1" t="s">
        <v>31</v>
      </c>
      <c r="E109" s="1">
        <f t="shared" si="1"/>
        <v>281.6</v>
      </c>
      <c r="F109" s="1">
        <f t="shared" si="2"/>
        <v>3.91</v>
      </c>
      <c r="G109" s="1">
        <v>72.0</v>
      </c>
      <c r="H109" s="1">
        <v>27.0</v>
      </c>
      <c r="I109" s="1">
        <v>20.0</v>
      </c>
      <c r="J109" s="1">
        <v>47.0</v>
      </c>
      <c r="K109" s="1">
        <v>212.0</v>
      </c>
      <c r="L109" s="1">
        <v>92.0</v>
      </c>
      <c r="M109" s="1">
        <v>64.0</v>
      </c>
      <c r="N109" s="1">
        <v>14.0</v>
      </c>
      <c r="O109" s="1">
        <v>7.0</v>
      </c>
      <c r="P109" s="1">
        <v>0.0</v>
      </c>
      <c r="Q109" s="1">
        <v>1.0</v>
      </c>
      <c r="R109" s="1">
        <v>-23.0</v>
      </c>
      <c r="S109" s="1">
        <v>14.0</v>
      </c>
      <c r="T109" s="1">
        <v>4.0</v>
      </c>
    </row>
    <row r="110" ht="12.75" customHeight="1">
      <c r="A110" s="1" t="s">
        <v>139</v>
      </c>
      <c r="B110" s="1" t="str">
        <f>IFERROR(__xludf.DUMMYFUNCTION("split(A110, ""\"")"),"Tyson Barrie")</f>
        <v>Tyson Barrie</v>
      </c>
      <c r="C110" s="1" t="str">
        <f>IFERROR(__xludf.DUMMYFUNCTION("""COMPUTED_VALUE"""),"barrity01")</f>
        <v>barrity01</v>
      </c>
      <c r="D110" s="1" t="s">
        <v>66</v>
      </c>
      <c r="E110" s="1">
        <f t="shared" si="1"/>
        <v>279.6</v>
      </c>
      <c r="F110" s="1">
        <f t="shared" si="2"/>
        <v>4.11</v>
      </c>
      <c r="G110" s="1">
        <v>68.0</v>
      </c>
      <c r="H110" s="1">
        <v>14.0</v>
      </c>
      <c r="I110" s="1">
        <v>43.0</v>
      </c>
      <c r="J110" s="1">
        <v>57.0</v>
      </c>
      <c r="K110" s="1">
        <v>178.0</v>
      </c>
      <c r="L110" s="1">
        <v>40.0</v>
      </c>
      <c r="M110" s="1">
        <v>79.0</v>
      </c>
      <c r="N110" s="1">
        <v>7.0</v>
      </c>
      <c r="O110" s="1">
        <v>23.0</v>
      </c>
      <c r="P110" s="1">
        <v>0.0</v>
      </c>
      <c r="Q110" s="1">
        <v>0.0</v>
      </c>
      <c r="R110" s="1">
        <v>-15.0</v>
      </c>
      <c r="S110" s="1">
        <v>22.0</v>
      </c>
      <c r="T110" s="1">
        <v>3.0</v>
      </c>
    </row>
    <row r="111" ht="12.75" customHeight="1">
      <c r="A111" s="1" t="s">
        <v>140</v>
      </c>
      <c r="B111" s="1" t="str">
        <f>IFERROR(__xludf.DUMMYFUNCTION("split(A111, ""\"")"),"Mike Hoffman")</f>
        <v>Mike Hoffman</v>
      </c>
      <c r="C111" s="1" t="str">
        <f>IFERROR(__xludf.DUMMYFUNCTION("""COMPUTED_VALUE"""),"hoffmmi02")</f>
        <v>hoffmmi02</v>
      </c>
      <c r="D111" s="1" t="s">
        <v>141</v>
      </c>
      <c r="E111" s="1">
        <f t="shared" si="1"/>
        <v>279.6</v>
      </c>
      <c r="F111" s="1">
        <f t="shared" si="2"/>
        <v>3.41</v>
      </c>
      <c r="G111" s="1">
        <v>82.0</v>
      </c>
      <c r="H111" s="1">
        <v>22.0</v>
      </c>
      <c r="I111" s="1">
        <v>34.0</v>
      </c>
      <c r="J111" s="1">
        <v>56.0</v>
      </c>
      <c r="K111" s="1">
        <v>257.0</v>
      </c>
      <c r="L111" s="1">
        <v>31.0</v>
      </c>
      <c r="M111" s="1">
        <v>34.0</v>
      </c>
      <c r="N111" s="1">
        <v>8.0</v>
      </c>
      <c r="O111" s="1">
        <v>13.0</v>
      </c>
      <c r="P111" s="1">
        <v>0.0</v>
      </c>
      <c r="Q111" s="1">
        <v>0.0</v>
      </c>
      <c r="R111" s="1">
        <v>-20.0</v>
      </c>
      <c r="S111" s="1">
        <v>32.0</v>
      </c>
      <c r="T111" s="1">
        <v>5.0</v>
      </c>
    </row>
    <row r="112" ht="12.75" customHeight="1">
      <c r="A112" s="1" t="s">
        <v>142</v>
      </c>
      <c r="B112" s="1" t="str">
        <f>IFERROR(__xludf.DUMMYFUNCTION("split(A112, ""\"")"),"Yanni Gourde")</f>
        <v>Yanni Gourde</v>
      </c>
      <c r="C112" s="1" t="str">
        <f>IFERROR(__xludf.DUMMYFUNCTION("""COMPUTED_VALUE"""),"gourdya01")</f>
        <v>gourdya01</v>
      </c>
      <c r="D112" s="1" t="s">
        <v>31</v>
      </c>
      <c r="E112" s="1">
        <f t="shared" si="1"/>
        <v>277.55</v>
      </c>
      <c r="F112" s="1">
        <f t="shared" si="2"/>
        <v>3.38</v>
      </c>
      <c r="G112" s="1">
        <v>82.0</v>
      </c>
      <c r="H112" s="1">
        <v>25.0</v>
      </c>
      <c r="I112" s="1">
        <v>39.0</v>
      </c>
      <c r="J112" s="1">
        <v>64.0</v>
      </c>
      <c r="K112" s="1">
        <v>136.0</v>
      </c>
      <c r="L112" s="1">
        <v>57.0</v>
      </c>
      <c r="M112" s="1">
        <v>42.0</v>
      </c>
      <c r="N112" s="1">
        <v>7.0</v>
      </c>
      <c r="O112" s="1">
        <v>6.0</v>
      </c>
      <c r="P112" s="1">
        <v>1.0</v>
      </c>
      <c r="Q112" s="1">
        <v>1.0</v>
      </c>
      <c r="R112" s="1">
        <v>34.0</v>
      </c>
      <c r="S112" s="1">
        <v>50.0</v>
      </c>
      <c r="T112" s="1">
        <v>5.0</v>
      </c>
    </row>
    <row r="113" ht="12.75" customHeight="1">
      <c r="A113" s="1" t="s">
        <v>143</v>
      </c>
      <c r="B113" s="1" t="str">
        <f>IFERROR(__xludf.DUMMYFUNCTION("split(A113, ""\"")"),"Teuvo Teravainen")</f>
        <v>Teuvo Teravainen</v>
      </c>
      <c r="C113" s="1" t="str">
        <f>IFERROR(__xludf.DUMMYFUNCTION("""COMPUTED_VALUE"""),"teravte01")</f>
        <v>teravte01</v>
      </c>
      <c r="D113" s="1" t="s">
        <v>31</v>
      </c>
      <c r="E113" s="1">
        <f t="shared" si="1"/>
        <v>276.05</v>
      </c>
      <c r="F113" s="1">
        <f t="shared" si="2"/>
        <v>3.37</v>
      </c>
      <c r="G113" s="1">
        <v>82.0</v>
      </c>
      <c r="H113" s="1">
        <v>23.0</v>
      </c>
      <c r="I113" s="1">
        <v>41.0</v>
      </c>
      <c r="J113" s="1">
        <v>64.0</v>
      </c>
      <c r="K113" s="1">
        <v>185.0</v>
      </c>
      <c r="L113" s="1">
        <v>26.0</v>
      </c>
      <c r="M113" s="1">
        <v>22.0</v>
      </c>
      <c r="N113" s="1">
        <v>5.0</v>
      </c>
      <c r="O113" s="1">
        <v>15.0</v>
      </c>
      <c r="P113" s="1">
        <v>0.0</v>
      </c>
      <c r="Q113" s="1">
        <v>0.0</v>
      </c>
      <c r="R113" s="1">
        <v>8.0</v>
      </c>
      <c r="S113" s="1">
        <v>14.0</v>
      </c>
      <c r="T113" s="1">
        <v>3.0</v>
      </c>
    </row>
    <row r="114" ht="12.75" customHeight="1">
      <c r="A114" s="1" t="s">
        <v>144</v>
      </c>
      <c r="B114" s="1" t="str">
        <f>IFERROR(__xludf.DUMMYFUNCTION("split(A114, ""\"")"),"Rasmus Ristolainen")</f>
        <v>Rasmus Ristolainen</v>
      </c>
      <c r="C114" s="1" t="str">
        <f>IFERROR(__xludf.DUMMYFUNCTION("""COMPUTED_VALUE"""),"ristora01")</f>
        <v>ristora01</v>
      </c>
      <c r="D114" s="1" t="s">
        <v>66</v>
      </c>
      <c r="E114" s="1">
        <f t="shared" si="1"/>
        <v>275.9</v>
      </c>
      <c r="F114" s="1">
        <f t="shared" si="2"/>
        <v>3.78</v>
      </c>
      <c r="G114" s="1">
        <v>73.0</v>
      </c>
      <c r="H114" s="1">
        <v>6.0</v>
      </c>
      <c r="I114" s="1">
        <v>35.0</v>
      </c>
      <c r="J114" s="1">
        <v>41.0</v>
      </c>
      <c r="K114" s="1">
        <v>182.0</v>
      </c>
      <c r="L114" s="1">
        <v>206.0</v>
      </c>
      <c r="M114" s="1">
        <v>111.0</v>
      </c>
      <c r="N114" s="1">
        <v>1.0</v>
      </c>
      <c r="O114" s="1">
        <v>22.0</v>
      </c>
      <c r="P114" s="1">
        <v>0.0</v>
      </c>
      <c r="Q114" s="1">
        <v>0.0</v>
      </c>
      <c r="R114" s="1">
        <v>-25.0</v>
      </c>
      <c r="S114" s="1">
        <v>48.0</v>
      </c>
      <c r="T114" s="1">
        <v>1.0</v>
      </c>
    </row>
    <row r="115" ht="12.75" customHeight="1">
      <c r="A115" s="1" t="s">
        <v>145</v>
      </c>
      <c r="B115" s="1" t="str">
        <f>IFERROR(__xludf.DUMMYFUNCTION("split(A115, ""\"")"),"David Perron")</f>
        <v>David Perron</v>
      </c>
      <c r="C115" s="1" t="str">
        <f>IFERROR(__xludf.DUMMYFUNCTION("""COMPUTED_VALUE"""),"perroda01")</f>
        <v>perroda01</v>
      </c>
      <c r="D115" s="1" t="s">
        <v>28</v>
      </c>
      <c r="E115" s="1">
        <f t="shared" si="1"/>
        <v>275.75</v>
      </c>
      <c r="F115" s="1">
        <f t="shared" si="2"/>
        <v>3.94</v>
      </c>
      <c r="G115" s="1">
        <v>70.0</v>
      </c>
      <c r="H115" s="1">
        <v>16.0</v>
      </c>
      <c r="I115" s="1">
        <v>50.0</v>
      </c>
      <c r="J115" s="1">
        <v>66.0</v>
      </c>
      <c r="K115" s="1">
        <v>125.0</v>
      </c>
      <c r="L115" s="1">
        <v>118.0</v>
      </c>
      <c r="M115" s="1">
        <v>20.0</v>
      </c>
      <c r="N115" s="1">
        <v>1.0</v>
      </c>
      <c r="O115" s="1">
        <v>17.0</v>
      </c>
      <c r="P115" s="1">
        <v>0.0</v>
      </c>
      <c r="Q115" s="1">
        <v>0.0</v>
      </c>
      <c r="R115" s="1">
        <v>1.0</v>
      </c>
      <c r="S115" s="1">
        <v>50.0</v>
      </c>
      <c r="T115" s="1">
        <v>4.0</v>
      </c>
    </row>
    <row r="116" ht="12.75" customHeight="1">
      <c r="A116" s="1" t="s">
        <v>146</v>
      </c>
      <c r="B116" s="1" t="str">
        <f>IFERROR(__xludf.DUMMYFUNCTION("split(A116, ""\"")"),"J.T. Miller")</f>
        <v>J.T. Miller</v>
      </c>
      <c r="C116" s="1" t="str">
        <f>IFERROR(__xludf.DUMMYFUNCTION("""COMPUTED_VALUE"""),"millejt01")</f>
        <v>millejt01</v>
      </c>
      <c r="D116" s="1" t="s">
        <v>31</v>
      </c>
      <c r="E116" s="1">
        <f t="shared" si="1"/>
        <v>274.65</v>
      </c>
      <c r="F116" s="1">
        <f t="shared" si="2"/>
        <v>3.35</v>
      </c>
      <c r="G116" s="1">
        <v>82.0</v>
      </c>
      <c r="H116" s="1">
        <v>23.0</v>
      </c>
      <c r="I116" s="1">
        <v>35.0</v>
      </c>
      <c r="J116" s="1">
        <v>58.0</v>
      </c>
      <c r="K116" s="1">
        <v>143.0</v>
      </c>
      <c r="L116" s="1">
        <v>124.0</v>
      </c>
      <c r="M116" s="1">
        <v>26.0</v>
      </c>
      <c r="N116" s="1">
        <v>11.0</v>
      </c>
      <c r="O116" s="1">
        <v>7.0</v>
      </c>
      <c r="P116" s="1">
        <v>0.0</v>
      </c>
      <c r="Q116" s="1">
        <v>0.0</v>
      </c>
      <c r="R116" s="1">
        <v>-4.0</v>
      </c>
      <c r="S116" s="1">
        <v>40.0</v>
      </c>
      <c r="T116" s="1">
        <v>5.0</v>
      </c>
    </row>
    <row r="117" ht="12.75" customHeight="1">
      <c r="A117" s="1" t="s">
        <v>147</v>
      </c>
      <c r="B117" s="1" t="str">
        <f>IFERROR(__xludf.DUMMYFUNCTION("split(A117, ""\"")"),"Dustin Byfuglien")</f>
        <v>Dustin Byfuglien</v>
      </c>
      <c r="C117" s="1" t="str">
        <f>IFERROR(__xludf.DUMMYFUNCTION("""COMPUTED_VALUE"""),"byfugdu01")</f>
        <v>byfugdu01</v>
      </c>
      <c r="D117" s="1" t="s">
        <v>66</v>
      </c>
      <c r="E117" s="1">
        <f t="shared" si="1"/>
        <v>272.5</v>
      </c>
      <c r="F117" s="1">
        <f t="shared" si="2"/>
        <v>3.95</v>
      </c>
      <c r="G117" s="1">
        <v>69.0</v>
      </c>
      <c r="H117" s="1">
        <v>8.0</v>
      </c>
      <c r="I117" s="1">
        <v>37.0</v>
      </c>
      <c r="J117" s="1">
        <v>45.0</v>
      </c>
      <c r="K117" s="1">
        <v>193.0</v>
      </c>
      <c r="L117" s="1">
        <v>147.0</v>
      </c>
      <c r="M117" s="1">
        <v>100.0</v>
      </c>
      <c r="N117" s="1">
        <v>4.0</v>
      </c>
      <c r="O117" s="1">
        <v>18.0</v>
      </c>
      <c r="P117" s="1">
        <v>0.0</v>
      </c>
      <c r="Q117" s="1">
        <v>1.0</v>
      </c>
      <c r="R117" s="1">
        <v>15.0</v>
      </c>
      <c r="S117" s="1">
        <v>112.0</v>
      </c>
      <c r="T117" s="1">
        <v>1.0</v>
      </c>
    </row>
    <row r="118" ht="12.75" customHeight="1">
      <c r="A118" s="1" t="s">
        <v>148</v>
      </c>
      <c r="B118" s="1" t="str">
        <f>IFERROR(__xludf.DUMMYFUNCTION("split(A118, ""\"")"),"Alexander Edler")</f>
        <v>Alexander Edler</v>
      </c>
      <c r="C118" s="1" t="str">
        <f>IFERROR(__xludf.DUMMYFUNCTION("""COMPUTED_VALUE"""),"edleral01")</f>
        <v>edleral01</v>
      </c>
      <c r="D118" s="1" t="s">
        <v>66</v>
      </c>
      <c r="E118" s="1">
        <f t="shared" si="1"/>
        <v>272.45</v>
      </c>
      <c r="F118" s="1">
        <f t="shared" si="2"/>
        <v>3.89</v>
      </c>
      <c r="G118" s="1">
        <v>70.0</v>
      </c>
      <c r="H118" s="1">
        <v>6.0</v>
      </c>
      <c r="I118" s="1">
        <v>28.0</v>
      </c>
      <c r="J118" s="1">
        <v>34.0</v>
      </c>
      <c r="K118" s="1">
        <v>172.0</v>
      </c>
      <c r="L118" s="1">
        <v>157.0</v>
      </c>
      <c r="M118" s="1">
        <v>203.0</v>
      </c>
      <c r="N118" s="1">
        <v>1.0</v>
      </c>
      <c r="O118" s="1">
        <v>14.0</v>
      </c>
      <c r="P118" s="1">
        <v>0.0</v>
      </c>
      <c r="Q118" s="1">
        <v>0.0</v>
      </c>
      <c r="R118" s="1">
        <v>-18.0</v>
      </c>
      <c r="S118" s="1">
        <v>68.0</v>
      </c>
      <c r="T118" s="1">
        <v>2.0</v>
      </c>
    </row>
    <row r="119" ht="12.75" customHeight="1">
      <c r="A119" s="1" t="s">
        <v>149</v>
      </c>
      <c r="B119" s="1" t="str">
        <f>IFERROR(__xludf.DUMMYFUNCTION("split(A119, ""\"")"),"Ryan Suter")</f>
        <v>Ryan Suter</v>
      </c>
      <c r="C119" s="1" t="str">
        <f>IFERROR(__xludf.DUMMYFUNCTION("""COMPUTED_VALUE"""),"suterry01")</f>
        <v>suterry01</v>
      </c>
      <c r="D119" s="1" t="s">
        <v>66</v>
      </c>
      <c r="E119" s="1">
        <f t="shared" si="1"/>
        <v>272.45</v>
      </c>
      <c r="F119" s="1">
        <f t="shared" si="2"/>
        <v>3.49</v>
      </c>
      <c r="G119" s="1">
        <v>78.0</v>
      </c>
      <c r="H119" s="1">
        <v>6.0</v>
      </c>
      <c r="I119" s="1">
        <v>45.0</v>
      </c>
      <c r="J119" s="1">
        <v>51.0</v>
      </c>
      <c r="K119" s="1">
        <v>149.0</v>
      </c>
      <c r="L119" s="1">
        <v>78.0</v>
      </c>
      <c r="M119" s="1">
        <v>138.0</v>
      </c>
      <c r="N119" s="1">
        <v>1.0</v>
      </c>
      <c r="O119" s="1">
        <v>22.0</v>
      </c>
      <c r="P119" s="1">
        <v>0.0</v>
      </c>
      <c r="Q119" s="1">
        <v>1.0</v>
      </c>
      <c r="R119" s="1">
        <v>-1.0</v>
      </c>
      <c r="S119" s="1">
        <v>34.0</v>
      </c>
      <c r="T119" s="1">
        <v>2.0</v>
      </c>
    </row>
    <row r="120" ht="12.75" customHeight="1">
      <c r="A120" s="1" t="s">
        <v>150</v>
      </c>
      <c r="B120" s="1" t="str">
        <f>IFERROR(__xludf.DUMMYFUNCTION("split(A120, ""\"")"),"Matt Murray")</f>
        <v>Matt Murray</v>
      </c>
      <c r="C120" s="2" t="str">
        <f>IFERROR(__xludf.DUMMYFUNCTION("""COMPUTED_VALUE"""),"murrama02")</f>
        <v>murrama02</v>
      </c>
      <c r="D120" s="1" t="s">
        <v>5</v>
      </c>
      <c r="E120" s="1">
        <f t="shared" si="1"/>
        <v>271.5</v>
      </c>
      <c r="F120" s="1">
        <f t="shared" si="2"/>
        <v>5.54</v>
      </c>
      <c r="G120" s="1">
        <v>49.0</v>
      </c>
      <c r="U120" s="1">
        <v>45.0</v>
      </c>
      <c r="V120" s="1">
        <v>27.0</v>
      </c>
      <c r="W120" s="1">
        <v>16.0</v>
      </c>
      <c r="X120" s="1">
        <v>133.0</v>
      </c>
      <c r="Y120" s="1">
        <v>1423.0</v>
      </c>
      <c r="Z120" s="1">
        <v>1290.0</v>
      </c>
      <c r="AA120" s="1">
        <v>1.0</v>
      </c>
    </row>
    <row r="121" ht="12.75" customHeight="1">
      <c r="A121" s="1" t="s">
        <v>151</v>
      </c>
      <c r="B121" s="1" t="str">
        <f>IFERROR(__xludf.DUMMYFUNCTION("split(A121, ""\"")"),"Derek Stepan")</f>
        <v>Derek Stepan</v>
      </c>
      <c r="C121" s="1" t="str">
        <f>IFERROR(__xludf.DUMMYFUNCTION("""COMPUTED_VALUE"""),"stepade01")</f>
        <v>stepade01</v>
      </c>
      <c r="D121" s="1" t="s">
        <v>31</v>
      </c>
      <c r="E121" s="1">
        <f t="shared" si="1"/>
        <v>267.85</v>
      </c>
      <c r="F121" s="1">
        <f t="shared" si="2"/>
        <v>3.27</v>
      </c>
      <c r="G121" s="1">
        <v>82.0</v>
      </c>
      <c r="H121" s="1">
        <v>14.0</v>
      </c>
      <c r="I121" s="1">
        <v>42.0</v>
      </c>
      <c r="J121" s="1">
        <v>56.0</v>
      </c>
      <c r="K121" s="1">
        <v>209.0</v>
      </c>
      <c r="L121" s="1">
        <v>52.0</v>
      </c>
      <c r="M121" s="1">
        <v>54.0</v>
      </c>
      <c r="N121" s="1">
        <v>3.0</v>
      </c>
      <c r="O121" s="1">
        <v>15.0</v>
      </c>
      <c r="P121" s="1">
        <v>2.0</v>
      </c>
      <c r="Q121" s="1">
        <v>0.0</v>
      </c>
      <c r="R121" s="1">
        <v>-7.0</v>
      </c>
      <c r="S121" s="1">
        <v>26.0</v>
      </c>
      <c r="T121" s="1">
        <v>2.0</v>
      </c>
    </row>
    <row r="122" ht="12.75" customHeight="1">
      <c r="A122" s="1" t="s">
        <v>152</v>
      </c>
      <c r="B122" s="1" t="str">
        <f>IFERROR(__xludf.DUMMYFUNCTION("split(A122, ""\"")"),"Dougie Hamilton")</f>
        <v>Dougie Hamilton</v>
      </c>
      <c r="C122" s="1" t="str">
        <f>IFERROR(__xludf.DUMMYFUNCTION("""COMPUTED_VALUE"""),"hamildo01")</f>
        <v>hamildo01</v>
      </c>
      <c r="D122" s="1" t="s">
        <v>66</v>
      </c>
      <c r="E122" s="1">
        <f t="shared" si="1"/>
        <v>267.75</v>
      </c>
      <c r="F122" s="1">
        <f t="shared" si="2"/>
        <v>3.27</v>
      </c>
      <c r="G122" s="1">
        <v>82.0</v>
      </c>
      <c r="H122" s="1">
        <v>17.0</v>
      </c>
      <c r="I122" s="1">
        <v>27.0</v>
      </c>
      <c r="J122" s="1">
        <v>44.0</v>
      </c>
      <c r="K122" s="1">
        <v>270.0</v>
      </c>
      <c r="L122" s="1">
        <v>83.0</v>
      </c>
      <c r="M122" s="1">
        <v>80.0</v>
      </c>
      <c r="N122" s="1">
        <v>6.0</v>
      </c>
      <c r="O122" s="1">
        <v>6.0</v>
      </c>
      <c r="P122" s="1">
        <v>0.0</v>
      </c>
      <c r="Q122" s="1">
        <v>0.0</v>
      </c>
      <c r="R122" s="1">
        <v>1.0</v>
      </c>
      <c r="S122" s="1">
        <v>64.0</v>
      </c>
      <c r="T122" s="1">
        <v>4.0</v>
      </c>
    </row>
    <row r="123" ht="12.75" customHeight="1">
      <c r="A123" s="1" t="s">
        <v>153</v>
      </c>
      <c r="B123" s="1" t="str">
        <f>IFERROR(__xludf.DUMMYFUNCTION("split(A123, ""\"")"),"Wayne Simmonds")</f>
        <v>Wayne Simmonds</v>
      </c>
      <c r="C123" s="1" t="str">
        <f>IFERROR(__xludf.DUMMYFUNCTION("""COMPUTED_VALUE"""),"simmowa01")</f>
        <v>simmowa01</v>
      </c>
      <c r="D123" s="1" t="s">
        <v>36</v>
      </c>
      <c r="E123" s="1">
        <f t="shared" si="1"/>
        <v>266.85</v>
      </c>
      <c r="F123" s="1">
        <f t="shared" si="2"/>
        <v>3.56</v>
      </c>
      <c r="G123" s="1">
        <v>75.0</v>
      </c>
      <c r="H123" s="1">
        <v>24.0</v>
      </c>
      <c r="I123" s="1">
        <v>22.0</v>
      </c>
      <c r="J123" s="1">
        <v>46.0</v>
      </c>
      <c r="K123" s="1">
        <v>176.0</v>
      </c>
      <c r="L123" s="1">
        <v>129.0</v>
      </c>
      <c r="M123" s="1">
        <v>54.0</v>
      </c>
      <c r="N123" s="1">
        <v>11.0</v>
      </c>
      <c r="O123" s="1">
        <v>6.0</v>
      </c>
      <c r="P123" s="1">
        <v>1.0</v>
      </c>
      <c r="Q123" s="1">
        <v>0.0</v>
      </c>
      <c r="R123" s="1">
        <v>-16.0</v>
      </c>
      <c r="S123" s="1">
        <v>57.0</v>
      </c>
      <c r="T123" s="1">
        <v>5.0</v>
      </c>
    </row>
    <row r="124" ht="12.75" customHeight="1">
      <c r="A124" s="1" t="s">
        <v>154</v>
      </c>
      <c r="B124" s="1" t="str">
        <f>IFERROR(__xludf.DUMMYFUNCTION("split(A124, ""\"")"),"Mark Giordano")</f>
        <v>Mark Giordano</v>
      </c>
      <c r="C124" s="1" t="str">
        <f>IFERROR(__xludf.DUMMYFUNCTION("""COMPUTED_VALUE"""),"giordma01")</f>
        <v>giordma01</v>
      </c>
      <c r="D124" s="1" t="s">
        <v>66</v>
      </c>
      <c r="E124" s="1">
        <f t="shared" si="1"/>
        <v>266.65</v>
      </c>
      <c r="F124" s="1">
        <f t="shared" si="2"/>
        <v>3.25</v>
      </c>
      <c r="G124" s="1">
        <v>82.0</v>
      </c>
      <c r="H124" s="1">
        <v>13.0</v>
      </c>
      <c r="I124" s="1">
        <v>25.0</v>
      </c>
      <c r="J124" s="1">
        <v>38.0</v>
      </c>
      <c r="K124" s="1">
        <v>214.0</v>
      </c>
      <c r="L124" s="1">
        <v>93.0</v>
      </c>
      <c r="M124" s="1">
        <v>161.0</v>
      </c>
      <c r="N124" s="1">
        <v>1.0</v>
      </c>
      <c r="O124" s="1">
        <v>9.0</v>
      </c>
      <c r="P124" s="1">
        <v>1.0</v>
      </c>
      <c r="Q124" s="1">
        <v>0.0</v>
      </c>
      <c r="R124" s="1">
        <v>0.0</v>
      </c>
      <c r="S124" s="1">
        <v>63.0</v>
      </c>
      <c r="T124" s="1">
        <v>4.0</v>
      </c>
    </row>
    <row r="125" ht="12.75" customHeight="1">
      <c r="A125" s="1" t="s">
        <v>155</v>
      </c>
      <c r="B125" s="1" t="str">
        <f>IFERROR(__xludf.DUMMYFUNCTION("split(A125, ""\"")"),"Brock Boeser")</f>
        <v>Brock Boeser</v>
      </c>
      <c r="C125" s="1" t="str">
        <f>IFERROR(__xludf.DUMMYFUNCTION("""COMPUTED_VALUE"""),"boesebr01")</f>
        <v>boesebr01</v>
      </c>
      <c r="D125" s="1" t="s">
        <v>36</v>
      </c>
      <c r="E125" s="1">
        <f t="shared" si="1"/>
        <v>265.6</v>
      </c>
      <c r="F125" s="1">
        <f t="shared" si="2"/>
        <v>4.28</v>
      </c>
      <c r="G125" s="1">
        <v>62.0</v>
      </c>
      <c r="H125" s="1">
        <v>29.0</v>
      </c>
      <c r="I125" s="1">
        <v>26.0</v>
      </c>
      <c r="J125" s="1">
        <v>55.0</v>
      </c>
      <c r="K125" s="1">
        <v>179.0</v>
      </c>
      <c r="L125" s="1">
        <v>29.0</v>
      </c>
      <c r="M125" s="1">
        <v>24.0</v>
      </c>
      <c r="N125" s="1">
        <v>10.0</v>
      </c>
      <c r="O125" s="1">
        <v>13.0</v>
      </c>
      <c r="P125" s="1">
        <v>0.0</v>
      </c>
      <c r="Q125" s="1">
        <v>0.0</v>
      </c>
      <c r="R125" s="1">
        <v>-5.0</v>
      </c>
      <c r="S125" s="1">
        <v>16.0</v>
      </c>
      <c r="T125" s="1">
        <v>4.0</v>
      </c>
    </row>
    <row r="126" ht="12.75" customHeight="1">
      <c r="A126" s="1" t="s">
        <v>156</v>
      </c>
      <c r="B126" s="1" t="str">
        <f>IFERROR(__xludf.DUMMYFUNCTION("split(A126, ""\"")"),"Craig Smith")</f>
        <v>Craig Smith</v>
      </c>
      <c r="C126" s="1" t="str">
        <f>IFERROR(__xludf.DUMMYFUNCTION("""COMPUTED_VALUE"""),"smithcr01")</f>
        <v>smithcr01</v>
      </c>
      <c r="D126" s="1" t="s">
        <v>31</v>
      </c>
      <c r="E126" s="1">
        <f t="shared" si="1"/>
        <v>265.25</v>
      </c>
      <c r="F126" s="1">
        <f t="shared" si="2"/>
        <v>3.36</v>
      </c>
      <c r="G126" s="1">
        <v>79.0</v>
      </c>
      <c r="H126" s="1">
        <v>25.0</v>
      </c>
      <c r="I126" s="1">
        <v>26.0</v>
      </c>
      <c r="J126" s="1">
        <v>51.0</v>
      </c>
      <c r="K126" s="1">
        <v>229.0</v>
      </c>
      <c r="L126" s="1">
        <v>60.0</v>
      </c>
      <c r="M126" s="1">
        <v>35.0</v>
      </c>
      <c r="N126" s="1">
        <v>9.0</v>
      </c>
      <c r="O126" s="1">
        <v>5.0</v>
      </c>
      <c r="P126" s="1">
        <v>0.0</v>
      </c>
      <c r="Q126" s="1">
        <v>0.0</v>
      </c>
      <c r="R126" s="1">
        <v>20.0</v>
      </c>
      <c r="S126" s="1">
        <v>24.0</v>
      </c>
      <c r="T126" s="1">
        <v>2.0</v>
      </c>
    </row>
    <row r="127" ht="12.75" customHeight="1">
      <c r="A127" s="1" t="s">
        <v>157</v>
      </c>
      <c r="B127" s="1" t="str">
        <f>IFERROR(__xludf.DUMMYFUNCTION("split(A127, ""\"")"),"Jordan Eberle")</f>
        <v>Jordan Eberle</v>
      </c>
      <c r="C127" s="1" t="str">
        <f>IFERROR(__xludf.DUMMYFUNCTION("""COMPUTED_VALUE"""),"eberljo01")</f>
        <v>eberljo01</v>
      </c>
      <c r="D127" s="1" t="s">
        <v>36</v>
      </c>
      <c r="E127" s="1">
        <f t="shared" si="1"/>
        <v>264.25</v>
      </c>
      <c r="F127" s="1">
        <f t="shared" si="2"/>
        <v>3.26</v>
      </c>
      <c r="G127" s="1">
        <v>81.0</v>
      </c>
      <c r="H127" s="1">
        <v>25.0</v>
      </c>
      <c r="I127" s="1">
        <v>34.0</v>
      </c>
      <c r="J127" s="1">
        <v>59.0</v>
      </c>
      <c r="K127" s="1">
        <v>183.0</v>
      </c>
      <c r="L127" s="1">
        <v>46.0</v>
      </c>
      <c r="M127" s="1">
        <v>30.0</v>
      </c>
      <c r="N127" s="1">
        <v>3.0</v>
      </c>
      <c r="O127" s="1">
        <v>7.0</v>
      </c>
      <c r="P127" s="1">
        <v>0.0</v>
      </c>
      <c r="Q127" s="1">
        <v>0.0</v>
      </c>
      <c r="R127" s="1">
        <v>5.0</v>
      </c>
      <c r="S127" s="1">
        <v>21.0</v>
      </c>
      <c r="T127" s="1">
        <v>7.0</v>
      </c>
    </row>
    <row r="128" ht="12.75" customHeight="1">
      <c r="A128" s="1" t="s">
        <v>158</v>
      </c>
      <c r="B128" s="1" t="str">
        <f>IFERROR(__xludf.DUMMYFUNCTION("split(A128, ""\"")"),"Keith Yandle")</f>
        <v>Keith Yandle</v>
      </c>
      <c r="C128" s="1" t="str">
        <f>IFERROR(__xludf.DUMMYFUNCTION("""COMPUTED_VALUE"""),"yandlke01")</f>
        <v>yandlke01</v>
      </c>
      <c r="D128" s="1" t="s">
        <v>66</v>
      </c>
      <c r="E128" s="1">
        <f t="shared" si="1"/>
        <v>263.65</v>
      </c>
      <c r="F128" s="1">
        <f t="shared" si="2"/>
        <v>3.22</v>
      </c>
      <c r="G128" s="1">
        <v>82.0</v>
      </c>
      <c r="H128" s="1">
        <v>8.0</v>
      </c>
      <c r="I128" s="1">
        <v>48.0</v>
      </c>
      <c r="J128" s="1">
        <v>56.0</v>
      </c>
      <c r="K128" s="1">
        <v>179.0</v>
      </c>
      <c r="L128" s="1">
        <v>26.0</v>
      </c>
      <c r="M128" s="1">
        <v>101.0</v>
      </c>
      <c r="N128" s="1">
        <v>1.0</v>
      </c>
      <c r="O128" s="1">
        <v>17.0</v>
      </c>
      <c r="P128" s="1">
        <v>0.0</v>
      </c>
      <c r="Q128" s="1">
        <v>2.0</v>
      </c>
      <c r="R128" s="1">
        <v>7.0</v>
      </c>
      <c r="S128" s="1">
        <v>35.0</v>
      </c>
      <c r="T128" s="1">
        <v>1.0</v>
      </c>
    </row>
    <row r="129" ht="12.75" customHeight="1">
      <c r="A129" s="1" t="s">
        <v>159</v>
      </c>
      <c r="B129" s="1" t="str">
        <f>IFERROR(__xludf.DUMMYFUNCTION("split(A129, ""\"")"),"James Reimer")</f>
        <v>James Reimer</v>
      </c>
      <c r="C129" s="2" t="str">
        <f>IFERROR(__xludf.DUMMYFUNCTION("""COMPUTED_VALUE"""),"reimeja01")</f>
        <v>reimeja01</v>
      </c>
      <c r="D129" s="1" t="s">
        <v>5</v>
      </c>
      <c r="E129" s="1">
        <f t="shared" si="1"/>
        <v>263.25</v>
      </c>
      <c r="F129" s="1">
        <f t="shared" si="2"/>
        <v>5.98</v>
      </c>
      <c r="G129" s="1">
        <v>44.0</v>
      </c>
      <c r="U129" s="1">
        <v>42.0</v>
      </c>
      <c r="V129" s="1">
        <v>22.0</v>
      </c>
      <c r="W129" s="1">
        <v>14.0</v>
      </c>
      <c r="X129" s="1">
        <v>120.0</v>
      </c>
      <c r="Y129" s="1">
        <v>1373.0</v>
      </c>
      <c r="Z129" s="1">
        <v>1253.0</v>
      </c>
      <c r="AA129" s="1">
        <v>4.0</v>
      </c>
    </row>
    <row r="130" ht="12.75" customHeight="1">
      <c r="A130" s="1" t="s">
        <v>160</v>
      </c>
      <c r="B130" s="1" t="str">
        <f>IFERROR(__xludf.DUMMYFUNCTION("split(A130, ""\"")"),"Oliver Ekman-Larsson")</f>
        <v>Oliver Ekman-Larsson</v>
      </c>
      <c r="C130" s="1" t="str">
        <f>IFERROR(__xludf.DUMMYFUNCTION("""COMPUTED_VALUE"""),"ekmanol01")</f>
        <v>ekmanol01</v>
      </c>
      <c r="D130" s="1" t="s">
        <v>66</v>
      </c>
      <c r="E130" s="1">
        <f t="shared" si="1"/>
        <v>263.1</v>
      </c>
      <c r="F130" s="1">
        <f t="shared" si="2"/>
        <v>3.21</v>
      </c>
      <c r="G130" s="1">
        <v>82.0</v>
      </c>
      <c r="H130" s="1">
        <v>14.0</v>
      </c>
      <c r="I130" s="1">
        <v>28.0</v>
      </c>
      <c r="J130" s="1">
        <v>42.0</v>
      </c>
      <c r="K130" s="1">
        <v>202.0</v>
      </c>
      <c r="L130" s="1">
        <v>160.0</v>
      </c>
      <c r="M130" s="1">
        <v>79.0</v>
      </c>
      <c r="N130" s="1">
        <v>6.0</v>
      </c>
      <c r="O130" s="1">
        <v>9.0</v>
      </c>
      <c r="P130" s="1">
        <v>0.0</v>
      </c>
      <c r="Q130" s="1">
        <v>0.0</v>
      </c>
      <c r="R130" s="1">
        <v>-28.0</v>
      </c>
      <c r="S130" s="1">
        <v>44.0</v>
      </c>
      <c r="T130" s="1">
        <v>3.0</v>
      </c>
    </row>
    <row r="131" ht="12.75" customHeight="1">
      <c r="A131" s="1" t="s">
        <v>161</v>
      </c>
      <c r="B131" s="1" t="str">
        <f>IFERROR(__xludf.DUMMYFUNCTION("split(A131, ""\"")"),"Kyle Connor")</f>
        <v>Kyle Connor</v>
      </c>
      <c r="C131" s="1" t="str">
        <f>IFERROR(__xludf.DUMMYFUNCTION("""COMPUTED_VALUE"""),"connoky01")</f>
        <v>connoky01</v>
      </c>
      <c r="D131" s="1" t="s">
        <v>28</v>
      </c>
      <c r="E131" s="1">
        <f t="shared" si="1"/>
        <v>262.9</v>
      </c>
      <c r="F131" s="1">
        <f t="shared" si="2"/>
        <v>3.46</v>
      </c>
      <c r="G131" s="1">
        <v>76.0</v>
      </c>
      <c r="H131" s="1">
        <v>31.0</v>
      </c>
      <c r="I131" s="1">
        <v>26.0</v>
      </c>
      <c r="J131" s="1">
        <v>57.0</v>
      </c>
      <c r="K131" s="1">
        <v>192.0</v>
      </c>
      <c r="L131" s="1">
        <v>18.0</v>
      </c>
      <c r="M131" s="1">
        <v>26.0</v>
      </c>
      <c r="N131" s="1">
        <v>7.0</v>
      </c>
      <c r="O131" s="1">
        <v>4.0</v>
      </c>
      <c r="P131" s="1">
        <v>0.0</v>
      </c>
      <c r="Q131" s="1">
        <v>0.0</v>
      </c>
      <c r="R131" s="1">
        <v>8.0</v>
      </c>
      <c r="S131" s="1">
        <v>16.0</v>
      </c>
      <c r="T131" s="1">
        <v>7.0</v>
      </c>
    </row>
    <row r="132" ht="12.75" customHeight="1">
      <c r="A132" s="1" t="s">
        <v>162</v>
      </c>
      <c r="B132" s="1" t="str">
        <f>IFERROR(__xludf.DUMMYFUNCTION("split(A132, ""\"")"),"Jake Muzzin")</f>
        <v>Jake Muzzin</v>
      </c>
      <c r="C132" s="1" t="str">
        <f>IFERROR(__xludf.DUMMYFUNCTION("""COMPUTED_VALUE"""),"muzzija01")</f>
        <v>muzzija01</v>
      </c>
      <c r="D132" s="1" t="s">
        <v>66</v>
      </c>
      <c r="E132" s="1">
        <f t="shared" si="1"/>
        <v>262.2</v>
      </c>
      <c r="F132" s="1">
        <f t="shared" si="2"/>
        <v>3.54</v>
      </c>
      <c r="G132" s="1">
        <v>74.0</v>
      </c>
      <c r="H132" s="1">
        <v>8.0</v>
      </c>
      <c r="I132" s="1">
        <v>34.0</v>
      </c>
      <c r="J132" s="1">
        <v>42.0</v>
      </c>
      <c r="K132" s="1">
        <v>154.0</v>
      </c>
      <c r="L132" s="1">
        <v>170.0</v>
      </c>
      <c r="M132" s="1">
        <v>123.0</v>
      </c>
      <c r="N132" s="1">
        <v>4.0</v>
      </c>
      <c r="O132" s="1">
        <v>10.0</v>
      </c>
      <c r="P132" s="1">
        <v>0.0</v>
      </c>
      <c r="Q132" s="1">
        <v>1.0</v>
      </c>
      <c r="R132" s="1">
        <v>10.0</v>
      </c>
      <c r="S132" s="1">
        <v>40.0</v>
      </c>
      <c r="T132" s="1">
        <v>1.0</v>
      </c>
    </row>
    <row r="133" ht="12.75" customHeight="1">
      <c r="A133" s="1" t="s">
        <v>163</v>
      </c>
      <c r="B133" s="1" t="str">
        <f>IFERROR(__xludf.DUMMYFUNCTION("split(A133, ""\"")"),"Jake Guentzel")</f>
        <v>Jake Guentzel</v>
      </c>
      <c r="C133" s="1" t="str">
        <f>IFERROR(__xludf.DUMMYFUNCTION("""COMPUTED_VALUE"""),"guentja01")</f>
        <v>guentja01</v>
      </c>
      <c r="D133" s="1" t="s">
        <v>31</v>
      </c>
      <c r="E133" s="1">
        <f t="shared" si="1"/>
        <v>261.65</v>
      </c>
      <c r="F133" s="1">
        <f t="shared" si="2"/>
        <v>3.19</v>
      </c>
      <c r="G133" s="1">
        <v>82.0</v>
      </c>
      <c r="H133" s="1">
        <v>22.0</v>
      </c>
      <c r="I133" s="1">
        <v>26.0</v>
      </c>
      <c r="J133" s="1">
        <v>48.0</v>
      </c>
      <c r="K133" s="1">
        <v>171.0</v>
      </c>
      <c r="L133" s="1">
        <v>142.0</v>
      </c>
      <c r="M133" s="1">
        <v>46.0</v>
      </c>
      <c r="N133" s="1">
        <v>7.0</v>
      </c>
      <c r="O133" s="1">
        <v>5.0</v>
      </c>
      <c r="P133" s="1">
        <v>0.0</v>
      </c>
      <c r="Q133" s="1">
        <v>0.0</v>
      </c>
      <c r="R133" s="1">
        <v>-9.0</v>
      </c>
      <c r="S133" s="1">
        <v>42.0</v>
      </c>
      <c r="T133" s="1">
        <v>1.0</v>
      </c>
    </row>
    <row r="134" ht="12.75" customHeight="1">
      <c r="A134" s="1" t="s">
        <v>164</v>
      </c>
      <c r="B134" s="1" t="str">
        <f>IFERROR(__xludf.DUMMYFUNCTION("split(A134, ""\"")"),"Mark Scheifele")</f>
        <v>Mark Scheifele</v>
      </c>
      <c r="C134" s="1" t="str">
        <f>IFERROR(__xludf.DUMMYFUNCTION("""COMPUTED_VALUE"""),"scheima01")</f>
        <v>scheima01</v>
      </c>
      <c r="D134" s="1" t="s">
        <v>31</v>
      </c>
      <c r="E134" s="1">
        <f t="shared" si="1"/>
        <v>261.4</v>
      </c>
      <c r="F134" s="1">
        <f t="shared" si="2"/>
        <v>4.36</v>
      </c>
      <c r="G134" s="1">
        <v>60.0</v>
      </c>
      <c r="H134" s="1">
        <v>23.0</v>
      </c>
      <c r="I134" s="1">
        <v>37.0</v>
      </c>
      <c r="J134" s="1">
        <v>60.0</v>
      </c>
      <c r="K134" s="1">
        <v>125.0</v>
      </c>
      <c r="L134" s="1">
        <v>57.0</v>
      </c>
      <c r="M134" s="1">
        <v>31.0</v>
      </c>
      <c r="N134" s="1">
        <v>8.0</v>
      </c>
      <c r="O134" s="1">
        <v>8.0</v>
      </c>
      <c r="P134" s="1">
        <v>2.0</v>
      </c>
      <c r="Q134" s="1">
        <v>1.0</v>
      </c>
      <c r="R134" s="1">
        <v>19.0</v>
      </c>
      <c r="S134" s="1">
        <v>18.0</v>
      </c>
      <c r="T134" s="1">
        <v>3.0</v>
      </c>
    </row>
    <row r="135" ht="12.75" customHeight="1">
      <c r="A135" s="1" t="s">
        <v>165</v>
      </c>
      <c r="B135" s="1" t="str">
        <f>IFERROR(__xludf.DUMMYFUNCTION("split(A135, ""\"")"),"Mats Zuccarello")</f>
        <v>Mats Zuccarello</v>
      </c>
      <c r="C135" s="1" t="str">
        <f>IFERROR(__xludf.DUMMYFUNCTION("""COMPUTED_VALUE"""),"zuccama01")</f>
        <v>zuccama01</v>
      </c>
      <c r="D135" s="1" t="s">
        <v>28</v>
      </c>
      <c r="E135" s="1">
        <f t="shared" si="1"/>
        <v>260.3</v>
      </c>
      <c r="F135" s="1">
        <f t="shared" si="2"/>
        <v>3.25</v>
      </c>
      <c r="G135" s="1">
        <v>80.0</v>
      </c>
      <c r="H135" s="1">
        <v>16.0</v>
      </c>
      <c r="I135" s="1">
        <v>37.0</v>
      </c>
      <c r="J135" s="1">
        <v>53.0</v>
      </c>
      <c r="K135" s="1">
        <v>178.0</v>
      </c>
      <c r="L135" s="1">
        <v>62.0</v>
      </c>
      <c r="M135" s="1">
        <v>67.0</v>
      </c>
      <c r="N135" s="1">
        <v>1.0</v>
      </c>
      <c r="O135" s="1">
        <v>16.0</v>
      </c>
      <c r="P135" s="1">
        <v>0.0</v>
      </c>
      <c r="Q135" s="1">
        <v>0.0</v>
      </c>
      <c r="R135" s="1">
        <v>-10.0</v>
      </c>
      <c r="S135" s="1">
        <v>36.0</v>
      </c>
      <c r="T135" s="1">
        <v>3.0</v>
      </c>
    </row>
    <row r="136" ht="12.75" customHeight="1">
      <c r="A136" s="1" t="s">
        <v>166</v>
      </c>
      <c r="B136" s="1" t="str">
        <f>IFERROR(__xludf.DUMMYFUNCTION("split(A136, ""\"")"),"Ryan Getzlaf")</f>
        <v>Ryan Getzlaf</v>
      </c>
      <c r="C136" s="1" t="str">
        <f>IFERROR(__xludf.DUMMYFUNCTION("""COMPUTED_VALUE"""),"getzlry01")</f>
        <v>getzlry01</v>
      </c>
      <c r="D136" s="1" t="s">
        <v>31</v>
      </c>
      <c r="E136" s="1">
        <f t="shared" si="1"/>
        <v>260.05</v>
      </c>
      <c r="F136" s="1">
        <f t="shared" si="2"/>
        <v>4.64</v>
      </c>
      <c r="G136" s="1">
        <v>56.0</v>
      </c>
      <c r="H136" s="1">
        <v>11.0</v>
      </c>
      <c r="I136" s="1">
        <v>50.0</v>
      </c>
      <c r="J136" s="1">
        <v>61.0</v>
      </c>
      <c r="K136" s="1">
        <v>117.0</v>
      </c>
      <c r="L136" s="1">
        <v>96.0</v>
      </c>
      <c r="M136" s="1">
        <v>57.0</v>
      </c>
      <c r="N136" s="1">
        <v>0.0</v>
      </c>
      <c r="O136" s="1">
        <v>13.0</v>
      </c>
      <c r="P136" s="1">
        <v>1.0</v>
      </c>
      <c r="Q136" s="1">
        <v>1.0</v>
      </c>
      <c r="R136" s="1">
        <v>20.0</v>
      </c>
      <c r="S136" s="1">
        <v>42.0</v>
      </c>
      <c r="T136" s="1">
        <v>0.0</v>
      </c>
    </row>
    <row r="137" ht="12.75" customHeight="1">
      <c r="A137" s="1" t="s">
        <v>167</v>
      </c>
      <c r="B137" s="1" t="str">
        <f>IFERROR(__xludf.DUMMYFUNCTION("split(A137, ""\"")"),"Mark Stone")</f>
        <v>Mark Stone</v>
      </c>
      <c r="C137" s="1" t="str">
        <f>IFERROR(__xludf.DUMMYFUNCTION("""COMPUTED_VALUE"""),"stonema01")</f>
        <v>stonema01</v>
      </c>
      <c r="D137" s="1" t="s">
        <v>36</v>
      </c>
      <c r="E137" s="1">
        <f t="shared" si="1"/>
        <v>259.85</v>
      </c>
      <c r="F137" s="1">
        <f t="shared" si="2"/>
        <v>4.48</v>
      </c>
      <c r="G137" s="1">
        <v>58.0</v>
      </c>
      <c r="H137" s="1">
        <v>20.0</v>
      </c>
      <c r="I137" s="1">
        <v>42.0</v>
      </c>
      <c r="J137" s="1">
        <v>62.0</v>
      </c>
      <c r="K137" s="1">
        <v>132.0</v>
      </c>
      <c r="L137" s="1">
        <v>53.0</v>
      </c>
      <c r="M137" s="1">
        <v>39.0</v>
      </c>
      <c r="N137" s="1">
        <v>1.0</v>
      </c>
      <c r="O137" s="1">
        <v>10.0</v>
      </c>
      <c r="P137" s="1">
        <v>1.0</v>
      </c>
      <c r="Q137" s="1">
        <v>1.0</v>
      </c>
      <c r="R137" s="1">
        <v>9.0</v>
      </c>
      <c r="S137" s="1">
        <v>10.0</v>
      </c>
      <c r="T137" s="1">
        <v>3.0</v>
      </c>
    </row>
    <row r="138" ht="12.75" customHeight="1">
      <c r="A138" s="1" t="s">
        <v>168</v>
      </c>
      <c r="B138" s="1" t="str">
        <f>IFERROR(__xludf.DUMMYFUNCTION("split(A138, ""\"")"),"Jaden Schwartz")</f>
        <v>Jaden Schwartz</v>
      </c>
      <c r="C138" s="1" t="str">
        <f>IFERROR(__xludf.DUMMYFUNCTION("""COMPUTED_VALUE"""),"schwaja01")</f>
        <v>schwaja01</v>
      </c>
      <c r="D138" s="1" t="s">
        <v>31</v>
      </c>
      <c r="E138" s="1">
        <f t="shared" si="1"/>
        <v>259.75</v>
      </c>
      <c r="F138" s="1">
        <f t="shared" si="2"/>
        <v>4.19</v>
      </c>
      <c r="G138" s="1">
        <v>62.0</v>
      </c>
      <c r="H138" s="1">
        <v>24.0</v>
      </c>
      <c r="I138" s="1">
        <v>35.0</v>
      </c>
      <c r="J138" s="1">
        <v>59.0</v>
      </c>
      <c r="K138" s="1">
        <v>157.0</v>
      </c>
      <c r="L138" s="1">
        <v>52.0</v>
      </c>
      <c r="M138" s="1">
        <v>30.0</v>
      </c>
      <c r="N138" s="1">
        <v>6.0</v>
      </c>
      <c r="O138" s="1">
        <v>5.0</v>
      </c>
      <c r="P138" s="1">
        <v>1.0</v>
      </c>
      <c r="Q138" s="1">
        <v>0.0</v>
      </c>
      <c r="R138" s="1">
        <v>15.0</v>
      </c>
      <c r="S138" s="1">
        <v>26.0</v>
      </c>
      <c r="T138" s="1">
        <v>3.0</v>
      </c>
    </row>
    <row r="139" ht="12.75" customHeight="1">
      <c r="A139" s="1" t="s">
        <v>169</v>
      </c>
      <c r="B139" s="1" t="str">
        <f>IFERROR(__xludf.DUMMYFUNCTION("split(A139, ""\"")"),"Sam Reinhart")</f>
        <v>Sam Reinhart</v>
      </c>
      <c r="C139" s="1" t="str">
        <f>IFERROR(__xludf.DUMMYFUNCTION("""COMPUTED_VALUE"""),"reinhsa01")</f>
        <v>reinhsa01</v>
      </c>
      <c r="D139" s="1" t="s">
        <v>31</v>
      </c>
      <c r="E139" s="1">
        <f t="shared" si="1"/>
        <v>259.3</v>
      </c>
      <c r="F139" s="1">
        <f t="shared" si="2"/>
        <v>3.16</v>
      </c>
      <c r="G139" s="1">
        <v>82.0</v>
      </c>
      <c r="H139" s="1">
        <v>25.0</v>
      </c>
      <c r="I139" s="1">
        <v>25.0</v>
      </c>
      <c r="J139" s="1">
        <v>50.0</v>
      </c>
      <c r="K139" s="1">
        <v>188.0</v>
      </c>
      <c r="L139" s="1">
        <v>48.0</v>
      </c>
      <c r="M139" s="1">
        <v>42.0</v>
      </c>
      <c r="N139" s="1">
        <v>12.0</v>
      </c>
      <c r="O139" s="1">
        <v>9.0</v>
      </c>
      <c r="P139" s="1">
        <v>0.0</v>
      </c>
      <c r="Q139" s="1">
        <v>0.0</v>
      </c>
      <c r="R139" s="1">
        <v>-24.0</v>
      </c>
      <c r="S139" s="1">
        <v>26.0</v>
      </c>
      <c r="T139" s="1">
        <v>5.0</v>
      </c>
    </row>
    <row r="140" ht="12.75" customHeight="1">
      <c r="A140" s="1" t="s">
        <v>170</v>
      </c>
      <c r="B140" s="1" t="str">
        <f>IFERROR(__xludf.DUMMYFUNCTION("split(A140, ""\"")"),"Reilly Smith")</f>
        <v>Reilly Smith</v>
      </c>
      <c r="C140" s="1" t="str">
        <f>IFERROR(__xludf.DUMMYFUNCTION("""COMPUTED_VALUE"""),"smithre01")</f>
        <v>smithre01</v>
      </c>
      <c r="D140" s="1" t="s">
        <v>36</v>
      </c>
      <c r="E140" s="1">
        <f t="shared" si="1"/>
        <v>259.1</v>
      </c>
      <c r="F140" s="1">
        <f t="shared" si="2"/>
        <v>3.87</v>
      </c>
      <c r="G140" s="1">
        <v>67.0</v>
      </c>
      <c r="H140" s="1">
        <v>22.0</v>
      </c>
      <c r="I140" s="1">
        <v>38.0</v>
      </c>
      <c r="J140" s="1">
        <v>60.0</v>
      </c>
      <c r="K140" s="1">
        <v>162.0</v>
      </c>
      <c r="L140" s="1">
        <v>40.0</v>
      </c>
      <c r="M140" s="1">
        <v>24.0</v>
      </c>
      <c r="N140" s="1">
        <v>7.0</v>
      </c>
      <c r="O140" s="1">
        <v>7.0</v>
      </c>
      <c r="P140" s="1">
        <v>1.0</v>
      </c>
      <c r="Q140" s="1">
        <v>1.0</v>
      </c>
      <c r="R140" s="1">
        <v>31.0</v>
      </c>
      <c r="S140" s="1">
        <v>24.0</v>
      </c>
      <c r="T140" s="1">
        <v>4.0</v>
      </c>
    </row>
    <row r="141" ht="12.75" customHeight="1">
      <c r="A141" s="1" t="s">
        <v>171</v>
      </c>
      <c r="B141" s="1" t="str">
        <f>IFERROR(__xludf.DUMMYFUNCTION("split(A141, ""\"")"),"Kyle Palmieri")</f>
        <v>Kyle Palmieri</v>
      </c>
      <c r="C141" s="1" t="str">
        <f>IFERROR(__xludf.DUMMYFUNCTION("""COMPUTED_VALUE"""),"palmiky01")</f>
        <v>palmiky01</v>
      </c>
      <c r="D141" s="1" t="s">
        <v>36</v>
      </c>
      <c r="E141" s="1">
        <f t="shared" si="1"/>
        <v>257.75</v>
      </c>
      <c r="F141" s="1">
        <f t="shared" si="2"/>
        <v>4.16</v>
      </c>
      <c r="G141" s="1">
        <v>62.0</v>
      </c>
      <c r="H141" s="1">
        <v>24.0</v>
      </c>
      <c r="I141" s="1">
        <v>20.0</v>
      </c>
      <c r="J141" s="1">
        <v>44.0</v>
      </c>
      <c r="K141" s="1">
        <v>181.0</v>
      </c>
      <c r="L141" s="1">
        <v>94.0</v>
      </c>
      <c r="M141" s="1">
        <v>50.0</v>
      </c>
      <c r="N141" s="1">
        <v>11.0</v>
      </c>
      <c r="O141" s="1">
        <v>12.0</v>
      </c>
      <c r="P141" s="1">
        <v>0.0</v>
      </c>
      <c r="Q141" s="1">
        <v>0.0</v>
      </c>
      <c r="R141" s="1">
        <v>-1.0</v>
      </c>
      <c r="S141" s="1">
        <v>30.0</v>
      </c>
      <c r="T141" s="1">
        <v>5.0</v>
      </c>
    </row>
    <row r="142" ht="12.75" customHeight="1">
      <c r="A142" s="1" t="s">
        <v>172</v>
      </c>
      <c r="B142" s="1" t="str">
        <f>IFERROR(__xludf.DUMMYFUNCTION("split(A142, ""\"")"),"Pierre-Luc Dubois")</f>
        <v>Pierre-Luc Dubois</v>
      </c>
      <c r="C142" s="1" t="str">
        <f>IFERROR(__xludf.DUMMYFUNCTION("""COMPUTED_VALUE"""),"duboipi01")</f>
        <v>duboipi01</v>
      </c>
      <c r="D142" s="1" t="s">
        <v>28</v>
      </c>
      <c r="E142" s="1">
        <f t="shared" si="1"/>
        <v>256.4</v>
      </c>
      <c r="F142" s="1">
        <f t="shared" si="2"/>
        <v>3.13</v>
      </c>
      <c r="G142" s="1">
        <v>82.0</v>
      </c>
      <c r="H142" s="1">
        <v>20.0</v>
      </c>
      <c r="I142" s="1">
        <v>28.0</v>
      </c>
      <c r="J142" s="1">
        <v>48.0</v>
      </c>
      <c r="K142" s="1">
        <v>165.0</v>
      </c>
      <c r="L142" s="1">
        <v>127.0</v>
      </c>
      <c r="M142" s="1">
        <v>46.0</v>
      </c>
      <c r="N142" s="1">
        <v>6.0</v>
      </c>
      <c r="O142" s="1">
        <v>9.0</v>
      </c>
      <c r="P142" s="1">
        <v>0.0</v>
      </c>
      <c r="Q142" s="1">
        <v>0.0</v>
      </c>
      <c r="R142" s="1">
        <v>8.0</v>
      </c>
      <c r="S142" s="1">
        <v>49.0</v>
      </c>
      <c r="T142" s="1">
        <v>4.0</v>
      </c>
    </row>
    <row r="143" ht="12.75" customHeight="1">
      <c r="A143" s="1" t="s">
        <v>173</v>
      </c>
      <c r="B143" s="1" t="str">
        <f>IFERROR(__xludf.DUMMYFUNCTION("split(A143, ""\"")"),"Alex Galchenyuk")</f>
        <v>Alex Galchenyuk</v>
      </c>
      <c r="C143" s="1" t="str">
        <f>IFERROR(__xludf.DUMMYFUNCTION("""COMPUTED_VALUE"""),"galchal01")</f>
        <v>galchal01</v>
      </c>
      <c r="D143" s="1" t="s">
        <v>31</v>
      </c>
      <c r="E143" s="1">
        <f t="shared" si="1"/>
        <v>256.3</v>
      </c>
      <c r="F143" s="1">
        <f t="shared" si="2"/>
        <v>3.13</v>
      </c>
      <c r="G143" s="1">
        <v>82.0</v>
      </c>
      <c r="H143" s="1">
        <v>19.0</v>
      </c>
      <c r="I143" s="1">
        <v>32.0</v>
      </c>
      <c r="J143" s="1">
        <v>51.0</v>
      </c>
      <c r="K143" s="1">
        <v>213.0</v>
      </c>
      <c r="L143" s="1">
        <v>33.0</v>
      </c>
      <c r="M143" s="1">
        <v>37.0</v>
      </c>
      <c r="N143" s="1">
        <v>9.0</v>
      </c>
      <c r="O143" s="1">
        <v>15.0</v>
      </c>
      <c r="P143" s="1">
        <v>0.0</v>
      </c>
      <c r="Q143" s="1">
        <v>0.0</v>
      </c>
      <c r="R143" s="1">
        <v>-31.0</v>
      </c>
      <c r="S143" s="1">
        <v>22.0</v>
      </c>
      <c r="T143" s="1">
        <v>2.0</v>
      </c>
    </row>
    <row r="144" ht="12.75" customHeight="1">
      <c r="A144" s="1" t="s">
        <v>174</v>
      </c>
      <c r="B144" s="1" t="str">
        <f>IFERROR(__xludf.DUMMYFUNCTION("split(A144, ""\"")"),"Robin Lehner")</f>
        <v>Robin Lehner</v>
      </c>
      <c r="C144" s="2" t="str">
        <f>IFERROR(__xludf.DUMMYFUNCTION("""COMPUTED_VALUE"""),"lehnero01")</f>
        <v>lehnero01</v>
      </c>
      <c r="D144" s="1" t="s">
        <v>5</v>
      </c>
      <c r="E144" s="1">
        <f t="shared" si="1"/>
        <v>256.25</v>
      </c>
      <c r="F144" s="1">
        <f t="shared" si="2"/>
        <v>4.83</v>
      </c>
      <c r="G144" s="1">
        <v>53.0</v>
      </c>
      <c r="U144" s="1">
        <v>50.0</v>
      </c>
      <c r="V144" s="1">
        <v>14.0</v>
      </c>
      <c r="W144" s="1">
        <v>26.0</v>
      </c>
      <c r="X144" s="1">
        <v>143.0</v>
      </c>
      <c r="Y144" s="1">
        <v>1560.0</v>
      </c>
      <c r="Z144" s="1">
        <v>1417.0</v>
      </c>
      <c r="AA144" s="1">
        <v>3.0</v>
      </c>
    </row>
    <row r="145" ht="12.75" customHeight="1">
      <c r="A145" s="1" t="s">
        <v>175</v>
      </c>
      <c r="B145" s="1" t="str">
        <f>IFERROR(__xludf.DUMMYFUNCTION("split(A145, ""\"")"),"Tomas Hertl")</f>
        <v>Tomas Hertl</v>
      </c>
      <c r="C145" s="1" t="str">
        <f>IFERROR(__xludf.DUMMYFUNCTION("""COMPUTED_VALUE"""),"hertlto01")</f>
        <v>hertlto01</v>
      </c>
      <c r="D145" s="1" t="s">
        <v>31</v>
      </c>
      <c r="E145" s="1">
        <f t="shared" si="1"/>
        <v>256.15</v>
      </c>
      <c r="F145" s="1">
        <f t="shared" si="2"/>
        <v>3.24</v>
      </c>
      <c r="G145" s="1">
        <v>79.0</v>
      </c>
      <c r="H145" s="1">
        <v>22.0</v>
      </c>
      <c r="I145" s="1">
        <v>24.0</v>
      </c>
      <c r="J145" s="1">
        <v>46.0</v>
      </c>
      <c r="K145" s="1">
        <v>175.0</v>
      </c>
      <c r="L145" s="1">
        <v>84.0</v>
      </c>
      <c r="M145" s="1">
        <v>71.0</v>
      </c>
      <c r="N145" s="1">
        <v>6.0</v>
      </c>
      <c r="O145" s="1">
        <v>6.0</v>
      </c>
      <c r="P145" s="1">
        <v>1.0</v>
      </c>
      <c r="Q145" s="1">
        <v>2.0</v>
      </c>
      <c r="R145" s="1">
        <v>-2.0</v>
      </c>
      <c r="S145" s="1">
        <v>41.0</v>
      </c>
      <c r="T145" s="1">
        <v>5.0</v>
      </c>
    </row>
    <row r="146" ht="12.75" customHeight="1">
      <c r="A146" s="1" t="s">
        <v>176</v>
      </c>
      <c r="B146" s="1" t="str">
        <f>IFERROR(__xludf.DUMMYFUNCTION("split(A146, ""\"")"),"Jordan Staal")</f>
        <v>Jordan Staal</v>
      </c>
      <c r="C146" s="1" t="str">
        <f>IFERROR(__xludf.DUMMYFUNCTION("""COMPUTED_VALUE"""),"staaljo01")</f>
        <v>staaljo01</v>
      </c>
      <c r="D146" s="1" t="s">
        <v>31</v>
      </c>
      <c r="E146" s="1">
        <f t="shared" si="1"/>
        <v>255.55</v>
      </c>
      <c r="F146" s="1">
        <f t="shared" si="2"/>
        <v>3.23</v>
      </c>
      <c r="G146" s="1">
        <v>79.0</v>
      </c>
      <c r="H146" s="1">
        <v>19.0</v>
      </c>
      <c r="I146" s="1">
        <v>27.0</v>
      </c>
      <c r="J146" s="1">
        <v>46.0</v>
      </c>
      <c r="K146" s="1">
        <v>160.0</v>
      </c>
      <c r="L146" s="1">
        <v>181.0</v>
      </c>
      <c r="M146" s="1">
        <v>32.0</v>
      </c>
      <c r="N146" s="1">
        <v>4.0</v>
      </c>
      <c r="O146" s="1">
        <v>8.0</v>
      </c>
      <c r="P146" s="1">
        <v>2.0</v>
      </c>
      <c r="Q146" s="1">
        <v>0.0</v>
      </c>
      <c r="R146" s="1">
        <v>-4.0</v>
      </c>
      <c r="S146" s="1">
        <v>26.0</v>
      </c>
      <c r="T146" s="1">
        <v>2.0</v>
      </c>
    </row>
    <row r="147" ht="12.75" customHeight="1">
      <c r="A147" s="1" t="s">
        <v>177</v>
      </c>
      <c r="B147" s="1" t="str">
        <f>IFERROR(__xludf.DUMMYFUNCTION("split(A147, ""\"")"),"Morgan Rielly")</f>
        <v>Morgan Rielly</v>
      </c>
      <c r="C147" s="1" t="str">
        <f>IFERROR(__xludf.DUMMYFUNCTION("""COMPUTED_VALUE"""),"riellmo01")</f>
        <v>riellmo01</v>
      </c>
      <c r="D147" s="1" t="s">
        <v>66</v>
      </c>
      <c r="E147" s="1">
        <f t="shared" si="1"/>
        <v>255.1</v>
      </c>
      <c r="F147" s="1">
        <f t="shared" si="2"/>
        <v>3.36</v>
      </c>
      <c r="G147" s="1">
        <v>76.0</v>
      </c>
      <c r="H147" s="1">
        <v>6.0</v>
      </c>
      <c r="I147" s="1">
        <v>46.0</v>
      </c>
      <c r="J147" s="1">
        <v>52.0</v>
      </c>
      <c r="K147" s="1">
        <v>182.0</v>
      </c>
      <c r="L147" s="1">
        <v>48.0</v>
      </c>
      <c r="M147" s="1">
        <v>84.0</v>
      </c>
      <c r="N147" s="1">
        <v>1.0</v>
      </c>
      <c r="O147" s="1">
        <v>24.0</v>
      </c>
      <c r="P147" s="1">
        <v>0.0</v>
      </c>
      <c r="Q147" s="1">
        <v>0.0</v>
      </c>
      <c r="R147" s="1">
        <v>-4.0</v>
      </c>
      <c r="S147" s="1">
        <v>14.0</v>
      </c>
      <c r="T147" s="1">
        <v>0.0</v>
      </c>
    </row>
    <row r="148" ht="12.75" customHeight="1">
      <c r="A148" s="1" t="s">
        <v>178</v>
      </c>
      <c r="B148" s="1" t="str">
        <f>IFERROR(__xludf.DUMMYFUNCTION("split(A148, ""\"")"),"Jeff Skinner")</f>
        <v>Jeff Skinner</v>
      </c>
      <c r="C148" s="1" t="str">
        <f>IFERROR(__xludf.DUMMYFUNCTION("""COMPUTED_VALUE"""),"skinnje01")</f>
        <v>skinnje01</v>
      </c>
      <c r="D148" s="1" t="s">
        <v>31</v>
      </c>
      <c r="E148" s="1">
        <f t="shared" si="1"/>
        <v>255.1</v>
      </c>
      <c r="F148" s="1">
        <f t="shared" si="2"/>
        <v>3.11</v>
      </c>
      <c r="G148" s="1">
        <v>82.0</v>
      </c>
      <c r="H148" s="1">
        <v>24.0</v>
      </c>
      <c r="I148" s="1">
        <v>25.0</v>
      </c>
      <c r="J148" s="1">
        <v>49.0</v>
      </c>
      <c r="K148" s="1">
        <v>277.0</v>
      </c>
      <c r="L148" s="1">
        <v>35.0</v>
      </c>
      <c r="M148" s="1">
        <v>24.0</v>
      </c>
      <c r="N148" s="1">
        <v>4.0</v>
      </c>
      <c r="O148" s="1">
        <v>5.0</v>
      </c>
      <c r="P148" s="1">
        <v>0.0</v>
      </c>
      <c r="Q148" s="1">
        <v>0.0</v>
      </c>
      <c r="R148" s="1">
        <v>-27.0</v>
      </c>
      <c r="S148" s="1">
        <v>34.0</v>
      </c>
      <c r="T148" s="1">
        <v>2.0</v>
      </c>
    </row>
    <row r="149" ht="12.75" customHeight="1">
      <c r="A149" s="1" t="s">
        <v>179</v>
      </c>
      <c r="B149" s="1" t="str">
        <f>IFERROR(__xludf.DUMMYFUNCTION("split(A149, ""\"")"),"Adam Henrique")</f>
        <v>Adam Henrique</v>
      </c>
      <c r="C149" s="1" t="str">
        <f>IFERROR(__xludf.DUMMYFUNCTION("""COMPUTED_VALUE"""),"henriad01")</f>
        <v>henriad01</v>
      </c>
      <c r="D149" s="1" t="s">
        <v>31</v>
      </c>
      <c r="E149" s="1">
        <f t="shared" si="1"/>
        <v>254.4</v>
      </c>
      <c r="F149" s="1">
        <f t="shared" si="2"/>
        <v>3.14</v>
      </c>
      <c r="G149" s="1">
        <v>81.0</v>
      </c>
      <c r="H149" s="1">
        <v>24.0</v>
      </c>
      <c r="I149" s="1">
        <v>26.0</v>
      </c>
      <c r="J149" s="1">
        <v>50.0</v>
      </c>
      <c r="K149" s="1">
        <v>151.0</v>
      </c>
      <c r="L149" s="1">
        <v>61.0</v>
      </c>
      <c r="M149" s="1">
        <v>61.0</v>
      </c>
      <c r="N149" s="1">
        <v>6.0</v>
      </c>
      <c r="O149" s="1">
        <v>7.0</v>
      </c>
      <c r="P149" s="1">
        <v>1.0</v>
      </c>
      <c r="Q149" s="1">
        <v>2.0</v>
      </c>
      <c r="R149" s="1">
        <v>11.0</v>
      </c>
      <c r="S149" s="1">
        <v>20.0</v>
      </c>
      <c r="T149" s="1">
        <v>8.0</v>
      </c>
    </row>
    <row r="150" ht="12.75" customHeight="1">
      <c r="A150" s="1" t="s">
        <v>180</v>
      </c>
      <c r="B150" s="1" t="str">
        <f>IFERROR(__xludf.DUMMYFUNCTION("split(A150, ""\"")"),"Tyler Toffoli")</f>
        <v>Tyler Toffoli</v>
      </c>
      <c r="C150" s="1" t="str">
        <f>IFERROR(__xludf.DUMMYFUNCTION("""COMPUTED_VALUE"""),"toffoty01")</f>
        <v>toffoty01</v>
      </c>
      <c r="D150" s="1" t="s">
        <v>31</v>
      </c>
      <c r="E150" s="1">
        <f t="shared" si="1"/>
        <v>253.8</v>
      </c>
      <c r="F150" s="1">
        <f t="shared" si="2"/>
        <v>3.1</v>
      </c>
      <c r="G150" s="1">
        <v>82.0</v>
      </c>
      <c r="H150" s="1">
        <v>24.0</v>
      </c>
      <c r="I150" s="1">
        <v>23.0</v>
      </c>
      <c r="J150" s="1">
        <v>47.0</v>
      </c>
      <c r="K150" s="1">
        <v>251.0</v>
      </c>
      <c r="L150" s="1">
        <v>75.0</v>
      </c>
      <c r="M150" s="1">
        <v>17.0</v>
      </c>
      <c r="N150" s="1">
        <v>6.0</v>
      </c>
      <c r="O150" s="1">
        <v>6.0</v>
      </c>
      <c r="P150" s="1">
        <v>0.0</v>
      </c>
      <c r="Q150" s="1">
        <v>0.0</v>
      </c>
      <c r="R150" s="1">
        <v>9.0</v>
      </c>
      <c r="S150" s="1">
        <v>16.0</v>
      </c>
      <c r="T150" s="1">
        <v>6.0</v>
      </c>
    </row>
    <row r="151" ht="12.75" customHeight="1">
      <c r="A151" s="1" t="s">
        <v>181</v>
      </c>
      <c r="B151" s="1" t="str">
        <f>IFERROR(__xludf.DUMMYFUNCTION("split(A151, ""\"")"),"William Nylander")</f>
        <v>William Nylander</v>
      </c>
      <c r="C151" s="1" t="str">
        <f>IFERROR(__xludf.DUMMYFUNCTION("""COMPUTED_VALUE"""),"nylanwi01")</f>
        <v>nylanwi01</v>
      </c>
      <c r="D151" s="1" t="s">
        <v>31</v>
      </c>
      <c r="E151" s="1">
        <f t="shared" si="1"/>
        <v>252.95</v>
      </c>
      <c r="F151" s="1">
        <f t="shared" si="2"/>
        <v>3.08</v>
      </c>
      <c r="G151" s="1">
        <v>82.0</v>
      </c>
      <c r="H151" s="1">
        <v>20.0</v>
      </c>
      <c r="I151" s="1">
        <v>41.0</v>
      </c>
      <c r="J151" s="1">
        <v>61.0</v>
      </c>
      <c r="K151" s="1">
        <v>184.0</v>
      </c>
      <c r="L151" s="1">
        <v>21.0</v>
      </c>
      <c r="M151" s="1">
        <v>18.0</v>
      </c>
      <c r="N151" s="1">
        <v>5.0</v>
      </c>
      <c r="O151" s="1">
        <v>7.0</v>
      </c>
      <c r="P151" s="1">
        <v>0.0</v>
      </c>
      <c r="Q151" s="1">
        <v>0.0</v>
      </c>
      <c r="R151" s="1">
        <v>20.0</v>
      </c>
      <c r="S151" s="1">
        <v>10.0</v>
      </c>
      <c r="T151" s="1">
        <v>8.0</v>
      </c>
    </row>
    <row r="152" ht="12.75" customHeight="1">
      <c r="A152" s="1" t="s">
        <v>182</v>
      </c>
      <c r="B152" s="1" t="str">
        <f>IFERROR(__xludf.DUMMYFUNCTION("split(A152, ""\"")"),"Anthony Mantha")</f>
        <v>Anthony Mantha</v>
      </c>
      <c r="C152" s="1" t="str">
        <f>IFERROR(__xludf.DUMMYFUNCTION("""COMPUTED_VALUE"""),"manthan01")</f>
        <v>manthan01</v>
      </c>
      <c r="D152" s="1" t="s">
        <v>36</v>
      </c>
      <c r="E152" s="1">
        <f t="shared" si="1"/>
        <v>252.65</v>
      </c>
      <c r="F152" s="1">
        <f t="shared" si="2"/>
        <v>3.16</v>
      </c>
      <c r="G152" s="1">
        <v>80.0</v>
      </c>
      <c r="H152" s="1">
        <v>24.0</v>
      </c>
      <c r="I152" s="1">
        <v>24.0</v>
      </c>
      <c r="J152" s="1">
        <v>48.0</v>
      </c>
      <c r="K152" s="1">
        <v>190.0</v>
      </c>
      <c r="L152" s="1">
        <v>91.0</v>
      </c>
      <c r="M152" s="1">
        <v>36.0</v>
      </c>
      <c r="N152" s="1">
        <v>9.0</v>
      </c>
      <c r="O152" s="1">
        <v>3.0</v>
      </c>
      <c r="P152" s="1">
        <v>0.0</v>
      </c>
      <c r="Q152" s="1">
        <v>0.0</v>
      </c>
      <c r="R152" s="1">
        <v>-1.0</v>
      </c>
      <c r="S152" s="1">
        <v>52.0</v>
      </c>
      <c r="T152" s="1">
        <v>2.0</v>
      </c>
    </row>
    <row r="153" ht="12.75" customHeight="1">
      <c r="A153" s="1" t="s">
        <v>183</v>
      </c>
      <c r="B153" s="1" t="str">
        <f>IFERROR(__xludf.DUMMYFUNCTION("split(A153, ""\"")"),"Daniel Sedin")</f>
        <v>Daniel Sedin</v>
      </c>
      <c r="C153" s="1" t="str">
        <f>IFERROR(__xludf.DUMMYFUNCTION("""COMPUTED_VALUE"""),"sedinda01")</f>
        <v>sedinda01</v>
      </c>
      <c r="D153" s="1" t="s">
        <v>28</v>
      </c>
      <c r="E153" s="1">
        <f t="shared" si="1"/>
        <v>252.55</v>
      </c>
      <c r="F153" s="1">
        <f t="shared" si="2"/>
        <v>3.12</v>
      </c>
      <c r="G153" s="1">
        <v>81.0</v>
      </c>
      <c r="H153" s="1">
        <v>23.0</v>
      </c>
      <c r="I153" s="1">
        <v>32.0</v>
      </c>
      <c r="J153" s="1">
        <v>55.0</v>
      </c>
      <c r="K153" s="1">
        <v>189.0</v>
      </c>
      <c r="L153" s="1">
        <v>38.0</v>
      </c>
      <c r="M153" s="1">
        <v>2.0</v>
      </c>
      <c r="N153" s="1">
        <v>9.0</v>
      </c>
      <c r="O153" s="1">
        <v>14.0</v>
      </c>
      <c r="P153" s="1">
        <v>0.0</v>
      </c>
      <c r="Q153" s="1">
        <v>0.0</v>
      </c>
      <c r="R153" s="1">
        <v>-21.0</v>
      </c>
      <c r="S153" s="1">
        <v>40.0</v>
      </c>
      <c r="T153" s="1">
        <v>5.0</v>
      </c>
    </row>
    <row r="154" ht="12.75" customHeight="1">
      <c r="A154" s="1" t="s">
        <v>184</v>
      </c>
      <c r="B154" s="1" t="str">
        <f>IFERROR(__xludf.DUMMYFUNCTION("split(A154, ""\"")"),"Keith Kinkaid")</f>
        <v>Keith Kinkaid</v>
      </c>
      <c r="C154" s="2" t="str">
        <f>IFERROR(__xludf.DUMMYFUNCTION("""COMPUTED_VALUE"""),"kinkake01")</f>
        <v>kinkake01</v>
      </c>
      <c r="D154" s="1" t="s">
        <v>5</v>
      </c>
      <c r="E154" s="1">
        <f t="shared" si="1"/>
        <v>250</v>
      </c>
      <c r="F154" s="1">
        <f t="shared" si="2"/>
        <v>6.1</v>
      </c>
      <c r="G154" s="1">
        <v>41.0</v>
      </c>
      <c r="U154" s="1">
        <v>38.0</v>
      </c>
      <c r="V154" s="1">
        <v>26.0</v>
      </c>
      <c r="W154" s="1">
        <v>10.0</v>
      </c>
      <c r="X154" s="1">
        <v>106.0</v>
      </c>
      <c r="Y154" s="1">
        <v>1214.0</v>
      </c>
      <c r="Z154" s="1">
        <v>1108.0</v>
      </c>
      <c r="AA154" s="1">
        <v>1.0</v>
      </c>
    </row>
    <row r="155" ht="12.75" customHeight="1">
      <c r="A155" s="1" t="s">
        <v>185</v>
      </c>
      <c r="B155" s="1" t="str">
        <f>IFERROR(__xludf.DUMMYFUNCTION("split(A155, ""\"")"),"Justin Williams")</f>
        <v>Justin Williams</v>
      </c>
      <c r="C155" s="1" t="str">
        <f>IFERROR(__xludf.DUMMYFUNCTION("""COMPUTED_VALUE"""),"williju01")</f>
        <v>williju01</v>
      </c>
      <c r="D155" s="1" t="s">
        <v>36</v>
      </c>
      <c r="E155" s="1">
        <f t="shared" si="1"/>
        <v>249.55</v>
      </c>
      <c r="F155" s="1">
        <f t="shared" si="2"/>
        <v>3.04</v>
      </c>
      <c r="G155" s="1">
        <v>82.0</v>
      </c>
      <c r="H155" s="1">
        <v>16.0</v>
      </c>
      <c r="I155" s="1">
        <v>35.0</v>
      </c>
      <c r="J155" s="1">
        <v>51.0</v>
      </c>
      <c r="K155" s="1">
        <v>198.0</v>
      </c>
      <c r="L155" s="1">
        <v>79.0</v>
      </c>
      <c r="M155" s="1">
        <v>42.0</v>
      </c>
      <c r="N155" s="1">
        <v>2.0</v>
      </c>
      <c r="O155" s="1">
        <v>10.0</v>
      </c>
      <c r="P155" s="1">
        <v>0.0</v>
      </c>
      <c r="Q155" s="1">
        <v>0.0</v>
      </c>
      <c r="R155" s="1">
        <v>-9.0</v>
      </c>
      <c r="S155" s="1">
        <v>56.0</v>
      </c>
      <c r="T155" s="1">
        <v>2.0</v>
      </c>
    </row>
    <row r="156" ht="12.75" customHeight="1">
      <c r="A156" s="1" t="s">
        <v>186</v>
      </c>
      <c r="B156" s="1" t="str">
        <f>IFERROR(__xludf.DUMMYFUNCTION("split(A156, ""\"")"),"Patrick Marleau")</f>
        <v>Patrick Marleau</v>
      </c>
      <c r="C156" s="1" t="str">
        <f>IFERROR(__xludf.DUMMYFUNCTION("""COMPUTED_VALUE"""),"marlepa01")</f>
        <v>marlepa01</v>
      </c>
      <c r="D156" s="1" t="s">
        <v>31</v>
      </c>
      <c r="E156" s="1">
        <f t="shared" si="1"/>
        <v>249.4</v>
      </c>
      <c r="F156" s="1">
        <f t="shared" si="2"/>
        <v>3.04</v>
      </c>
      <c r="G156" s="1">
        <v>82.0</v>
      </c>
      <c r="H156" s="1">
        <v>27.0</v>
      </c>
      <c r="I156" s="1">
        <v>20.0</v>
      </c>
      <c r="J156" s="1">
        <v>47.0</v>
      </c>
      <c r="K156" s="1">
        <v>203.0</v>
      </c>
      <c r="L156" s="1">
        <v>85.0</v>
      </c>
      <c r="M156" s="1">
        <v>26.0</v>
      </c>
      <c r="N156" s="1">
        <v>5.0</v>
      </c>
      <c r="O156" s="1">
        <v>4.0</v>
      </c>
      <c r="P156" s="1">
        <v>0.0</v>
      </c>
      <c r="Q156" s="1">
        <v>0.0</v>
      </c>
      <c r="R156" s="1">
        <v>1.0</v>
      </c>
      <c r="S156" s="1">
        <v>16.0</v>
      </c>
      <c r="T156" s="1">
        <v>5.0</v>
      </c>
    </row>
    <row r="157" ht="12.75" customHeight="1">
      <c r="A157" s="1" t="s">
        <v>187</v>
      </c>
      <c r="B157" s="1" t="str">
        <f>IFERROR(__xludf.DUMMYFUNCTION("split(A157, ""\"")"),"Alex DeBrincat")</f>
        <v>Alex DeBrincat</v>
      </c>
      <c r="C157" s="1" t="str">
        <f>IFERROR(__xludf.DUMMYFUNCTION("""COMPUTED_VALUE"""),"debrial01")</f>
        <v>debrial01</v>
      </c>
      <c r="D157" s="1" t="s">
        <v>36</v>
      </c>
      <c r="E157" s="1">
        <f t="shared" si="1"/>
        <v>249.25</v>
      </c>
      <c r="F157" s="1">
        <f t="shared" si="2"/>
        <v>3.04</v>
      </c>
      <c r="G157" s="1">
        <v>82.0</v>
      </c>
      <c r="H157" s="1">
        <v>28.0</v>
      </c>
      <c r="I157" s="1">
        <v>24.0</v>
      </c>
      <c r="J157" s="1">
        <v>52.0</v>
      </c>
      <c r="K157" s="1">
        <v>181.0</v>
      </c>
      <c r="L157" s="1">
        <v>40.0</v>
      </c>
      <c r="M157" s="1">
        <v>25.0</v>
      </c>
      <c r="N157" s="1">
        <v>6.0</v>
      </c>
      <c r="O157" s="1">
        <v>6.0</v>
      </c>
      <c r="P157" s="1">
        <v>0.0</v>
      </c>
      <c r="Q157" s="1">
        <v>0.0</v>
      </c>
      <c r="R157" s="1">
        <v>6.0</v>
      </c>
      <c r="S157" s="1">
        <v>6.0</v>
      </c>
      <c r="T157" s="1">
        <v>1.0</v>
      </c>
    </row>
    <row r="158" ht="12.75" customHeight="1">
      <c r="A158" s="1" t="s">
        <v>188</v>
      </c>
      <c r="B158" s="1" t="str">
        <f>IFERROR(__xludf.DUMMYFUNCTION("split(A158, ""\"")"),"Thomas Vanek")</f>
        <v>Thomas Vanek</v>
      </c>
      <c r="C158" s="1" t="str">
        <f>IFERROR(__xludf.DUMMYFUNCTION("""COMPUTED_VALUE"""),"vanekth01")</f>
        <v>vanekth01</v>
      </c>
      <c r="D158" s="1" t="s">
        <v>28</v>
      </c>
      <c r="E158" s="1">
        <f t="shared" si="1"/>
        <v>249.2</v>
      </c>
      <c r="F158" s="1">
        <f t="shared" si="2"/>
        <v>3.12</v>
      </c>
      <c r="G158" s="1">
        <v>80.0</v>
      </c>
      <c r="H158" s="1">
        <v>24.0</v>
      </c>
      <c r="I158" s="1">
        <v>32.0</v>
      </c>
      <c r="J158" s="1">
        <v>56.0</v>
      </c>
      <c r="K158" s="1">
        <v>168.0</v>
      </c>
      <c r="L158" s="1">
        <v>36.0</v>
      </c>
      <c r="M158" s="1">
        <v>18.0</v>
      </c>
      <c r="N158" s="1">
        <v>4.0</v>
      </c>
      <c r="O158" s="1">
        <v>11.0</v>
      </c>
      <c r="P158" s="1">
        <v>0.0</v>
      </c>
      <c r="Q158" s="1">
        <v>0.0</v>
      </c>
      <c r="R158" s="1">
        <v>-3.0</v>
      </c>
      <c r="S158" s="1">
        <v>36.0</v>
      </c>
      <c r="T158" s="1">
        <v>1.0</v>
      </c>
    </row>
    <row r="159" ht="12.75" customHeight="1">
      <c r="A159" s="1" t="s">
        <v>189</v>
      </c>
      <c r="B159" s="1" t="str">
        <f>IFERROR(__xludf.DUMMYFUNCTION("split(A159, ""\"")"),"Matthew Tkachuk")</f>
        <v>Matthew Tkachuk</v>
      </c>
      <c r="C159" s="1" t="str">
        <f>IFERROR(__xludf.DUMMYFUNCTION("""COMPUTED_VALUE"""),"tkachma01")</f>
        <v>tkachma01</v>
      </c>
      <c r="D159" s="1" t="s">
        <v>28</v>
      </c>
      <c r="E159" s="1">
        <f t="shared" si="1"/>
        <v>248.9</v>
      </c>
      <c r="F159" s="1">
        <f t="shared" si="2"/>
        <v>3.66</v>
      </c>
      <c r="G159" s="1">
        <v>68.0</v>
      </c>
      <c r="H159" s="1">
        <v>24.0</v>
      </c>
      <c r="I159" s="1">
        <v>25.0</v>
      </c>
      <c r="J159" s="1">
        <v>49.0</v>
      </c>
      <c r="K159" s="1">
        <v>188.0</v>
      </c>
      <c r="L159" s="1">
        <v>80.0</v>
      </c>
      <c r="M159" s="1">
        <v>16.0</v>
      </c>
      <c r="N159" s="1">
        <v>10.0</v>
      </c>
      <c r="O159" s="1">
        <v>7.0</v>
      </c>
      <c r="P159" s="1">
        <v>0.0</v>
      </c>
      <c r="Q159" s="1">
        <v>0.0</v>
      </c>
      <c r="R159" s="1">
        <v>-1.0</v>
      </c>
      <c r="S159" s="1">
        <v>61.0</v>
      </c>
      <c r="T159" s="1">
        <v>2.0</v>
      </c>
    </row>
    <row r="160" ht="12.75" customHeight="1">
      <c r="A160" s="1" t="s">
        <v>190</v>
      </c>
      <c r="B160" s="1" t="str">
        <f>IFERROR(__xludf.DUMMYFUNCTION("split(A160, ""\"")"),"Tyler Johnson")</f>
        <v>Tyler Johnson</v>
      </c>
      <c r="C160" s="1" t="str">
        <f>IFERROR(__xludf.DUMMYFUNCTION("""COMPUTED_VALUE"""),"johnsty01")</f>
        <v>johnsty01</v>
      </c>
      <c r="D160" s="1" t="s">
        <v>31</v>
      </c>
      <c r="E160" s="1">
        <f t="shared" si="1"/>
        <v>248.8</v>
      </c>
      <c r="F160" s="1">
        <f t="shared" si="2"/>
        <v>3.07</v>
      </c>
      <c r="G160" s="1">
        <v>81.0</v>
      </c>
      <c r="H160" s="1">
        <v>21.0</v>
      </c>
      <c r="I160" s="1">
        <v>29.0</v>
      </c>
      <c r="J160" s="1">
        <v>50.0</v>
      </c>
      <c r="K160" s="1">
        <v>186.0</v>
      </c>
      <c r="L160" s="1">
        <v>48.0</v>
      </c>
      <c r="M160" s="1">
        <v>47.0</v>
      </c>
      <c r="N160" s="1">
        <v>4.0</v>
      </c>
      <c r="O160" s="1">
        <v>9.0</v>
      </c>
      <c r="P160" s="1">
        <v>2.0</v>
      </c>
      <c r="Q160" s="1">
        <v>0.0</v>
      </c>
      <c r="R160" s="1">
        <v>3.0</v>
      </c>
      <c r="S160" s="1">
        <v>24.0</v>
      </c>
      <c r="T160" s="1">
        <v>3.0</v>
      </c>
    </row>
    <row r="161" ht="12.75" customHeight="1">
      <c r="A161" s="1" t="s">
        <v>191</v>
      </c>
      <c r="B161" s="1" t="str">
        <f>IFERROR(__xludf.DUMMYFUNCTION("split(A161, ""\"")"),"T.J. Oshie")</f>
        <v>T.J. Oshie</v>
      </c>
      <c r="C161" s="1" t="str">
        <f>IFERROR(__xludf.DUMMYFUNCTION("""COMPUTED_VALUE"""),"oshietj01")</f>
        <v>oshietj01</v>
      </c>
      <c r="D161" s="1" t="s">
        <v>42</v>
      </c>
      <c r="E161" s="1">
        <f t="shared" si="1"/>
        <v>246.85</v>
      </c>
      <c r="F161" s="1">
        <f t="shared" si="2"/>
        <v>3.34</v>
      </c>
      <c r="G161" s="1">
        <v>74.0</v>
      </c>
      <c r="H161" s="1">
        <v>18.0</v>
      </c>
      <c r="I161" s="1">
        <v>29.0</v>
      </c>
      <c r="J161" s="1">
        <v>47.0</v>
      </c>
      <c r="K161" s="1">
        <v>127.0</v>
      </c>
      <c r="L161" s="1">
        <v>124.0</v>
      </c>
      <c r="M161" s="1">
        <v>54.0</v>
      </c>
      <c r="N161" s="1">
        <v>9.0</v>
      </c>
      <c r="O161" s="1">
        <v>9.0</v>
      </c>
      <c r="P161" s="1">
        <v>0.0</v>
      </c>
      <c r="Q161" s="1">
        <v>0.0</v>
      </c>
      <c r="R161" s="1">
        <v>2.0</v>
      </c>
      <c r="S161" s="1">
        <v>31.0</v>
      </c>
      <c r="T161" s="1">
        <v>3.0</v>
      </c>
    </row>
    <row r="162" ht="12.75" customHeight="1">
      <c r="A162" s="1" t="s">
        <v>192</v>
      </c>
      <c r="B162" s="1" t="str">
        <f>IFERROR(__xludf.DUMMYFUNCTION("split(A162, ""\"")"),"Nick Bjugstad")</f>
        <v>Nick Bjugstad</v>
      </c>
      <c r="C162" s="1" t="str">
        <f>IFERROR(__xludf.DUMMYFUNCTION("""COMPUTED_VALUE"""),"bjugsni01")</f>
        <v>bjugsni01</v>
      </c>
      <c r="D162" s="1" t="s">
        <v>31</v>
      </c>
      <c r="E162" s="1">
        <f t="shared" si="1"/>
        <v>246.85</v>
      </c>
      <c r="F162" s="1">
        <f t="shared" si="2"/>
        <v>3.01</v>
      </c>
      <c r="G162" s="1">
        <v>82.0</v>
      </c>
      <c r="H162" s="1">
        <v>19.0</v>
      </c>
      <c r="I162" s="1">
        <v>30.0</v>
      </c>
      <c r="J162" s="1">
        <v>49.0</v>
      </c>
      <c r="K162" s="1">
        <v>230.0</v>
      </c>
      <c r="L162" s="1">
        <v>95.0</v>
      </c>
      <c r="M162" s="1">
        <v>19.0</v>
      </c>
      <c r="N162" s="1">
        <v>1.0</v>
      </c>
      <c r="O162" s="1">
        <v>6.0</v>
      </c>
      <c r="P162" s="1">
        <v>0.0</v>
      </c>
      <c r="Q162" s="1">
        <v>0.0</v>
      </c>
      <c r="R162" s="1">
        <v>5.0</v>
      </c>
      <c r="S162" s="1">
        <v>41.0</v>
      </c>
      <c r="T162" s="1">
        <v>1.0</v>
      </c>
    </row>
    <row r="163" ht="12.75" customHeight="1">
      <c r="A163" s="1" t="s">
        <v>193</v>
      </c>
      <c r="B163" s="1" t="str">
        <f>IFERROR(__xludf.DUMMYFUNCTION("split(A163, ""\"")"),"Colin Miller")</f>
        <v>Colin Miller</v>
      </c>
      <c r="C163" s="1" t="str">
        <f>IFERROR(__xludf.DUMMYFUNCTION("""COMPUTED_VALUE"""),"milleco02")</f>
        <v>milleco02</v>
      </c>
      <c r="D163" s="1" t="s">
        <v>66</v>
      </c>
      <c r="E163" s="1">
        <f t="shared" si="1"/>
        <v>246.6</v>
      </c>
      <c r="F163" s="1">
        <f t="shared" si="2"/>
        <v>3.01</v>
      </c>
      <c r="G163" s="1">
        <v>82.0</v>
      </c>
      <c r="H163" s="1">
        <v>10.0</v>
      </c>
      <c r="I163" s="1">
        <v>31.0</v>
      </c>
      <c r="J163" s="1">
        <v>41.0</v>
      </c>
      <c r="K163" s="1">
        <v>177.0</v>
      </c>
      <c r="L163" s="1">
        <v>165.0</v>
      </c>
      <c r="M163" s="1">
        <v>64.0</v>
      </c>
      <c r="N163" s="1">
        <v>5.0</v>
      </c>
      <c r="O163" s="1">
        <v>12.0</v>
      </c>
      <c r="P163" s="1">
        <v>0.0</v>
      </c>
      <c r="Q163" s="1">
        <v>1.0</v>
      </c>
      <c r="R163" s="1">
        <v>-4.0</v>
      </c>
      <c r="S163" s="1">
        <v>53.0</v>
      </c>
      <c r="T163" s="1">
        <v>2.0</v>
      </c>
    </row>
    <row r="164" ht="12.75" customHeight="1">
      <c r="A164" s="1" t="s">
        <v>194</v>
      </c>
      <c r="B164" s="1" t="str">
        <f>IFERROR(__xludf.DUMMYFUNCTION("split(A164, ""\"")"),"Travis Konecny")</f>
        <v>Travis Konecny</v>
      </c>
      <c r="C164" s="1" t="str">
        <f>IFERROR(__xludf.DUMMYFUNCTION("""COMPUTED_VALUE"""),"konectr01")</f>
        <v>konectr01</v>
      </c>
      <c r="D164" s="1" t="s">
        <v>31</v>
      </c>
      <c r="E164" s="1">
        <f t="shared" si="1"/>
        <v>246.2</v>
      </c>
      <c r="F164" s="1">
        <f t="shared" si="2"/>
        <v>3.04</v>
      </c>
      <c r="G164" s="1">
        <v>81.0</v>
      </c>
      <c r="H164" s="1">
        <v>24.0</v>
      </c>
      <c r="I164" s="1">
        <v>23.0</v>
      </c>
      <c r="J164" s="1">
        <v>47.0</v>
      </c>
      <c r="K164" s="1">
        <v>177.0</v>
      </c>
      <c r="L164" s="1">
        <v>97.0</v>
      </c>
      <c r="M164" s="1">
        <v>53.0</v>
      </c>
      <c r="N164" s="1">
        <v>1.0</v>
      </c>
      <c r="O164" s="1">
        <v>2.0</v>
      </c>
      <c r="P164" s="1">
        <v>0.0</v>
      </c>
      <c r="Q164" s="1">
        <v>0.0</v>
      </c>
      <c r="R164" s="1">
        <v>17.0</v>
      </c>
      <c r="S164" s="1">
        <v>46.0</v>
      </c>
      <c r="T164" s="1">
        <v>6.0</v>
      </c>
    </row>
    <row r="165" ht="12.75" customHeight="1">
      <c r="A165" s="1" t="s">
        <v>195</v>
      </c>
      <c r="B165" s="1" t="str">
        <f>IFERROR(__xludf.DUMMYFUNCTION("split(A165, ""\"")"),"Henrik Zetterberg")</f>
        <v>Henrik Zetterberg</v>
      </c>
      <c r="C165" s="1" t="str">
        <f>IFERROR(__xludf.DUMMYFUNCTION("""COMPUTED_VALUE"""),"zettehe01")</f>
        <v>zettehe01</v>
      </c>
      <c r="D165" s="1" t="s">
        <v>28</v>
      </c>
      <c r="E165" s="1">
        <f t="shared" si="1"/>
        <v>245.35</v>
      </c>
      <c r="F165" s="1">
        <f t="shared" si="2"/>
        <v>2.99</v>
      </c>
      <c r="G165" s="1">
        <v>82.0</v>
      </c>
      <c r="H165" s="1">
        <v>11.0</v>
      </c>
      <c r="I165" s="1">
        <v>45.0</v>
      </c>
      <c r="J165" s="1">
        <v>56.0</v>
      </c>
      <c r="K165" s="1">
        <v>180.0</v>
      </c>
      <c r="L165" s="1">
        <v>49.0</v>
      </c>
      <c r="M165" s="1">
        <v>34.0</v>
      </c>
      <c r="N165" s="1">
        <v>1.0</v>
      </c>
      <c r="O165" s="1">
        <v>17.0</v>
      </c>
      <c r="P165" s="1">
        <v>0.0</v>
      </c>
      <c r="Q165" s="1">
        <v>0.0</v>
      </c>
      <c r="R165" s="1">
        <v>1.0</v>
      </c>
      <c r="S165" s="1">
        <v>14.0</v>
      </c>
      <c r="T165" s="1">
        <v>2.0</v>
      </c>
    </row>
    <row r="166" ht="12.75" customHeight="1">
      <c r="A166" s="1" t="s">
        <v>196</v>
      </c>
      <c r="B166" s="1" t="str">
        <f>IFERROR(__xludf.DUMMYFUNCTION("split(A166, ""\"")"),"Vladislav Namestnikov")</f>
        <v>Vladislav Namestnikov</v>
      </c>
      <c r="C166" s="1" t="str">
        <f>IFERROR(__xludf.DUMMYFUNCTION("""COMPUTED_VALUE"""),"namesvl01")</f>
        <v>namesvl01</v>
      </c>
      <c r="D166" s="1" t="s">
        <v>31</v>
      </c>
      <c r="E166" s="1">
        <f t="shared" si="1"/>
        <v>245.1</v>
      </c>
      <c r="F166" s="1">
        <f t="shared" si="2"/>
        <v>3.03</v>
      </c>
      <c r="G166" s="1">
        <v>81.0</v>
      </c>
      <c r="H166" s="1">
        <v>22.0</v>
      </c>
      <c r="I166" s="1">
        <v>26.0</v>
      </c>
      <c r="J166" s="1">
        <v>48.0</v>
      </c>
      <c r="K166" s="1">
        <v>155.0</v>
      </c>
      <c r="L166" s="1">
        <v>79.0</v>
      </c>
      <c r="M166" s="1">
        <v>44.0</v>
      </c>
      <c r="N166" s="1">
        <v>9.0</v>
      </c>
      <c r="O166" s="1">
        <v>7.0</v>
      </c>
      <c r="P166" s="1">
        <v>0.0</v>
      </c>
      <c r="Q166" s="1">
        <v>0.0</v>
      </c>
      <c r="R166" s="1">
        <v>6.0</v>
      </c>
      <c r="S166" s="1">
        <v>45.0</v>
      </c>
      <c r="T166" s="1">
        <v>2.0</v>
      </c>
    </row>
    <row r="167" ht="12.75" customHeight="1">
      <c r="A167" s="1" t="s">
        <v>197</v>
      </c>
      <c r="B167" s="1" t="str">
        <f>IFERROR(__xludf.DUMMYFUNCTION("split(A167, ""\"")"),"Colton Parayko")</f>
        <v>Colton Parayko</v>
      </c>
      <c r="C167" s="1" t="str">
        <f>IFERROR(__xludf.DUMMYFUNCTION("""COMPUTED_VALUE"""),"parayco01")</f>
        <v>parayco01</v>
      </c>
      <c r="D167" s="1" t="s">
        <v>66</v>
      </c>
      <c r="E167" s="1">
        <f t="shared" si="1"/>
        <v>244.9</v>
      </c>
      <c r="F167" s="1">
        <f t="shared" si="2"/>
        <v>2.99</v>
      </c>
      <c r="G167" s="1">
        <v>82.0</v>
      </c>
      <c r="H167" s="1">
        <v>6.0</v>
      </c>
      <c r="I167" s="1">
        <v>29.0</v>
      </c>
      <c r="J167" s="1">
        <v>35.0</v>
      </c>
      <c r="K167" s="1">
        <v>212.0</v>
      </c>
      <c r="L167" s="1">
        <v>120.0</v>
      </c>
      <c r="M167" s="1">
        <v>141.0</v>
      </c>
      <c r="N167" s="1">
        <v>2.0</v>
      </c>
      <c r="O167" s="1">
        <v>7.0</v>
      </c>
      <c r="P167" s="1">
        <v>0.0</v>
      </c>
      <c r="Q167" s="1">
        <v>0.0</v>
      </c>
      <c r="R167" s="1">
        <v>-7.0</v>
      </c>
      <c r="S167" s="1">
        <v>13.0</v>
      </c>
      <c r="T167" s="1">
        <v>0.0</v>
      </c>
    </row>
    <row r="168" ht="12.75" customHeight="1">
      <c r="A168" s="1" t="s">
        <v>198</v>
      </c>
      <c r="B168" s="1" t="str">
        <f>IFERROR(__xludf.DUMMYFUNCTION("split(A168, ""\"")"),"Aaron Ekblad")</f>
        <v>Aaron Ekblad</v>
      </c>
      <c r="C168" s="1" t="str">
        <f>IFERROR(__xludf.DUMMYFUNCTION("""COMPUTED_VALUE"""),"ekblaaa01")</f>
        <v>ekblaaa01</v>
      </c>
      <c r="D168" s="1" t="s">
        <v>66</v>
      </c>
      <c r="E168" s="1">
        <f t="shared" si="1"/>
        <v>242.9</v>
      </c>
      <c r="F168" s="1">
        <f t="shared" si="2"/>
        <v>2.96</v>
      </c>
      <c r="G168" s="1">
        <v>82.0</v>
      </c>
      <c r="H168" s="1">
        <v>16.0</v>
      </c>
      <c r="I168" s="1">
        <v>22.0</v>
      </c>
      <c r="J168" s="1">
        <v>38.0</v>
      </c>
      <c r="K168" s="1">
        <v>189.0</v>
      </c>
      <c r="L168" s="1">
        <v>69.0</v>
      </c>
      <c r="M168" s="1">
        <v>121.0</v>
      </c>
      <c r="N168" s="1">
        <v>5.0</v>
      </c>
      <c r="O168" s="1">
        <v>6.0</v>
      </c>
      <c r="P168" s="1">
        <v>0.0</v>
      </c>
      <c r="Q168" s="1">
        <v>0.0</v>
      </c>
      <c r="R168" s="1">
        <v>9.0</v>
      </c>
      <c r="S168" s="1">
        <v>71.0</v>
      </c>
      <c r="T168" s="1">
        <v>4.0</v>
      </c>
    </row>
    <row r="169" ht="12.75" customHeight="1">
      <c r="A169" s="1" t="s">
        <v>199</v>
      </c>
      <c r="B169" s="1" t="str">
        <f>IFERROR(__xludf.DUMMYFUNCTION("split(A169, ""\"")"),"Ryan Johansen")</f>
        <v>Ryan Johansen</v>
      </c>
      <c r="C169" s="1" t="str">
        <f>IFERROR(__xludf.DUMMYFUNCTION("""COMPUTED_VALUE"""),"johanry01")</f>
        <v>johanry01</v>
      </c>
      <c r="D169" s="1" t="s">
        <v>31</v>
      </c>
      <c r="E169" s="1">
        <f t="shared" si="1"/>
        <v>242.5</v>
      </c>
      <c r="F169" s="1">
        <f t="shared" si="2"/>
        <v>3.07</v>
      </c>
      <c r="G169" s="1">
        <v>79.0</v>
      </c>
      <c r="H169" s="1">
        <v>15.0</v>
      </c>
      <c r="I169" s="1">
        <v>39.0</v>
      </c>
      <c r="J169" s="1">
        <v>54.0</v>
      </c>
      <c r="K169" s="1">
        <v>129.0</v>
      </c>
      <c r="L169" s="1">
        <v>87.0</v>
      </c>
      <c r="M169" s="1">
        <v>35.0</v>
      </c>
      <c r="N169" s="1">
        <v>1.0</v>
      </c>
      <c r="O169" s="1">
        <v>14.0</v>
      </c>
      <c r="P169" s="1">
        <v>0.0</v>
      </c>
      <c r="Q169" s="1">
        <v>2.0</v>
      </c>
      <c r="R169" s="1">
        <v>13.0</v>
      </c>
      <c r="S169" s="1">
        <v>78.0</v>
      </c>
      <c r="T169" s="1">
        <v>3.0</v>
      </c>
    </row>
    <row r="170" ht="12.75" customHeight="1">
      <c r="A170" s="1" t="s">
        <v>200</v>
      </c>
      <c r="B170" s="1" t="str">
        <f>IFERROR(__xludf.DUMMYFUNCTION("split(A170, ""\"")"),"Jonathan Toews")</f>
        <v>Jonathan Toews</v>
      </c>
      <c r="C170" s="1" t="str">
        <f>IFERROR(__xludf.DUMMYFUNCTION("""COMPUTED_VALUE"""),"toewsjo01")</f>
        <v>toewsjo01</v>
      </c>
      <c r="D170" s="1" t="s">
        <v>31</v>
      </c>
      <c r="E170" s="1">
        <f t="shared" si="1"/>
        <v>242.35</v>
      </c>
      <c r="F170" s="1">
        <f t="shared" si="2"/>
        <v>3.28</v>
      </c>
      <c r="G170" s="1">
        <v>74.0</v>
      </c>
      <c r="H170" s="1">
        <v>20.0</v>
      </c>
      <c r="I170" s="1">
        <v>32.0</v>
      </c>
      <c r="J170" s="1">
        <v>52.0</v>
      </c>
      <c r="K170" s="1">
        <v>211.0</v>
      </c>
      <c r="L170" s="1">
        <v>32.0</v>
      </c>
      <c r="M170" s="1">
        <v>24.0</v>
      </c>
      <c r="N170" s="1">
        <v>2.0</v>
      </c>
      <c r="O170" s="1">
        <v>10.0</v>
      </c>
      <c r="P170" s="1">
        <v>0.0</v>
      </c>
      <c r="Q170" s="1">
        <v>0.0</v>
      </c>
      <c r="R170" s="1">
        <v>-1.0</v>
      </c>
      <c r="S170" s="1">
        <v>47.0</v>
      </c>
      <c r="T170" s="1">
        <v>2.0</v>
      </c>
    </row>
    <row r="171" ht="12.75" customHeight="1">
      <c r="A171" s="1" t="s">
        <v>201</v>
      </c>
      <c r="B171" s="1" t="str">
        <f>IFERROR(__xludf.DUMMYFUNCTION("split(A171, ""\"")"),"Roberto Luongo")</f>
        <v>Roberto Luongo</v>
      </c>
      <c r="C171" s="2" t="str">
        <f>IFERROR(__xludf.DUMMYFUNCTION("""COMPUTED_VALUE"""),"luongro01")</f>
        <v>luongro01</v>
      </c>
      <c r="D171" s="1" t="s">
        <v>5</v>
      </c>
      <c r="E171" s="1">
        <f t="shared" si="1"/>
        <v>241.5</v>
      </c>
      <c r="F171" s="1">
        <f t="shared" si="2"/>
        <v>6.9</v>
      </c>
      <c r="G171" s="1">
        <v>35.0</v>
      </c>
      <c r="U171" s="1">
        <v>33.0</v>
      </c>
      <c r="V171" s="1">
        <v>18.0</v>
      </c>
      <c r="W171" s="1">
        <v>11.0</v>
      </c>
      <c r="X171" s="1">
        <v>81.0</v>
      </c>
      <c r="Y171" s="1">
        <v>1143.0</v>
      </c>
      <c r="Z171" s="1">
        <v>1062.0</v>
      </c>
      <c r="AA171" s="1">
        <v>3.0</v>
      </c>
    </row>
    <row r="172" ht="12.75" customHeight="1">
      <c r="A172" s="1" t="s">
        <v>202</v>
      </c>
      <c r="B172" s="1" t="str">
        <f>IFERROR(__xludf.DUMMYFUNCTION("split(A172, ""\"")"),"Nico Hischier")</f>
        <v>Nico Hischier</v>
      </c>
      <c r="C172" s="1" t="str">
        <f>IFERROR(__xludf.DUMMYFUNCTION("""COMPUTED_VALUE"""),"hischni01")</f>
        <v>hischni01</v>
      </c>
      <c r="D172" s="1" t="s">
        <v>31</v>
      </c>
      <c r="E172" s="1">
        <f t="shared" si="1"/>
        <v>240.6</v>
      </c>
      <c r="F172" s="1">
        <f t="shared" si="2"/>
        <v>2.93</v>
      </c>
      <c r="G172" s="1">
        <v>82.0</v>
      </c>
      <c r="H172" s="1">
        <v>20.0</v>
      </c>
      <c r="I172" s="1">
        <v>32.0</v>
      </c>
      <c r="J172" s="1">
        <v>52.0</v>
      </c>
      <c r="K172" s="1">
        <v>180.0</v>
      </c>
      <c r="L172" s="1">
        <v>56.0</v>
      </c>
      <c r="M172" s="1">
        <v>39.0</v>
      </c>
      <c r="N172" s="1">
        <v>1.0</v>
      </c>
      <c r="O172" s="1">
        <v>5.0</v>
      </c>
      <c r="P172" s="1">
        <v>0.0</v>
      </c>
      <c r="Q172" s="1">
        <v>0.0</v>
      </c>
      <c r="R172" s="1">
        <v>10.0</v>
      </c>
      <c r="S172" s="1">
        <v>26.0</v>
      </c>
      <c r="T172" s="1">
        <v>2.0</v>
      </c>
    </row>
    <row r="173" ht="12.75" customHeight="1">
      <c r="A173" s="1" t="s">
        <v>203</v>
      </c>
      <c r="B173" s="1" t="str">
        <f>IFERROR(__xludf.DUMMYFUNCTION("split(A173, ""\"")"),"Jake Gardiner")</f>
        <v>Jake Gardiner</v>
      </c>
      <c r="C173" s="1" t="str">
        <f>IFERROR(__xludf.DUMMYFUNCTION("""COMPUTED_VALUE"""),"gardija01")</f>
        <v>gardija01</v>
      </c>
      <c r="D173" s="1" t="s">
        <v>66</v>
      </c>
      <c r="E173" s="1">
        <f t="shared" si="1"/>
        <v>239.7</v>
      </c>
      <c r="F173" s="1">
        <f t="shared" si="2"/>
        <v>2.92</v>
      </c>
      <c r="G173" s="1">
        <v>82.0</v>
      </c>
      <c r="H173" s="1">
        <v>5.0</v>
      </c>
      <c r="I173" s="1">
        <v>47.0</v>
      </c>
      <c r="J173" s="1">
        <v>52.0</v>
      </c>
      <c r="K173" s="1">
        <v>133.0</v>
      </c>
      <c r="L173" s="1">
        <v>51.0</v>
      </c>
      <c r="M173" s="1">
        <v>103.0</v>
      </c>
      <c r="N173" s="1">
        <v>1.0</v>
      </c>
      <c r="O173" s="1">
        <v>14.0</v>
      </c>
      <c r="P173" s="1">
        <v>0.0</v>
      </c>
      <c r="Q173" s="1">
        <v>0.0</v>
      </c>
      <c r="R173" s="1">
        <v>9.0</v>
      </c>
      <c r="S173" s="1">
        <v>32.0</v>
      </c>
      <c r="T173" s="1">
        <v>0.0</v>
      </c>
    </row>
    <row r="174" ht="12.75" customHeight="1">
      <c r="A174" s="1" t="s">
        <v>204</v>
      </c>
      <c r="B174" s="1" t="str">
        <f>IFERROR(__xludf.DUMMYFUNCTION("split(A174, ""\"")"),"Cam Atkinson")</f>
        <v>Cam Atkinson</v>
      </c>
      <c r="C174" s="1" t="str">
        <f>IFERROR(__xludf.DUMMYFUNCTION("""COMPUTED_VALUE"""),"atkinca01")</f>
        <v>atkinca01</v>
      </c>
      <c r="D174" s="1" t="s">
        <v>36</v>
      </c>
      <c r="E174" s="1">
        <f t="shared" si="1"/>
        <v>239.35</v>
      </c>
      <c r="F174" s="1">
        <f t="shared" si="2"/>
        <v>3.68</v>
      </c>
      <c r="G174" s="1">
        <v>65.0</v>
      </c>
      <c r="H174" s="1">
        <v>24.0</v>
      </c>
      <c r="I174" s="1">
        <v>22.0</v>
      </c>
      <c r="J174" s="1">
        <v>46.0</v>
      </c>
      <c r="K174" s="1">
        <v>231.0</v>
      </c>
      <c r="L174" s="1">
        <v>32.0</v>
      </c>
      <c r="M174" s="1">
        <v>29.0</v>
      </c>
      <c r="N174" s="1">
        <v>3.0</v>
      </c>
      <c r="O174" s="1">
        <v>7.0</v>
      </c>
      <c r="P174" s="1">
        <v>1.0</v>
      </c>
      <c r="Q174" s="1">
        <v>0.0</v>
      </c>
      <c r="R174" s="1">
        <v>19.0</v>
      </c>
      <c r="S174" s="1">
        <v>14.0</v>
      </c>
      <c r="T174" s="1">
        <v>5.0</v>
      </c>
    </row>
    <row r="175" ht="12.75" customHeight="1">
      <c r="A175" s="1" t="s">
        <v>205</v>
      </c>
      <c r="B175" s="1" t="str">
        <f>IFERROR(__xludf.DUMMYFUNCTION("split(A175, ""\"")"),"Nick Leddy")</f>
        <v>Nick Leddy</v>
      </c>
      <c r="C175" s="1" t="str">
        <f>IFERROR(__xludf.DUMMYFUNCTION("""COMPUTED_VALUE"""),"leddyni01")</f>
        <v>leddyni01</v>
      </c>
      <c r="D175" s="1" t="s">
        <v>66</v>
      </c>
      <c r="E175" s="1">
        <f t="shared" si="1"/>
        <v>237.6</v>
      </c>
      <c r="F175" s="1">
        <f t="shared" si="2"/>
        <v>2.97</v>
      </c>
      <c r="G175" s="1">
        <v>80.0</v>
      </c>
      <c r="H175" s="1">
        <v>10.0</v>
      </c>
      <c r="I175" s="1">
        <v>32.0</v>
      </c>
      <c r="J175" s="1">
        <v>42.0</v>
      </c>
      <c r="K175" s="1">
        <v>153.0</v>
      </c>
      <c r="L175" s="1">
        <v>95.0</v>
      </c>
      <c r="M175" s="1">
        <v>104.0</v>
      </c>
      <c r="N175" s="1">
        <v>4.0</v>
      </c>
      <c r="O175" s="1">
        <v>10.0</v>
      </c>
      <c r="P175" s="1">
        <v>0.0</v>
      </c>
      <c r="Q175" s="1">
        <v>0.0</v>
      </c>
      <c r="R175" s="1">
        <v>-42.0</v>
      </c>
      <c r="S175" s="1">
        <v>20.0</v>
      </c>
      <c r="T175" s="1">
        <v>1.0</v>
      </c>
    </row>
    <row r="176" ht="12.75" customHeight="1">
      <c r="A176" s="1" t="s">
        <v>206</v>
      </c>
      <c r="B176" s="1" t="str">
        <f>IFERROR(__xludf.DUMMYFUNCTION("split(A176, ""\"")"),"Brian Elliott")</f>
        <v>Brian Elliott</v>
      </c>
      <c r="C176" s="2" t="str">
        <f>IFERROR(__xludf.DUMMYFUNCTION("""COMPUTED_VALUE"""),"elliobr01")</f>
        <v>elliobr01</v>
      </c>
      <c r="D176" s="1" t="s">
        <v>5</v>
      </c>
      <c r="E176" s="1">
        <f t="shared" si="1"/>
        <v>237</v>
      </c>
      <c r="F176" s="1">
        <f t="shared" si="2"/>
        <v>5.51</v>
      </c>
      <c r="G176" s="1">
        <v>43.0</v>
      </c>
      <c r="U176" s="1">
        <v>42.0</v>
      </c>
      <c r="V176" s="1">
        <v>23.0</v>
      </c>
      <c r="W176" s="1">
        <v>11.0</v>
      </c>
      <c r="X176" s="1">
        <v>112.0</v>
      </c>
      <c r="Y176" s="1">
        <v>1228.0</v>
      </c>
      <c r="Z176" s="1">
        <v>1116.0</v>
      </c>
      <c r="AA176" s="1">
        <v>1.0</v>
      </c>
    </row>
    <row r="177" ht="12.75" customHeight="1">
      <c r="A177" s="1" t="s">
        <v>207</v>
      </c>
      <c r="B177" s="1" t="str">
        <f>IFERROR(__xludf.DUMMYFUNCTION("split(A177, ""\"")"),"Alex Goligoski")</f>
        <v>Alex Goligoski</v>
      </c>
      <c r="C177" s="1" t="str">
        <f>IFERROR(__xludf.DUMMYFUNCTION("""COMPUTED_VALUE"""),"goligal01")</f>
        <v>goligal01</v>
      </c>
      <c r="D177" s="1" t="s">
        <v>66</v>
      </c>
      <c r="E177" s="1">
        <f t="shared" si="1"/>
        <v>236.35</v>
      </c>
      <c r="F177" s="1">
        <f t="shared" si="2"/>
        <v>3.03</v>
      </c>
      <c r="G177" s="1">
        <v>78.0</v>
      </c>
      <c r="H177" s="1">
        <v>12.0</v>
      </c>
      <c r="I177" s="1">
        <v>23.0</v>
      </c>
      <c r="J177" s="1">
        <v>35.0</v>
      </c>
      <c r="K177" s="1">
        <v>119.0</v>
      </c>
      <c r="L177" s="1">
        <v>114.0</v>
      </c>
      <c r="M177" s="1">
        <v>154.0</v>
      </c>
      <c r="N177" s="1">
        <v>3.0</v>
      </c>
      <c r="O177" s="1">
        <v>8.0</v>
      </c>
      <c r="P177" s="1">
        <v>0.0</v>
      </c>
      <c r="Q177" s="1">
        <v>0.0</v>
      </c>
      <c r="R177" s="1">
        <v>-31.0</v>
      </c>
      <c r="S177" s="1">
        <v>26.0</v>
      </c>
      <c r="T177" s="1">
        <v>3.0</v>
      </c>
    </row>
    <row r="178" ht="12.75" customHeight="1">
      <c r="A178" s="1" t="s">
        <v>208</v>
      </c>
      <c r="B178" s="1" t="str">
        <f>IFERROR(__xludf.DUMMYFUNCTION("split(A178, ""\"")"),"Carey Price")</f>
        <v>Carey Price</v>
      </c>
      <c r="C178" s="2" t="str">
        <f>IFERROR(__xludf.DUMMYFUNCTION("""COMPUTED_VALUE"""),"priceca01")</f>
        <v>priceca01</v>
      </c>
      <c r="D178" s="1" t="s">
        <v>5</v>
      </c>
      <c r="E178" s="1">
        <f t="shared" si="1"/>
        <v>235.75</v>
      </c>
      <c r="F178" s="1">
        <f t="shared" si="2"/>
        <v>4.81</v>
      </c>
      <c r="G178" s="1">
        <v>49.0</v>
      </c>
      <c r="U178" s="1">
        <v>48.0</v>
      </c>
      <c r="V178" s="1">
        <v>16.0</v>
      </c>
      <c r="W178" s="1">
        <v>26.0</v>
      </c>
      <c r="X178" s="1">
        <v>148.0</v>
      </c>
      <c r="Y178" s="1">
        <v>1487.0</v>
      </c>
      <c r="Z178" s="1">
        <v>1339.0</v>
      </c>
      <c r="AA178" s="1">
        <v>1.0</v>
      </c>
    </row>
    <row r="179" ht="12.75" customHeight="1">
      <c r="A179" s="1" t="s">
        <v>209</v>
      </c>
      <c r="B179" s="1" t="str">
        <f>IFERROR(__xludf.DUMMYFUNCTION("split(A179, ""\"")"),"Derick Brassard")</f>
        <v>Derick Brassard</v>
      </c>
      <c r="C179" s="1" t="str">
        <f>IFERROR(__xludf.DUMMYFUNCTION("""COMPUTED_VALUE"""),"brassde01")</f>
        <v>brassde01</v>
      </c>
      <c r="D179" s="1" t="s">
        <v>31</v>
      </c>
      <c r="E179" s="1">
        <f t="shared" si="1"/>
        <v>235.75</v>
      </c>
      <c r="F179" s="1">
        <f t="shared" si="2"/>
        <v>3.27</v>
      </c>
      <c r="G179" s="1">
        <v>72.0</v>
      </c>
      <c r="H179" s="1">
        <v>21.0</v>
      </c>
      <c r="I179" s="1">
        <v>25.0</v>
      </c>
      <c r="J179" s="1">
        <v>46.0</v>
      </c>
      <c r="K179" s="1">
        <v>197.0</v>
      </c>
      <c r="L179" s="1">
        <v>96.0</v>
      </c>
      <c r="M179" s="1">
        <v>25.0</v>
      </c>
      <c r="N179" s="1">
        <v>5.0</v>
      </c>
      <c r="O179" s="1">
        <v>1.0</v>
      </c>
      <c r="P179" s="1">
        <v>0.0</v>
      </c>
      <c r="Q179" s="1">
        <v>0.0</v>
      </c>
      <c r="R179" s="1">
        <v>0.0</v>
      </c>
      <c r="S179" s="1">
        <v>34.0</v>
      </c>
      <c r="T179" s="1">
        <v>3.0</v>
      </c>
    </row>
    <row r="180" ht="12.75" customHeight="1">
      <c r="A180" s="1" t="s">
        <v>210</v>
      </c>
      <c r="B180" s="1" t="str">
        <f>IFERROR(__xludf.DUMMYFUNCTION("split(A180, ""\"")"),"Boone Jenner")</f>
        <v>Boone Jenner</v>
      </c>
      <c r="C180" s="1" t="str">
        <f>IFERROR(__xludf.DUMMYFUNCTION("""COMPUTED_VALUE"""),"jennebo01")</f>
        <v>jennebo01</v>
      </c>
      <c r="D180" s="1" t="s">
        <v>31</v>
      </c>
      <c r="E180" s="1">
        <f t="shared" si="1"/>
        <v>233.7</v>
      </c>
      <c r="F180" s="1">
        <f t="shared" si="2"/>
        <v>3.12</v>
      </c>
      <c r="G180" s="1">
        <v>75.0</v>
      </c>
      <c r="H180" s="1">
        <v>13.0</v>
      </c>
      <c r="I180" s="1">
        <v>19.0</v>
      </c>
      <c r="J180" s="1">
        <v>32.0</v>
      </c>
      <c r="K180" s="1">
        <v>187.0</v>
      </c>
      <c r="L180" s="1">
        <v>205.0</v>
      </c>
      <c r="M180" s="1">
        <v>83.0</v>
      </c>
      <c r="N180" s="1">
        <v>2.0</v>
      </c>
      <c r="O180" s="1">
        <v>1.0</v>
      </c>
      <c r="P180" s="1">
        <v>0.0</v>
      </c>
      <c r="Q180" s="1">
        <v>0.0</v>
      </c>
      <c r="R180" s="1">
        <v>1.0</v>
      </c>
      <c r="S180" s="1">
        <v>39.0</v>
      </c>
      <c r="T180" s="1">
        <v>2.0</v>
      </c>
    </row>
    <row r="181" ht="12.75" customHeight="1">
      <c r="A181" s="1" t="s">
        <v>211</v>
      </c>
      <c r="B181" s="1" t="str">
        <f>IFERROR(__xludf.DUMMYFUNCTION("split(A181, ""\"")"),"Kevin Fiala")</f>
        <v>Kevin Fiala</v>
      </c>
      <c r="C181" s="1" t="str">
        <f>IFERROR(__xludf.DUMMYFUNCTION("""COMPUTED_VALUE"""),"fialake01")</f>
        <v>fialake01</v>
      </c>
      <c r="D181" s="1" t="s">
        <v>28</v>
      </c>
      <c r="E181" s="1">
        <f t="shared" si="1"/>
        <v>233.55</v>
      </c>
      <c r="F181" s="1">
        <f t="shared" si="2"/>
        <v>2.92</v>
      </c>
      <c r="G181" s="1">
        <v>80.0</v>
      </c>
      <c r="H181" s="1">
        <v>23.0</v>
      </c>
      <c r="I181" s="1">
        <v>25.0</v>
      </c>
      <c r="J181" s="1">
        <v>48.0</v>
      </c>
      <c r="K181" s="1">
        <v>187.0</v>
      </c>
      <c r="L181" s="1">
        <v>34.0</v>
      </c>
      <c r="M181" s="1">
        <v>27.0</v>
      </c>
      <c r="N181" s="1">
        <v>4.0</v>
      </c>
      <c r="O181" s="1">
        <v>9.0</v>
      </c>
      <c r="P181" s="1">
        <v>0.0</v>
      </c>
      <c r="Q181" s="1">
        <v>0.0</v>
      </c>
      <c r="R181" s="1">
        <v>20.0</v>
      </c>
      <c r="S181" s="1">
        <v>26.0</v>
      </c>
      <c r="T181" s="1">
        <v>4.0</v>
      </c>
    </row>
    <row r="182" ht="12.75" customHeight="1">
      <c r="A182" s="1" t="s">
        <v>212</v>
      </c>
      <c r="B182" s="1" t="str">
        <f>IFERROR(__xludf.DUMMYFUNCTION("split(A182, ""\"")"),"Ryan Nugent-Hopkins")</f>
        <v>Ryan Nugent-Hopkins</v>
      </c>
      <c r="C182" s="1" t="str">
        <f>IFERROR(__xludf.DUMMYFUNCTION("""COMPUTED_VALUE"""),"nugenry01")</f>
        <v>nugenry01</v>
      </c>
      <c r="D182" s="1" t="s">
        <v>31</v>
      </c>
      <c r="E182" s="1">
        <f t="shared" si="1"/>
        <v>232.35</v>
      </c>
      <c r="F182" s="1">
        <f t="shared" si="2"/>
        <v>3.75</v>
      </c>
      <c r="G182" s="1">
        <v>62.0</v>
      </c>
      <c r="H182" s="1">
        <v>24.0</v>
      </c>
      <c r="I182" s="1">
        <v>24.0</v>
      </c>
      <c r="J182" s="1">
        <v>48.0</v>
      </c>
      <c r="K182" s="1">
        <v>151.0</v>
      </c>
      <c r="L182" s="1">
        <v>44.0</v>
      </c>
      <c r="M182" s="1">
        <v>39.0</v>
      </c>
      <c r="N182" s="1">
        <v>4.0</v>
      </c>
      <c r="O182" s="1">
        <v>5.0</v>
      </c>
      <c r="P182" s="1">
        <v>2.0</v>
      </c>
      <c r="Q182" s="1">
        <v>1.0</v>
      </c>
      <c r="R182" s="1">
        <v>10.0</v>
      </c>
      <c r="S182" s="1">
        <v>20.0</v>
      </c>
      <c r="T182" s="1">
        <v>2.0</v>
      </c>
    </row>
    <row r="183" ht="12.75" customHeight="1">
      <c r="A183" s="1" t="s">
        <v>213</v>
      </c>
      <c r="B183" s="1" t="str">
        <f>IFERROR(__xludf.DUMMYFUNCTION("split(A183, ""\"")"),"Paul Stastny")</f>
        <v>Paul Stastny</v>
      </c>
      <c r="C183" s="1" t="str">
        <f>IFERROR(__xludf.DUMMYFUNCTION("""COMPUTED_VALUE"""),"stastpa01")</f>
        <v>stastpa01</v>
      </c>
      <c r="D183" s="1" t="s">
        <v>31</v>
      </c>
      <c r="E183" s="1">
        <f t="shared" si="1"/>
        <v>232.2</v>
      </c>
      <c r="F183" s="1">
        <f t="shared" si="2"/>
        <v>2.83</v>
      </c>
      <c r="G183" s="1">
        <v>82.0</v>
      </c>
      <c r="H183" s="1">
        <v>16.0</v>
      </c>
      <c r="I183" s="1">
        <v>37.0</v>
      </c>
      <c r="J183" s="1">
        <v>53.0</v>
      </c>
      <c r="K183" s="1">
        <v>159.0</v>
      </c>
      <c r="L183" s="1">
        <v>43.0</v>
      </c>
      <c r="M183" s="1">
        <v>38.0</v>
      </c>
      <c r="N183" s="1">
        <v>3.0</v>
      </c>
      <c r="O183" s="1">
        <v>6.0</v>
      </c>
      <c r="P183" s="1">
        <v>0.0</v>
      </c>
      <c r="Q183" s="1">
        <v>1.0</v>
      </c>
      <c r="R183" s="1">
        <v>1.0</v>
      </c>
      <c r="S183" s="1">
        <v>18.0</v>
      </c>
      <c r="T183" s="1">
        <v>3.0</v>
      </c>
    </row>
    <row r="184" ht="12.75" customHeight="1">
      <c r="A184" s="1" t="s">
        <v>214</v>
      </c>
      <c r="B184" s="1" t="str">
        <f>IFERROR(__xludf.DUMMYFUNCTION("split(A184, ""\"")"),"Alex Steen")</f>
        <v>Alex Steen</v>
      </c>
      <c r="C184" s="1" t="str">
        <f>IFERROR(__xludf.DUMMYFUNCTION("""COMPUTED_VALUE"""),"steenal01")</f>
        <v>steenal01</v>
      </c>
      <c r="D184" s="1" t="s">
        <v>31</v>
      </c>
      <c r="E184" s="1">
        <f t="shared" si="1"/>
        <v>230.95</v>
      </c>
      <c r="F184" s="1">
        <f t="shared" si="2"/>
        <v>3.04</v>
      </c>
      <c r="G184" s="1">
        <v>76.0</v>
      </c>
      <c r="H184" s="1">
        <v>15.0</v>
      </c>
      <c r="I184" s="1">
        <v>31.0</v>
      </c>
      <c r="J184" s="1">
        <v>46.0</v>
      </c>
      <c r="K184" s="1">
        <v>168.0</v>
      </c>
      <c r="L184" s="1">
        <v>53.0</v>
      </c>
      <c r="M184" s="1">
        <v>58.0</v>
      </c>
      <c r="N184" s="1">
        <v>4.0</v>
      </c>
      <c r="O184" s="1">
        <v>10.0</v>
      </c>
      <c r="P184" s="1">
        <v>1.0</v>
      </c>
      <c r="Q184" s="1">
        <v>0.0</v>
      </c>
      <c r="R184" s="1">
        <v>-11.0</v>
      </c>
      <c r="S184" s="1">
        <v>20.0</v>
      </c>
      <c r="T184" s="1">
        <v>2.0</v>
      </c>
    </row>
    <row r="185" ht="12.75" customHeight="1">
      <c r="A185" s="1" t="s">
        <v>215</v>
      </c>
      <c r="B185" s="1" t="str">
        <f>IFERROR(__xludf.DUMMYFUNCTION("split(A185, ""\"")"),"Micheal Ferland")</f>
        <v>Micheal Ferland</v>
      </c>
      <c r="C185" s="1" t="str">
        <f>IFERROR(__xludf.DUMMYFUNCTION("""COMPUTED_VALUE"""),"ferlami01")</f>
        <v>ferlami01</v>
      </c>
      <c r="D185" s="1" t="s">
        <v>28</v>
      </c>
      <c r="E185" s="1">
        <f t="shared" si="1"/>
        <v>230.75</v>
      </c>
      <c r="F185" s="1">
        <f t="shared" si="2"/>
        <v>3</v>
      </c>
      <c r="G185" s="1">
        <v>77.0</v>
      </c>
      <c r="H185" s="1">
        <v>21.0</v>
      </c>
      <c r="I185" s="1">
        <v>20.0</v>
      </c>
      <c r="J185" s="1">
        <v>41.0</v>
      </c>
      <c r="K185" s="1">
        <v>144.0</v>
      </c>
      <c r="L185" s="1">
        <v>171.0</v>
      </c>
      <c r="M185" s="1">
        <v>30.0</v>
      </c>
      <c r="N185" s="1">
        <v>6.0</v>
      </c>
      <c r="O185" s="1">
        <v>0.0</v>
      </c>
      <c r="P185" s="1">
        <v>0.0</v>
      </c>
      <c r="Q185" s="1">
        <v>0.0</v>
      </c>
      <c r="R185" s="1">
        <v>5.0</v>
      </c>
      <c r="S185" s="1">
        <v>24.0</v>
      </c>
      <c r="T185" s="1">
        <v>0.0</v>
      </c>
    </row>
    <row r="186" ht="12.75" customHeight="1">
      <c r="A186" s="1" t="s">
        <v>216</v>
      </c>
      <c r="B186" s="1" t="str">
        <f>IFERROR(__xludf.DUMMYFUNCTION("split(A186, ""\"")"),"Mikael Backlund")</f>
        <v>Mikael Backlund</v>
      </c>
      <c r="C186" s="1" t="str">
        <f>IFERROR(__xludf.DUMMYFUNCTION("""COMPUTED_VALUE"""),"backlmi01")</f>
        <v>backlmi01</v>
      </c>
      <c r="D186" s="1" t="s">
        <v>31</v>
      </c>
      <c r="E186" s="1">
        <f t="shared" si="1"/>
        <v>230.5</v>
      </c>
      <c r="F186" s="1">
        <f t="shared" si="2"/>
        <v>2.81</v>
      </c>
      <c r="G186" s="1">
        <v>82.0</v>
      </c>
      <c r="H186" s="1">
        <v>14.0</v>
      </c>
      <c r="I186" s="1">
        <v>31.0</v>
      </c>
      <c r="J186" s="1">
        <v>45.0</v>
      </c>
      <c r="K186" s="1">
        <v>214.0</v>
      </c>
      <c r="L186" s="1">
        <v>54.0</v>
      </c>
      <c r="M186" s="1">
        <v>40.0</v>
      </c>
      <c r="N186" s="1">
        <v>3.0</v>
      </c>
      <c r="O186" s="1">
        <v>8.0</v>
      </c>
      <c r="P186" s="1">
        <v>1.0</v>
      </c>
      <c r="Q186" s="1">
        <v>2.0</v>
      </c>
      <c r="R186" s="1">
        <v>-21.0</v>
      </c>
      <c r="S186" s="1">
        <v>78.0</v>
      </c>
      <c r="T186" s="1">
        <v>2.0</v>
      </c>
    </row>
    <row r="187" ht="12.75" customHeight="1">
      <c r="A187" s="1" t="s">
        <v>217</v>
      </c>
      <c r="B187" s="1" t="str">
        <f>IFERROR(__xludf.DUMMYFUNCTION("split(A187, ""\"")"),"Corey Perry")</f>
        <v>Corey Perry</v>
      </c>
      <c r="C187" s="1" t="str">
        <f>IFERROR(__xludf.DUMMYFUNCTION("""COMPUTED_VALUE"""),"perryco01")</f>
        <v>perryco01</v>
      </c>
      <c r="D187" s="1" t="s">
        <v>36</v>
      </c>
      <c r="E187" s="1">
        <f t="shared" si="1"/>
        <v>230.15</v>
      </c>
      <c r="F187" s="1">
        <f t="shared" si="2"/>
        <v>3.24</v>
      </c>
      <c r="G187" s="1">
        <v>71.0</v>
      </c>
      <c r="H187" s="1">
        <v>17.0</v>
      </c>
      <c r="I187" s="1">
        <v>32.0</v>
      </c>
      <c r="J187" s="1">
        <v>49.0</v>
      </c>
      <c r="K187" s="1">
        <v>168.0</v>
      </c>
      <c r="L187" s="1">
        <v>59.0</v>
      </c>
      <c r="M187" s="1">
        <v>36.0</v>
      </c>
      <c r="N187" s="1">
        <v>4.0</v>
      </c>
      <c r="O187" s="1">
        <v>7.0</v>
      </c>
      <c r="P187" s="1">
        <v>0.0</v>
      </c>
      <c r="Q187" s="1">
        <v>0.0</v>
      </c>
      <c r="R187" s="1">
        <v>-4.0</v>
      </c>
      <c r="S187" s="1">
        <v>71.0</v>
      </c>
      <c r="T187" s="1">
        <v>1.0</v>
      </c>
    </row>
    <row r="188" ht="12.75" customHeight="1">
      <c r="A188" s="1" t="s">
        <v>218</v>
      </c>
      <c r="B188" s="1" t="str">
        <f>IFERROR(__xludf.DUMMYFUNCTION("split(A188, ""\"")"),"James Neal")</f>
        <v>James Neal</v>
      </c>
      <c r="C188" s="1" t="str">
        <f>IFERROR(__xludf.DUMMYFUNCTION("""COMPUTED_VALUE"""),"nealja01")</f>
        <v>nealja01</v>
      </c>
      <c r="D188" s="1" t="s">
        <v>28</v>
      </c>
      <c r="E188" s="1">
        <f t="shared" si="1"/>
        <v>230</v>
      </c>
      <c r="F188" s="1">
        <f t="shared" si="2"/>
        <v>3.24</v>
      </c>
      <c r="G188" s="1">
        <v>71.0</v>
      </c>
      <c r="H188" s="1">
        <v>25.0</v>
      </c>
      <c r="I188" s="1">
        <v>19.0</v>
      </c>
      <c r="J188" s="1">
        <v>44.0</v>
      </c>
      <c r="K188" s="1">
        <v>202.0</v>
      </c>
      <c r="L188" s="1">
        <v>44.0</v>
      </c>
      <c r="M188" s="1">
        <v>30.0</v>
      </c>
      <c r="N188" s="1">
        <v>5.0</v>
      </c>
      <c r="O188" s="1">
        <v>4.0</v>
      </c>
      <c r="P188" s="1">
        <v>0.0</v>
      </c>
      <c r="Q188" s="1">
        <v>0.0</v>
      </c>
      <c r="R188" s="1">
        <v>-11.0</v>
      </c>
      <c r="S188" s="1">
        <v>24.0</v>
      </c>
      <c r="T188" s="1">
        <v>6.0</v>
      </c>
    </row>
    <row r="189" ht="12.75" customHeight="1">
      <c r="A189" s="1" t="s">
        <v>219</v>
      </c>
      <c r="B189" s="1" t="str">
        <f>IFERROR(__xludf.DUMMYFUNCTION("split(A189, ""\"")"),"Zach Werenski")</f>
        <v>Zach Werenski</v>
      </c>
      <c r="C189" s="1" t="str">
        <f>IFERROR(__xludf.DUMMYFUNCTION("""COMPUTED_VALUE"""),"werenza01")</f>
        <v>werenza01</v>
      </c>
      <c r="D189" s="1" t="s">
        <v>66</v>
      </c>
      <c r="E189" s="1">
        <f t="shared" si="1"/>
        <v>229.55</v>
      </c>
      <c r="F189" s="1">
        <f t="shared" si="2"/>
        <v>2.98</v>
      </c>
      <c r="G189" s="1">
        <v>77.0</v>
      </c>
      <c r="H189" s="1">
        <v>16.0</v>
      </c>
      <c r="I189" s="1">
        <v>21.0</v>
      </c>
      <c r="J189" s="1">
        <v>37.0</v>
      </c>
      <c r="K189" s="1">
        <v>207.0</v>
      </c>
      <c r="L189" s="1">
        <v>58.0</v>
      </c>
      <c r="M189" s="1">
        <v>92.0</v>
      </c>
      <c r="N189" s="1">
        <v>3.0</v>
      </c>
      <c r="O189" s="1">
        <v>7.0</v>
      </c>
      <c r="P189" s="1">
        <v>0.0</v>
      </c>
      <c r="Q189" s="1">
        <v>0.0</v>
      </c>
      <c r="R189" s="1">
        <v>8.0</v>
      </c>
      <c r="S189" s="1">
        <v>16.0</v>
      </c>
      <c r="T189" s="1">
        <v>3.0</v>
      </c>
    </row>
    <row r="190" ht="12.75" customHeight="1">
      <c r="A190" s="1" t="s">
        <v>220</v>
      </c>
      <c r="B190" s="1" t="str">
        <f>IFERROR(__xludf.DUMMYFUNCTION("split(A190, ""\"")"),"Justin Faulk")</f>
        <v>Justin Faulk</v>
      </c>
      <c r="C190" s="1" t="str">
        <f>IFERROR(__xludf.DUMMYFUNCTION("""COMPUTED_VALUE"""),"faulkju01")</f>
        <v>faulkju01</v>
      </c>
      <c r="D190" s="1" t="s">
        <v>66</v>
      </c>
      <c r="E190" s="1">
        <f t="shared" si="1"/>
        <v>229.25</v>
      </c>
      <c r="F190" s="1">
        <f t="shared" si="2"/>
        <v>3.02</v>
      </c>
      <c r="G190" s="1">
        <v>76.0</v>
      </c>
      <c r="H190" s="1">
        <v>8.0</v>
      </c>
      <c r="I190" s="1">
        <v>23.0</v>
      </c>
      <c r="J190" s="1">
        <v>31.0</v>
      </c>
      <c r="K190" s="1">
        <v>211.0</v>
      </c>
      <c r="L190" s="1">
        <v>128.0</v>
      </c>
      <c r="M190" s="1">
        <v>90.0</v>
      </c>
      <c r="N190" s="1">
        <v>3.0</v>
      </c>
      <c r="O190" s="1">
        <v>16.0</v>
      </c>
      <c r="P190" s="1">
        <v>0.0</v>
      </c>
      <c r="Q190" s="1">
        <v>0.0</v>
      </c>
      <c r="R190" s="1">
        <v>-26.0</v>
      </c>
      <c r="S190" s="1">
        <v>48.0</v>
      </c>
      <c r="T190" s="1">
        <v>3.0</v>
      </c>
    </row>
    <row r="191" ht="12.75" customHeight="1">
      <c r="A191" s="1" t="s">
        <v>221</v>
      </c>
      <c r="B191" s="1" t="str">
        <f>IFERROR(__xludf.DUMMYFUNCTION("split(A191, ""\"")"),"Kyle Turris")</f>
        <v>Kyle Turris</v>
      </c>
      <c r="C191" s="1" t="str">
        <f>IFERROR(__xludf.DUMMYFUNCTION("""COMPUTED_VALUE"""),"turriky01")</f>
        <v>turriky01</v>
      </c>
      <c r="D191" s="1" t="s">
        <v>31</v>
      </c>
      <c r="E191" s="1">
        <f t="shared" si="1"/>
        <v>228</v>
      </c>
      <c r="F191" s="1">
        <f t="shared" si="2"/>
        <v>3</v>
      </c>
      <c r="G191" s="1">
        <v>76.0</v>
      </c>
      <c r="H191" s="1">
        <v>16.0</v>
      </c>
      <c r="I191" s="1">
        <v>35.0</v>
      </c>
      <c r="J191" s="1">
        <v>51.0</v>
      </c>
      <c r="K191" s="1">
        <v>145.0</v>
      </c>
      <c r="L191" s="1">
        <v>21.0</v>
      </c>
      <c r="M191" s="1">
        <v>35.0</v>
      </c>
      <c r="N191" s="1">
        <v>7.0</v>
      </c>
      <c r="O191" s="1">
        <v>14.0</v>
      </c>
      <c r="P191" s="1">
        <v>0.0</v>
      </c>
      <c r="Q191" s="1">
        <v>0.0</v>
      </c>
      <c r="R191" s="1">
        <v>19.0</v>
      </c>
      <c r="S191" s="1">
        <v>26.0</v>
      </c>
      <c r="T191" s="1">
        <v>0.0</v>
      </c>
    </row>
    <row r="192" ht="12.75" customHeight="1">
      <c r="A192" s="1" t="s">
        <v>222</v>
      </c>
      <c r="B192" s="1" t="str">
        <f>IFERROR(__xludf.DUMMYFUNCTION("split(A192, ""\"")"),"Cam Ward")</f>
        <v>Cam Ward</v>
      </c>
      <c r="C192" s="2" t="str">
        <f>IFERROR(__xludf.DUMMYFUNCTION("""COMPUTED_VALUE"""),"wardca01")</f>
        <v>wardca01</v>
      </c>
      <c r="D192" s="1" t="s">
        <v>5</v>
      </c>
      <c r="E192" s="1">
        <f t="shared" si="1"/>
        <v>227.75</v>
      </c>
      <c r="F192" s="1">
        <f t="shared" si="2"/>
        <v>5.3</v>
      </c>
      <c r="G192" s="1">
        <v>43.0</v>
      </c>
      <c r="U192" s="1">
        <v>42.0</v>
      </c>
      <c r="V192" s="1">
        <v>23.0</v>
      </c>
      <c r="W192" s="1">
        <v>14.0</v>
      </c>
      <c r="X192" s="1">
        <v>112.0</v>
      </c>
      <c r="Y192" s="1">
        <v>1187.0</v>
      </c>
      <c r="Z192" s="1">
        <v>1075.0</v>
      </c>
      <c r="AA192" s="1">
        <v>2.0</v>
      </c>
    </row>
    <row r="193" ht="12.75" customHeight="1">
      <c r="A193" s="1" t="s">
        <v>223</v>
      </c>
      <c r="B193" s="1" t="str">
        <f>IFERROR(__xludf.DUMMYFUNCTION("split(A193, ""\"")"),"Max Pacioretty")</f>
        <v>Max Pacioretty</v>
      </c>
      <c r="C193" s="1" t="str">
        <f>IFERROR(__xludf.DUMMYFUNCTION("""COMPUTED_VALUE"""),"pacioma01")</f>
        <v>pacioma01</v>
      </c>
      <c r="D193" s="1" t="s">
        <v>28</v>
      </c>
      <c r="E193" s="1">
        <f t="shared" si="1"/>
        <v>227.3</v>
      </c>
      <c r="F193" s="1">
        <f t="shared" si="2"/>
        <v>3.55</v>
      </c>
      <c r="G193" s="1">
        <v>64.0</v>
      </c>
      <c r="H193" s="1">
        <v>17.0</v>
      </c>
      <c r="I193" s="1">
        <v>20.0</v>
      </c>
      <c r="J193" s="1">
        <v>37.0</v>
      </c>
      <c r="K193" s="1">
        <v>212.0</v>
      </c>
      <c r="L193" s="1">
        <v>118.0</v>
      </c>
      <c r="M193" s="1">
        <v>27.0</v>
      </c>
      <c r="N193" s="1">
        <v>6.0</v>
      </c>
      <c r="O193" s="1">
        <v>9.0</v>
      </c>
      <c r="P193" s="1">
        <v>1.0</v>
      </c>
      <c r="Q193" s="1">
        <v>0.0</v>
      </c>
      <c r="R193" s="1">
        <v>-16.0</v>
      </c>
      <c r="S193" s="1">
        <v>30.0</v>
      </c>
      <c r="T193" s="1">
        <v>4.0</v>
      </c>
    </row>
    <row r="194" ht="12.75" customHeight="1">
      <c r="A194" s="1" t="s">
        <v>224</v>
      </c>
      <c r="B194" s="1" t="str">
        <f>IFERROR(__xludf.DUMMYFUNCTION("split(A194, ""\"")"),"Mikko Koivu")</f>
        <v>Mikko Koivu</v>
      </c>
      <c r="C194" s="1" t="str">
        <f>IFERROR(__xludf.DUMMYFUNCTION("""COMPUTED_VALUE"""),"koivumi01")</f>
        <v>koivumi01</v>
      </c>
      <c r="D194" s="1" t="s">
        <v>31</v>
      </c>
      <c r="E194" s="1">
        <f t="shared" si="1"/>
        <v>224.95</v>
      </c>
      <c r="F194" s="1">
        <f t="shared" si="2"/>
        <v>2.74</v>
      </c>
      <c r="G194" s="1">
        <v>82.0</v>
      </c>
      <c r="H194" s="1">
        <v>14.0</v>
      </c>
      <c r="I194" s="1">
        <v>31.0</v>
      </c>
      <c r="J194" s="1">
        <v>45.0</v>
      </c>
      <c r="K194" s="1">
        <v>170.0</v>
      </c>
      <c r="L194" s="1">
        <v>51.0</v>
      </c>
      <c r="M194" s="1">
        <v>53.0</v>
      </c>
      <c r="N194" s="1">
        <v>3.0</v>
      </c>
      <c r="O194" s="1">
        <v>11.0</v>
      </c>
      <c r="P194" s="1">
        <v>0.0</v>
      </c>
      <c r="Q194" s="1">
        <v>1.0</v>
      </c>
      <c r="R194" s="1">
        <v>9.0</v>
      </c>
      <c r="S194" s="1">
        <v>46.0</v>
      </c>
      <c r="T194" s="1">
        <v>2.0</v>
      </c>
    </row>
    <row r="195" ht="12.75" customHeight="1">
      <c r="A195" s="1" t="s">
        <v>225</v>
      </c>
      <c r="B195" s="1" t="str">
        <f>IFERROR(__xludf.DUMMYFUNCTION("split(A195, ""\"")"),"Kevin Hayes")</f>
        <v>Kevin Hayes</v>
      </c>
      <c r="C195" s="1" t="str">
        <f>IFERROR(__xludf.DUMMYFUNCTION("""COMPUTED_VALUE"""),"hayeske01")</f>
        <v>hayeske01</v>
      </c>
      <c r="D195" s="1" t="s">
        <v>36</v>
      </c>
      <c r="E195" s="1">
        <f t="shared" si="1"/>
        <v>224.9</v>
      </c>
      <c r="F195" s="1">
        <f t="shared" si="2"/>
        <v>2.96</v>
      </c>
      <c r="G195" s="1">
        <v>76.0</v>
      </c>
      <c r="H195" s="1">
        <v>25.0</v>
      </c>
      <c r="I195" s="1">
        <v>19.0</v>
      </c>
      <c r="J195" s="1">
        <v>44.0</v>
      </c>
      <c r="K195" s="1">
        <v>172.0</v>
      </c>
      <c r="L195" s="1">
        <v>40.0</v>
      </c>
      <c r="M195" s="1">
        <v>36.0</v>
      </c>
      <c r="N195" s="1">
        <v>6.0</v>
      </c>
      <c r="O195" s="1">
        <v>2.0</v>
      </c>
      <c r="P195" s="1">
        <v>2.0</v>
      </c>
      <c r="Q195" s="1">
        <v>0.0</v>
      </c>
      <c r="R195" s="1">
        <v>1.0</v>
      </c>
      <c r="S195" s="1">
        <v>18.0</v>
      </c>
      <c r="T195" s="1">
        <v>4.0</v>
      </c>
    </row>
    <row r="196" ht="12.75" customHeight="1">
      <c r="A196" s="1" t="s">
        <v>226</v>
      </c>
      <c r="B196" s="1" t="str">
        <f>IFERROR(__xludf.DUMMYFUNCTION("split(A196, ""\"")"),"Kyle Okposo")</f>
        <v>Kyle Okposo</v>
      </c>
      <c r="C196" s="1" t="str">
        <f>IFERROR(__xludf.DUMMYFUNCTION("""COMPUTED_VALUE"""),"okposky01")</f>
        <v>okposky01</v>
      </c>
      <c r="D196" s="1" t="s">
        <v>36</v>
      </c>
      <c r="E196" s="1">
        <f t="shared" si="1"/>
        <v>224.85</v>
      </c>
      <c r="F196" s="1">
        <f t="shared" si="2"/>
        <v>2.96</v>
      </c>
      <c r="G196" s="1">
        <v>76.0</v>
      </c>
      <c r="H196" s="1">
        <v>15.0</v>
      </c>
      <c r="I196" s="1">
        <v>29.0</v>
      </c>
      <c r="J196" s="1">
        <v>44.0</v>
      </c>
      <c r="K196" s="1">
        <v>161.0</v>
      </c>
      <c r="L196" s="1">
        <v>70.0</v>
      </c>
      <c r="M196" s="1">
        <v>34.0</v>
      </c>
      <c r="N196" s="1">
        <v>6.0</v>
      </c>
      <c r="O196" s="1">
        <v>15.0</v>
      </c>
      <c r="P196" s="1">
        <v>0.0</v>
      </c>
      <c r="Q196" s="1">
        <v>0.0</v>
      </c>
      <c r="R196" s="1">
        <v>-34.0</v>
      </c>
      <c r="S196" s="1">
        <v>40.0</v>
      </c>
      <c r="T196" s="1">
        <v>2.0</v>
      </c>
    </row>
    <row r="197" ht="12.75" customHeight="1">
      <c r="A197" s="1" t="s">
        <v>227</v>
      </c>
      <c r="B197" s="1" t="str">
        <f>IFERROR(__xludf.DUMMYFUNCTION("split(A197, ""\"")"),"Nick Schmaltz")</f>
        <v>Nick Schmaltz</v>
      </c>
      <c r="C197" s="1" t="str">
        <f>IFERROR(__xludf.DUMMYFUNCTION("""COMPUTED_VALUE"""),"schmani01")</f>
        <v>schmani01</v>
      </c>
      <c r="D197" s="1" t="s">
        <v>31</v>
      </c>
      <c r="E197" s="1">
        <f t="shared" si="1"/>
        <v>224.85</v>
      </c>
      <c r="F197" s="1">
        <f t="shared" si="2"/>
        <v>2.88</v>
      </c>
      <c r="G197" s="1">
        <v>78.0</v>
      </c>
      <c r="H197" s="1">
        <v>21.0</v>
      </c>
      <c r="I197" s="1">
        <v>31.0</v>
      </c>
      <c r="J197" s="1">
        <v>52.0</v>
      </c>
      <c r="K197" s="1">
        <v>118.0</v>
      </c>
      <c r="L197" s="1">
        <v>13.0</v>
      </c>
      <c r="M197" s="1">
        <v>39.0</v>
      </c>
      <c r="N197" s="1">
        <v>4.0</v>
      </c>
      <c r="O197" s="1">
        <v>9.0</v>
      </c>
      <c r="P197" s="1">
        <v>0.0</v>
      </c>
      <c r="Q197" s="1">
        <v>2.0</v>
      </c>
      <c r="R197" s="1">
        <v>1.0</v>
      </c>
      <c r="S197" s="1">
        <v>18.0</v>
      </c>
      <c r="T197" s="1">
        <v>2.0</v>
      </c>
    </row>
    <row r="198" ht="12.75" customHeight="1">
      <c r="A198" s="1" t="s">
        <v>228</v>
      </c>
      <c r="B198" s="1" t="str">
        <f>IFERROR(__xludf.DUMMYFUNCTION("split(A198, ""\"")"),"Tom Wilson")</f>
        <v>Tom Wilson</v>
      </c>
      <c r="C198" s="1" t="str">
        <f>IFERROR(__xludf.DUMMYFUNCTION("""COMPUTED_VALUE"""),"wilsoto01")</f>
        <v>wilsoto01</v>
      </c>
      <c r="D198" s="1" t="s">
        <v>36</v>
      </c>
      <c r="E198" s="1">
        <f t="shared" si="1"/>
        <v>224.15</v>
      </c>
      <c r="F198" s="1">
        <f t="shared" si="2"/>
        <v>2.87</v>
      </c>
      <c r="G198" s="1">
        <v>78.0</v>
      </c>
      <c r="H198" s="1">
        <v>14.0</v>
      </c>
      <c r="I198" s="1">
        <v>21.0</v>
      </c>
      <c r="J198" s="1">
        <v>35.0</v>
      </c>
      <c r="K198" s="1">
        <v>123.0</v>
      </c>
      <c r="L198" s="1">
        <v>250.0</v>
      </c>
      <c r="M198" s="1">
        <v>51.0</v>
      </c>
      <c r="N198" s="1">
        <v>0.0</v>
      </c>
      <c r="O198" s="1">
        <v>1.0</v>
      </c>
      <c r="P198" s="1">
        <v>1.0</v>
      </c>
      <c r="Q198" s="1">
        <v>0.0</v>
      </c>
      <c r="R198" s="1">
        <v>10.0</v>
      </c>
      <c r="S198" s="1">
        <v>187.0</v>
      </c>
      <c r="T198" s="1">
        <v>1.0</v>
      </c>
    </row>
    <row r="199" ht="12.75" customHeight="1">
      <c r="A199" s="1" t="s">
        <v>229</v>
      </c>
      <c r="B199" s="1" t="str">
        <f>IFERROR(__xludf.DUMMYFUNCTION("split(A199, ""\"")"),"Darnell Nurse")</f>
        <v>Darnell Nurse</v>
      </c>
      <c r="C199" s="1" t="str">
        <f>IFERROR(__xludf.DUMMYFUNCTION("""COMPUTED_VALUE"""),"nurseda01")</f>
        <v>nurseda01</v>
      </c>
      <c r="D199" s="1" t="s">
        <v>66</v>
      </c>
      <c r="E199" s="1">
        <f t="shared" si="1"/>
        <v>223.95</v>
      </c>
      <c r="F199" s="1">
        <f t="shared" si="2"/>
        <v>2.73</v>
      </c>
      <c r="G199" s="1">
        <v>82.0</v>
      </c>
      <c r="H199" s="1">
        <v>6.0</v>
      </c>
      <c r="I199" s="1">
        <v>20.0</v>
      </c>
      <c r="J199" s="1">
        <v>26.0</v>
      </c>
      <c r="K199" s="1">
        <v>194.0</v>
      </c>
      <c r="L199" s="1">
        <v>161.0</v>
      </c>
      <c r="M199" s="1">
        <v>153.0</v>
      </c>
      <c r="N199" s="1">
        <v>0.0</v>
      </c>
      <c r="O199" s="1">
        <v>0.0</v>
      </c>
      <c r="P199" s="1">
        <v>0.0</v>
      </c>
      <c r="Q199" s="1">
        <v>0.0</v>
      </c>
      <c r="R199" s="1">
        <v>15.0</v>
      </c>
      <c r="S199" s="1">
        <v>67.0</v>
      </c>
      <c r="T199" s="1">
        <v>2.0</v>
      </c>
    </row>
    <row r="200" ht="12.75" customHeight="1">
      <c r="A200" s="1" t="s">
        <v>230</v>
      </c>
      <c r="B200" s="1" t="str">
        <f>IFERROR(__xludf.DUMMYFUNCTION("split(A200, ""\"")"),"Timo Meier")</f>
        <v>Timo Meier</v>
      </c>
      <c r="C200" s="1" t="str">
        <f>IFERROR(__xludf.DUMMYFUNCTION("""COMPUTED_VALUE"""),"meierti01")</f>
        <v>meierti01</v>
      </c>
      <c r="D200" s="1" t="s">
        <v>36</v>
      </c>
      <c r="E200" s="1">
        <f t="shared" si="1"/>
        <v>223.45</v>
      </c>
      <c r="F200" s="1">
        <f t="shared" si="2"/>
        <v>2.76</v>
      </c>
      <c r="G200" s="1">
        <v>81.0</v>
      </c>
      <c r="H200" s="1">
        <v>21.0</v>
      </c>
      <c r="I200" s="1">
        <v>15.0</v>
      </c>
      <c r="J200" s="1">
        <v>36.0</v>
      </c>
      <c r="K200" s="1">
        <v>210.0</v>
      </c>
      <c r="L200" s="1">
        <v>105.0</v>
      </c>
      <c r="M200" s="1">
        <v>48.0</v>
      </c>
      <c r="N200" s="1">
        <v>3.0</v>
      </c>
      <c r="O200" s="1">
        <v>1.0</v>
      </c>
      <c r="P200" s="1">
        <v>0.0</v>
      </c>
      <c r="Q200" s="1">
        <v>0.0</v>
      </c>
      <c r="R200" s="1">
        <v>2.0</v>
      </c>
      <c r="S200" s="1">
        <v>51.0</v>
      </c>
      <c r="T200" s="1">
        <v>4.0</v>
      </c>
    </row>
    <row r="201" ht="12.75" customHeight="1">
      <c r="A201" s="1" t="s">
        <v>231</v>
      </c>
      <c r="B201" s="1" t="str">
        <f>IFERROR(__xludf.DUMMYFUNCTION("split(A201, ""\"")"),"Gustav Nyquist")</f>
        <v>Gustav Nyquist</v>
      </c>
      <c r="C201" s="1" t="str">
        <f>IFERROR(__xludf.DUMMYFUNCTION("""COMPUTED_VALUE"""),"nyquigu01")</f>
        <v>nyquigu01</v>
      </c>
      <c r="D201" s="1" t="s">
        <v>36</v>
      </c>
      <c r="E201" s="1">
        <f t="shared" si="1"/>
        <v>223.4</v>
      </c>
      <c r="F201" s="1">
        <f t="shared" si="2"/>
        <v>2.72</v>
      </c>
      <c r="G201" s="1">
        <v>82.0</v>
      </c>
      <c r="H201" s="1">
        <v>21.0</v>
      </c>
      <c r="I201" s="1">
        <v>19.0</v>
      </c>
      <c r="J201" s="1">
        <v>40.0</v>
      </c>
      <c r="K201" s="1">
        <v>213.0</v>
      </c>
      <c r="L201" s="1">
        <v>65.0</v>
      </c>
      <c r="M201" s="1">
        <v>36.0</v>
      </c>
      <c r="N201" s="1">
        <v>3.0</v>
      </c>
      <c r="O201" s="1">
        <v>5.0</v>
      </c>
      <c r="P201" s="1">
        <v>0.0</v>
      </c>
      <c r="Q201" s="1">
        <v>0.0</v>
      </c>
      <c r="R201" s="1">
        <v>-2.0</v>
      </c>
      <c r="S201" s="1">
        <v>20.0</v>
      </c>
      <c r="T201" s="1">
        <v>2.0</v>
      </c>
    </row>
    <row r="202" ht="12.75" customHeight="1">
      <c r="A202" s="1" t="s">
        <v>232</v>
      </c>
      <c r="B202" s="1" t="str">
        <f>IFERROR(__xludf.DUMMYFUNCTION("split(A202, ""\"")"),"Alec Martinez")</f>
        <v>Alec Martinez</v>
      </c>
      <c r="C202" s="1" t="str">
        <f>IFERROR(__xludf.DUMMYFUNCTION("""COMPUTED_VALUE"""),"martial01")</f>
        <v>martial01</v>
      </c>
      <c r="D202" s="1" t="s">
        <v>66</v>
      </c>
      <c r="E202" s="1">
        <f t="shared" si="1"/>
        <v>223.15</v>
      </c>
      <c r="F202" s="1">
        <f t="shared" si="2"/>
        <v>2.9</v>
      </c>
      <c r="G202" s="1">
        <v>77.0</v>
      </c>
      <c r="H202" s="1">
        <v>9.0</v>
      </c>
      <c r="I202" s="1">
        <v>16.0</v>
      </c>
      <c r="J202" s="1">
        <v>25.0</v>
      </c>
      <c r="K202" s="1">
        <v>111.0</v>
      </c>
      <c r="L202" s="1">
        <v>100.0</v>
      </c>
      <c r="M202" s="1">
        <v>206.0</v>
      </c>
      <c r="N202" s="1">
        <v>2.0</v>
      </c>
      <c r="O202" s="1">
        <v>9.0</v>
      </c>
      <c r="P202" s="1">
        <v>0.0</v>
      </c>
      <c r="Q202" s="1">
        <v>1.0</v>
      </c>
      <c r="R202" s="1">
        <v>3.0</v>
      </c>
      <c r="S202" s="1">
        <v>34.0</v>
      </c>
      <c r="T202" s="1">
        <v>0.0</v>
      </c>
    </row>
    <row r="203" ht="12.75" customHeight="1">
      <c r="A203" s="1" t="s">
        <v>233</v>
      </c>
      <c r="B203" s="1" t="str">
        <f>IFERROR(__xludf.DUMMYFUNCTION("split(A203, ""\"")"),"Elias Lindholm")</f>
        <v>Elias Lindholm</v>
      </c>
      <c r="C203" s="1" t="str">
        <f>IFERROR(__xludf.DUMMYFUNCTION("""COMPUTED_VALUE"""),"lindhel01")</f>
        <v>lindhel01</v>
      </c>
      <c r="D203" s="1" t="s">
        <v>31</v>
      </c>
      <c r="E203" s="1">
        <f t="shared" si="1"/>
        <v>223.15</v>
      </c>
      <c r="F203" s="1">
        <f t="shared" si="2"/>
        <v>2.75</v>
      </c>
      <c r="G203" s="1">
        <v>81.0</v>
      </c>
      <c r="H203" s="1">
        <v>16.0</v>
      </c>
      <c r="I203" s="1">
        <v>28.0</v>
      </c>
      <c r="J203" s="1">
        <v>44.0</v>
      </c>
      <c r="K203" s="1">
        <v>153.0</v>
      </c>
      <c r="L203" s="1">
        <v>98.0</v>
      </c>
      <c r="M203" s="1">
        <v>41.0</v>
      </c>
      <c r="N203" s="1">
        <v>6.0</v>
      </c>
      <c r="O203" s="1">
        <v>3.0</v>
      </c>
      <c r="P203" s="1">
        <v>0.0</v>
      </c>
      <c r="Q203" s="1">
        <v>1.0</v>
      </c>
      <c r="R203" s="1">
        <v>-8.0</v>
      </c>
      <c r="S203" s="1">
        <v>18.0</v>
      </c>
      <c r="T203" s="1">
        <v>4.0</v>
      </c>
    </row>
    <row r="204" ht="12.75" customHeight="1">
      <c r="A204" s="1" t="s">
        <v>234</v>
      </c>
      <c r="B204" s="1" t="str">
        <f>IFERROR(__xludf.DUMMYFUNCTION("split(A204, ""\"")"),"Jonathan Drouin")</f>
        <v>Jonathan Drouin</v>
      </c>
      <c r="C204" s="1" t="str">
        <f>IFERROR(__xludf.DUMMYFUNCTION("""COMPUTED_VALUE"""),"drouijo01")</f>
        <v>drouijo01</v>
      </c>
      <c r="D204" s="1" t="s">
        <v>28</v>
      </c>
      <c r="E204" s="1">
        <f t="shared" si="1"/>
        <v>222.05</v>
      </c>
      <c r="F204" s="1">
        <f t="shared" si="2"/>
        <v>2.88</v>
      </c>
      <c r="G204" s="1">
        <v>77.0</v>
      </c>
      <c r="H204" s="1">
        <v>13.0</v>
      </c>
      <c r="I204" s="1">
        <v>33.0</v>
      </c>
      <c r="J204" s="1">
        <v>46.0</v>
      </c>
      <c r="K204" s="1">
        <v>164.0</v>
      </c>
      <c r="L204" s="1">
        <v>55.0</v>
      </c>
      <c r="M204" s="1">
        <v>27.0</v>
      </c>
      <c r="N204" s="1">
        <v>4.0</v>
      </c>
      <c r="O204" s="1">
        <v>18.0</v>
      </c>
      <c r="P204" s="1">
        <v>0.0</v>
      </c>
      <c r="Q204" s="1">
        <v>0.0</v>
      </c>
      <c r="R204" s="1">
        <v>-28.0</v>
      </c>
      <c r="S204" s="1">
        <v>30.0</v>
      </c>
      <c r="T204" s="1">
        <v>4.0</v>
      </c>
    </row>
    <row r="205" ht="12.75" customHeight="1">
      <c r="A205" s="1" t="s">
        <v>235</v>
      </c>
      <c r="B205" s="1" t="str">
        <f>IFERROR(__xludf.DUMMYFUNCTION("split(A205, ""\"")"),"Dion Phaneuf")</f>
        <v>Dion Phaneuf</v>
      </c>
      <c r="C205" s="1" t="str">
        <f>IFERROR(__xludf.DUMMYFUNCTION("""COMPUTED_VALUE"""),"phanedi01")</f>
        <v>phanedi01</v>
      </c>
      <c r="D205" s="1" t="s">
        <v>66</v>
      </c>
      <c r="E205" s="1">
        <f t="shared" si="1"/>
        <v>220.35</v>
      </c>
      <c r="F205" s="1">
        <f t="shared" si="2"/>
        <v>2.79</v>
      </c>
      <c r="G205" s="1">
        <v>79.0</v>
      </c>
      <c r="H205" s="1">
        <v>6.0</v>
      </c>
      <c r="I205" s="1">
        <v>20.0</v>
      </c>
      <c r="J205" s="1">
        <v>26.0</v>
      </c>
      <c r="K205" s="1">
        <v>134.0</v>
      </c>
      <c r="L205" s="1">
        <v>161.0</v>
      </c>
      <c r="M205" s="1">
        <v>154.0</v>
      </c>
      <c r="N205" s="1">
        <v>4.0</v>
      </c>
      <c r="O205" s="1">
        <v>7.0</v>
      </c>
      <c r="P205" s="1">
        <v>0.0</v>
      </c>
      <c r="Q205" s="1">
        <v>0.0</v>
      </c>
      <c r="R205" s="1">
        <v>-15.0</v>
      </c>
      <c r="S205" s="1">
        <v>49.0</v>
      </c>
      <c r="T205" s="1">
        <v>0.0</v>
      </c>
    </row>
    <row r="206" ht="12.75" customHeight="1">
      <c r="A206" s="1" t="s">
        <v>236</v>
      </c>
      <c r="B206" s="1" t="str">
        <f>IFERROR(__xludf.DUMMYFUNCTION("split(A206, ""\"")"),"Jakob Silfverberg")</f>
        <v>Jakob Silfverberg</v>
      </c>
      <c r="C206" s="1" t="str">
        <f>IFERROR(__xludf.DUMMYFUNCTION("""COMPUTED_VALUE"""),"silfvja01")</f>
        <v>silfvja01</v>
      </c>
      <c r="D206" s="1" t="s">
        <v>28</v>
      </c>
      <c r="E206" s="1">
        <f t="shared" si="1"/>
        <v>219.65</v>
      </c>
      <c r="F206" s="1">
        <f t="shared" si="2"/>
        <v>2.85</v>
      </c>
      <c r="G206" s="1">
        <v>77.0</v>
      </c>
      <c r="H206" s="1">
        <v>17.0</v>
      </c>
      <c r="I206" s="1">
        <v>23.0</v>
      </c>
      <c r="J206" s="1">
        <v>40.0</v>
      </c>
      <c r="K206" s="1">
        <v>187.0</v>
      </c>
      <c r="L206" s="1">
        <v>52.0</v>
      </c>
      <c r="M206" s="1">
        <v>61.0</v>
      </c>
      <c r="N206" s="1">
        <v>2.0</v>
      </c>
      <c r="O206" s="1">
        <v>6.0</v>
      </c>
      <c r="P206" s="1">
        <v>1.0</v>
      </c>
      <c r="Q206" s="1">
        <v>1.0</v>
      </c>
      <c r="R206" s="1">
        <v>6.0</v>
      </c>
      <c r="S206" s="1">
        <v>18.0</v>
      </c>
      <c r="T206" s="1">
        <v>2.0</v>
      </c>
    </row>
    <row r="207" ht="12.75" customHeight="1">
      <c r="A207" s="1" t="s">
        <v>237</v>
      </c>
      <c r="B207" s="1" t="str">
        <f>IFERROR(__xludf.DUMMYFUNCTION("split(A207, ""\"")"),"Tyler Myers")</f>
        <v>Tyler Myers</v>
      </c>
      <c r="C207" s="1" t="str">
        <f>IFERROR(__xludf.DUMMYFUNCTION("""COMPUTED_VALUE"""),"myersty01")</f>
        <v>myersty01</v>
      </c>
      <c r="D207" s="1" t="s">
        <v>66</v>
      </c>
      <c r="E207" s="1">
        <f t="shared" si="1"/>
        <v>219.1</v>
      </c>
      <c r="F207" s="1">
        <f t="shared" si="2"/>
        <v>2.67</v>
      </c>
      <c r="G207" s="1">
        <v>82.0</v>
      </c>
      <c r="H207" s="1">
        <v>6.0</v>
      </c>
      <c r="I207" s="1">
        <v>30.0</v>
      </c>
      <c r="J207" s="1">
        <v>36.0</v>
      </c>
      <c r="K207" s="1">
        <v>150.0</v>
      </c>
      <c r="L207" s="1">
        <v>68.0</v>
      </c>
      <c r="M207" s="1">
        <v>119.0</v>
      </c>
      <c r="N207" s="1">
        <v>3.0</v>
      </c>
      <c r="O207" s="1">
        <v>14.0</v>
      </c>
      <c r="P207" s="1">
        <v>1.0</v>
      </c>
      <c r="Q207" s="1">
        <v>0.0</v>
      </c>
      <c r="R207" s="1">
        <v>9.0</v>
      </c>
      <c r="S207" s="1">
        <v>48.0</v>
      </c>
      <c r="T207" s="1">
        <v>3.0</v>
      </c>
    </row>
    <row r="208" ht="12.75" customHeight="1">
      <c r="A208" s="1" t="s">
        <v>238</v>
      </c>
      <c r="B208" s="1" t="str">
        <f>IFERROR(__xludf.DUMMYFUNCTION("split(A208, ""\"")"),"Alex Killorn")</f>
        <v>Alex Killorn</v>
      </c>
      <c r="C208" s="1" t="str">
        <f>IFERROR(__xludf.DUMMYFUNCTION("""COMPUTED_VALUE"""),"killoal01")</f>
        <v>killoal01</v>
      </c>
      <c r="D208" s="1" t="s">
        <v>141</v>
      </c>
      <c r="E208" s="1">
        <f t="shared" si="1"/>
        <v>218.5</v>
      </c>
      <c r="F208" s="1">
        <f t="shared" si="2"/>
        <v>2.66</v>
      </c>
      <c r="G208" s="1">
        <v>82.0</v>
      </c>
      <c r="H208" s="1">
        <v>15.0</v>
      </c>
      <c r="I208" s="1">
        <v>32.0</v>
      </c>
      <c r="J208" s="1">
        <v>47.0</v>
      </c>
      <c r="K208" s="1">
        <v>156.0</v>
      </c>
      <c r="L208" s="1">
        <v>82.0</v>
      </c>
      <c r="M208" s="1">
        <v>25.0</v>
      </c>
      <c r="N208" s="1">
        <v>2.0</v>
      </c>
      <c r="O208" s="1">
        <v>7.0</v>
      </c>
      <c r="P208" s="1">
        <v>0.0</v>
      </c>
      <c r="Q208" s="1">
        <v>0.0</v>
      </c>
      <c r="R208" s="1">
        <v>22.0</v>
      </c>
      <c r="S208" s="1">
        <v>45.0</v>
      </c>
      <c r="T208" s="1">
        <v>1.0</v>
      </c>
    </row>
    <row r="209" ht="12.75" customHeight="1">
      <c r="A209" s="1" t="s">
        <v>239</v>
      </c>
      <c r="B209" s="1" t="str">
        <f>IFERROR(__xludf.DUMMYFUNCTION("split(A209, ""\"")"),"Patrick Maroon")</f>
        <v>Patrick Maroon</v>
      </c>
      <c r="C209" s="1" t="str">
        <f>IFERROR(__xludf.DUMMYFUNCTION("""COMPUTED_VALUE"""),"maroopa01")</f>
        <v>maroopa01</v>
      </c>
      <c r="D209" s="1" t="s">
        <v>28</v>
      </c>
      <c r="E209" s="1">
        <f t="shared" si="1"/>
        <v>218.35</v>
      </c>
      <c r="F209" s="1">
        <f t="shared" si="2"/>
        <v>2.95</v>
      </c>
      <c r="G209" s="1">
        <v>74.0</v>
      </c>
      <c r="H209" s="1">
        <v>17.0</v>
      </c>
      <c r="I209" s="1">
        <v>26.0</v>
      </c>
      <c r="J209" s="1">
        <v>43.0</v>
      </c>
      <c r="K209" s="1">
        <v>141.0</v>
      </c>
      <c r="L209" s="1">
        <v>150.0</v>
      </c>
      <c r="M209" s="1">
        <v>14.0</v>
      </c>
      <c r="N209" s="1">
        <v>1.0</v>
      </c>
      <c r="O209" s="1">
        <v>6.0</v>
      </c>
      <c r="P209" s="1">
        <v>0.0</v>
      </c>
      <c r="Q209" s="1">
        <v>0.0</v>
      </c>
      <c r="R209" s="1">
        <v>1.0</v>
      </c>
      <c r="S209" s="1">
        <v>73.0</v>
      </c>
      <c r="T209" s="1">
        <v>4.0</v>
      </c>
    </row>
    <row r="210" ht="12.75" customHeight="1">
      <c r="A210" s="1" t="s">
        <v>240</v>
      </c>
      <c r="B210" s="1" t="str">
        <f>IFERROR(__xludf.DUMMYFUNCTION("split(A210, ""\"")"),"Josh Manson")</f>
        <v>Josh Manson</v>
      </c>
      <c r="C210" s="1" t="str">
        <f>IFERROR(__xludf.DUMMYFUNCTION("""COMPUTED_VALUE"""),"mansojo01")</f>
        <v>mansojo01</v>
      </c>
      <c r="D210" s="1" t="s">
        <v>66</v>
      </c>
      <c r="E210" s="1">
        <f t="shared" si="1"/>
        <v>217.85</v>
      </c>
      <c r="F210" s="1">
        <f t="shared" si="2"/>
        <v>2.72</v>
      </c>
      <c r="G210" s="1">
        <v>80.0</v>
      </c>
      <c r="H210" s="1">
        <v>7.0</v>
      </c>
      <c r="I210" s="1">
        <v>30.0</v>
      </c>
      <c r="J210" s="1">
        <v>37.0</v>
      </c>
      <c r="K210" s="1">
        <v>117.0</v>
      </c>
      <c r="L210" s="1">
        <v>180.0</v>
      </c>
      <c r="M210" s="1">
        <v>99.0</v>
      </c>
      <c r="N210" s="1">
        <v>0.0</v>
      </c>
      <c r="O210" s="1">
        <v>0.0</v>
      </c>
      <c r="P210" s="1">
        <v>0.0</v>
      </c>
      <c r="Q210" s="1">
        <v>1.0</v>
      </c>
      <c r="R210" s="1">
        <v>34.0</v>
      </c>
      <c r="S210" s="1">
        <v>62.0</v>
      </c>
      <c r="T210" s="1">
        <v>2.0</v>
      </c>
    </row>
    <row r="211" ht="12.75" customHeight="1">
      <c r="A211" s="1" t="s">
        <v>241</v>
      </c>
      <c r="B211" s="1" t="str">
        <f>IFERROR(__xludf.DUMMYFUNCTION("split(A211, ""\"")"),"Milan Lucic")</f>
        <v>Milan Lucic</v>
      </c>
      <c r="C211" s="1" t="str">
        <f>IFERROR(__xludf.DUMMYFUNCTION("""COMPUTED_VALUE"""),"lucicmi01")</f>
        <v>lucicmi01</v>
      </c>
      <c r="D211" s="1" t="s">
        <v>28</v>
      </c>
      <c r="E211" s="1">
        <f t="shared" si="1"/>
        <v>217.25</v>
      </c>
      <c r="F211" s="1">
        <f t="shared" si="2"/>
        <v>2.65</v>
      </c>
      <c r="G211" s="1">
        <v>82.0</v>
      </c>
      <c r="H211" s="1">
        <v>10.0</v>
      </c>
      <c r="I211" s="1">
        <v>24.0</v>
      </c>
      <c r="J211" s="1">
        <v>34.0</v>
      </c>
      <c r="K211" s="1">
        <v>147.0</v>
      </c>
      <c r="L211" s="1">
        <v>254.0</v>
      </c>
      <c r="M211" s="1">
        <v>25.0</v>
      </c>
      <c r="N211" s="1">
        <v>3.0</v>
      </c>
      <c r="O211" s="1">
        <v>4.0</v>
      </c>
      <c r="P211" s="1">
        <v>0.0</v>
      </c>
      <c r="Q211" s="1">
        <v>0.0</v>
      </c>
      <c r="R211" s="1">
        <v>-12.0</v>
      </c>
      <c r="S211" s="1">
        <v>80.0</v>
      </c>
      <c r="T211" s="1">
        <v>1.0</v>
      </c>
    </row>
    <row r="212" ht="12.75" customHeight="1">
      <c r="A212" s="1" t="s">
        <v>242</v>
      </c>
      <c r="B212" s="1" t="str">
        <f>IFERROR(__xludf.DUMMYFUNCTION("split(A212, ""\"")"),"Marc-Edouard Vlasic")</f>
        <v>Marc-Edouard Vlasic</v>
      </c>
      <c r="C212" s="1" t="str">
        <f>IFERROR(__xludf.DUMMYFUNCTION("""COMPUTED_VALUE"""),"vlasima01")</f>
        <v>vlasima01</v>
      </c>
      <c r="D212" s="1" t="s">
        <v>66</v>
      </c>
      <c r="E212" s="1">
        <f t="shared" si="1"/>
        <v>216.85</v>
      </c>
      <c r="F212" s="1">
        <f t="shared" si="2"/>
        <v>2.68</v>
      </c>
      <c r="G212" s="1">
        <v>81.0</v>
      </c>
      <c r="H212" s="1">
        <v>11.0</v>
      </c>
      <c r="I212" s="1">
        <v>21.0</v>
      </c>
      <c r="J212" s="1">
        <v>32.0</v>
      </c>
      <c r="K212" s="1">
        <v>161.0</v>
      </c>
      <c r="L212" s="1">
        <v>26.0</v>
      </c>
      <c r="M212" s="1">
        <v>174.0</v>
      </c>
      <c r="N212" s="1">
        <v>1.0</v>
      </c>
      <c r="O212" s="1">
        <v>2.0</v>
      </c>
      <c r="P212" s="1">
        <v>0.0</v>
      </c>
      <c r="Q212" s="1">
        <v>1.0</v>
      </c>
      <c r="R212" s="1">
        <v>9.0</v>
      </c>
      <c r="S212" s="1">
        <v>34.0</v>
      </c>
      <c r="T212" s="1">
        <v>2.0</v>
      </c>
    </row>
    <row r="213" ht="12.75" customHeight="1">
      <c r="A213" s="1" t="s">
        <v>243</v>
      </c>
      <c r="B213" s="1" t="str">
        <f>IFERROR(__xludf.DUMMYFUNCTION("split(A213, ""\"")"),"Bo Horvat")</f>
        <v>Bo Horvat</v>
      </c>
      <c r="C213" s="1" t="str">
        <f>IFERROR(__xludf.DUMMYFUNCTION("""COMPUTED_VALUE"""),"horvabo01")</f>
        <v>horvabo01</v>
      </c>
      <c r="D213" s="1" t="s">
        <v>31</v>
      </c>
      <c r="E213" s="1">
        <f t="shared" si="1"/>
        <v>216.85</v>
      </c>
      <c r="F213" s="1">
        <f t="shared" si="2"/>
        <v>3.39</v>
      </c>
      <c r="G213" s="1">
        <v>64.0</v>
      </c>
      <c r="H213" s="1">
        <v>22.0</v>
      </c>
      <c r="I213" s="1">
        <v>22.0</v>
      </c>
      <c r="J213" s="1">
        <v>44.0</v>
      </c>
      <c r="K213" s="1">
        <v>158.0</v>
      </c>
      <c r="L213" s="1">
        <v>35.0</v>
      </c>
      <c r="M213" s="1">
        <v>29.0</v>
      </c>
      <c r="N213" s="1">
        <v>10.0</v>
      </c>
      <c r="O213" s="1">
        <v>3.0</v>
      </c>
      <c r="P213" s="1">
        <v>1.0</v>
      </c>
      <c r="Q213" s="1">
        <v>0.0</v>
      </c>
      <c r="R213" s="1">
        <v>-1.0</v>
      </c>
      <c r="S213" s="1">
        <v>10.0</v>
      </c>
      <c r="T213" s="1">
        <v>3.0</v>
      </c>
    </row>
    <row r="214" ht="12.75" customHeight="1">
      <c r="A214" s="1" t="s">
        <v>244</v>
      </c>
      <c r="B214" s="1" t="str">
        <f>IFERROR(__xludf.DUMMYFUNCTION("split(A214, ""\"")"),"Cory Schneider")</f>
        <v>Cory Schneider</v>
      </c>
      <c r="C214" s="2" t="str">
        <f>IFERROR(__xludf.DUMMYFUNCTION("""COMPUTED_VALUE"""),"schneco01")</f>
        <v>schneco01</v>
      </c>
      <c r="D214" s="1" t="s">
        <v>5</v>
      </c>
      <c r="E214" s="1">
        <f t="shared" si="1"/>
        <v>216.5</v>
      </c>
      <c r="F214" s="1">
        <f t="shared" si="2"/>
        <v>5.41</v>
      </c>
      <c r="G214" s="1">
        <v>40.0</v>
      </c>
      <c r="U214" s="1">
        <v>40.0</v>
      </c>
      <c r="V214" s="1">
        <v>17.0</v>
      </c>
      <c r="W214" s="1">
        <v>16.0</v>
      </c>
      <c r="X214" s="1">
        <v>114.0</v>
      </c>
      <c r="Y214" s="1">
        <v>1228.0</v>
      </c>
      <c r="Z214" s="1">
        <v>1114.0</v>
      </c>
      <c r="AA214" s="1">
        <v>1.0</v>
      </c>
    </row>
    <row r="215" ht="12.75" customHeight="1">
      <c r="A215" s="1" t="s">
        <v>245</v>
      </c>
      <c r="B215" s="1" t="str">
        <f>IFERROR(__xludf.DUMMYFUNCTION("split(A215, ""\"")"),"Duncan Keith")</f>
        <v>Duncan Keith</v>
      </c>
      <c r="C215" s="1" t="str">
        <f>IFERROR(__xludf.DUMMYFUNCTION("""COMPUTED_VALUE"""),"keithdu01")</f>
        <v>keithdu01</v>
      </c>
      <c r="D215" s="1" t="s">
        <v>66</v>
      </c>
      <c r="E215" s="1">
        <f t="shared" si="1"/>
        <v>216</v>
      </c>
      <c r="F215" s="1">
        <f t="shared" si="2"/>
        <v>2.63</v>
      </c>
      <c r="G215" s="1">
        <v>82.0</v>
      </c>
      <c r="H215" s="1">
        <v>2.0</v>
      </c>
      <c r="I215" s="1">
        <v>30.0</v>
      </c>
      <c r="J215" s="1">
        <v>32.0</v>
      </c>
      <c r="K215" s="1">
        <v>187.0</v>
      </c>
      <c r="L215" s="1">
        <v>41.0</v>
      </c>
      <c r="M215" s="1">
        <v>165.0</v>
      </c>
      <c r="N215" s="1">
        <v>2.0</v>
      </c>
      <c r="O215" s="1">
        <v>8.0</v>
      </c>
      <c r="P215" s="1">
        <v>0.0</v>
      </c>
      <c r="Q215" s="1">
        <v>0.0</v>
      </c>
      <c r="R215" s="1">
        <v>-29.0</v>
      </c>
      <c r="S215" s="1">
        <v>28.0</v>
      </c>
      <c r="T215" s="1">
        <v>1.0</v>
      </c>
    </row>
    <row r="216" ht="12.75" customHeight="1">
      <c r="A216" s="1" t="s">
        <v>246</v>
      </c>
      <c r="B216" s="1" t="str">
        <f>IFERROR(__xludf.DUMMYFUNCTION("split(A216, ""\"")"),"Tanner Pearson")</f>
        <v>Tanner Pearson</v>
      </c>
      <c r="C216" s="1" t="str">
        <f>IFERROR(__xludf.DUMMYFUNCTION("""COMPUTED_VALUE"""),"pearsta01")</f>
        <v>pearsta01</v>
      </c>
      <c r="D216" s="1" t="s">
        <v>28</v>
      </c>
      <c r="E216" s="1">
        <f t="shared" si="1"/>
        <v>215.9</v>
      </c>
      <c r="F216" s="1">
        <f t="shared" si="2"/>
        <v>2.63</v>
      </c>
      <c r="G216" s="1">
        <v>82.0</v>
      </c>
      <c r="H216" s="1">
        <v>15.0</v>
      </c>
      <c r="I216" s="1">
        <v>25.0</v>
      </c>
      <c r="J216" s="1">
        <v>40.0</v>
      </c>
      <c r="K216" s="1">
        <v>180.0</v>
      </c>
      <c r="L216" s="1">
        <v>116.0</v>
      </c>
      <c r="M216" s="1">
        <v>36.0</v>
      </c>
      <c r="N216" s="1">
        <v>2.0</v>
      </c>
      <c r="O216" s="1">
        <v>3.0</v>
      </c>
      <c r="P216" s="1">
        <v>0.0</v>
      </c>
      <c r="Q216" s="1">
        <v>0.0</v>
      </c>
      <c r="R216" s="1">
        <v>11.0</v>
      </c>
      <c r="S216" s="1">
        <v>27.0</v>
      </c>
      <c r="T216" s="1">
        <v>4.0</v>
      </c>
    </row>
    <row r="217" ht="12.75" customHeight="1">
      <c r="A217" s="1" t="s">
        <v>247</v>
      </c>
      <c r="B217" s="1" t="str">
        <f>IFERROR(__xludf.DUMMYFUNCTION("split(A217, ""\"")"),"Justin Braun")</f>
        <v>Justin Braun</v>
      </c>
      <c r="C217" s="1" t="str">
        <f>IFERROR(__xludf.DUMMYFUNCTION("""COMPUTED_VALUE"""),"braunju01")</f>
        <v>braunju01</v>
      </c>
      <c r="D217" s="1" t="s">
        <v>66</v>
      </c>
      <c r="E217" s="1">
        <f t="shared" si="1"/>
        <v>215.3</v>
      </c>
      <c r="F217" s="1">
        <f t="shared" si="2"/>
        <v>2.66</v>
      </c>
      <c r="G217" s="1">
        <v>81.0</v>
      </c>
      <c r="H217" s="1">
        <v>5.0</v>
      </c>
      <c r="I217" s="1">
        <v>28.0</v>
      </c>
      <c r="J217" s="1">
        <v>33.0</v>
      </c>
      <c r="K217" s="1">
        <v>115.0</v>
      </c>
      <c r="L217" s="1">
        <v>143.0</v>
      </c>
      <c r="M217" s="1">
        <v>152.0</v>
      </c>
      <c r="N217" s="1">
        <v>0.0</v>
      </c>
      <c r="O217" s="1">
        <v>0.0</v>
      </c>
      <c r="P217" s="1">
        <v>0.0</v>
      </c>
      <c r="Q217" s="1">
        <v>0.0</v>
      </c>
      <c r="R217" s="1">
        <v>7.0</v>
      </c>
      <c r="S217" s="1">
        <v>28.0</v>
      </c>
      <c r="T217" s="1">
        <v>0.0</v>
      </c>
    </row>
    <row r="218" ht="12.75" customHeight="1">
      <c r="A218" s="1" t="s">
        <v>248</v>
      </c>
      <c r="B218" s="1" t="str">
        <f>IFERROR(__xludf.DUMMYFUNCTION("split(A218, ""\"")"),"Ryan Pulock")</f>
        <v>Ryan Pulock</v>
      </c>
      <c r="C218" s="1" t="str">
        <f>IFERROR(__xludf.DUMMYFUNCTION("""COMPUTED_VALUE"""),"pulocry01")</f>
        <v>pulocry01</v>
      </c>
      <c r="D218" s="1" t="s">
        <v>66</v>
      </c>
      <c r="E218" s="1">
        <f t="shared" si="1"/>
        <v>214.65</v>
      </c>
      <c r="F218" s="1">
        <f t="shared" si="2"/>
        <v>3.16</v>
      </c>
      <c r="G218" s="1">
        <v>68.0</v>
      </c>
      <c r="H218" s="1">
        <v>10.0</v>
      </c>
      <c r="I218" s="1">
        <v>22.0</v>
      </c>
      <c r="J218" s="1">
        <v>32.0</v>
      </c>
      <c r="K218" s="1">
        <v>184.0</v>
      </c>
      <c r="L218" s="1">
        <v>113.0</v>
      </c>
      <c r="M218" s="1">
        <v>86.0</v>
      </c>
      <c r="N218" s="1">
        <v>5.0</v>
      </c>
      <c r="O218" s="1">
        <v>6.0</v>
      </c>
      <c r="P218" s="1">
        <v>0.0</v>
      </c>
      <c r="Q218" s="1">
        <v>0.0</v>
      </c>
      <c r="R218" s="1">
        <v>-4.0</v>
      </c>
      <c r="S218" s="1">
        <v>14.0</v>
      </c>
      <c r="T218" s="1">
        <v>0.0</v>
      </c>
    </row>
    <row r="219" ht="12.75" customHeight="1">
      <c r="A219" s="1" t="s">
        <v>249</v>
      </c>
      <c r="B219" s="1" t="str">
        <f>IFERROR(__xludf.DUMMYFUNCTION("split(A219, ""\"")"),"Lars Eller")</f>
        <v>Lars Eller</v>
      </c>
      <c r="C219" s="1" t="str">
        <f>IFERROR(__xludf.DUMMYFUNCTION("""COMPUTED_VALUE"""),"ellerla01")</f>
        <v>ellerla01</v>
      </c>
      <c r="D219" s="1" t="s">
        <v>31</v>
      </c>
      <c r="E219" s="1">
        <f t="shared" si="1"/>
        <v>213.6</v>
      </c>
      <c r="F219" s="1">
        <f t="shared" si="2"/>
        <v>2.64</v>
      </c>
      <c r="G219" s="1">
        <v>81.0</v>
      </c>
      <c r="H219" s="1">
        <v>18.0</v>
      </c>
      <c r="I219" s="1">
        <v>20.0</v>
      </c>
      <c r="J219" s="1">
        <v>38.0</v>
      </c>
      <c r="K219" s="1">
        <v>161.0</v>
      </c>
      <c r="L219" s="1">
        <v>71.0</v>
      </c>
      <c r="M219" s="1">
        <v>69.0</v>
      </c>
      <c r="N219" s="1">
        <v>3.0</v>
      </c>
      <c r="O219" s="1">
        <v>3.0</v>
      </c>
      <c r="P219" s="1">
        <v>0.0</v>
      </c>
      <c r="Q219" s="1">
        <v>0.0</v>
      </c>
      <c r="R219" s="1">
        <v>-6.0</v>
      </c>
      <c r="S219" s="1">
        <v>38.0</v>
      </c>
      <c r="T219" s="1">
        <v>2.0</v>
      </c>
    </row>
    <row r="220" ht="12.75" customHeight="1">
      <c r="A220" s="1" t="s">
        <v>250</v>
      </c>
      <c r="B220" s="1" t="str">
        <f>IFERROR(__xludf.DUMMYFUNCTION("split(A220, ""\"")"),"Jared Spurgeon")</f>
        <v>Jared Spurgeon</v>
      </c>
      <c r="C220" s="1" t="str">
        <f>IFERROR(__xludf.DUMMYFUNCTION("""COMPUTED_VALUE"""),"spurgja01")</f>
        <v>spurgja01</v>
      </c>
      <c r="D220" s="1" t="s">
        <v>66</v>
      </c>
      <c r="E220" s="1">
        <f t="shared" si="1"/>
        <v>213.3</v>
      </c>
      <c r="F220" s="1">
        <f t="shared" si="2"/>
        <v>3.5</v>
      </c>
      <c r="G220" s="1">
        <v>61.0</v>
      </c>
      <c r="H220" s="1">
        <v>9.0</v>
      </c>
      <c r="I220" s="1">
        <v>28.0</v>
      </c>
      <c r="J220" s="1">
        <v>37.0</v>
      </c>
      <c r="K220" s="1">
        <v>110.0</v>
      </c>
      <c r="L220" s="1">
        <v>64.0</v>
      </c>
      <c r="M220" s="1">
        <v>127.0</v>
      </c>
      <c r="N220" s="1">
        <v>3.0</v>
      </c>
      <c r="O220" s="1">
        <v>10.0</v>
      </c>
      <c r="P220" s="1">
        <v>0.0</v>
      </c>
      <c r="Q220" s="1">
        <v>0.0</v>
      </c>
      <c r="R220" s="1">
        <v>-6.0</v>
      </c>
      <c r="S220" s="1">
        <v>8.0</v>
      </c>
      <c r="T220" s="1">
        <v>2.0</v>
      </c>
    </row>
    <row r="221" ht="12.75" customHeight="1">
      <c r="A221" s="1" t="s">
        <v>251</v>
      </c>
      <c r="B221" s="1" t="str">
        <f>IFERROR(__xludf.DUMMYFUNCTION("split(A221, ""\"")"),"Mattias Ekholm")</f>
        <v>Mattias Ekholm</v>
      </c>
      <c r="C221" s="1" t="str">
        <f>IFERROR(__xludf.DUMMYFUNCTION("""COMPUTED_VALUE"""),"ekholma01")</f>
        <v>ekholma01</v>
      </c>
      <c r="D221" s="1" t="s">
        <v>66</v>
      </c>
      <c r="E221" s="1">
        <f t="shared" si="1"/>
        <v>213.3</v>
      </c>
      <c r="F221" s="1">
        <f t="shared" si="2"/>
        <v>2.63</v>
      </c>
      <c r="G221" s="1">
        <v>81.0</v>
      </c>
      <c r="H221" s="1">
        <v>10.0</v>
      </c>
      <c r="I221" s="1">
        <v>24.0</v>
      </c>
      <c r="J221" s="1">
        <v>34.0</v>
      </c>
      <c r="K221" s="1">
        <v>135.0</v>
      </c>
      <c r="L221" s="1">
        <v>75.0</v>
      </c>
      <c r="M221" s="1">
        <v>117.0</v>
      </c>
      <c r="N221" s="1">
        <v>5.0</v>
      </c>
      <c r="O221" s="1">
        <v>8.0</v>
      </c>
      <c r="P221" s="1">
        <v>1.0</v>
      </c>
      <c r="Q221" s="1">
        <v>0.0</v>
      </c>
      <c r="R221" s="1">
        <v>25.0</v>
      </c>
      <c r="S221" s="1">
        <v>46.0</v>
      </c>
      <c r="T221" s="1">
        <v>1.0</v>
      </c>
    </row>
    <row r="222" ht="12.75" customHeight="1">
      <c r="A222" s="1" t="s">
        <v>252</v>
      </c>
      <c r="B222" s="1" t="str">
        <f>IFERROR(__xludf.DUMMYFUNCTION("split(A222, ""\"")"),"Jonathan Bernier")</f>
        <v>Jonathan Bernier</v>
      </c>
      <c r="C222" s="2" t="str">
        <f>IFERROR(__xludf.DUMMYFUNCTION("""COMPUTED_VALUE"""),"bernijo01")</f>
        <v>bernijo01</v>
      </c>
      <c r="D222" s="1" t="s">
        <v>5</v>
      </c>
      <c r="E222" s="1">
        <f t="shared" si="1"/>
        <v>213.25</v>
      </c>
      <c r="F222" s="1">
        <f t="shared" si="2"/>
        <v>5.76</v>
      </c>
      <c r="G222" s="1">
        <v>37.0</v>
      </c>
      <c r="U222" s="1">
        <v>34.0</v>
      </c>
      <c r="V222" s="1">
        <v>19.0</v>
      </c>
      <c r="W222" s="1">
        <v>13.0</v>
      </c>
      <c r="X222" s="1">
        <v>95.0</v>
      </c>
      <c r="Y222" s="1">
        <v>1092.0</v>
      </c>
      <c r="Z222" s="1">
        <v>997.0</v>
      </c>
      <c r="AA222" s="1">
        <v>2.0</v>
      </c>
    </row>
    <row r="223" ht="12.75" customHeight="1">
      <c r="A223" s="1" t="s">
        <v>253</v>
      </c>
      <c r="B223" s="1" t="str">
        <f>IFERROR(__xludf.DUMMYFUNCTION("split(A223, ""\"")"),"Mikhail Sergachev")</f>
        <v>Mikhail Sergachev</v>
      </c>
      <c r="C223" s="1" t="str">
        <f>IFERROR(__xludf.DUMMYFUNCTION("""COMPUTED_VALUE"""),"sergami01")</f>
        <v>sergami01</v>
      </c>
      <c r="D223" s="1" t="s">
        <v>66</v>
      </c>
      <c r="E223" s="1">
        <f t="shared" si="1"/>
        <v>212.85</v>
      </c>
      <c r="F223" s="1">
        <f t="shared" si="2"/>
        <v>2.69</v>
      </c>
      <c r="G223" s="1">
        <v>79.0</v>
      </c>
      <c r="H223" s="1">
        <v>9.0</v>
      </c>
      <c r="I223" s="1">
        <v>31.0</v>
      </c>
      <c r="J223" s="1">
        <v>40.0</v>
      </c>
      <c r="K223" s="1">
        <v>141.0</v>
      </c>
      <c r="L223" s="1">
        <v>90.0</v>
      </c>
      <c r="M223" s="1">
        <v>64.0</v>
      </c>
      <c r="N223" s="1">
        <v>3.0</v>
      </c>
      <c r="O223" s="1">
        <v>13.0</v>
      </c>
      <c r="P223" s="1">
        <v>0.0</v>
      </c>
      <c r="Q223" s="1">
        <v>0.0</v>
      </c>
      <c r="R223" s="1">
        <v>11.0</v>
      </c>
      <c r="S223" s="1">
        <v>38.0</v>
      </c>
      <c r="T223" s="1">
        <v>5.0</v>
      </c>
    </row>
    <row r="224" ht="12.75" customHeight="1">
      <c r="A224" s="1" t="s">
        <v>254</v>
      </c>
      <c r="B224" s="1" t="str">
        <f>IFERROR(__xludf.DUMMYFUNCTION("split(A224, ""\"")"),"Michael Del Zotto")</f>
        <v>Michael Del Zotto</v>
      </c>
      <c r="C224" s="1" t="str">
        <f>IFERROR(__xludf.DUMMYFUNCTION("""COMPUTED_VALUE"""),"delzomi01")</f>
        <v>delzomi01</v>
      </c>
      <c r="D224" s="1" t="s">
        <v>66</v>
      </c>
      <c r="E224" s="1">
        <f t="shared" si="1"/>
        <v>212.8</v>
      </c>
      <c r="F224" s="1">
        <f t="shared" si="2"/>
        <v>2.6</v>
      </c>
      <c r="G224" s="1">
        <v>82.0</v>
      </c>
      <c r="H224" s="1">
        <v>6.0</v>
      </c>
      <c r="I224" s="1">
        <v>16.0</v>
      </c>
      <c r="J224" s="1">
        <v>22.0</v>
      </c>
      <c r="K224" s="1">
        <v>128.0</v>
      </c>
      <c r="L224" s="1">
        <v>244.0</v>
      </c>
      <c r="M224" s="1">
        <v>127.0</v>
      </c>
      <c r="N224" s="1">
        <v>0.0</v>
      </c>
      <c r="O224" s="1">
        <v>5.0</v>
      </c>
      <c r="P224" s="1">
        <v>0.0</v>
      </c>
      <c r="Q224" s="1">
        <v>0.0</v>
      </c>
      <c r="R224" s="1">
        <v>-8.0</v>
      </c>
      <c r="S224" s="1">
        <v>48.0</v>
      </c>
      <c r="T224" s="1">
        <v>0.0</v>
      </c>
    </row>
    <row r="225" ht="12.75" customHeight="1">
      <c r="A225" s="1" t="s">
        <v>255</v>
      </c>
      <c r="B225" s="1" t="str">
        <f>IFERROR(__xludf.DUMMYFUNCTION("split(A225, ""\"")"),"Mathieu Perreault")</f>
        <v>Mathieu Perreault</v>
      </c>
      <c r="C225" s="1" t="str">
        <f>IFERROR(__xludf.DUMMYFUNCTION("""COMPUTED_VALUE"""),"perrema01")</f>
        <v>perrema01</v>
      </c>
      <c r="D225" s="1" t="s">
        <v>31</v>
      </c>
      <c r="E225" s="1">
        <f t="shared" si="1"/>
        <v>212.75</v>
      </c>
      <c r="F225" s="1">
        <f t="shared" si="2"/>
        <v>3.04</v>
      </c>
      <c r="G225" s="1">
        <v>70.0</v>
      </c>
      <c r="H225" s="1">
        <v>17.0</v>
      </c>
      <c r="I225" s="1">
        <v>22.0</v>
      </c>
      <c r="J225" s="1">
        <v>39.0</v>
      </c>
      <c r="K225" s="1">
        <v>139.0</v>
      </c>
      <c r="L225" s="1">
        <v>120.0</v>
      </c>
      <c r="M225" s="1">
        <v>25.0</v>
      </c>
      <c r="N225" s="1">
        <v>6.0</v>
      </c>
      <c r="O225" s="1">
        <v>8.0</v>
      </c>
      <c r="P225" s="1">
        <v>0.0</v>
      </c>
      <c r="Q225" s="1">
        <v>1.0</v>
      </c>
      <c r="R225" s="1">
        <v>4.0</v>
      </c>
      <c r="S225" s="1">
        <v>38.0</v>
      </c>
      <c r="T225" s="1">
        <v>2.0</v>
      </c>
    </row>
    <row r="226" ht="12.75" customHeight="1">
      <c r="A226" s="1" t="s">
        <v>256</v>
      </c>
      <c r="B226" s="1" t="str">
        <f>IFERROR(__xludf.DUMMYFUNCTION("split(A226, ""\"")"),"Nick Foligno")</f>
        <v>Nick Foligno</v>
      </c>
      <c r="C226" s="1" t="str">
        <f>IFERROR(__xludf.DUMMYFUNCTION("""COMPUTED_VALUE"""),"foligni01")</f>
        <v>foligni01</v>
      </c>
      <c r="D226" s="1" t="s">
        <v>28</v>
      </c>
      <c r="E226" s="1">
        <f t="shared" si="1"/>
        <v>212.75</v>
      </c>
      <c r="F226" s="1">
        <f t="shared" si="2"/>
        <v>2.95</v>
      </c>
      <c r="G226" s="1">
        <v>72.0</v>
      </c>
      <c r="H226" s="1">
        <v>15.0</v>
      </c>
      <c r="I226" s="1">
        <v>18.0</v>
      </c>
      <c r="J226" s="1">
        <v>33.0</v>
      </c>
      <c r="K226" s="1">
        <v>137.0</v>
      </c>
      <c r="L226" s="1">
        <v>182.0</v>
      </c>
      <c r="M226" s="1">
        <v>60.0</v>
      </c>
      <c r="N226" s="1">
        <v>2.0</v>
      </c>
      <c r="O226" s="1">
        <v>2.0</v>
      </c>
      <c r="P226" s="1">
        <v>0.0</v>
      </c>
      <c r="Q226" s="1">
        <v>0.0</v>
      </c>
      <c r="R226" s="1">
        <v>1.0</v>
      </c>
      <c r="S226" s="1">
        <v>50.0</v>
      </c>
      <c r="T226" s="1">
        <v>1.0</v>
      </c>
    </row>
    <row r="227" ht="12.75" customHeight="1">
      <c r="A227" s="1" t="s">
        <v>257</v>
      </c>
      <c r="B227" s="1" t="str">
        <f>IFERROR(__xludf.DUMMYFUNCTION("split(A227, ""\"")"),"Zach Hyman")</f>
        <v>Zach Hyman</v>
      </c>
      <c r="C227" s="1" t="str">
        <f>IFERROR(__xludf.DUMMYFUNCTION("""COMPUTED_VALUE"""),"hymanza01")</f>
        <v>hymanza01</v>
      </c>
      <c r="D227" s="1" t="s">
        <v>31</v>
      </c>
      <c r="E227" s="1">
        <f t="shared" si="1"/>
        <v>212.75</v>
      </c>
      <c r="F227" s="1">
        <f t="shared" si="2"/>
        <v>2.59</v>
      </c>
      <c r="G227" s="1">
        <v>82.0</v>
      </c>
      <c r="H227" s="1">
        <v>15.0</v>
      </c>
      <c r="I227" s="1">
        <v>25.0</v>
      </c>
      <c r="J227" s="1">
        <v>40.0</v>
      </c>
      <c r="K227" s="1">
        <v>148.0</v>
      </c>
      <c r="L227" s="1">
        <v>117.0</v>
      </c>
      <c r="M227" s="1">
        <v>55.0</v>
      </c>
      <c r="N227" s="1">
        <v>0.0</v>
      </c>
      <c r="O227" s="1">
        <v>0.0</v>
      </c>
      <c r="P227" s="1">
        <v>1.0</v>
      </c>
      <c r="Q227" s="1">
        <v>1.0</v>
      </c>
      <c r="R227" s="1">
        <v>22.0</v>
      </c>
      <c r="S227" s="1">
        <v>37.0</v>
      </c>
      <c r="T227" s="1">
        <v>2.0</v>
      </c>
    </row>
    <row r="228" ht="12.75" customHeight="1">
      <c r="A228" s="1" t="s">
        <v>258</v>
      </c>
      <c r="B228" s="1" t="str">
        <f>IFERROR(__xludf.DUMMYFUNCTION("split(A228, ""\"")"),"Danton Heinen")</f>
        <v>Danton Heinen</v>
      </c>
      <c r="C228" s="1" t="str">
        <f>IFERROR(__xludf.DUMMYFUNCTION("""COMPUTED_VALUE"""),"heineda01")</f>
        <v>heineda01</v>
      </c>
      <c r="D228" s="1" t="s">
        <v>141</v>
      </c>
      <c r="E228" s="1">
        <f t="shared" si="1"/>
        <v>212.7</v>
      </c>
      <c r="F228" s="1">
        <f t="shared" si="2"/>
        <v>2.76</v>
      </c>
      <c r="G228" s="1">
        <v>77.0</v>
      </c>
      <c r="H228" s="1">
        <v>16.0</v>
      </c>
      <c r="I228" s="1">
        <v>31.0</v>
      </c>
      <c r="J228" s="1">
        <v>47.0</v>
      </c>
      <c r="K228" s="1">
        <v>135.0</v>
      </c>
      <c r="L228" s="1">
        <v>45.0</v>
      </c>
      <c r="M228" s="1">
        <v>33.0</v>
      </c>
      <c r="N228" s="1">
        <v>2.0</v>
      </c>
      <c r="O228" s="1">
        <v>10.0</v>
      </c>
      <c r="P228" s="1">
        <v>1.0</v>
      </c>
      <c r="Q228" s="1">
        <v>0.0</v>
      </c>
      <c r="R228" s="1">
        <v>10.0</v>
      </c>
      <c r="S228" s="1">
        <v>16.0</v>
      </c>
      <c r="T228" s="1">
        <v>4.0</v>
      </c>
    </row>
    <row r="229" ht="12.75" customHeight="1">
      <c r="A229" s="1" t="s">
        <v>259</v>
      </c>
      <c r="B229" s="1" t="str">
        <f>IFERROR(__xludf.DUMMYFUNCTION("split(A229, ""\"")"),"Olli Maatta")</f>
        <v>Olli Maatta</v>
      </c>
      <c r="C229" s="1" t="str">
        <f>IFERROR(__xludf.DUMMYFUNCTION("""COMPUTED_VALUE"""),"maattol01")</f>
        <v>maattol01</v>
      </c>
      <c r="D229" s="1" t="s">
        <v>66</v>
      </c>
      <c r="E229" s="1">
        <f t="shared" si="1"/>
        <v>210.75</v>
      </c>
      <c r="F229" s="1">
        <f t="shared" si="2"/>
        <v>2.57</v>
      </c>
      <c r="G229" s="1">
        <v>82.0</v>
      </c>
      <c r="H229" s="1">
        <v>7.0</v>
      </c>
      <c r="I229" s="1">
        <v>22.0</v>
      </c>
      <c r="J229" s="1">
        <v>29.0</v>
      </c>
      <c r="K229" s="1">
        <v>164.0</v>
      </c>
      <c r="L229" s="1">
        <v>131.0</v>
      </c>
      <c r="M229" s="1">
        <v>115.0</v>
      </c>
      <c r="N229" s="1">
        <v>0.0</v>
      </c>
      <c r="O229" s="1">
        <v>8.0</v>
      </c>
      <c r="P229" s="1">
        <v>0.0</v>
      </c>
      <c r="Q229" s="1">
        <v>0.0</v>
      </c>
      <c r="R229" s="1">
        <v>-1.0</v>
      </c>
      <c r="S229" s="1">
        <v>28.0</v>
      </c>
      <c r="T229" s="1">
        <v>3.0</v>
      </c>
    </row>
    <row r="230" ht="12.75" customHeight="1">
      <c r="A230" s="1" t="s">
        <v>260</v>
      </c>
      <c r="B230" s="1" t="str">
        <f>IFERROR(__xludf.DUMMYFUNCTION("split(A230, ""\"")"),"Rick Nash")</f>
        <v>Rick Nash</v>
      </c>
      <c r="C230" s="1" t="str">
        <f>IFERROR(__xludf.DUMMYFUNCTION("""COMPUTED_VALUE"""),"nashri01")</f>
        <v>nashri01</v>
      </c>
      <c r="D230" s="1" t="s">
        <v>28</v>
      </c>
      <c r="E230" s="1">
        <f t="shared" si="1"/>
        <v>210.55</v>
      </c>
      <c r="F230" s="1">
        <f t="shared" si="2"/>
        <v>2.97</v>
      </c>
      <c r="G230" s="1">
        <v>71.0</v>
      </c>
      <c r="H230" s="1">
        <v>21.0</v>
      </c>
      <c r="I230" s="1">
        <v>13.0</v>
      </c>
      <c r="J230" s="1">
        <v>34.0</v>
      </c>
      <c r="K230" s="1">
        <v>230.0</v>
      </c>
      <c r="L230" s="1">
        <v>51.0</v>
      </c>
      <c r="M230" s="1">
        <v>42.0</v>
      </c>
      <c r="N230" s="1">
        <v>5.0</v>
      </c>
      <c r="O230" s="1">
        <v>2.0</v>
      </c>
      <c r="P230" s="1">
        <v>0.0</v>
      </c>
      <c r="Q230" s="1">
        <v>0.0</v>
      </c>
      <c r="R230" s="1">
        <v>-12.0</v>
      </c>
      <c r="S230" s="1">
        <v>28.0</v>
      </c>
      <c r="T230" s="1">
        <v>2.0</v>
      </c>
    </row>
    <row r="231" ht="12.75" customHeight="1">
      <c r="A231" s="1" t="s">
        <v>261</v>
      </c>
      <c r="B231" s="1" t="str">
        <f>IFERROR(__xludf.DUMMYFUNCTION("split(A231, ""\"")"),"Alex Tuch")</f>
        <v>Alex Tuch</v>
      </c>
      <c r="C231" s="1" t="str">
        <f>IFERROR(__xludf.DUMMYFUNCTION("""COMPUTED_VALUE"""),"tuchal01")</f>
        <v>tuchal01</v>
      </c>
      <c r="D231" s="1" t="s">
        <v>36</v>
      </c>
      <c r="E231" s="1">
        <f t="shared" si="1"/>
        <v>209.3</v>
      </c>
      <c r="F231" s="1">
        <f t="shared" si="2"/>
        <v>2.68</v>
      </c>
      <c r="G231" s="1">
        <v>78.0</v>
      </c>
      <c r="H231" s="1">
        <v>15.0</v>
      </c>
      <c r="I231" s="1">
        <v>22.0</v>
      </c>
      <c r="J231" s="1">
        <v>37.0</v>
      </c>
      <c r="K231" s="1">
        <v>171.0</v>
      </c>
      <c r="L231" s="1">
        <v>99.0</v>
      </c>
      <c r="M231" s="1">
        <v>42.0</v>
      </c>
      <c r="N231" s="1">
        <v>4.0</v>
      </c>
      <c r="O231" s="1">
        <v>6.0</v>
      </c>
      <c r="P231" s="1">
        <v>0.0</v>
      </c>
      <c r="Q231" s="1">
        <v>0.0</v>
      </c>
      <c r="R231" s="1">
        <v>3.0</v>
      </c>
      <c r="S231" s="1">
        <v>27.0</v>
      </c>
      <c r="T231" s="1">
        <v>4.0</v>
      </c>
    </row>
    <row r="232" ht="12.75" customHeight="1">
      <c r="A232" s="1" t="s">
        <v>262</v>
      </c>
      <c r="B232" s="1" t="str">
        <f>IFERROR(__xludf.DUMMYFUNCTION("split(A232, ""\"")"),"Paul Byron")</f>
        <v>Paul Byron</v>
      </c>
      <c r="C232" s="1" t="str">
        <f>IFERROR(__xludf.DUMMYFUNCTION("""COMPUTED_VALUE"""),"byronpa01")</f>
        <v>byronpa01</v>
      </c>
      <c r="D232" s="1" t="s">
        <v>141</v>
      </c>
      <c r="E232" s="1">
        <f t="shared" si="1"/>
        <v>208.5</v>
      </c>
      <c r="F232" s="1">
        <f t="shared" si="2"/>
        <v>2.54</v>
      </c>
      <c r="G232" s="1">
        <v>82.0</v>
      </c>
      <c r="H232" s="1">
        <v>20.0</v>
      </c>
      <c r="I232" s="1">
        <v>15.0</v>
      </c>
      <c r="J232" s="1">
        <v>35.0</v>
      </c>
      <c r="K232" s="1">
        <v>115.0</v>
      </c>
      <c r="L232" s="1">
        <v>137.0</v>
      </c>
      <c r="M232" s="1">
        <v>55.0</v>
      </c>
      <c r="N232" s="1">
        <v>2.0</v>
      </c>
      <c r="O232" s="1">
        <v>2.0</v>
      </c>
      <c r="P232" s="1">
        <v>1.0</v>
      </c>
      <c r="Q232" s="1">
        <v>1.0</v>
      </c>
      <c r="R232" s="1">
        <v>-4.0</v>
      </c>
      <c r="S232" s="1">
        <v>23.0</v>
      </c>
      <c r="T232" s="1">
        <v>1.0</v>
      </c>
    </row>
    <row r="233" ht="12.75" customHeight="1">
      <c r="A233" s="1" t="s">
        <v>263</v>
      </c>
      <c r="B233" s="1" t="str">
        <f>IFERROR(__xludf.DUMMYFUNCTION("split(A233, ""\"")"),"Michael Grabner")</f>
        <v>Michael Grabner</v>
      </c>
      <c r="C233" s="1" t="str">
        <f>IFERROR(__xludf.DUMMYFUNCTION("""COMPUTED_VALUE"""),"grabnmi01")</f>
        <v>grabnmi01</v>
      </c>
      <c r="D233" s="1" t="s">
        <v>36</v>
      </c>
      <c r="E233" s="1">
        <f t="shared" si="1"/>
        <v>208.05</v>
      </c>
      <c r="F233" s="1">
        <f t="shared" si="2"/>
        <v>2.6</v>
      </c>
      <c r="G233" s="1">
        <v>80.0</v>
      </c>
      <c r="H233" s="1">
        <v>27.0</v>
      </c>
      <c r="I233" s="1">
        <v>9.0</v>
      </c>
      <c r="J233" s="1">
        <v>36.0</v>
      </c>
      <c r="K233" s="1">
        <v>167.0</v>
      </c>
      <c r="L233" s="1">
        <v>68.0</v>
      </c>
      <c r="M233" s="1">
        <v>37.0</v>
      </c>
      <c r="N233" s="1">
        <v>0.0</v>
      </c>
      <c r="O233" s="1">
        <v>1.0</v>
      </c>
      <c r="P233" s="1">
        <v>2.0</v>
      </c>
      <c r="Q233" s="1">
        <v>1.0</v>
      </c>
      <c r="R233" s="1">
        <v>11.0</v>
      </c>
      <c r="S233" s="1">
        <v>16.0</v>
      </c>
      <c r="T233" s="1">
        <v>3.0</v>
      </c>
    </row>
    <row r="234" ht="12.75" customHeight="1">
      <c r="A234" s="1" t="s">
        <v>264</v>
      </c>
      <c r="B234" s="1" t="str">
        <f>IFERROR(__xludf.DUMMYFUNCTION("split(A234, ""\"")"),"Brent Seabrook")</f>
        <v>Brent Seabrook</v>
      </c>
      <c r="C234" s="1" t="str">
        <f>IFERROR(__xludf.DUMMYFUNCTION("""COMPUTED_VALUE"""),"seabrbr01")</f>
        <v>seabrbr01</v>
      </c>
      <c r="D234" s="1" t="s">
        <v>66</v>
      </c>
      <c r="E234" s="1">
        <f t="shared" si="1"/>
        <v>206.75</v>
      </c>
      <c r="F234" s="1">
        <f t="shared" si="2"/>
        <v>2.55</v>
      </c>
      <c r="G234" s="1">
        <v>81.0</v>
      </c>
      <c r="H234" s="1">
        <v>7.0</v>
      </c>
      <c r="I234" s="1">
        <v>19.0</v>
      </c>
      <c r="J234" s="1">
        <v>26.0</v>
      </c>
      <c r="K234" s="1">
        <v>136.0</v>
      </c>
      <c r="L234" s="1">
        <v>85.0</v>
      </c>
      <c r="M234" s="1">
        <v>170.0</v>
      </c>
      <c r="N234" s="1">
        <v>2.0</v>
      </c>
      <c r="O234" s="1">
        <v>6.0</v>
      </c>
      <c r="P234" s="1">
        <v>0.0</v>
      </c>
      <c r="Q234" s="1">
        <v>0.0</v>
      </c>
      <c r="R234" s="1">
        <v>-3.0</v>
      </c>
      <c r="S234" s="1">
        <v>38.0</v>
      </c>
      <c r="T234" s="1">
        <v>0.0</v>
      </c>
    </row>
    <row r="235" ht="12.75" customHeight="1">
      <c r="A235" s="1" t="s">
        <v>265</v>
      </c>
      <c r="B235" s="1" t="str">
        <f>IFERROR(__xludf.DUMMYFUNCTION("split(A235, ""\"")"),"Pavel Buchnevich")</f>
        <v>Pavel Buchnevich</v>
      </c>
      <c r="C235" s="1" t="str">
        <f>IFERROR(__xludf.DUMMYFUNCTION("""COMPUTED_VALUE"""),"buchnpa01")</f>
        <v>buchnpa01</v>
      </c>
      <c r="D235" s="1" t="s">
        <v>28</v>
      </c>
      <c r="E235" s="1">
        <f t="shared" si="1"/>
        <v>206.25</v>
      </c>
      <c r="F235" s="1">
        <f t="shared" si="2"/>
        <v>2.79</v>
      </c>
      <c r="G235" s="1">
        <v>74.0</v>
      </c>
      <c r="H235" s="1">
        <v>14.0</v>
      </c>
      <c r="I235" s="1">
        <v>29.0</v>
      </c>
      <c r="J235" s="1">
        <v>43.0</v>
      </c>
      <c r="K235" s="1">
        <v>136.0</v>
      </c>
      <c r="L235" s="1">
        <v>51.0</v>
      </c>
      <c r="M235" s="1">
        <v>35.0</v>
      </c>
      <c r="N235" s="1">
        <v>5.0</v>
      </c>
      <c r="O235" s="1">
        <v>12.0</v>
      </c>
      <c r="P235" s="1">
        <v>0.0</v>
      </c>
      <c r="Q235" s="1">
        <v>0.0</v>
      </c>
      <c r="R235" s="1">
        <v>-3.0</v>
      </c>
      <c r="S235" s="1">
        <v>20.0</v>
      </c>
      <c r="T235" s="1">
        <v>4.0</v>
      </c>
    </row>
    <row r="236" ht="12.75" customHeight="1">
      <c r="A236" s="1" t="s">
        <v>266</v>
      </c>
      <c r="B236" s="1" t="str">
        <f>IFERROR(__xludf.DUMMYFUNCTION("split(A236, ""\"")"),"Dmitry Orlov")</f>
        <v>Dmitry Orlov</v>
      </c>
      <c r="C236" s="1" t="str">
        <f>IFERROR(__xludf.DUMMYFUNCTION("""COMPUTED_VALUE"""),"orlovdm01")</f>
        <v>orlovdm01</v>
      </c>
      <c r="D236" s="1" t="s">
        <v>66</v>
      </c>
      <c r="E236" s="1">
        <f t="shared" si="1"/>
        <v>206.15</v>
      </c>
      <c r="F236" s="1">
        <f t="shared" si="2"/>
        <v>2.51</v>
      </c>
      <c r="G236" s="1">
        <v>82.0</v>
      </c>
      <c r="H236" s="1">
        <v>10.0</v>
      </c>
      <c r="I236" s="1">
        <v>21.0</v>
      </c>
      <c r="J236" s="1">
        <v>31.0</v>
      </c>
      <c r="K236" s="1">
        <v>125.0</v>
      </c>
      <c r="L236" s="1">
        <v>128.0</v>
      </c>
      <c r="M236" s="1">
        <v>116.0</v>
      </c>
      <c r="N236" s="1">
        <v>0.0</v>
      </c>
      <c r="O236" s="1">
        <v>4.0</v>
      </c>
      <c r="P236" s="1">
        <v>0.0</v>
      </c>
      <c r="Q236" s="1">
        <v>0.0</v>
      </c>
      <c r="R236" s="1">
        <v>10.0</v>
      </c>
      <c r="S236" s="1">
        <v>22.0</v>
      </c>
      <c r="T236" s="1">
        <v>2.0</v>
      </c>
    </row>
    <row r="237" ht="12.75" customHeight="1">
      <c r="A237" s="1" t="s">
        <v>267</v>
      </c>
      <c r="B237" s="1" t="str">
        <f>IFERROR(__xludf.DUMMYFUNCTION("split(A237, ""\"")"),"Cody Ceci")</f>
        <v>Cody Ceci</v>
      </c>
      <c r="C237" s="1" t="str">
        <f>IFERROR(__xludf.DUMMYFUNCTION("""COMPUTED_VALUE"""),"cecico01")</f>
        <v>cecico01</v>
      </c>
      <c r="D237" s="1" t="s">
        <v>66</v>
      </c>
      <c r="E237" s="1">
        <f t="shared" si="1"/>
        <v>204.9</v>
      </c>
      <c r="F237" s="1">
        <f t="shared" si="2"/>
        <v>2.5</v>
      </c>
      <c r="G237" s="1">
        <v>82.0</v>
      </c>
      <c r="H237" s="1">
        <v>5.0</v>
      </c>
      <c r="I237" s="1">
        <v>14.0</v>
      </c>
      <c r="J237" s="1">
        <v>19.0</v>
      </c>
      <c r="K237" s="1">
        <v>143.0</v>
      </c>
      <c r="L237" s="1">
        <v>163.0</v>
      </c>
      <c r="M237" s="1">
        <v>171.0</v>
      </c>
      <c r="N237" s="1">
        <v>0.0</v>
      </c>
      <c r="O237" s="1">
        <v>5.0</v>
      </c>
      <c r="P237" s="1">
        <v>0.0</v>
      </c>
      <c r="Q237" s="1">
        <v>0.0</v>
      </c>
      <c r="R237" s="1">
        <v>-27.0</v>
      </c>
      <c r="S237" s="1">
        <v>12.0</v>
      </c>
      <c r="T237" s="1">
        <v>1.0</v>
      </c>
    </row>
    <row r="238" ht="12.75" customHeight="1">
      <c r="A238" s="1" t="s">
        <v>268</v>
      </c>
      <c r="B238" s="1" t="str">
        <f>IFERROR(__xludf.DUMMYFUNCTION("split(A238, ""\"")"),"Brandon Montour")</f>
        <v>Brandon Montour</v>
      </c>
      <c r="C238" s="1" t="str">
        <f>IFERROR(__xludf.DUMMYFUNCTION("""COMPUTED_VALUE"""),"montobr01")</f>
        <v>montobr01</v>
      </c>
      <c r="D238" s="1" t="s">
        <v>66</v>
      </c>
      <c r="E238" s="1">
        <f t="shared" si="1"/>
        <v>204.7</v>
      </c>
      <c r="F238" s="1">
        <f t="shared" si="2"/>
        <v>2.56</v>
      </c>
      <c r="G238" s="1">
        <v>80.0</v>
      </c>
      <c r="H238" s="1">
        <v>9.0</v>
      </c>
      <c r="I238" s="1">
        <v>23.0</v>
      </c>
      <c r="J238" s="1">
        <v>32.0</v>
      </c>
      <c r="K238" s="1">
        <v>160.0</v>
      </c>
      <c r="L238" s="1">
        <v>96.0</v>
      </c>
      <c r="M238" s="1">
        <v>83.0</v>
      </c>
      <c r="N238" s="1">
        <v>5.0</v>
      </c>
      <c r="O238" s="1">
        <v>7.0</v>
      </c>
      <c r="P238" s="1">
        <v>1.0</v>
      </c>
      <c r="Q238" s="1">
        <v>1.0</v>
      </c>
      <c r="R238" s="1">
        <v>16.0</v>
      </c>
      <c r="S238" s="1">
        <v>42.0</v>
      </c>
      <c r="T238" s="1">
        <v>5.0</v>
      </c>
    </row>
    <row r="239" ht="12.75" customHeight="1">
      <c r="A239" s="1" t="s">
        <v>269</v>
      </c>
      <c r="B239" s="1" t="str">
        <f>IFERROR(__xludf.DUMMYFUNCTION("split(A239, ""\"")"),"Riley Nash")</f>
        <v>Riley Nash</v>
      </c>
      <c r="C239" s="1" t="str">
        <f>IFERROR(__xludf.DUMMYFUNCTION("""COMPUTED_VALUE"""),"nashri02")</f>
        <v>nashri02</v>
      </c>
      <c r="D239" s="1" t="s">
        <v>31</v>
      </c>
      <c r="E239" s="1">
        <f t="shared" si="1"/>
        <v>204.55</v>
      </c>
      <c r="F239" s="1">
        <f t="shared" si="2"/>
        <v>2.69</v>
      </c>
      <c r="G239" s="1">
        <v>76.0</v>
      </c>
      <c r="H239" s="1">
        <v>15.0</v>
      </c>
      <c r="I239" s="1">
        <v>26.0</v>
      </c>
      <c r="J239" s="1">
        <v>41.0</v>
      </c>
      <c r="K239" s="1">
        <v>113.0</v>
      </c>
      <c r="L239" s="1">
        <v>86.0</v>
      </c>
      <c r="M239" s="1">
        <v>67.0</v>
      </c>
      <c r="N239" s="1">
        <v>2.0</v>
      </c>
      <c r="O239" s="1">
        <v>1.0</v>
      </c>
      <c r="P239" s="1">
        <v>0.0</v>
      </c>
      <c r="Q239" s="1">
        <v>0.0</v>
      </c>
      <c r="R239" s="1">
        <v>16.0</v>
      </c>
      <c r="S239" s="1">
        <v>18.0</v>
      </c>
      <c r="T239" s="1">
        <v>1.0</v>
      </c>
    </row>
    <row r="240" ht="12.75" customHeight="1">
      <c r="A240" s="1" t="s">
        <v>270</v>
      </c>
      <c r="B240" s="1" t="str">
        <f>IFERROR(__xludf.DUMMYFUNCTION("split(A240, ""\"")"),"Erik Johnson")</f>
        <v>Erik Johnson</v>
      </c>
      <c r="C240" s="1" t="str">
        <f>IFERROR(__xludf.DUMMYFUNCTION("""COMPUTED_VALUE"""),"johnser01")</f>
        <v>johnser01</v>
      </c>
      <c r="D240" s="1" t="s">
        <v>66</v>
      </c>
      <c r="E240" s="1">
        <f t="shared" si="1"/>
        <v>204.5</v>
      </c>
      <c r="F240" s="1">
        <f t="shared" si="2"/>
        <v>3.3</v>
      </c>
      <c r="G240" s="1">
        <v>62.0</v>
      </c>
      <c r="H240" s="1">
        <v>9.0</v>
      </c>
      <c r="I240" s="1">
        <v>16.0</v>
      </c>
      <c r="J240" s="1">
        <v>25.0</v>
      </c>
      <c r="K240" s="1">
        <v>168.0</v>
      </c>
      <c r="L240" s="1">
        <v>114.0</v>
      </c>
      <c r="M240" s="1">
        <v>135.0</v>
      </c>
      <c r="N240" s="1">
        <v>0.0</v>
      </c>
      <c r="O240" s="1">
        <v>3.0</v>
      </c>
      <c r="P240" s="1">
        <v>0.0</v>
      </c>
      <c r="Q240" s="1">
        <v>1.0</v>
      </c>
      <c r="R240" s="1">
        <v>3.0</v>
      </c>
      <c r="S240" s="1">
        <v>58.0</v>
      </c>
      <c r="T240" s="1">
        <v>3.0</v>
      </c>
    </row>
    <row r="241" ht="12.75" customHeight="1">
      <c r="A241" s="1" t="s">
        <v>271</v>
      </c>
      <c r="B241" s="1" t="str">
        <f>IFERROR(__xludf.DUMMYFUNCTION("split(A241, ""\"")"),"Jake Debrusk")</f>
        <v>Jake Debrusk</v>
      </c>
      <c r="C241" s="1" t="str">
        <f>IFERROR(__xludf.DUMMYFUNCTION("""COMPUTED_VALUE"""),"debruja01")</f>
        <v>debruja01</v>
      </c>
      <c r="D241" s="1" t="s">
        <v>28</v>
      </c>
      <c r="E241" s="1">
        <f t="shared" si="1"/>
        <v>204.15</v>
      </c>
      <c r="F241" s="1">
        <f t="shared" si="2"/>
        <v>2.92</v>
      </c>
      <c r="G241" s="1">
        <v>70.0</v>
      </c>
      <c r="H241" s="1">
        <v>16.0</v>
      </c>
      <c r="I241" s="1">
        <v>27.0</v>
      </c>
      <c r="J241" s="1">
        <v>43.0</v>
      </c>
      <c r="K241" s="1">
        <v>143.0</v>
      </c>
      <c r="L241" s="1">
        <v>70.0</v>
      </c>
      <c r="M241" s="1">
        <v>26.0</v>
      </c>
      <c r="N241" s="1">
        <v>2.0</v>
      </c>
      <c r="O241" s="1">
        <v>7.0</v>
      </c>
      <c r="P241" s="1">
        <v>0.0</v>
      </c>
      <c r="Q241" s="1">
        <v>0.0</v>
      </c>
      <c r="R241" s="1">
        <v>13.0</v>
      </c>
      <c r="S241" s="1">
        <v>19.0</v>
      </c>
      <c r="T241" s="1">
        <v>5.0</v>
      </c>
    </row>
    <row r="242" ht="12.75" customHeight="1">
      <c r="A242" s="1" t="s">
        <v>272</v>
      </c>
      <c r="B242" s="1" t="str">
        <f>IFERROR(__xludf.DUMMYFUNCTION("split(A242, ""\"")"),"Josh Morrissey")</f>
        <v>Josh Morrissey</v>
      </c>
      <c r="C242" s="1" t="str">
        <f>IFERROR(__xludf.DUMMYFUNCTION("""COMPUTED_VALUE"""),"morrijo04")</f>
        <v>morrijo04</v>
      </c>
      <c r="D242" s="1" t="s">
        <v>66</v>
      </c>
      <c r="E242" s="1">
        <f t="shared" si="1"/>
        <v>203.95</v>
      </c>
      <c r="F242" s="1">
        <f t="shared" si="2"/>
        <v>2.52</v>
      </c>
      <c r="G242" s="1">
        <v>81.0</v>
      </c>
      <c r="H242" s="1">
        <v>7.0</v>
      </c>
      <c r="I242" s="1">
        <v>19.0</v>
      </c>
      <c r="J242" s="1">
        <v>26.0</v>
      </c>
      <c r="K242" s="1">
        <v>102.0</v>
      </c>
      <c r="L242" s="1">
        <v>139.0</v>
      </c>
      <c r="M242" s="1">
        <v>168.0</v>
      </c>
      <c r="N242" s="1">
        <v>0.0</v>
      </c>
      <c r="O242" s="1">
        <v>1.0</v>
      </c>
      <c r="P242" s="1">
        <v>0.0</v>
      </c>
      <c r="Q242" s="1">
        <v>0.0</v>
      </c>
      <c r="R242" s="1">
        <v>15.0</v>
      </c>
      <c r="S242" s="1">
        <v>47.0</v>
      </c>
      <c r="T242" s="1">
        <v>0.0</v>
      </c>
    </row>
    <row r="243" ht="12.75" customHeight="1">
      <c r="A243" s="1" t="s">
        <v>273</v>
      </c>
      <c r="B243" s="1" t="str">
        <f>IFERROR(__xludf.DUMMYFUNCTION("split(A243, ""\"")"),"Carl Soderberg")</f>
        <v>Carl Soderberg</v>
      </c>
      <c r="C243" s="1" t="str">
        <f>IFERROR(__xludf.DUMMYFUNCTION("""COMPUTED_VALUE"""),"soderca01")</f>
        <v>soderca01</v>
      </c>
      <c r="D243" s="1" t="s">
        <v>31</v>
      </c>
      <c r="E243" s="1">
        <f t="shared" si="1"/>
        <v>203.35</v>
      </c>
      <c r="F243" s="1">
        <f t="shared" si="2"/>
        <v>2.64</v>
      </c>
      <c r="G243" s="1">
        <v>77.0</v>
      </c>
      <c r="H243" s="1">
        <v>16.0</v>
      </c>
      <c r="I243" s="1">
        <v>21.0</v>
      </c>
      <c r="J243" s="1">
        <v>37.0</v>
      </c>
      <c r="K243" s="1">
        <v>150.0</v>
      </c>
      <c r="L243" s="1">
        <v>71.0</v>
      </c>
      <c r="M243" s="1">
        <v>64.0</v>
      </c>
      <c r="N243" s="1">
        <v>3.0</v>
      </c>
      <c r="O243" s="1">
        <v>2.0</v>
      </c>
      <c r="P243" s="1">
        <v>0.0</v>
      </c>
      <c r="Q243" s="1">
        <v>1.0</v>
      </c>
      <c r="R243" s="1">
        <v>0.0</v>
      </c>
      <c r="S243" s="1">
        <v>26.0</v>
      </c>
      <c r="T243" s="1">
        <v>3.0</v>
      </c>
    </row>
    <row r="244" ht="12.75" customHeight="1">
      <c r="A244" s="1" t="s">
        <v>274</v>
      </c>
      <c r="B244" s="1" t="str">
        <f>IFERROR(__xludf.DUMMYFUNCTION("split(A244, ""\"")"),"Justin Abdelkader")</f>
        <v>Justin Abdelkader</v>
      </c>
      <c r="C244" s="1" t="str">
        <f>IFERROR(__xludf.DUMMYFUNCTION("""COMPUTED_VALUE"""),"abdelju01")</f>
        <v>abdelju01</v>
      </c>
      <c r="D244" s="1" t="s">
        <v>28</v>
      </c>
      <c r="E244" s="1">
        <f t="shared" si="1"/>
        <v>203</v>
      </c>
      <c r="F244" s="1">
        <f t="shared" si="2"/>
        <v>2.71</v>
      </c>
      <c r="G244" s="1">
        <v>75.0</v>
      </c>
      <c r="H244" s="1">
        <v>13.0</v>
      </c>
      <c r="I244" s="1">
        <v>22.0</v>
      </c>
      <c r="J244" s="1">
        <v>35.0</v>
      </c>
      <c r="K244" s="1">
        <v>110.0</v>
      </c>
      <c r="L244" s="1">
        <v>174.0</v>
      </c>
      <c r="M244" s="1">
        <v>40.0</v>
      </c>
      <c r="N244" s="1">
        <v>4.0</v>
      </c>
      <c r="O244" s="1">
        <v>5.0</v>
      </c>
      <c r="P244" s="1">
        <v>0.0</v>
      </c>
      <c r="Q244" s="1">
        <v>0.0</v>
      </c>
      <c r="R244" s="1">
        <v>-11.0</v>
      </c>
      <c r="S244" s="1">
        <v>78.0</v>
      </c>
      <c r="T244" s="1">
        <v>0.0</v>
      </c>
    </row>
    <row r="245" ht="12.75" customHeight="1">
      <c r="A245" s="1" t="s">
        <v>275</v>
      </c>
      <c r="B245" s="1" t="str">
        <f>IFERROR(__xludf.DUMMYFUNCTION("split(A245, ""\"")"),"Christian Dvorak")</f>
        <v>Christian Dvorak</v>
      </c>
      <c r="C245" s="1" t="str">
        <f>IFERROR(__xludf.DUMMYFUNCTION("""COMPUTED_VALUE"""),"dvorach01")</f>
        <v>dvorach01</v>
      </c>
      <c r="D245" s="1" t="s">
        <v>28</v>
      </c>
      <c r="E245" s="1">
        <f t="shared" si="1"/>
        <v>201.95</v>
      </c>
      <c r="F245" s="1">
        <f t="shared" si="2"/>
        <v>2.59</v>
      </c>
      <c r="G245" s="1">
        <v>78.0</v>
      </c>
      <c r="H245" s="1">
        <v>15.0</v>
      </c>
      <c r="I245" s="1">
        <v>22.0</v>
      </c>
      <c r="J245" s="1">
        <v>37.0</v>
      </c>
      <c r="K245" s="1">
        <v>151.0</v>
      </c>
      <c r="L245" s="1">
        <v>92.0</v>
      </c>
      <c r="M245" s="1">
        <v>48.0</v>
      </c>
      <c r="N245" s="1">
        <v>2.0</v>
      </c>
      <c r="O245" s="1">
        <v>5.0</v>
      </c>
      <c r="P245" s="1">
        <v>0.0</v>
      </c>
      <c r="Q245" s="1">
        <v>0.0</v>
      </c>
      <c r="R245" s="1">
        <v>-19.0</v>
      </c>
      <c r="S245" s="1">
        <v>22.0</v>
      </c>
      <c r="T245" s="1">
        <v>2.0</v>
      </c>
    </row>
    <row r="246" ht="12.75" customHeight="1">
      <c r="A246" s="1" t="s">
        <v>276</v>
      </c>
      <c r="B246" s="1" t="str">
        <f>IFERROR(__xludf.DUMMYFUNCTION("split(A246, ""\"")"),"Ryan Dzingel")</f>
        <v>Ryan Dzingel</v>
      </c>
      <c r="C246" s="1" t="str">
        <f>IFERROR(__xludf.DUMMYFUNCTION("""COMPUTED_VALUE"""),"dzingry01")</f>
        <v>dzingry01</v>
      </c>
      <c r="D246" s="1" t="s">
        <v>31</v>
      </c>
      <c r="E246" s="1">
        <f t="shared" si="1"/>
        <v>201.6</v>
      </c>
      <c r="F246" s="1">
        <f t="shared" si="2"/>
        <v>2.55</v>
      </c>
      <c r="G246" s="1">
        <v>79.0</v>
      </c>
      <c r="H246" s="1">
        <v>23.0</v>
      </c>
      <c r="I246" s="1">
        <v>18.0</v>
      </c>
      <c r="J246" s="1">
        <v>41.0</v>
      </c>
      <c r="K246" s="1">
        <v>136.0</v>
      </c>
      <c r="L246" s="1">
        <v>60.0</v>
      </c>
      <c r="M246" s="1">
        <v>19.0</v>
      </c>
      <c r="N246" s="1">
        <v>4.0</v>
      </c>
      <c r="O246" s="1">
        <v>4.0</v>
      </c>
      <c r="P246" s="1">
        <v>0.0</v>
      </c>
      <c r="Q246" s="1">
        <v>0.0</v>
      </c>
      <c r="R246" s="1">
        <v>-17.0</v>
      </c>
      <c r="S246" s="1">
        <v>35.0</v>
      </c>
      <c r="T246" s="1">
        <v>2.0</v>
      </c>
    </row>
    <row r="247" ht="12.75" customHeight="1">
      <c r="A247" s="1" t="s">
        <v>277</v>
      </c>
      <c r="B247" s="1" t="str">
        <f>IFERROR(__xludf.DUMMYFUNCTION("split(A247, ""\"")"),"Bryan Little")</f>
        <v>Bryan Little</v>
      </c>
      <c r="C247" s="1" t="str">
        <f>IFERROR(__xludf.DUMMYFUNCTION("""COMPUTED_VALUE"""),"littlbr01")</f>
        <v>littlbr01</v>
      </c>
      <c r="D247" s="1" t="s">
        <v>36</v>
      </c>
      <c r="E247" s="1">
        <f t="shared" si="1"/>
        <v>201.45</v>
      </c>
      <c r="F247" s="1">
        <f t="shared" si="2"/>
        <v>2.46</v>
      </c>
      <c r="G247" s="1">
        <v>82.0</v>
      </c>
      <c r="H247" s="1">
        <v>16.0</v>
      </c>
      <c r="I247" s="1">
        <v>27.0</v>
      </c>
      <c r="J247" s="1">
        <v>43.0</v>
      </c>
      <c r="K247" s="1">
        <v>129.0</v>
      </c>
      <c r="L247" s="1">
        <v>50.0</v>
      </c>
      <c r="M247" s="1">
        <v>33.0</v>
      </c>
      <c r="N247" s="1">
        <v>2.0</v>
      </c>
      <c r="O247" s="1">
        <v>10.0</v>
      </c>
      <c r="P247" s="1">
        <v>0.0</v>
      </c>
      <c r="Q247" s="1">
        <v>0.0</v>
      </c>
      <c r="R247" s="1">
        <v>2.0</v>
      </c>
      <c r="S247" s="1">
        <v>28.0</v>
      </c>
      <c r="T247" s="1">
        <v>2.0</v>
      </c>
    </row>
    <row r="248" ht="12.75" customHeight="1">
      <c r="A248" s="1" t="s">
        <v>278</v>
      </c>
      <c r="B248" s="1" t="str">
        <f>IFERROR(__xludf.DUMMYFUNCTION("split(A248, ""\"")"),"Sami Vatanen")</f>
        <v>Sami Vatanen</v>
      </c>
      <c r="C248" s="1" t="str">
        <f>IFERROR(__xludf.DUMMYFUNCTION("""COMPUTED_VALUE"""),"vatansa01")</f>
        <v>vatansa01</v>
      </c>
      <c r="D248" s="1" t="s">
        <v>66</v>
      </c>
      <c r="E248" s="1">
        <f t="shared" si="1"/>
        <v>201.25</v>
      </c>
      <c r="F248" s="1">
        <f t="shared" si="2"/>
        <v>2.8</v>
      </c>
      <c r="G248" s="1">
        <v>72.0</v>
      </c>
      <c r="H248" s="1">
        <v>4.0</v>
      </c>
      <c r="I248" s="1">
        <v>28.0</v>
      </c>
      <c r="J248" s="1">
        <v>32.0</v>
      </c>
      <c r="K248" s="1">
        <v>145.0</v>
      </c>
      <c r="L248" s="1">
        <v>92.0</v>
      </c>
      <c r="M248" s="1">
        <v>105.0</v>
      </c>
      <c r="N248" s="1">
        <v>1.0</v>
      </c>
      <c r="O248" s="1">
        <v>12.0</v>
      </c>
      <c r="P248" s="1">
        <v>0.0</v>
      </c>
      <c r="Q248" s="1">
        <v>1.0</v>
      </c>
      <c r="R248" s="1">
        <v>-7.0</v>
      </c>
      <c r="S248" s="1">
        <v>40.0</v>
      </c>
      <c r="T248" s="1">
        <v>0.0</v>
      </c>
    </row>
    <row r="249" ht="12.75" customHeight="1">
      <c r="A249" s="1" t="s">
        <v>279</v>
      </c>
      <c r="B249" s="1" t="str">
        <f>IFERROR(__xludf.DUMMYFUNCTION("split(A249, ""\"")"),"Jaccob Slavin")</f>
        <v>Jaccob Slavin</v>
      </c>
      <c r="C249" s="1" t="str">
        <f>IFERROR(__xludf.DUMMYFUNCTION("""COMPUTED_VALUE"""),"slavija01")</f>
        <v>slavija01</v>
      </c>
      <c r="D249" s="1" t="s">
        <v>66</v>
      </c>
      <c r="E249" s="1">
        <f t="shared" si="1"/>
        <v>200.85</v>
      </c>
      <c r="F249" s="1">
        <f t="shared" si="2"/>
        <v>2.45</v>
      </c>
      <c r="G249" s="1">
        <v>82.0</v>
      </c>
      <c r="H249" s="1">
        <v>8.0</v>
      </c>
      <c r="I249" s="1">
        <v>22.0</v>
      </c>
      <c r="J249" s="1">
        <v>30.0</v>
      </c>
      <c r="K249" s="1">
        <v>154.0</v>
      </c>
      <c r="L249" s="1">
        <v>47.0</v>
      </c>
      <c r="M249" s="1">
        <v>154.0</v>
      </c>
      <c r="N249" s="1">
        <v>1.0</v>
      </c>
      <c r="O249" s="1">
        <v>1.0</v>
      </c>
      <c r="P249" s="1">
        <v>0.0</v>
      </c>
      <c r="Q249" s="1">
        <v>0.0</v>
      </c>
      <c r="R249" s="1">
        <v>1.0</v>
      </c>
      <c r="S249" s="1">
        <v>10.0</v>
      </c>
      <c r="T249" s="1">
        <v>1.0</v>
      </c>
    </row>
    <row r="250" ht="12.75" customHeight="1">
      <c r="A250" s="1" t="s">
        <v>280</v>
      </c>
      <c r="B250" s="1" t="str">
        <f>IFERROR(__xludf.DUMMYFUNCTION("split(A250, ""\"")"),"David Krejci")</f>
        <v>David Krejci</v>
      </c>
      <c r="C250" s="1" t="str">
        <f>IFERROR(__xludf.DUMMYFUNCTION("""COMPUTED_VALUE"""),"krejcda01")</f>
        <v>krejcda01</v>
      </c>
      <c r="D250" s="1" t="s">
        <v>31</v>
      </c>
      <c r="E250" s="1">
        <f t="shared" si="1"/>
        <v>200</v>
      </c>
      <c r="F250" s="1">
        <f t="shared" si="2"/>
        <v>3.13</v>
      </c>
      <c r="G250" s="1">
        <v>64.0</v>
      </c>
      <c r="H250" s="1">
        <v>17.0</v>
      </c>
      <c r="I250" s="1">
        <v>27.0</v>
      </c>
      <c r="J250" s="1">
        <v>44.0</v>
      </c>
      <c r="K250" s="1">
        <v>119.0</v>
      </c>
      <c r="L250" s="1">
        <v>31.0</v>
      </c>
      <c r="M250" s="1">
        <v>35.0</v>
      </c>
      <c r="N250" s="1">
        <v>7.0</v>
      </c>
      <c r="O250" s="1">
        <v>6.0</v>
      </c>
      <c r="P250" s="1">
        <v>0.0</v>
      </c>
      <c r="Q250" s="1">
        <v>0.0</v>
      </c>
      <c r="R250" s="1">
        <v>10.0</v>
      </c>
      <c r="S250" s="1">
        <v>18.0</v>
      </c>
      <c r="T250" s="1">
        <v>2.0</v>
      </c>
    </row>
    <row r="251" ht="12.75" customHeight="1">
      <c r="A251" s="1" t="s">
        <v>281</v>
      </c>
      <c r="B251" s="1" t="str">
        <f>IFERROR(__xludf.DUMMYFUNCTION("split(A251, ""\"")"),"Tomas Tatar")</f>
        <v>Tomas Tatar</v>
      </c>
      <c r="C251" s="1" t="str">
        <f>IFERROR(__xludf.DUMMYFUNCTION("""COMPUTED_VALUE"""),"tatarto01")</f>
        <v>tatarto01</v>
      </c>
      <c r="D251" s="1" t="s">
        <v>31</v>
      </c>
      <c r="E251" s="1">
        <f t="shared" si="1"/>
        <v>199.85</v>
      </c>
      <c r="F251" s="1">
        <f t="shared" si="2"/>
        <v>2.44</v>
      </c>
      <c r="G251" s="1">
        <v>82.0</v>
      </c>
      <c r="H251" s="1">
        <v>20.0</v>
      </c>
      <c r="I251" s="1">
        <v>14.0</v>
      </c>
      <c r="J251" s="1">
        <v>34.0</v>
      </c>
      <c r="K251" s="1">
        <v>174.0</v>
      </c>
      <c r="L251" s="1">
        <v>67.0</v>
      </c>
      <c r="M251" s="1">
        <v>29.0</v>
      </c>
      <c r="N251" s="1">
        <v>9.0</v>
      </c>
      <c r="O251" s="1">
        <v>4.0</v>
      </c>
      <c r="P251" s="1">
        <v>0.0</v>
      </c>
      <c r="Q251" s="1">
        <v>0.0</v>
      </c>
      <c r="R251" s="1">
        <v>-19.0</v>
      </c>
      <c r="S251" s="1">
        <v>34.0</v>
      </c>
      <c r="T251" s="1">
        <v>4.0</v>
      </c>
    </row>
    <row r="252" ht="12.75" customHeight="1">
      <c r="A252" s="1" t="s">
        <v>282</v>
      </c>
      <c r="B252" s="1" t="str">
        <f>IFERROR(__xludf.DUMMYFUNCTION("split(A252, ""\"")"),"Hampus Lindholm")</f>
        <v>Hampus Lindholm</v>
      </c>
      <c r="C252" s="1" t="str">
        <f>IFERROR(__xludf.DUMMYFUNCTION("""COMPUTED_VALUE"""),"lindhha01")</f>
        <v>lindhha01</v>
      </c>
      <c r="D252" s="1" t="s">
        <v>66</v>
      </c>
      <c r="E252" s="1">
        <f t="shared" si="1"/>
        <v>199.8</v>
      </c>
      <c r="F252" s="1">
        <f t="shared" si="2"/>
        <v>2.9</v>
      </c>
      <c r="G252" s="1">
        <v>69.0</v>
      </c>
      <c r="H252" s="1">
        <v>13.0</v>
      </c>
      <c r="I252" s="1">
        <v>18.0</v>
      </c>
      <c r="J252" s="1">
        <v>31.0</v>
      </c>
      <c r="K252" s="1">
        <v>131.0</v>
      </c>
      <c r="L252" s="1">
        <v>93.0</v>
      </c>
      <c r="M252" s="1">
        <v>97.0</v>
      </c>
      <c r="N252" s="1">
        <v>3.0</v>
      </c>
      <c r="O252" s="1">
        <v>5.0</v>
      </c>
      <c r="P252" s="1">
        <v>0.0</v>
      </c>
      <c r="Q252" s="1">
        <v>0.0</v>
      </c>
      <c r="R252" s="1">
        <v>16.0</v>
      </c>
      <c r="S252" s="1">
        <v>34.0</v>
      </c>
      <c r="T252" s="1">
        <v>3.0</v>
      </c>
    </row>
    <row r="253" ht="12.75" customHeight="1">
      <c r="A253" s="1" t="s">
        <v>283</v>
      </c>
      <c r="B253" s="1" t="str">
        <f>IFERROR(__xludf.DUMMYFUNCTION("split(A253, ""\"")"),"Oliver Bjorkstrand")</f>
        <v>Oliver Bjorkstrand</v>
      </c>
      <c r="C253" s="1" t="str">
        <f>IFERROR(__xludf.DUMMYFUNCTION("""COMPUTED_VALUE"""),"bjorkol01")</f>
        <v>bjorkol01</v>
      </c>
      <c r="D253" s="1" t="s">
        <v>36</v>
      </c>
      <c r="E253" s="1">
        <f t="shared" si="1"/>
        <v>199.45</v>
      </c>
      <c r="F253" s="1">
        <f t="shared" si="2"/>
        <v>2.43</v>
      </c>
      <c r="G253" s="1">
        <v>82.0</v>
      </c>
      <c r="H253" s="1">
        <v>11.0</v>
      </c>
      <c r="I253" s="1">
        <v>29.0</v>
      </c>
      <c r="J253" s="1">
        <v>40.0</v>
      </c>
      <c r="K253" s="1">
        <v>163.0</v>
      </c>
      <c r="L253" s="1">
        <v>64.0</v>
      </c>
      <c r="M253" s="1">
        <v>43.0</v>
      </c>
      <c r="N253" s="1">
        <v>3.0</v>
      </c>
      <c r="O253" s="1">
        <v>6.0</v>
      </c>
      <c r="P253" s="1">
        <v>0.0</v>
      </c>
      <c r="Q253" s="1">
        <v>0.0</v>
      </c>
      <c r="R253" s="1">
        <v>4.0</v>
      </c>
      <c r="S253" s="1">
        <v>9.0</v>
      </c>
      <c r="T253" s="1">
        <v>2.0</v>
      </c>
    </row>
    <row r="254" ht="12.75" customHeight="1">
      <c r="A254" s="1" t="s">
        <v>284</v>
      </c>
      <c r="B254" s="1" t="str">
        <f>IFERROR(__xludf.DUMMYFUNCTION("split(A254, ""\"")"),"Blake Coleman")</f>
        <v>Blake Coleman</v>
      </c>
      <c r="C254" s="1" t="str">
        <f>IFERROR(__xludf.DUMMYFUNCTION("""COMPUTED_VALUE"""),"colembl01")</f>
        <v>colembl01</v>
      </c>
      <c r="D254" s="1" t="s">
        <v>31</v>
      </c>
      <c r="E254" s="1">
        <f t="shared" si="1"/>
        <v>198.3</v>
      </c>
      <c r="F254" s="1">
        <f t="shared" si="2"/>
        <v>2.51</v>
      </c>
      <c r="G254" s="1">
        <v>79.0</v>
      </c>
      <c r="H254" s="1">
        <v>13.0</v>
      </c>
      <c r="I254" s="1">
        <v>12.0</v>
      </c>
      <c r="J254" s="1">
        <v>25.0</v>
      </c>
      <c r="K254" s="1">
        <v>146.0</v>
      </c>
      <c r="L254" s="1">
        <v>216.0</v>
      </c>
      <c r="M254" s="1">
        <v>57.0</v>
      </c>
      <c r="N254" s="1">
        <v>0.0</v>
      </c>
      <c r="O254" s="1">
        <v>0.0</v>
      </c>
      <c r="P254" s="1">
        <v>3.0</v>
      </c>
      <c r="Q254" s="1">
        <v>0.0</v>
      </c>
      <c r="R254" s="1">
        <v>7.0</v>
      </c>
      <c r="S254" s="1">
        <v>50.0</v>
      </c>
      <c r="T254" s="1">
        <v>2.0</v>
      </c>
    </row>
    <row r="255" ht="12.75" customHeight="1">
      <c r="A255" s="1" t="s">
        <v>285</v>
      </c>
      <c r="B255" s="1" t="str">
        <f>IFERROR(__xludf.DUMMYFUNCTION("split(A255, ""\"")"),"Chris Kreider")</f>
        <v>Chris Kreider</v>
      </c>
      <c r="C255" s="1" t="str">
        <f>IFERROR(__xludf.DUMMYFUNCTION("""COMPUTED_VALUE"""),"kreidch01")</f>
        <v>kreidch01</v>
      </c>
      <c r="D255" s="1" t="s">
        <v>31</v>
      </c>
      <c r="E255" s="1">
        <f t="shared" si="1"/>
        <v>198.1</v>
      </c>
      <c r="F255" s="1">
        <f t="shared" si="2"/>
        <v>3.42</v>
      </c>
      <c r="G255" s="1">
        <v>58.0</v>
      </c>
      <c r="H255" s="1">
        <v>16.0</v>
      </c>
      <c r="I255" s="1">
        <v>21.0</v>
      </c>
      <c r="J255" s="1">
        <v>37.0</v>
      </c>
      <c r="K255" s="1">
        <v>137.0</v>
      </c>
      <c r="L255" s="1">
        <v>103.0</v>
      </c>
      <c r="M255" s="1">
        <v>24.0</v>
      </c>
      <c r="N255" s="1">
        <v>7.0</v>
      </c>
      <c r="O255" s="1">
        <v>5.0</v>
      </c>
      <c r="P255" s="1">
        <v>0.0</v>
      </c>
      <c r="Q255" s="1">
        <v>0.0</v>
      </c>
      <c r="R255" s="1">
        <v>-2.0</v>
      </c>
      <c r="S255" s="1">
        <v>44.0</v>
      </c>
      <c r="T255" s="1">
        <v>0.0</v>
      </c>
    </row>
    <row r="256" ht="12.75" customHeight="1">
      <c r="A256" s="1" t="s">
        <v>286</v>
      </c>
      <c r="B256" s="1" t="str">
        <f>IFERROR(__xludf.DUMMYFUNCTION("split(A256, ""\"")"),"Alexander Kerfoot")</f>
        <v>Alexander Kerfoot</v>
      </c>
      <c r="C256" s="1" t="str">
        <f>IFERROR(__xludf.DUMMYFUNCTION("""COMPUTED_VALUE"""),"kerfoal01")</f>
        <v>kerfoal01</v>
      </c>
      <c r="D256" s="1" t="s">
        <v>31</v>
      </c>
      <c r="E256" s="1">
        <f t="shared" si="1"/>
        <v>197.75</v>
      </c>
      <c r="F256" s="1">
        <f t="shared" si="2"/>
        <v>2.5</v>
      </c>
      <c r="G256" s="1">
        <v>79.0</v>
      </c>
      <c r="H256" s="1">
        <v>19.0</v>
      </c>
      <c r="I256" s="1">
        <v>24.0</v>
      </c>
      <c r="J256" s="1">
        <v>43.0</v>
      </c>
      <c r="K256" s="1">
        <v>81.0</v>
      </c>
      <c r="L256" s="1">
        <v>42.0</v>
      </c>
      <c r="M256" s="1">
        <v>35.0</v>
      </c>
      <c r="N256" s="1">
        <v>5.0</v>
      </c>
      <c r="O256" s="1">
        <v>12.0</v>
      </c>
      <c r="P256" s="1">
        <v>0.0</v>
      </c>
      <c r="Q256" s="1">
        <v>0.0</v>
      </c>
      <c r="R256" s="1">
        <v>-7.0</v>
      </c>
      <c r="S256" s="1">
        <v>28.0</v>
      </c>
      <c r="T256" s="1">
        <v>0.0</v>
      </c>
    </row>
    <row r="257" ht="12.75" customHeight="1">
      <c r="A257" s="1" t="s">
        <v>287</v>
      </c>
      <c r="B257" s="1" t="str">
        <f>IFERROR(__xludf.DUMMYFUNCTION("split(A257, ""\"")"),"Richard Panik")</f>
        <v>Richard Panik</v>
      </c>
      <c r="C257" s="1" t="str">
        <f>IFERROR(__xludf.DUMMYFUNCTION("""COMPUTED_VALUE"""),"panikri01")</f>
        <v>panikri01</v>
      </c>
      <c r="D257" s="1" t="s">
        <v>36</v>
      </c>
      <c r="E257" s="1">
        <f t="shared" si="1"/>
        <v>197.55</v>
      </c>
      <c r="F257" s="1">
        <f t="shared" si="2"/>
        <v>2.74</v>
      </c>
      <c r="G257" s="1">
        <v>72.0</v>
      </c>
      <c r="H257" s="1">
        <v>14.0</v>
      </c>
      <c r="I257" s="1">
        <v>21.0</v>
      </c>
      <c r="J257" s="1">
        <v>35.0</v>
      </c>
      <c r="K257" s="1">
        <v>136.0</v>
      </c>
      <c r="L257" s="1">
        <v>137.0</v>
      </c>
      <c r="M257" s="1">
        <v>37.0</v>
      </c>
      <c r="N257" s="1">
        <v>4.0</v>
      </c>
      <c r="O257" s="1">
        <v>2.0</v>
      </c>
      <c r="P257" s="1">
        <v>0.0</v>
      </c>
      <c r="Q257" s="1">
        <v>0.0</v>
      </c>
      <c r="R257" s="1">
        <v>7.0</v>
      </c>
      <c r="S257" s="1">
        <v>38.0</v>
      </c>
      <c r="T257" s="1">
        <v>0.0</v>
      </c>
    </row>
    <row r="258" ht="12.75" customHeight="1">
      <c r="A258" s="1" t="s">
        <v>288</v>
      </c>
      <c r="B258" s="1" t="str">
        <f>IFERROR(__xludf.DUMMYFUNCTION("split(A258, ""\"")"),"Tyler Bozak")</f>
        <v>Tyler Bozak</v>
      </c>
      <c r="C258" s="1" t="str">
        <f>IFERROR(__xludf.DUMMYFUNCTION("""COMPUTED_VALUE"""),"bozakty01")</f>
        <v>bozakty01</v>
      </c>
      <c r="D258" s="1" t="s">
        <v>31</v>
      </c>
      <c r="E258" s="1">
        <f t="shared" si="1"/>
        <v>197.45</v>
      </c>
      <c r="F258" s="1">
        <f t="shared" si="2"/>
        <v>2.44</v>
      </c>
      <c r="G258" s="1">
        <v>81.0</v>
      </c>
      <c r="H258" s="1">
        <v>11.0</v>
      </c>
      <c r="I258" s="1">
        <v>32.0</v>
      </c>
      <c r="J258" s="1">
        <v>43.0</v>
      </c>
      <c r="K258" s="1">
        <v>154.0</v>
      </c>
      <c r="L258" s="1">
        <v>43.0</v>
      </c>
      <c r="M258" s="1">
        <v>28.0</v>
      </c>
      <c r="N258" s="1">
        <v>3.0</v>
      </c>
      <c r="O258" s="1">
        <v>10.0</v>
      </c>
      <c r="P258" s="1">
        <v>0.0</v>
      </c>
      <c r="Q258" s="1">
        <v>0.0</v>
      </c>
      <c r="R258" s="1">
        <v>6.0</v>
      </c>
      <c r="S258" s="1">
        <v>28.0</v>
      </c>
      <c r="T258" s="1">
        <v>2.0</v>
      </c>
    </row>
    <row r="259" ht="12.75" customHeight="1">
      <c r="A259" s="1" t="s">
        <v>289</v>
      </c>
      <c r="B259" s="1" t="str">
        <f>IFERROR(__xludf.DUMMYFUNCTION("split(A259, ""\"")"),"Mike Matheson")</f>
        <v>Mike Matheson</v>
      </c>
      <c r="C259" s="1" t="str">
        <f>IFERROR(__xludf.DUMMYFUNCTION("""COMPUTED_VALUE"""),"mathemi01")</f>
        <v>mathemi01</v>
      </c>
      <c r="D259" s="1" t="s">
        <v>66</v>
      </c>
      <c r="E259" s="1">
        <f t="shared" si="1"/>
        <v>197.3</v>
      </c>
      <c r="F259" s="1">
        <f t="shared" si="2"/>
        <v>2.44</v>
      </c>
      <c r="G259" s="1">
        <v>81.0</v>
      </c>
      <c r="H259" s="1">
        <v>10.0</v>
      </c>
      <c r="I259" s="1">
        <v>17.0</v>
      </c>
      <c r="J259" s="1">
        <v>27.0</v>
      </c>
      <c r="K259" s="1">
        <v>167.0</v>
      </c>
      <c r="L259" s="1">
        <v>53.0</v>
      </c>
      <c r="M259" s="1">
        <v>137.0</v>
      </c>
      <c r="N259" s="1">
        <v>1.0</v>
      </c>
      <c r="O259" s="1">
        <v>3.0</v>
      </c>
      <c r="P259" s="1">
        <v>0.0</v>
      </c>
      <c r="Q259" s="1">
        <v>1.0</v>
      </c>
      <c r="R259" s="1">
        <v>-1.0</v>
      </c>
      <c r="S259" s="1">
        <v>61.0</v>
      </c>
      <c r="T259" s="1">
        <v>2.0</v>
      </c>
    </row>
    <row r="260" ht="12.75" customHeight="1">
      <c r="A260" s="1" t="s">
        <v>290</v>
      </c>
      <c r="B260" s="1" t="str">
        <f>IFERROR(__xludf.DUMMYFUNCTION("split(A260, ""\"")"),"Nikita Zadorov")</f>
        <v>Nikita Zadorov</v>
      </c>
      <c r="C260" s="1" t="str">
        <f>IFERROR(__xludf.DUMMYFUNCTION("""COMPUTED_VALUE"""),"zadorni01")</f>
        <v>zadorni01</v>
      </c>
      <c r="D260" s="1" t="s">
        <v>66</v>
      </c>
      <c r="E260" s="1">
        <f t="shared" si="1"/>
        <v>196.9</v>
      </c>
      <c r="F260" s="1">
        <f t="shared" si="2"/>
        <v>2.56</v>
      </c>
      <c r="G260" s="1">
        <v>77.0</v>
      </c>
      <c r="H260" s="1">
        <v>7.0</v>
      </c>
      <c r="I260" s="1">
        <v>13.0</v>
      </c>
      <c r="J260" s="1">
        <v>20.0</v>
      </c>
      <c r="K260" s="1">
        <v>94.0</v>
      </c>
      <c r="L260" s="1">
        <v>278.0</v>
      </c>
      <c r="M260" s="1">
        <v>106.0</v>
      </c>
      <c r="N260" s="1">
        <v>0.0</v>
      </c>
      <c r="O260" s="1">
        <v>1.0</v>
      </c>
      <c r="P260" s="1">
        <v>0.0</v>
      </c>
      <c r="Q260" s="1">
        <v>0.0</v>
      </c>
      <c r="R260" s="1">
        <v>4.0</v>
      </c>
      <c r="S260" s="1">
        <v>103.0</v>
      </c>
      <c r="T260" s="1">
        <v>1.0</v>
      </c>
    </row>
    <row r="261" ht="12.75" customHeight="1">
      <c r="A261" s="1" t="s">
        <v>291</v>
      </c>
      <c r="B261" s="1" t="str">
        <f>IFERROR(__xludf.DUMMYFUNCTION("split(A261, ""\"")"),"Kris Russell")</f>
        <v>Kris Russell</v>
      </c>
      <c r="C261" s="1" t="str">
        <f>IFERROR(__xludf.DUMMYFUNCTION("""COMPUTED_VALUE"""),"russekr01")</f>
        <v>russekr01</v>
      </c>
      <c r="D261" s="1" t="s">
        <v>66</v>
      </c>
      <c r="E261" s="1">
        <f t="shared" si="1"/>
        <v>196.45</v>
      </c>
      <c r="F261" s="1">
        <f t="shared" si="2"/>
        <v>2.52</v>
      </c>
      <c r="G261" s="1">
        <v>78.0</v>
      </c>
      <c r="H261" s="1">
        <v>4.0</v>
      </c>
      <c r="I261" s="1">
        <v>17.0</v>
      </c>
      <c r="J261" s="1">
        <v>21.0</v>
      </c>
      <c r="K261" s="1">
        <v>90.0</v>
      </c>
      <c r="L261" s="1">
        <v>97.0</v>
      </c>
      <c r="M261" s="1">
        <v>223.0</v>
      </c>
      <c r="N261" s="1">
        <v>0.0</v>
      </c>
      <c r="O261" s="1">
        <v>2.0</v>
      </c>
      <c r="P261" s="1">
        <v>0.0</v>
      </c>
      <c r="Q261" s="1">
        <v>0.0</v>
      </c>
      <c r="R261" s="1">
        <v>-7.0</v>
      </c>
      <c r="S261" s="1">
        <v>8.0</v>
      </c>
      <c r="T261" s="1">
        <v>0.0</v>
      </c>
    </row>
    <row r="262" ht="12.75" customHeight="1">
      <c r="A262" s="1" t="s">
        <v>292</v>
      </c>
      <c r="B262" s="1" t="str">
        <f>IFERROR(__xludf.DUMMYFUNCTION("split(A262, ""\"")"),"Ryan McDonagh")</f>
        <v>Ryan McDonagh</v>
      </c>
      <c r="C262" s="1" t="str">
        <f>IFERROR(__xludf.DUMMYFUNCTION("""COMPUTED_VALUE"""),"mcdonry01")</f>
        <v>mcdonry01</v>
      </c>
      <c r="D262" s="1" t="s">
        <v>66</v>
      </c>
      <c r="E262" s="1">
        <f t="shared" si="1"/>
        <v>196.2</v>
      </c>
      <c r="F262" s="1">
        <f t="shared" si="2"/>
        <v>3.11</v>
      </c>
      <c r="G262" s="1">
        <v>63.0</v>
      </c>
      <c r="H262" s="1">
        <v>4.0</v>
      </c>
      <c r="I262" s="1">
        <v>25.0</v>
      </c>
      <c r="J262" s="1">
        <v>29.0</v>
      </c>
      <c r="K262" s="1">
        <v>99.0</v>
      </c>
      <c r="L262" s="1">
        <v>71.0</v>
      </c>
      <c r="M262" s="1">
        <v>163.0</v>
      </c>
      <c r="N262" s="1">
        <v>1.0</v>
      </c>
      <c r="O262" s="1">
        <v>8.0</v>
      </c>
      <c r="P262" s="1">
        <v>0.0</v>
      </c>
      <c r="Q262" s="1">
        <v>1.0</v>
      </c>
      <c r="R262" s="1">
        <v>8.0</v>
      </c>
      <c r="S262" s="1">
        <v>20.0</v>
      </c>
      <c r="T262" s="1">
        <v>0.0</v>
      </c>
    </row>
    <row r="263" ht="12.75" customHeight="1">
      <c r="A263" s="1" t="s">
        <v>293</v>
      </c>
      <c r="B263" s="1" t="str">
        <f>IFERROR(__xludf.DUMMYFUNCTION("split(A263, ""\"")"),"Max Domi")</f>
        <v>Max Domi</v>
      </c>
      <c r="C263" s="1" t="str">
        <f>IFERROR(__xludf.DUMMYFUNCTION("""COMPUTED_VALUE"""),"domima01")</f>
        <v>domima01</v>
      </c>
      <c r="D263" s="1" t="s">
        <v>28</v>
      </c>
      <c r="E263" s="1">
        <f t="shared" si="1"/>
        <v>195.95</v>
      </c>
      <c r="F263" s="1">
        <f t="shared" si="2"/>
        <v>2.39</v>
      </c>
      <c r="G263" s="1">
        <v>82.0</v>
      </c>
      <c r="H263" s="1">
        <v>9.0</v>
      </c>
      <c r="I263" s="1">
        <v>36.0</v>
      </c>
      <c r="J263" s="1">
        <v>45.0</v>
      </c>
      <c r="K263" s="1">
        <v>150.0</v>
      </c>
      <c r="L263" s="1">
        <v>49.0</v>
      </c>
      <c r="M263" s="1">
        <v>28.0</v>
      </c>
      <c r="N263" s="1">
        <v>1.0</v>
      </c>
      <c r="O263" s="1">
        <v>8.0</v>
      </c>
      <c r="P263" s="1">
        <v>0.0</v>
      </c>
      <c r="Q263" s="1">
        <v>0.0</v>
      </c>
      <c r="R263" s="1">
        <v>-7.0</v>
      </c>
      <c r="S263" s="1">
        <v>73.0</v>
      </c>
      <c r="T263" s="1">
        <v>0.0</v>
      </c>
    </row>
    <row r="264" ht="12.75" customHeight="1">
      <c r="A264" s="1" t="s">
        <v>294</v>
      </c>
      <c r="B264" s="1" t="str">
        <f>IFERROR(__xludf.DUMMYFUNCTION("split(A264, ""\"")"),"Philipp Grubauer")</f>
        <v>Philipp Grubauer</v>
      </c>
      <c r="C264" s="2" t="str">
        <f>IFERROR(__xludf.DUMMYFUNCTION("""COMPUTED_VALUE"""),"grubaph01")</f>
        <v>grubaph01</v>
      </c>
      <c r="D264" s="1" t="s">
        <v>5</v>
      </c>
      <c r="E264" s="1">
        <f t="shared" si="1"/>
        <v>195</v>
      </c>
      <c r="F264" s="1">
        <f t="shared" si="2"/>
        <v>5.57</v>
      </c>
      <c r="G264" s="1">
        <v>35.0</v>
      </c>
      <c r="U264" s="1">
        <v>28.0</v>
      </c>
      <c r="V264" s="1">
        <v>15.0</v>
      </c>
      <c r="W264" s="1">
        <v>10.0</v>
      </c>
      <c r="X264" s="1">
        <v>73.0</v>
      </c>
      <c r="Y264" s="1">
        <v>953.0</v>
      </c>
      <c r="Z264" s="1">
        <v>880.0</v>
      </c>
      <c r="AA264" s="1">
        <v>3.0</v>
      </c>
    </row>
    <row r="265" ht="12.75" customHeight="1">
      <c r="A265" s="1" t="s">
        <v>295</v>
      </c>
      <c r="B265" s="1" t="str">
        <f>IFERROR(__xludf.DUMMYFUNCTION("split(A265, ""\"")"),"Brandon Saad")</f>
        <v>Brandon Saad</v>
      </c>
      <c r="C265" s="1" t="str">
        <f>IFERROR(__xludf.DUMMYFUNCTION("""COMPUTED_VALUE"""),"saadbr01")</f>
        <v>saadbr01</v>
      </c>
      <c r="D265" s="1" t="s">
        <v>28</v>
      </c>
      <c r="E265" s="1">
        <f t="shared" si="1"/>
        <v>194.8</v>
      </c>
      <c r="F265" s="1">
        <f t="shared" si="2"/>
        <v>2.38</v>
      </c>
      <c r="G265" s="1">
        <v>82.0</v>
      </c>
      <c r="H265" s="1">
        <v>18.0</v>
      </c>
      <c r="I265" s="1">
        <v>17.0</v>
      </c>
      <c r="J265" s="1">
        <v>35.0</v>
      </c>
      <c r="K265" s="1">
        <v>237.0</v>
      </c>
      <c r="L265" s="1">
        <v>29.0</v>
      </c>
      <c r="M265" s="1">
        <v>32.0</v>
      </c>
      <c r="N265" s="1">
        <v>1.0</v>
      </c>
      <c r="O265" s="1">
        <v>0.0</v>
      </c>
      <c r="P265" s="1">
        <v>0.0</v>
      </c>
      <c r="Q265" s="1">
        <v>0.0</v>
      </c>
      <c r="R265" s="1">
        <v>-10.0</v>
      </c>
      <c r="S265" s="1">
        <v>14.0</v>
      </c>
      <c r="T265" s="1">
        <v>8.0</v>
      </c>
    </row>
    <row r="266" ht="12.75" customHeight="1">
      <c r="A266" s="1" t="s">
        <v>296</v>
      </c>
      <c r="B266" s="1" t="str">
        <f>IFERROR(__xludf.DUMMYFUNCTION("split(A266, ""\"")"),"David Backes")</f>
        <v>David Backes</v>
      </c>
      <c r="C266" s="1" t="str">
        <f>IFERROR(__xludf.DUMMYFUNCTION("""COMPUTED_VALUE"""),"backeda01")</f>
        <v>backeda01</v>
      </c>
      <c r="D266" s="1" t="s">
        <v>31</v>
      </c>
      <c r="E266" s="1">
        <f t="shared" si="1"/>
        <v>194.75</v>
      </c>
      <c r="F266" s="1">
        <f t="shared" si="2"/>
        <v>3.42</v>
      </c>
      <c r="G266" s="1">
        <v>57.0</v>
      </c>
      <c r="H266" s="1">
        <v>14.0</v>
      </c>
      <c r="I266" s="1">
        <v>19.0</v>
      </c>
      <c r="J266" s="1">
        <v>33.0</v>
      </c>
      <c r="K266" s="1">
        <v>160.0</v>
      </c>
      <c r="L266" s="1">
        <v>137.0</v>
      </c>
      <c r="M266" s="1">
        <v>25.0</v>
      </c>
      <c r="N266" s="1">
        <v>2.0</v>
      </c>
      <c r="O266" s="1">
        <v>4.0</v>
      </c>
      <c r="P266" s="1">
        <v>0.0</v>
      </c>
      <c r="Q266" s="1">
        <v>1.0</v>
      </c>
      <c r="R266" s="1">
        <v>2.0</v>
      </c>
      <c r="S266" s="1">
        <v>53.0</v>
      </c>
      <c r="T266" s="1">
        <v>1.0</v>
      </c>
    </row>
    <row r="267" ht="12.75" customHeight="1">
      <c r="A267" s="1" t="s">
        <v>297</v>
      </c>
      <c r="B267" s="1" t="str">
        <f>IFERROR(__xludf.DUMMYFUNCTION("split(A267, ""\"")"),"Anthony Beauvillier")</f>
        <v>Anthony Beauvillier</v>
      </c>
      <c r="C267" s="1" t="str">
        <f>IFERROR(__xludf.DUMMYFUNCTION("""COMPUTED_VALUE"""),"beauvan01")</f>
        <v>beauvan01</v>
      </c>
      <c r="D267" s="1" t="s">
        <v>28</v>
      </c>
      <c r="E267" s="1">
        <f t="shared" si="1"/>
        <v>194.1</v>
      </c>
      <c r="F267" s="1">
        <f t="shared" si="2"/>
        <v>2.73</v>
      </c>
      <c r="G267" s="1">
        <v>71.0</v>
      </c>
      <c r="H267" s="1">
        <v>21.0</v>
      </c>
      <c r="I267" s="1">
        <v>15.0</v>
      </c>
      <c r="J267" s="1">
        <v>36.0</v>
      </c>
      <c r="K267" s="1">
        <v>132.0</v>
      </c>
      <c r="L267" s="1">
        <v>80.0</v>
      </c>
      <c r="M267" s="1">
        <v>29.0</v>
      </c>
      <c r="N267" s="1">
        <v>3.0</v>
      </c>
      <c r="O267" s="1">
        <v>5.0</v>
      </c>
      <c r="P267" s="1">
        <v>0.0</v>
      </c>
      <c r="Q267" s="1">
        <v>0.0</v>
      </c>
      <c r="R267" s="1">
        <v>2.0</v>
      </c>
      <c r="S267" s="1">
        <v>16.0</v>
      </c>
      <c r="T267" s="1">
        <v>2.0</v>
      </c>
    </row>
    <row r="268" ht="12.75" customHeight="1">
      <c r="A268" s="1" t="s">
        <v>298</v>
      </c>
      <c r="B268" s="1" t="str">
        <f>IFERROR(__xludf.DUMMYFUNCTION("split(A268, ""\"")"),"Brayden McNabb")</f>
        <v>Brayden McNabb</v>
      </c>
      <c r="C268" s="1" t="str">
        <f>IFERROR(__xludf.DUMMYFUNCTION("""COMPUTED_VALUE"""),"mcnabbr01")</f>
        <v>mcnabbr01</v>
      </c>
      <c r="D268" s="1" t="s">
        <v>66</v>
      </c>
      <c r="E268" s="1">
        <f t="shared" si="1"/>
        <v>193.65</v>
      </c>
      <c r="F268" s="1">
        <f t="shared" si="2"/>
        <v>2.55</v>
      </c>
      <c r="G268" s="1">
        <v>76.0</v>
      </c>
      <c r="H268" s="1">
        <v>5.0</v>
      </c>
      <c r="I268" s="1">
        <v>10.0</v>
      </c>
      <c r="J268" s="1">
        <v>15.0</v>
      </c>
      <c r="K268" s="1">
        <v>88.0</v>
      </c>
      <c r="L268" s="1">
        <v>225.0</v>
      </c>
      <c r="M268" s="1">
        <v>176.0</v>
      </c>
      <c r="N268" s="1">
        <v>0.0</v>
      </c>
      <c r="O268" s="1">
        <v>0.0</v>
      </c>
      <c r="P268" s="1">
        <v>0.0</v>
      </c>
      <c r="Q268" s="1">
        <v>0.0</v>
      </c>
      <c r="R268" s="1">
        <v>26.0</v>
      </c>
      <c r="S268" s="1">
        <v>52.0</v>
      </c>
      <c r="T268" s="1">
        <v>1.0</v>
      </c>
    </row>
    <row r="269" ht="12.75" customHeight="1">
      <c r="A269" s="1" t="s">
        <v>299</v>
      </c>
      <c r="B269" s="1" t="str">
        <f>IFERROR(__xludf.DUMMYFUNCTION("split(A269, ""\"")"),"Jean-Gabriel Pageau")</f>
        <v>Jean-Gabriel Pageau</v>
      </c>
      <c r="C269" s="1" t="str">
        <f>IFERROR(__xludf.DUMMYFUNCTION("""COMPUTED_VALUE"""),"pageaje01")</f>
        <v>pageaje01</v>
      </c>
      <c r="D269" s="1" t="s">
        <v>31</v>
      </c>
      <c r="E269" s="1">
        <f t="shared" si="1"/>
        <v>193.6</v>
      </c>
      <c r="F269" s="1">
        <f t="shared" si="2"/>
        <v>2.48</v>
      </c>
      <c r="G269" s="1">
        <v>78.0</v>
      </c>
      <c r="H269" s="1">
        <v>14.0</v>
      </c>
      <c r="I269" s="1">
        <v>15.0</v>
      </c>
      <c r="J269" s="1">
        <v>29.0</v>
      </c>
      <c r="K269" s="1">
        <v>147.0</v>
      </c>
      <c r="L269" s="1">
        <v>131.0</v>
      </c>
      <c r="M269" s="1">
        <v>69.0</v>
      </c>
      <c r="N269" s="1">
        <v>1.0</v>
      </c>
      <c r="O269" s="1">
        <v>1.0</v>
      </c>
      <c r="P269" s="1">
        <v>1.0</v>
      </c>
      <c r="Q269" s="1">
        <v>0.0</v>
      </c>
      <c r="R269" s="1">
        <v>-14.0</v>
      </c>
      <c r="S269" s="1">
        <v>36.0</v>
      </c>
      <c r="T269" s="1">
        <v>2.0</v>
      </c>
    </row>
    <row r="270" ht="12.75" customHeight="1">
      <c r="A270" s="1" t="s">
        <v>300</v>
      </c>
      <c r="B270" s="1" t="str">
        <f>IFERROR(__xludf.DUMMYFUNCTION("split(A270, ""\"")"),"Brady Skjei")</f>
        <v>Brady Skjei</v>
      </c>
      <c r="C270" s="1" t="str">
        <f>IFERROR(__xludf.DUMMYFUNCTION("""COMPUTED_VALUE"""),"skjeibr01")</f>
        <v>skjeibr01</v>
      </c>
      <c r="D270" s="1" t="s">
        <v>66</v>
      </c>
      <c r="E270" s="1">
        <f t="shared" si="1"/>
        <v>193.1</v>
      </c>
      <c r="F270" s="1">
        <f t="shared" si="2"/>
        <v>2.35</v>
      </c>
      <c r="G270" s="1">
        <v>82.0</v>
      </c>
      <c r="H270" s="1">
        <v>4.0</v>
      </c>
      <c r="I270" s="1">
        <v>21.0</v>
      </c>
      <c r="J270" s="1">
        <v>25.0</v>
      </c>
      <c r="K270" s="1">
        <v>153.0</v>
      </c>
      <c r="L270" s="1">
        <v>127.0</v>
      </c>
      <c r="M270" s="1">
        <v>119.0</v>
      </c>
      <c r="N270" s="1">
        <v>0.0</v>
      </c>
      <c r="O270" s="1">
        <v>6.0</v>
      </c>
      <c r="P270" s="1">
        <v>1.0</v>
      </c>
      <c r="Q270" s="1">
        <v>0.0</v>
      </c>
      <c r="R270" s="1">
        <v>-27.0</v>
      </c>
      <c r="S270" s="1">
        <v>39.0</v>
      </c>
      <c r="T270" s="1">
        <v>1.0</v>
      </c>
    </row>
    <row r="271" ht="12.75" customHeight="1">
      <c r="A271" s="1" t="s">
        <v>301</v>
      </c>
      <c r="B271" s="1" t="str">
        <f>IFERROR(__xludf.DUMMYFUNCTION("split(A271, ""\"")"),"Stephen Johns")</f>
        <v>Stephen Johns</v>
      </c>
      <c r="C271" s="1" t="str">
        <f>IFERROR(__xludf.DUMMYFUNCTION("""COMPUTED_VALUE"""),"johnsst03")</f>
        <v>johnsst03</v>
      </c>
      <c r="D271" s="1" t="s">
        <v>66</v>
      </c>
      <c r="E271" s="1">
        <f t="shared" si="1"/>
        <v>193</v>
      </c>
      <c r="F271" s="1">
        <f t="shared" si="2"/>
        <v>2.57</v>
      </c>
      <c r="G271" s="1">
        <v>75.0</v>
      </c>
      <c r="H271" s="1">
        <v>8.0</v>
      </c>
      <c r="I271" s="1">
        <v>7.0</v>
      </c>
      <c r="J271" s="1">
        <v>15.0</v>
      </c>
      <c r="K271" s="1">
        <v>121.0</v>
      </c>
      <c r="L271" s="1">
        <v>201.0</v>
      </c>
      <c r="M271" s="1">
        <v>155.0</v>
      </c>
      <c r="N271" s="1">
        <v>0.0</v>
      </c>
      <c r="O271" s="1">
        <v>0.0</v>
      </c>
      <c r="P271" s="1">
        <v>0.0</v>
      </c>
      <c r="Q271" s="1">
        <v>1.0</v>
      </c>
      <c r="R271" s="1">
        <v>10.0</v>
      </c>
      <c r="S271" s="1">
        <v>41.0</v>
      </c>
      <c r="T271" s="1">
        <v>2.0</v>
      </c>
    </row>
    <row r="272" ht="12.75" customHeight="1">
      <c r="A272" s="1" t="s">
        <v>302</v>
      </c>
      <c r="B272" s="1" t="str">
        <f>IFERROR(__xludf.DUMMYFUNCTION("split(A272, ""\"")"),"Nate Schmidt")</f>
        <v>Nate Schmidt</v>
      </c>
      <c r="C272" s="1" t="str">
        <f>IFERROR(__xludf.DUMMYFUNCTION("""COMPUTED_VALUE"""),"schmina01")</f>
        <v>schmina01</v>
      </c>
      <c r="D272" s="1" t="s">
        <v>66</v>
      </c>
      <c r="E272" s="1">
        <f t="shared" si="1"/>
        <v>192.9</v>
      </c>
      <c r="F272" s="1">
        <f t="shared" si="2"/>
        <v>2.54</v>
      </c>
      <c r="G272" s="1">
        <v>76.0</v>
      </c>
      <c r="H272" s="1">
        <v>5.0</v>
      </c>
      <c r="I272" s="1">
        <v>31.0</v>
      </c>
      <c r="J272" s="1">
        <v>36.0</v>
      </c>
      <c r="K272" s="1">
        <v>103.0</v>
      </c>
      <c r="L272" s="1">
        <v>41.0</v>
      </c>
      <c r="M272" s="1">
        <v>121.0</v>
      </c>
      <c r="N272" s="1">
        <v>1.0</v>
      </c>
      <c r="O272" s="1">
        <v>10.0</v>
      </c>
      <c r="P272" s="1">
        <v>0.0</v>
      </c>
      <c r="Q272" s="1">
        <v>0.0</v>
      </c>
      <c r="R272" s="1">
        <v>19.0</v>
      </c>
      <c r="S272" s="1">
        <v>16.0</v>
      </c>
      <c r="T272" s="1">
        <v>1.0</v>
      </c>
    </row>
    <row r="273" ht="12.75" customHeight="1">
      <c r="A273" s="1" t="s">
        <v>303</v>
      </c>
      <c r="B273" s="1" t="str">
        <f>IFERROR(__xludf.DUMMYFUNCTION("split(A273, ""\"")"),"Will Butcher")</f>
        <v>Will Butcher</v>
      </c>
      <c r="C273" s="1" t="str">
        <f>IFERROR(__xludf.DUMMYFUNCTION("""COMPUTED_VALUE"""),"butchwi01")</f>
        <v>butchwi01</v>
      </c>
      <c r="D273" s="1" t="s">
        <v>66</v>
      </c>
      <c r="E273" s="1">
        <f t="shared" si="1"/>
        <v>192.55</v>
      </c>
      <c r="F273" s="1">
        <f t="shared" si="2"/>
        <v>2.38</v>
      </c>
      <c r="G273" s="1">
        <v>81.0</v>
      </c>
      <c r="H273" s="1">
        <v>5.0</v>
      </c>
      <c r="I273" s="1">
        <v>39.0</v>
      </c>
      <c r="J273" s="1">
        <v>44.0</v>
      </c>
      <c r="K273" s="1">
        <v>88.0</v>
      </c>
      <c r="L273" s="1">
        <v>21.0</v>
      </c>
      <c r="M273" s="1">
        <v>62.0</v>
      </c>
      <c r="N273" s="1">
        <v>3.0</v>
      </c>
      <c r="O273" s="1">
        <v>20.0</v>
      </c>
      <c r="P273" s="1">
        <v>0.0</v>
      </c>
      <c r="Q273" s="1">
        <v>0.0</v>
      </c>
      <c r="R273" s="1">
        <v>1.0</v>
      </c>
      <c r="S273" s="1">
        <v>8.0</v>
      </c>
      <c r="T273" s="1">
        <v>1.0</v>
      </c>
    </row>
    <row r="274" ht="12.75" customHeight="1">
      <c r="A274" s="1" t="s">
        <v>304</v>
      </c>
      <c r="B274" s="1" t="str">
        <f>IFERROR(__xludf.DUMMYFUNCTION("split(A274, ""\"")"),"Bryan Rust")</f>
        <v>Bryan Rust</v>
      </c>
      <c r="C274" s="1" t="str">
        <f>IFERROR(__xludf.DUMMYFUNCTION("""COMPUTED_VALUE"""),"rustbr01")</f>
        <v>rustbr01</v>
      </c>
      <c r="D274" s="1" t="s">
        <v>36</v>
      </c>
      <c r="E274" s="1">
        <f t="shared" si="1"/>
        <v>192.5</v>
      </c>
      <c r="F274" s="1">
        <f t="shared" si="2"/>
        <v>2.79</v>
      </c>
      <c r="G274" s="1">
        <v>69.0</v>
      </c>
      <c r="H274" s="1">
        <v>13.0</v>
      </c>
      <c r="I274" s="1">
        <v>25.0</v>
      </c>
      <c r="J274" s="1">
        <v>38.0</v>
      </c>
      <c r="K274" s="1">
        <v>123.0</v>
      </c>
      <c r="L274" s="1">
        <v>97.0</v>
      </c>
      <c r="M274" s="1">
        <v>40.0</v>
      </c>
      <c r="N274" s="1">
        <v>2.0</v>
      </c>
      <c r="O274" s="1">
        <v>2.0</v>
      </c>
      <c r="P274" s="1">
        <v>2.0</v>
      </c>
      <c r="Q274" s="1">
        <v>1.0</v>
      </c>
      <c r="R274" s="1">
        <v>11.0</v>
      </c>
      <c r="S274" s="1">
        <v>26.0</v>
      </c>
      <c r="T274" s="1">
        <v>3.0</v>
      </c>
    </row>
    <row r="275" ht="12.75" customHeight="1">
      <c r="A275" s="1" t="s">
        <v>305</v>
      </c>
      <c r="B275" s="1" t="str">
        <f>IFERROR(__xludf.DUMMYFUNCTION("split(A275, ""\"")"),"Esa Lindell")</f>
        <v>Esa Lindell</v>
      </c>
      <c r="C275" s="1" t="str">
        <f>IFERROR(__xludf.DUMMYFUNCTION("""COMPUTED_VALUE"""),"lindees01")</f>
        <v>lindees01</v>
      </c>
      <c r="D275" s="1" t="s">
        <v>66</v>
      </c>
      <c r="E275" s="1">
        <f t="shared" si="1"/>
        <v>192.45</v>
      </c>
      <c r="F275" s="1">
        <f t="shared" si="2"/>
        <v>2.41</v>
      </c>
      <c r="G275" s="1">
        <v>80.0</v>
      </c>
      <c r="H275" s="1">
        <v>7.0</v>
      </c>
      <c r="I275" s="1">
        <v>20.0</v>
      </c>
      <c r="J275" s="1">
        <v>27.0</v>
      </c>
      <c r="K275" s="1">
        <v>137.0</v>
      </c>
      <c r="L275" s="1">
        <v>92.0</v>
      </c>
      <c r="M275" s="1">
        <v>123.0</v>
      </c>
      <c r="N275" s="1">
        <v>2.0</v>
      </c>
      <c r="O275" s="1">
        <v>6.0</v>
      </c>
      <c r="P275" s="1">
        <v>0.0</v>
      </c>
      <c r="Q275" s="1">
        <v>0.0</v>
      </c>
      <c r="R275" s="1">
        <v>19.0</v>
      </c>
      <c r="S275" s="1">
        <v>24.0</v>
      </c>
      <c r="T275" s="1">
        <v>0.0</v>
      </c>
    </row>
    <row r="276" ht="12.75" customHeight="1">
      <c r="A276" s="1" t="s">
        <v>306</v>
      </c>
      <c r="B276" s="1" t="str">
        <f>IFERROR(__xludf.DUMMYFUNCTION("split(A276, ""\"")"),"Brock Nelson")</f>
        <v>Brock Nelson</v>
      </c>
      <c r="C276" s="1" t="str">
        <f>IFERROR(__xludf.DUMMYFUNCTION("""COMPUTED_VALUE"""),"nelsobr01")</f>
        <v>nelsobr01</v>
      </c>
      <c r="D276" s="1" t="s">
        <v>31</v>
      </c>
      <c r="E276" s="1">
        <f t="shared" si="1"/>
        <v>191.8</v>
      </c>
      <c r="F276" s="1">
        <f t="shared" si="2"/>
        <v>2.34</v>
      </c>
      <c r="G276" s="1">
        <v>82.0</v>
      </c>
      <c r="H276" s="1">
        <v>19.0</v>
      </c>
      <c r="I276" s="1">
        <v>16.0</v>
      </c>
      <c r="J276" s="1">
        <v>35.0</v>
      </c>
      <c r="K276" s="1">
        <v>138.0</v>
      </c>
      <c r="L276" s="1">
        <v>50.0</v>
      </c>
      <c r="M276" s="1">
        <v>52.0</v>
      </c>
      <c r="N276" s="1">
        <v>4.0</v>
      </c>
      <c r="O276" s="1">
        <v>4.0</v>
      </c>
      <c r="P276" s="1">
        <v>0.0</v>
      </c>
      <c r="Q276" s="1">
        <v>0.0</v>
      </c>
      <c r="R276" s="1">
        <v>-4.0</v>
      </c>
      <c r="S276" s="1">
        <v>43.0</v>
      </c>
      <c r="T276" s="1">
        <v>3.0</v>
      </c>
    </row>
    <row r="277" ht="12.75" customHeight="1">
      <c r="A277" s="1" t="s">
        <v>307</v>
      </c>
      <c r="B277" s="1" t="str">
        <f>IFERROR(__xludf.DUMMYFUNCTION("split(A277, ""\"")"),"Josh Anderson")</f>
        <v>Josh Anderson</v>
      </c>
      <c r="C277" s="1" t="str">
        <f>IFERROR(__xludf.DUMMYFUNCTION("""COMPUTED_VALUE"""),"anderjo05")</f>
        <v>anderjo05</v>
      </c>
      <c r="D277" s="1" t="s">
        <v>36</v>
      </c>
      <c r="E277" s="1">
        <f t="shared" si="1"/>
        <v>191.35</v>
      </c>
      <c r="F277" s="1">
        <f t="shared" si="2"/>
        <v>3.04</v>
      </c>
      <c r="G277" s="1">
        <v>63.0</v>
      </c>
      <c r="H277" s="1">
        <v>19.0</v>
      </c>
      <c r="I277" s="1">
        <v>11.0</v>
      </c>
      <c r="J277" s="1">
        <v>30.0</v>
      </c>
      <c r="K277" s="1">
        <v>188.0</v>
      </c>
      <c r="L277" s="1">
        <v>109.0</v>
      </c>
      <c r="M277" s="1">
        <v>24.0</v>
      </c>
      <c r="N277" s="1">
        <v>1.0</v>
      </c>
      <c r="O277" s="1">
        <v>3.0</v>
      </c>
      <c r="P277" s="1">
        <v>0.0</v>
      </c>
      <c r="Q277" s="1">
        <v>0.0</v>
      </c>
      <c r="R277" s="1">
        <v>-1.0</v>
      </c>
      <c r="S277" s="1">
        <v>42.0</v>
      </c>
      <c r="T277" s="1">
        <v>5.0</v>
      </c>
    </row>
    <row r="278" ht="12.75" customHeight="1">
      <c r="A278" s="1" t="s">
        <v>308</v>
      </c>
      <c r="B278" s="1" t="str">
        <f>IFERROR(__xludf.DUMMYFUNCTION("split(A278, ""\"")"),"Noah Hanifin")</f>
        <v>Noah Hanifin</v>
      </c>
      <c r="C278" s="1" t="str">
        <f>IFERROR(__xludf.DUMMYFUNCTION("""COMPUTED_VALUE"""),"hanifno01")</f>
        <v>hanifno01</v>
      </c>
      <c r="D278" s="1" t="s">
        <v>66</v>
      </c>
      <c r="E278" s="1">
        <f t="shared" si="1"/>
        <v>191.1</v>
      </c>
      <c r="F278" s="1">
        <f t="shared" si="2"/>
        <v>2.42</v>
      </c>
      <c r="G278" s="1">
        <v>79.0</v>
      </c>
      <c r="H278" s="1">
        <v>10.0</v>
      </c>
      <c r="I278" s="1">
        <v>22.0</v>
      </c>
      <c r="J278" s="1">
        <v>32.0</v>
      </c>
      <c r="K278" s="1">
        <v>165.0</v>
      </c>
      <c r="L278" s="1">
        <v>81.0</v>
      </c>
      <c r="M278" s="1">
        <v>69.0</v>
      </c>
      <c r="N278" s="1">
        <v>1.0</v>
      </c>
      <c r="O278" s="1">
        <v>6.0</v>
      </c>
      <c r="P278" s="1">
        <v>0.0</v>
      </c>
      <c r="Q278" s="1">
        <v>0.0</v>
      </c>
      <c r="R278" s="1">
        <v>-20.0</v>
      </c>
      <c r="S278" s="1">
        <v>21.0</v>
      </c>
      <c r="T278" s="1">
        <v>3.0</v>
      </c>
    </row>
    <row r="279" ht="12.75" customHeight="1">
      <c r="A279" s="1" t="s">
        <v>309</v>
      </c>
      <c r="B279" s="1" t="str">
        <f>IFERROR(__xludf.DUMMYFUNCTION("split(A279, ""\"")"),"Chris Tierney")</f>
        <v>Chris Tierney</v>
      </c>
      <c r="C279" s="1" t="str">
        <f>IFERROR(__xludf.DUMMYFUNCTION("""COMPUTED_VALUE"""),"tiernch01")</f>
        <v>tiernch01</v>
      </c>
      <c r="D279" s="1" t="s">
        <v>31</v>
      </c>
      <c r="E279" s="1">
        <f t="shared" si="1"/>
        <v>190.5</v>
      </c>
      <c r="F279" s="1">
        <f t="shared" si="2"/>
        <v>2.32</v>
      </c>
      <c r="G279" s="1">
        <v>82.0</v>
      </c>
      <c r="H279" s="1">
        <v>17.0</v>
      </c>
      <c r="I279" s="1">
        <v>23.0</v>
      </c>
      <c r="J279" s="1">
        <v>40.0</v>
      </c>
      <c r="K279" s="1">
        <v>118.0</v>
      </c>
      <c r="L279" s="1">
        <v>26.0</v>
      </c>
      <c r="M279" s="1">
        <v>45.0</v>
      </c>
      <c r="N279" s="1">
        <v>3.0</v>
      </c>
      <c r="O279" s="1">
        <v>4.0</v>
      </c>
      <c r="P279" s="1">
        <v>2.0</v>
      </c>
      <c r="Q279" s="1">
        <v>2.0</v>
      </c>
      <c r="R279" s="1">
        <v>0.0</v>
      </c>
      <c r="S279" s="1">
        <v>8.0</v>
      </c>
      <c r="T279" s="1">
        <v>2.0</v>
      </c>
    </row>
    <row r="280" ht="12.75" customHeight="1">
      <c r="A280" s="1" t="s">
        <v>310</v>
      </c>
      <c r="B280" s="1" t="str">
        <f>IFERROR(__xludf.DUMMYFUNCTION("split(A280, ""\"")"),"Charles Hudon")</f>
        <v>Charles Hudon</v>
      </c>
      <c r="C280" s="1" t="str">
        <f>IFERROR(__xludf.DUMMYFUNCTION("""COMPUTED_VALUE"""),"hudonch01")</f>
        <v>hudonch01</v>
      </c>
      <c r="D280" s="1" t="s">
        <v>28</v>
      </c>
      <c r="E280" s="1">
        <f t="shared" si="1"/>
        <v>190.45</v>
      </c>
      <c r="F280" s="1">
        <f t="shared" si="2"/>
        <v>2.65</v>
      </c>
      <c r="G280" s="1">
        <v>72.0</v>
      </c>
      <c r="H280" s="1">
        <v>10.0</v>
      </c>
      <c r="I280" s="1">
        <v>20.0</v>
      </c>
      <c r="J280" s="1">
        <v>30.0</v>
      </c>
      <c r="K280" s="1">
        <v>179.0</v>
      </c>
      <c r="L280" s="1">
        <v>126.0</v>
      </c>
      <c r="M280" s="1">
        <v>38.0</v>
      </c>
      <c r="N280" s="1">
        <v>3.0</v>
      </c>
      <c r="O280" s="1">
        <v>5.0</v>
      </c>
      <c r="P280" s="1">
        <v>0.0</v>
      </c>
      <c r="Q280" s="1">
        <v>1.0</v>
      </c>
      <c r="R280" s="1">
        <v>-12.0</v>
      </c>
      <c r="S280" s="1">
        <v>38.0</v>
      </c>
      <c r="T280" s="1">
        <v>1.0</v>
      </c>
    </row>
    <row r="281" ht="12.75" customHeight="1">
      <c r="A281" s="1" t="s">
        <v>311</v>
      </c>
      <c r="B281" s="1" t="str">
        <f>IFERROR(__xludf.DUMMYFUNCTION("split(A281, ""\"")"),"Zdeno Chara")</f>
        <v>Zdeno Chara</v>
      </c>
      <c r="C281" s="1" t="str">
        <f>IFERROR(__xludf.DUMMYFUNCTION("""COMPUTED_VALUE"""),"charazd01")</f>
        <v>charazd01</v>
      </c>
      <c r="D281" s="1" t="s">
        <v>66</v>
      </c>
      <c r="E281" s="1">
        <f t="shared" si="1"/>
        <v>189.95</v>
      </c>
      <c r="F281" s="1">
        <f t="shared" si="2"/>
        <v>2.6</v>
      </c>
      <c r="G281" s="1">
        <v>73.0</v>
      </c>
      <c r="H281" s="1">
        <v>7.0</v>
      </c>
      <c r="I281" s="1">
        <v>17.0</v>
      </c>
      <c r="J281" s="1">
        <v>24.0</v>
      </c>
      <c r="K281" s="1">
        <v>144.0</v>
      </c>
      <c r="L281" s="1">
        <v>141.0</v>
      </c>
      <c r="M281" s="1">
        <v>118.0</v>
      </c>
      <c r="N281" s="1">
        <v>0.0</v>
      </c>
      <c r="O281" s="1">
        <v>0.0</v>
      </c>
      <c r="P281" s="1">
        <v>0.0</v>
      </c>
      <c r="Q281" s="1">
        <v>1.0</v>
      </c>
      <c r="R281" s="1">
        <v>22.0</v>
      </c>
      <c r="S281" s="1">
        <v>60.0</v>
      </c>
      <c r="T281" s="1">
        <v>3.0</v>
      </c>
    </row>
    <row r="282" ht="12.75" customHeight="1">
      <c r="A282" s="1" t="s">
        <v>312</v>
      </c>
      <c r="B282" s="1" t="str">
        <f>IFERROR(__xludf.DUMMYFUNCTION("split(A282, ""\"")"),"Blake Comeau")</f>
        <v>Blake Comeau</v>
      </c>
      <c r="C282" s="1" t="str">
        <f>IFERROR(__xludf.DUMMYFUNCTION("""COMPUTED_VALUE"""),"comeabl01")</f>
        <v>comeabl01</v>
      </c>
      <c r="D282" s="1" t="s">
        <v>36</v>
      </c>
      <c r="E282" s="1">
        <f t="shared" si="1"/>
        <v>189.7</v>
      </c>
      <c r="F282" s="1">
        <f t="shared" si="2"/>
        <v>2.4</v>
      </c>
      <c r="G282" s="1">
        <v>79.0</v>
      </c>
      <c r="H282" s="1">
        <v>13.0</v>
      </c>
      <c r="I282" s="1">
        <v>21.0</v>
      </c>
      <c r="J282" s="1">
        <v>34.0</v>
      </c>
      <c r="K282" s="1">
        <v>123.0</v>
      </c>
      <c r="L282" s="1">
        <v>145.0</v>
      </c>
      <c r="M282" s="1">
        <v>38.0</v>
      </c>
      <c r="N282" s="1">
        <v>0.0</v>
      </c>
      <c r="O282" s="1">
        <v>0.0</v>
      </c>
      <c r="P282" s="1">
        <v>3.0</v>
      </c>
      <c r="Q282" s="1">
        <v>0.0</v>
      </c>
      <c r="R282" s="1">
        <v>5.0</v>
      </c>
      <c r="S282" s="1">
        <v>50.0</v>
      </c>
      <c r="T282" s="1">
        <v>3.0</v>
      </c>
    </row>
    <row r="283" ht="12.75" customHeight="1">
      <c r="A283" s="1" t="s">
        <v>313</v>
      </c>
      <c r="B283" s="1" t="str">
        <f>IFERROR(__xludf.DUMMYFUNCTION("split(A283, ""\"")"),"Mike Green")</f>
        <v>Mike Green</v>
      </c>
      <c r="C283" s="1" t="str">
        <f>IFERROR(__xludf.DUMMYFUNCTION("""COMPUTED_VALUE"""),"greenmi03")</f>
        <v>greenmi03</v>
      </c>
      <c r="D283" s="1" t="s">
        <v>66</v>
      </c>
      <c r="E283" s="1">
        <f t="shared" si="1"/>
        <v>189.6</v>
      </c>
      <c r="F283" s="1">
        <f t="shared" si="2"/>
        <v>2.87</v>
      </c>
      <c r="G283" s="1">
        <v>66.0</v>
      </c>
      <c r="H283" s="1">
        <v>8.0</v>
      </c>
      <c r="I283" s="1">
        <v>25.0</v>
      </c>
      <c r="J283" s="1">
        <v>33.0</v>
      </c>
      <c r="K283" s="1">
        <v>132.0</v>
      </c>
      <c r="L283" s="1">
        <v>78.0</v>
      </c>
      <c r="M283" s="1">
        <v>74.0</v>
      </c>
      <c r="N283" s="1">
        <v>1.0</v>
      </c>
      <c r="O283" s="1">
        <v>12.0</v>
      </c>
      <c r="P283" s="1">
        <v>0.0</v>
      </c>
      <c r="Q283" s="1">
        <v>0.0</v>
      </c>
      <c r="R283" s="1">
        <v>-14.0</v>
      </c>
      <c r="S283" s="1">
        <v>38.0</v>
      </c>
      <c r="T283" s="1">
        <v>0.0</v>
      </c>
    </row>
    <row r="284" ht="12.75" customHeight="1">
      <c r="A284" s="1" t="s">
        <v>314</v>
      </c>
      <c r="B284" s="1" t="str">
        <f>IFERROR(__xludf.DUMMYFUNCTION("split(A284, ""\"")"),"Kevin Labanc")</f>
        <v>Kevin Labanc</v>
      </c>
      <c r="C284" s="1" t="str">
        <f>IFERROR(__xludf.DUMMYFUNCTION("""COMPUTED_VALUE"""),"labanke01")</f>
        <v>labanke01</v>
      </c>
      <c r="D284" s="1" t="s">
        <v>36</v>
      </c>
      <c r="E284" s="1">
        <f t="shared" si="1"/>
        <v>189.45</v>
      </c>
      <c r="F284" s="1">
        <f t="shared" si="2"/>
        <v>2.46</v>
      </c>
      <c r="G284" s="1">
        <v>77.0</v>
      </c>
      <c r="H284" s="1">
        <v>11.0</v>
      </c>
      <c r="I284" s="1">
        <v>29.0</v>
      </c>
      <c r="J284" s="1">
        <v>40.0</v>
      </c>
      <c r="K284" s="1">
        <v>156.0</v>
      </c>
      <c r="L284" s="1">
        <v>31.0</v>
      </c>
      <c r="M284" s="1">
        <v>23.0</v>
      </c>
      <c r="N284" s="1">
        <v>4.0</v>
      </c>
      <c r="O284" s="1">
        <v>13.0</v>
      </c>
      <c r="P284" s="1">
        <v>0.0</v>
      </c>
      <c r="Q284" s="1">
        <v>0.0</v>
      </c>
      <c r="R284" s="1">
        <v>-6.0</v>
      </c>
      <c r="S284" s="1">
        <v>32.0</v>
      </c>
      <c r="T284" s="1">
        <v>3.0</v>
      </c>
    </row>
    <row r="285" ht="12.75" customHeight="1">
      <c r="A285" s="1" t="s">
        <v>315</v>
      </c>
      <c r="B285" s="1" t="str">
        <f>IFERROR(__xludf.DUMMYFUNCTION("split(A285, ""\"")"),"Christian Fischer")</f>
        <v>Christian Fischer</v>
      </c>
      <c r="C285" s="1" t="str">
        <f>IFERROR(__xludf.DUMMYFUNCTION("""COMPUTED_VALUE"""),"fischch01")</f>
        <v>fischch01</v>
      </c>
      <c r="D285" s="1" t="s">
        <v>36</v>
      </c>
      <c r="E285" s="1">
        <f t="shared" si="1"/>
        <v>187.95</v>
      </c>
      <c r="F285" s="1">
        <f t="shared" si="2"/>
        <v>2.38</v>
      </c>
      <c r="G285" s="1">
        <v>79.0</v>
      </c>
      <c r="H285" s="1">
        <v>15.0</v>
      </c>
      <c r="I285" s="1">
        <v>18.0</v>
      </c>
      <c r="J285" s="1">
        <v>33.0</v>
      </c>
      <c r="K285" s="1">
        <v>154.0</v>
      </c>
      <c r="L285" s="1">
        <v>109.0</v>
      </c>
      <c r="M285" s="1">
        <v>23.0</v>
      </c>
      <c r="N285" s="1">
        <v>5.0</v>
      </c>
      <c r="O285" s="1">
        <v>3.0</v>
      </c>
      <c r="P285" s="1">
        <v>0.0</v>
      </c>
      <c r="Q285" s="1">
        <v>0.0</v>
      </c>
      <c r="R285" s="1">
        <v>-17.0</v>
      </c>
      <c r="S285" s="1">
        <v>14.0</v>
      </c>
      <c r="T285" s="1">
        <v>3.0</v>
      </c>
    </row>
    <row r="286" ht="12.75" customHeight="1">
      <c r="A286" s="1" t="s">
        <v>316</v>
      </c>
      <c r="B286" s="1" t="str">
        <f>IFERROR(__xludf.DUMMYFUNCTION("split(A286, ""\"")"),"Radek Faksa")</f>
        <v>Radek Faksa</v>
      </c>
      <c r="C286" s="1" t="str">
        <f>IFERROR(__xludf.DUMMYFUNCTION("""COMPUTED_VALUE"""),"faksara01")</f>
        <v>faksara01</v>
      </c>
      <c r="D286" s="1" t="s">
        <v>31</v>
      </c>
      <c r="E286" s="1">
        <f t="shared" si="1"/>
        <v>187.15</v>
      </c>
      <c r="F286" s="1">
        <f t="shared" si="2"/>
        <v>2.37</v>
      </c>
      <c r="G286" s="1">
        <v>79.0</v>
      </c>
      <c r="H286" s="1">
        <v>17.0</v>
      </c>
      <c r="I286" s="1">
        <v>16.0</v>
      </c>
      <c r="J286" s="1">
        <v>33.0</v>
      </c>
      <c r="K286" s="1">
        <v>118.0</v>
      </c>
      <c r="L286" s="1">
        <v>101.0</v>
      </c>
      <c r="M286" s="1">
        <v>56.0</v>
      </c>
      <c r="N286" s="1">
        <v>0.0</v>
      </c>
      <c r="O286" s="1">
        <v>0.0</v>
      </c>
      <c r="P286" s="1">
        <v>2.0</v>
      </c>
      <c r="Q286" s="1">
        <v>0.0</v>
      </c>
      <c r="R286" s="1">
        <v>21.0</v>
      </c>
      <c r="S286" s="1">
        <v>36.0</v>
      </c>
      <c r="T286" s="1">
        <v>3.0</v>
      </c>
    </row>
    <row r="287" ht="12.75" customHeight="1">
      <c r="A287" s="1" t="s">
        <v>317</v>
      </c>
      <c r="B287" s="1" t="str">
        <f>IFERROR(__xludf.DUMMYFUNCTION("split(A287, ""\"")"),"Frans Nielsen")</f>
        <v>Frans Nielsen</v>
      </c>
      <c r="C287" s="1" t="str">
        <f>IFERROR(__xludf.DUMMYFUNCTION("""COMPUTED_VALUE"""),"nielsfr01")</f>
        <v>nielsfr01</v>
      </c>
      <c r="D287" s="1" t="s">
        <v>31</v>
      </c>
      <c r="E287" s="1">
        <f t="shared" si="1"/>
        <v>187.05</v>
      </c>
      <c r="F287" s="1">
        <f t="shared" si="2"/>
        <v>2.37</v>
      </c>
      <c r="G287" s="1">
        <v>79.0</v>
      </c>
      <c r="H287" s="1">
        <v>16.0</v>
      </c>
      <c r="I287" s="1">
        <v>17.0</v>
      </c>
      <c r="J287" s="1">
        <v>33.0</v>
      </c>
      <c r="K287" s="1">
        <v>134.0</v>
      </c>
      <c r="L287" s="1">
        <v>49.0</v>
      </c>
      <c r="M287" s="1">
        <v>62.0</v>
      </c>
      <c r="N287" s="1">
        <v>4.0</v>
      </c>
      <c r="O287" s="1">
        <v>3.0</v>
      </c>
      <c r="P287" s="1">
        <v>2.0</v>
      </c>
      <c r="Q287" s="1">
        <v>1.0</v>
      </c>
      <c r="R287" s="1">
        <v>1.0</v>
      </c>
      <c r="S287" s="1">
        <v>14.0</v>
      </c>
      <c r="T287" s="1">
        <v>3.0</v>
      </c>
    </row>
    <row r="288" ht="12.75" customHeight="1">
      <c r="A288" s="1" t="s">
        <v>318</v>
      </c>
      <c r="B288" s="1" t="str">
        <f>IFERROR(__xludf.DUMMYFUNCTION("split(A288, ""\"")"),"Carter Hutton")</f>
        <v>Carter Hutton</v>
      </c>
      <c r="C288" s="2" t="str">
        <f>IFERROR(__xludf.DUMMYFUNCTION("""COMPUTED_VALUE"""),"huttoca01")</f>
        <v>huttoca01</v>
      </c>
      <c r="D288" s="1" t="s">
        <v>5</v>
      </c>
      <c r="E288" s="1">
        <f t="shared" si="1"/>
        <v>186.5</v>
      </c>
      <c r="F288" s="1">
        <f t="shared" si="2"/>
        <v>5.83</v>
      </c>
      <c r="G288" s="1">
        <v>32.0</v>
      </c>
      <c r="U288" s="1">
        <v>26.0</v>
      </c>
      <c r="V288" s="1">
        <v>17.0</v>
      </c>
      <c r="W288" s="1">
        <v>7.0</v>
      </c>
      <c r="X288" s="1">
        <v>56.0</v>
      </c>
      <c r="Y288" s="1">
        <v>810.0</v>
      </c>
      <c r="Z288" s="1">
        <v>754.0</v>
      </c>
      <c r="AA288" s="1">
        <v>3.0</v>
      </c>
    </row>
    <row r="289" ht="12.75" customHeight="1">
      <c r="A289" s="1" t="s">
        <v>319</v>
      </c>
      <c r="B289" s="1" t="str">
        <f>IFERROR(__xludf.DUMMYFUNCTION("split(A289, ""\"")"),"Charlie Coyle")</f>
        <v>Charlie Coyle</v>
      </c>
      <c r="C289" s="1" t="str">
        <f>IFERROR(__xludf.DUMMYFUNCTION("""COMPUTED_VALUE"""),"coylech01")</f>
        <v>coylech01</v>
      </c>
      <c r="D289" s="1" t="s">
        <v>42</v>
      </c>
      <c r="E289" s="1">
        <f t="shared" si="1"/>
        <v>186.45</v>
      </c>
      <c r="F289" s="1">
        <f t="shared" si="2"/>
        <v>2.83</v>
      </c>
      <c r="G289" s="1">
        <v>66.0</v>
      </c>
      <c r="H289" s="1">
        <v>11.0</v>
      </c>
      <c r="I289" s="1">
        <v>26.0</v>
      </c>
      <c r="J289" s="1">
        <v>37.0</v>
      </c>
      <c r="K289" s="1">
        <v>117.0</v>
      </c>
      <c r="L289" s="1">
        <v>76.0</v>
      </c>
      <c r="M289" s="1">
        <v>63.0</v>
      </c>
      <c r="N289" s="1">
        <v>0.0</v>
      </c>
      <c r="O289" s="1">
        <v>3.0</v>
      </c>
      <c r="P289" s="1">
        <v>1.0</v>
      </c>
      <c r="Q289" s="1">
        <v>0.0</v>
      </c>
      <c r="R289" s="1">
        <v>8.0</v>
      </c>
      <c r="S289" s="1">
        <v>18.0</v>
      </c>
      <c r="T289" s="1">
        <v>1.0</v>
      </c>
    </row>
    <row r="290" ht="12.75" customHeight="1">
      <c r="A290" s="1" t="s">
        <v>320</v>
      </c>
      <c r="B290" s="1" t="str">
        <f>IFERROR(__xludf.DUMMYFUNCTION("split(A290, ""\"")"),"Andrew Cogliano")</f>
        <v>Andrew Cogliano</v>
      </c>
      <c r="C290" s="1" t="str">
        <f>IFERROR(__xludf.DUMMYFUNCTION("""COMPUTED_VALUE"""),"coglian01")</f>
        <v>coglian01</v>
      </c>
      <c r="D290" s="1" t="s">
        <v>321</v>
      </c>
      <c r="E290" s="1">
        <f t="shared" si="1"/>
        <v>185.65</v>
      </c>
      <c r="F290" s="1">
        <f t="shared" si="2"/>
        <v>2.32</v>
      </c>
      <c r="G290" s="1">
        <v>80.0</v>
      </c>
      <c r="H290" s="1">
        <v>12.0</v>
      </c>
      <c r="I290" s="1">
        <v>23.0</v>
      </c>
      <c r="J290" s="1">
        <v>35.0</v>
      </c>
      <c r="K290" s="1">
        <v>175.0</v>
      </c>
      <c r="L290" s="1">
        <v>80.0</v>
      </c>
      <c r="M290" s="1">
        <v>31.0</v>
      </c>
      <c r="N290" s="1">
        <v>0.0</v>
      </c>
      <c r="O290" s="1">
        <v>0.0</v>
      </c>
      <c r="P290" s="1">
        <v>3.0</v>
      </c>
      <c r="Q290" s="1">
        <v>1.0</v>
      </c>
      <c r="R290" s="1">
        <v>18.0</v>
      </c>
      <c r="S290" s="1">
        <v>41.0</v>
      </c>
      <c r="T290" s="1">
        <v>1.0</v>
      </c>
    </row>
    <row r="291" ht="12.75" customHeight="1">
      <c r="A291" s="1" t="s">
        <v>322</v>
      </c>
      <c r="B291" s="1" t="str">
        <f>IFERROR(__xludf.DUMMYFUNCTION("split(A291, ""\"")"),"Corey Crawford")</f>
        <v>Corey Crawford</v>
      </c>
      <c r="C291" s="2" t="str">
        <f>IFERROR(__xludf.DUMMYFUNCTION("""COMPUTED_VALUE"""),"crawfco01")</f>
        <v>crawfco01</v>
      </c>
      <c r="D291" s="1" t="s">
        <v>5</v>
      </c>
      <c r="E291" s="1">
        <f t="shared" si="1"/>
        <v>185.5</v>
      </c>
      <c r="F291" s="1">
        <f t="shared" si="2"/>
        <v>6.63</v>
      </c>
      <c r="G291" s="1">
        <v>28.0</v>
      </c>
      <c r="U291" s="1">
        <v>27.0</v>
      </c>
      <c r="V291" s="1">
        <v>16.0</v>
      </c>
      <c r="W291" s="1">
        <v>9.0</v>
      </c>
      <c r="X291" s="1">
        <v>60.0</v>
      </c>
      <c r="Y291" s="1">
        <v>842.0</v>
      </c>
      <c r="Z291" s="1">
        <v>782.0</v>
      </c>
      <c r="AA291" s="1">
        <v>2.0</v>
      </c>
    </row>
    <row r="292" ht="12.75" customHeight="1">
      <c r="A292" s="1" t="s">
        <v>323</v>
      </c>
      <c r="B292" s="1" t="str">
        <f>IFERROR(__xludf.DUMMYFUNCTION("split(A292, ""\"")"),"Oscar Klefbom")</f>
        <v>Oscar Klefbom</v>
      </c>
      <c r="C292" s="1" t="str">
        <f>IFERROR(__xludf.DUMMYFUNCTION("""COMPUTED_VALUE"""),"klefbos01")</f>
        <v>klefbos01</v>
      </c>
      <c r="D292" s="1" t="s">
        <v>66</v>
      </c>
      <c r="E292" s="1">
        <f t="shared" si="1"/>
        <v>184.4</v>
      </c>
      <c r="F292" s="1">
        <f t="shared" si="2"/>
        <v>2.79</v>
      </c>
      <c r="G292" s="1">
        <v>66.0</v>
      </c>
      <c r="H292" s="1">
        <v>5.0</v>
      </c>
      <c r="I292" s="1">
        <v>16.0</v>
      </c>
      <c r="J292" s="1">
        <v>21.0</v>
      </c>
      <c r="K292" s="1">
        <v>203.0</v>
      </c>
      <c r="L292" s="1">
        <v>49.0</v>
      </c>
      <c r="M292" s="1">
        <v>136.0</v>
      </c>
      <c r="N292" s="1">
        <v>1.0</v>
      </c>
      <c r="O292" s="1">
        <v>5.0</v>
      </c>
      <c r="P292" s="1">
        <v>1.0</v>
      </c>
      <c r="Q292" s="1">
        <v>0.0</v>
      </c>
      <c r="R292" s="1">
        <v>-12.0</v>
      </c>
      <c r="S292" s="1">
        <v>18.0</v>
      </c>
      <c r="T292" s="1">
        <v>1.0</v>
      </c>
    </row>
    <row r="293" ht="12.75" customHeight="1">
      <c r="A293" s="1" t="s">
        <v>324</v>
      </c>
      <c r="B293" s="1" t="str">
        <f>IFERROR(__xludf.DUMMYFUNCTION("split(A293, ""\"")"),"Brock McGinn")</f>
        <v>Brock McGinn</v>
      </c>
      <c r="C293" s="1" t="str">
        <f>IFERROR(__xludf.DUMMYFUNCTION("""COMPUTED_VALUE"""),"mcginbr01")</f>
        <v>mcginbr01</v>
      </c>
      <c r="D293" s="1" t="s">
        <v>28</v>
      </c>
      <c r="E293" s="1">
        <f t="shared" si="1"/>
        <v>183.8</v>
      </c>
      <c r="F293" s="1">
        <f t="shared" si="2"/>
        <v>2.3</v>
      </c>
      <c r="G293" s="1">
        <v>80.0</v>
      </c>
      <c r="H293" s="1">
        <v>16.0</v>
      </c>
      <c r="I293" s="1">
        <v>14.0</v>
      </c>
      <c r="J293" s="1">
        <v>30.0</v>
      </c>
      <c r="K293" s="1">
        <v>159.0</v>
      </c>
      <c r="L293" s="1">
        <v>137.0</v>
      </c>
      <c r="M293" s="1">
        <v>17.0</v>
      </c>
      <c r="N293" s="1">
        <v>2.0</v>
      </c>
      <c r="O293" s="1">
        <v>1.0</v>
      </c>
      <c r="P293" s="1">
        <v>1.0</v>
      </c>
      <c r="Q293" s="1">
        <v>0.0</v>
      </c>
      <c r="R293" s="1">
        <v>-12.0</v>
      </c>
      <c r="S293" s="1">
        <v>22.0</v>
      </c>
      <c r="T293" s="1">
        <v>1.0</v>
      </c>
    </row>
    <row r="294" ht="12.75" customHeight="1">
      <c r="A294" s="1" t="s">
        <v>325</v>
      </c>
      <c r="B294" s="1" t="str">
        <f>IFERROR(__xludf.DUMMYFUNCTION("split(A294, ""\"")"),"Petr Mrazek")</f>
        <v>Petr Mrazek</v>
      </c>
      <c r="C294" s="2" t="str">
        <f>IFERROR(__xludf.DUMMYFUNCTION("""COMPUTED_VALUE"""),"mrazepe01")</f>
        <v>mrazepe01</v>
      </c>
      <c r="D294" s="1" t="s">
        <v>5</v>
      </c>
      <c r="E294" s="1">
        <f t="shared" si="1"/>
        <v>183.5</v>
      </c>
      <c r="F294" s="1">
        <f t="shared" si="2"/>
        <v>4.71</v>
      </c>
      <c r="G294" s="1">
        <v>39.0</v>
      </c>
      <c r="U294" s="1">
        <v>33.0</v>
      </c>
      <c r="V294" s="1">
        <v>14.0</v>
      </c>
      <c r="W294" s="1">
        <v>13.0</v>
      </c>
      <c r="X294" s="1">
        <v>106.0</v>
      </c>
      <c r="Y294" s="1">
        <v>1080.0</v>
      </c>
      <c r="Z294" s="1">
        <v>974.0</v>
      </c>
      <c r="AA294" s="1">
        <v>4.0</v>
      </c>
    </row>
    <row r="295" ht="12.75" customHeight="1">
      <c r="A295" s="1" t="s">
        <v>326</v>
      </c>
      <c r="B295" s="1" t="str">
        <f>IFERROR(__xludf.DUMMYFUNCTION("split(A295, ""\"")"),"Deryk Engelland")</f>
        <v>Deryk Engelland</v>
      </c>
      <c r="C295" s="1" t="str">
        <f>IFERROR(__xludf.DUMMYFUNCTION("""COMPUTED_VALUE"""),"engelde01")</f>
        <v>engelde01</v>
      </c>
      <c r="D295" s="1" t="s">
        <v>66</v>
      </c>
      <c r="E295" s="1">
        <f t="shared" si="1"/>
        <v>183.5</v>
      </c>
      <c r="F295" s="1">
        <f t="shared" si="2"/>
        <v>2.32</v>
      </c>
      <c r="G295" s="1">
        <v>79.0</v>
      </c>
      <c r="H295" s="1">
        <v>5.0</v>
      </c>
      <c r="I295" s="1">
        <v>18.0</v>
      </c>
      <c r="J295" s="1">
        <v>23.0</v>
      </c>
      <c r="K295" s="1">
        <v>108.0</v>
      </c>
      <c r="L295" s="1">
        <v>126.0</v>
      </c>
      <c r="M295" s="1">
        <v>150.0</v>
      </c>
      <c r="N295" s="1">
        <v>0.0</v>
      </c>
      <c r="O295" s="1">
        <v>0.0</v>
      </c>
      <c r="P295" s="1">
        <v>0.0</v>
      </c>
      <c r="Q295" s="1">
        <v>0.0</v>
      </c>
      <c r="R295" s="1">
        <v>6.0</v>
      </c>
      <c r="S295" s="1">
        <v>24.0</v>
      </c>
      <c r="T295" s="1">
        <v>0.0</v>
      </c>
    </row>
    <row r="296" ht="12.75" customHeight="1">
      <c r="A296" s="1" t="s">
        <v>327</v>
      </c>
      <c r="B296" s="1" t="str">
        <f>IFERROR(__xludf.DUMMYFUNCTION("split(A296, ""\"")"),"Darren Helm")</f>
        <v>Darren Helm</v>
      </c>
      <c r="C296" s="1" t="str">
        <f>IFERROR(__xludf.DUMMYFUNCTION("""COMPUTED_VALUE"""),"helmda01")</f>
        <v>helmda01</v>
      </c>
      <c r="D296" s="1" t="s">
        <v>141</v>
      </c>
      <c r="E296" s="1">
        <f t="shared" si="1"/>
        <v>183.4</v>
      </c>
      <c r="F296" s="1">
        <f t="shared" si="2"/>
        <v>2.45</v>
      </c>
      <c r="G296" s="1">
        <v>75.0</v>
      </c>
      <c r="H296" s="1">
        <v>13.0</v>
      </c>
      <c r="I296" s="1">
        <v>18.0</v>
      </c>
      <c r="J296" s="1">
        <v>31.0</v>
      </c>
      <c r="K296" s="1">
        <v>141.0</v>
      </c>
      <c r="L296" s="1">
        <v>131.0</v>
      </c>
      <c r="M296" s="1">
        <v>36.0</v>
      </c>
      <c r="N296" s="1">
        <v>0.0</v>
      </c>
      <c r="O296" s="1">
        <v>0.0</v>
      </c>
      <c r="P296" s="1">
        <v>2.0</v>
      </c>
      <c r="Q296" s="1">
        <v>2.0</v>
      </c>
      <c r="R296" s="1">
        <v>3.0</v>
      </c>
      <c r="S296" s="1">
        <v>39.0</v>
      </c>
      <c r="T296" s="1">
        <v>0.0</v>
      </c>
    </row>
    <row r="297" ht="12.75" customHeight="1">
      <c r="A297" s="1" t="s">
        <v>328</v>
      </c>
      <c r="B297" s="1" t="str">
        <f>IFERROR(__xludf.DUMMYFUNCTION("split(A297, ""\"")"),"Cam Fowler")</f>
        <v>Cam Fowler</v>
      </c>
      <c r="C297" s="1" t="str">
        <f>IFERROR(__xludf.DUMMYFUNCTION("""COMPUTED_VALUE"""),"fowleca01")</f>
        <v>fowleca01</v>
      </c>
      <c r="D297" s="1" t="s">
        <v>66</v>
      </c>
      <c r="E297" s="1">
        <f t="shared" si="1"/>
        <v>182.95</v>
      </c>
      <c r="F297" s="1">
        <f t="shared" si="2"/>
        <v>2.73</v>
      </c>
      <c r="G297" s="1">
        <v>67.0</v>
      </c>
      <c r="H297" s="1">
        <v>8.0</v>
      </c>
      <c r="I297" s="1">
        <v>24.0</v>
      </c>
      <c r="J297" s="1">
        <v>32.0</v>
      </c>
      <c r="K297" s="1">
        <v>122.0</v>
      </c>
      <c r="L297" s="1">
        <v>21.0</v>
      </c>
      <c r="M297" s="1">
        <v>108.0</v>
      </c>
      <c r="N297" s="1">
        <v>1.0</v>
      </c>
      <c r="O297" s="1">
        <v>9.0</v>
      </c>
      <c r="P297" s="1">
        <v>1.0</v>
      </c>
      <c r="Q297" s="1">
        <v>1.0</v>
      </c>
      <c r="R297" s="1">
        <v>3.0</v>
      </c>
      <c r="S297" s="1">
        <v>28.0</v>
      </c>
      <c r="T297" s="1">
        <v>1.0</v>
      </c>
    </row>
    <row r="298" ht="12.75" customHeight="1">
      <c r="A298" s="1" t="s">
        <v>329</v>
      </c>
      <c r="B298" s="1" t="str">
        <f>IFERROR(__xludf.DUMMYFUNCTION("split(A298, ""\"")"),"Matt Niskanen")</f>
        <v>Matt Niskanen</v>
      </c>
      <c r="C298" s="1" t="str">
        <f>IFERROR(__xludf.DUMMYFUNCTION("""COMPUTED_VALUE"""),"niskama01")</f>
        <v>niskama01</v>
      </c>
      <c r="D298" s="1" t="s">
        <v>66</v>
      </c>
      <c r="E298" s="1">
        <f t="shared" si="1"/>
        <v>182.45</v>
      </c>
      <c r="F298" s="1">
        <f t="shared" si="2"/>
        <v>2.68</v>
      </c>
      <c r="G298" s="1">
        <v>68.0</v>
      </c>
      <c r="H298" s="1">
        <v>7.0</v>
      </c>
      <c r="I298" s="1">
        <v>22.0</v>
      </c>
      <c r="J298" s="1">
        <v>29.0</v>
      </c>
      <c r="K298" s="1">
        <v>120.0</v>
      </c>
      <c r="L298" s="1">
        <v>117.0</v>
      </c>
      <c r="M298" s="1">
        <v>98.0</v>
      </c>
      <c r="N298" s="1">
        <v>0.0</v>
      </c>
      <c r="O298" s="1">
        <v>0.0</v>
      </c>
      <c r="P298" s="1">
        <v>0.0</v>
      </c>
      <c r="Q298" s="1">
        <v>1.0</v>
      </c>
      <c r="R298" s="1">
        <v>24.0</v>
      </c>
      <c r="S298" s="1">
        <v>36.0</v>
      </c>
      <c r="T298" s="1">
        <v>1.0</v>
      </c>
    </row>
    <row r="299" ht="12.75" customHeight="1">
      <c r="A299" s="1" t="s">
        <v>330</v>
      </c>
      <c r="B299" s="1" t="str">
        <f>IFERROR(__xludf.DUMMYFUNCTION("split(A299, ""\"")"),"Nick Ritchie")</f>
        <v>Nick Ritchie</v>
      </c>
      <c r="C299" s="1" t="str">
        <f>IFERROR(__xludf.DUMMYFUNCTION("""COMPUTED_VALUE"""),"ritchni01")</f>
        <v>ritchni01</v>
      </c>
      <c r="D299" s="1" t="s">
        <v>28</v>
      </c>
      <c r="E299" s="1">
        <f t="shared" si="1"/>
        <v>182.05</v>
      </c>
      <c r="F299" s="1">
        <f t="shared" si="2"/>
        <v>2.4</v>
      </c>
      <c r="G299" s="1">
        <v>76.0</v>
      </c>
      <c r="H299" s="1">
        <v>10.0</v>
      </c>
      <c r="I299" s="1">
        <v>17.0</v>
      </c>
      <c r="J299" s="1">
        <v>27.0</v>
      </c>
      <c r="K299" s="1">
        <v>122.0</v>
      </c>
      <c r="L299" s="1">
        <v>221.0</v>
      </c>
      <c r="M299" s="1">
        <v>27.0</v>
      </c>
      <c r="N299" s="1">
        <v>1.0</v>
      </c>
      <c r="O299" s="1">
        <v>2.0</v>
      </c>
      <c r="P299" s="1">
        <v>0.0</v>
      </c>
      <c r="Q299" s="1">
        <v>0.0</v>
      </c>
      <c r="R299" s="1">
        <v>3.0</v>
      </c>
      <c r="S299" s="1">
        <v>72.0</v>
      </c>
      <c r="T299" s="1">
        <v>2.0</v>
      </c>
    </row>
    <row r="300" ht="12.75" customHeight="1">
      <c r="A300" s="1" t="s">
        <v>331</v>
      </c>
      <c r="B300" s="1" t="str">
        <f>IFERROR(__xludf.DUMMYFUNCTION("split(A300, ""\"")"),"Derek Ryan")</f>
        <v>Derek Ryan</v>
      </c>
      <c r="C300" s="1" t="str">
        <f>IFERROR(__xludf.DUMMYFUNCTION("""COMPUTED_VALUE"""),"ryande01")</f>
        <v>ryande01</v>
      </c>
      <c r="D300" s="1" t="s">
        <v>31</v>
      </c>
      <c r="E300" s="1">
        <f t="shared" si="1"/>
        <v>182.05</v>
      </c>
      <c r="F300" s="1">
        <f t="shared" si="2"/>
        <v>2.28</v>
      </c>
      <c r="G300" s="1">
        <v>80.0</v>
      </c>
      <c r="H300" s="1">
        <v>15.0</v>
      </c>
      <c r="I300" s="1">
        <v>23.0</v>
      </c>
      <c r="J300" s="1">
        <v>38.0</v>
      </c>
      <c r="K300" s="1">
        <v>135.0</v>
      </c>
      <c r="L300" s="1">
        <v>52.0</v>
      </c>
      <c r="M300" s="1">
        <v>27.0</v>
      </c>
      <c r="N300" s="1">
        <v>3.0</v>
      </c>
      <c r="O300" s="1">
        <v>4.0</v>
      </c>
      <c r="P300" s="1">
        <v>0.0</v>
      </c>
      <c r="Q300" s="1">
        <v>0.0</v>
      </c>
      <c r="R300" s="1">
        <v>-15.0</v>
      </c>
      <c r="S300" s="1">
        <v>28.0</v>
      </c>
      <c r="T300" s="1">
        <v>1.0</v>
      </c>
    </row>
    <row r="301" ht="12.75" customHeight="1">
      <c r="A301" s="1" t="s">
        <v>332</v>
      </c>
      <c r="B301" s="1" t="str">
        <f>IFERROR(__xludf.DUMMYFUNCTION("split(A301, ""\"")"),"Charlie McAvoy")</f>
        <v>Charlie McAvoy</v>
      </c>
      <c r="C301" s="1" t="str">
        <f>IFERROR(__xludf.DUMMYFUNCTION("""COMPUTED_VALUE"""),"mcavoch01")</f>
        <v>mcavoch01</v>
      </c>
      <c r="D301" s="1" t="s">
        <v>66</v>
      </c>
      <c r="E301" s="1">
        <f t="shared" si="1"/>
        <v>182</v>
      </c>
      <c r="F301" s="1">
        <f t="shared" si="2"/>
        <v>2.89</v>
      </c>
      <c r="G301" s="1">
        <v>63.0</v>
      </c>
      <c r="H301" s="1">
        <v>7.0</v>
      </c>
      <c r="I301" s="1">
        <v>25.0</v>
      </c>
      <c r="J301" s="1">
        <v>32.0</v>
      </c>
      <c r="K301" s="1">
        <v>77.0</v>
      </c>
      <c r="L301" s="1">
        <v>133.0</v>
      </c>
      <c r="M301" s="1">
        <v>80.0</v>
      </c>
      <c r="N301" s="1">
        <v>2.0</v>
      </c>
      <c r="O301" s="1">
        <v>5.0</v>
      </c>
      <c r="P301" s="1">
        <v>0.0</v>
      </c>
      <c r="Q301" s="1">
        <v>0.0</v>
      </c>
      <c r="R301" s="1">
        <v>20.0</v>
      </c>
      <c r="S301" s="1">
        <v>53.0</v>
      </c>
      <c r="T301" s="1">
        <v>2.0</v>
      </c>
    </row>
    <row r="302" ht="12.75" customHeight="1">
      <c r="A302" s="1" t="s">
        <v>333</v>
      </c>
      <c r="B302" s="1" t="str">
        <f>IFERROR(__xludf.DUMMYFUNCTION("split(A302, ""\"")"),"Ondrej Kase")</f>
        <v>Ondrej Kase</v>
      </c>
      <c r="C302" s="1" t="str">
        <f>IFERROR(__xludf.DUMMYFUNCTION("""COMPUTED_VALUE"""),"kaseon01")</f>
        <v>kaseon01</v>
      </c>
      <c r="D302" s="1" t="s">
        <v>36</v>
      </c>
      <c r="E302" s="1">
        <f t="shared" si="1"/>
        <v>181.9</v>
      </c>
      <c r="F302" s="1">
        <f t="shared" si="2"/>
        <v>2.76</v>
      </c>
      <c r="G302" s="1">
        <v>66.0</v>
      </c>
      <c r="H302" s="1">
        <v>20.0</v>
      </c>
      <c r="I302" s="1">
        <v>18.0</v>
      </c>
      <c r="J302" s="1">
        <v>38.0</v>
      </c>
      <c r="K302" s="1">
        <v>146.0</v>
      </c>
      <c r="L302" s="1">
        <v>28.0</v>
      </c>
      <c r="M302" s="1">
        <v>26.0</v>
      </c>
      <c r="N302" s="1">
        <v>1.0</v>
      </c>
      <c r="O302" s="1">
        <v>2.0</v>
      </c>
      <c r="P302" s="1">
        <v>0.0</v>
      </c>
      <c r="Q302" s="1">
        <v>0.0</v>
      </c>
      <c r="R302" s="1">
        <v>18.0</v>
      </c>
      <c r="S302" s="1">
        <v>14.0</v>
      </c>
      <c r="T302" s="1">
        <v>5.0</v>
      </c>
    </row>
    <row r="303" ht="12.75" customHeight="1">
      <c r="A303" s="1" t="s">
        <v>334</v>
      </c>
      <c r="B303" s="1" t="str">
        <f>IFERROR(__xludf.DUMMYFUNCTION("split(A303, ""\"")"),"Vladimir Sobotka")</f>
        <v>Vladimir Sobotka</v>
      </c>
      <c r="C303" s="1" t="str">
        <f>IFERROR(__xludf.DUMMYFUNCTION("""COMPUTED_VALUE"""),"sobotvl01")</f>
        <v>sobotvl01</v>
      </c>
      <c r="D303" s="1" t="s">
        <v>31</v>
      </c>
      <c r="E303" s="1">
        <f t="shared" si="1"/>
        <v>181.75</v>
      </c>
      <c r="F303" s="1">
        <f t="shared" si="2"/>
        <v>2.24</v>
      </c>
      <c r="G303" s="1">
        <v>81.0</v>
      </c>
      <c r="H303" s="1">
        <v>11.0</v>
      </c>
      <c r="I303" s="1">
        <v>20.0</v>
      </c>
      <c r="J303" s="1">
        <v>31.0</v>
      </c>
      <c r="K303" s="1">
        <v>136.0</v>
      </c>
      <c r="L303" s="1">
        <v>127.0</v>
      </c>
      <c r="M303" s="1">
        <v>45.0</v>
      </c>
      <c r="N303" s="1">
        <v>0.0</v>
      </c>
      <c r="O303" s="1">
        <v>3.0</v>
      </c>
      <c r="P303" s="1">
        <v>1.0</v>
      </c>
      <c r="Q303" s="1">
        <v>0.0</v>
      </c>
      <c r="R303" s="1">
        <v>-6.0</v>
      </c>
      <c r="S303" s="1">
        <v>50.0</v>
      </c>
      <c r="T303" s="1">
        <v>4.0</v>
      </c>
    </row>
    <row r="304" ht="12.75" customHeight="1">
      <c r="A304" s="1" t="s">
        <v>335</v>
      </c>
      <c r="B304" s="1" t="str">
        <f>IFERROR(__xludf.DUMMYFUNCTION("split(A304, ""\"")"),"Jason Pominville")</f>
        <v>Jason Pominville</v>
      </c>
      <c r="C304" s="1" t="str">
        <f>IFERROR(__xludf.DUMMYFUNCTION("""COMPUTED_VALUE"""),"pominja01")</f>
        <v>pominja01</v>
      </c>
      <c r="D304" s="1" t="s">
        <v>36</v>
      </c>
      <c r="E304" s="1">
        <f t="shared" si="1"/>
        <v>181.75</v>
      </c>
      <c r="F304" s="1">
        <f t="shared" si="2"/>
        <v>2.22</v>
      </c>
      <c r="G304" s="1">
        <v>82.0</v>
      </c>
      <c r="H304" s="1">
        <v>16.0</v>
      </c>
      <c r="I304" s="1">
        <v>18.0</v>
      </c>
      <c r="J304" s="1">
        <v>34.0</v>
      </c>
      <c r="K304" s="1">
        <v>168.0</v>
      </c>
      <c r="L304" s="1">
        <v>39.0</v>
      </c>
      <c r="M304" s="1">
        <v>35.0</v>
      </c>
      <c r="N304" s="1">
        <v>5.0</v>
      </c>
      <c r="O304" s="1">
        <v>2.0</v>
      </c>
      <c r="P304" s="1">
        <v>0.0</v>
      </c>
      <c r="Q304" s="1">
        <v>0.0</v>
      </c>
      <c r="R304" s="1">
        <v>-17.0</v>
      </c>
      <c r="S304" s="1">
        <v>8.0</v>
      </c>
      <c r="T304" s="1">
        <v>1.0</v>
      </c>
    </row>
    <row r="305" ht="12.75" customHeight="1">
      <c r="A305" s="1" t="s">
        <v>336</v>
      </c>
      <c r="B305" s="1" t="str">
        <f>IFERROR(__xludf.DUMMYFUNCTION("split(A305, ""\"")"),"Miles Wood")</f>
        <v>Miles Wood</v>
      </c>
      <c r="C305" s="1" t="str">
        <f>IFERROR(__xludf.DUMMYFUNCTION("""COMPUTED_VALUE"""),"woodmi01")</f>
        <v>woodmi01</v>
      </c>
      <c r="D305" s="1" t="s">
        <v>28</v>
      </c>
      <c r="E305" s="1">
        <f t="shared" si="1"/>
        <v>181.55</v>
      </c>
      <c r="F305" s="1">
        <f t="shared" si="2"/>
        <v>2.39</v>
      </c>
      <c r="G305" s="1">
        <v>76.0</v>
      </c>
      <c r="H305" s="1">
        <v>19.0</v>
      </c>
      <c r="I305" s="1">
        <v>13.0</v>
      </c>
      <c r="J305" s="1">
        <v>32.0</v>
      </c>
      <c r="K305" s="1">
        <v>170.0</v>
      </c>
      <c r="L305" s="1">
        <v>75.0</v>
      </c>
      <c r="M305" s="1">
        <v>22.0</v>
      </c>
      <c r="N305" s="1">
        <v>3.0</v>
      </c>
      <c r="O305" s="1">
        <v>0.0</v>
      </c>
      <c r="P305" s="1">
        <v>0.0</v>
      </c>
      <c r="Q305" s="1">
        <v>0.0</v>
      </c>
      <c r="R305" s="1">
        <v>-6.0</v>
      </c>
      <c r="S305" s="1">
        <v>84.0</v>
      </c>
      <c r="T305" s="1">
        <v>2.0</v>
      </c>
    </row>
    <row r="306" ht="12.75" customHeight="1">
      <c r="A306" s="1" t="s">
        <v>337</v>
      </c>
      <c r="B306" s="1" t="str">
        <f>IFERROR(__xludf.DUMMYFUNCTION("split(A306, ""\"")"),"Adrian Kempe")</f>
        <v>Adrian Kempe</v>
      </c>
      <c r="C306" s="1" t="str">
        <f>IFERROR(__xludf.DUMMYFUNCTION("""COMPUTED_VALUE"""),"kempead01")</f>
        <v>kempead01</v>
      </c>
      <c r="D306" s="1" t="s">
        <v>28</v>
      </c>
      <c r="E306" s="1">
        <f t="shared" si="1"/>
        <v>181.2</v>
      </c>
      <c r="F306" s="1">
        <f t="shared" si="2"/>
        <v>2.24</v>
      </c>
      <c r="G306" s="1">
        <v>81.0</v>
      </c>
      <c r="H306" s="1">
        <v>16.0</v>
      </c>
      <c r="I306" s="1">
        <v>21.0</v>
      </c>
      <c r="J306" s="1">
        <v>37.0</v>
      </c>
      <c r="K306" s="1">
        <v>119.0</v>
      </c>
      <c r="L306" s="1">
        <v>91.0</v>
      </c>
      <c r="M306" s="1">
        <v>18.0</v>
      </c>
      <c r="N306" s="1">
        <v>1.0</v>
      </c>
      <c r="O306" s="1">
        <v>4.0</v>
      </c>
      <c r="P306" s="1">
        <v>0.0</v>
      </c>
      <c r="Q306" s="1">
        <v>0.0</v>
      </c>
      <c r="R306" s="1">
        <v>11.0</v>
      </c>
      <c r="S306" s="1">
        <v>49.0</v>
      </c>
      <c r="T306" s="1">
        <v>3.0</v>
      </c>
    </row>
    <row r="307" ht="12.75" customHeight="1">
      <c r="A307" s="1" t="s">
        <v>338</v>
      </c>
      <c r="B307" s="1" t="str">
        <f>IFERROR(__xludf.DUMMYFUNCTION("split(A307, ""\"")"),"Devin Shore")</f>
        <v>Devin Shore</v>
      </c>
      <c r="C307" s="1" t="str">
        <f>IFERROR(__xludf.DUMMYFUNCTION("""COMPUTED_VALUE"""),"shorede01")</f>
        <v>shorede01</v>
      </c>
      <c r="D307" s="1" t="s">
        <v>31</v>
      </c>
      <c r="E307" s="1">
        <f t="shared" si="1"/>
        <v>180.8</v>
      </c>
      <c r="F307" s="1">
        <f t="shared" si="2"/>
        <v>2.2</v>
      </c>
      <c r="G307" s="1">
        <v>82.0</v>
      </c>
      <c r="H307" s="1">
        <v>11.0</v>
      </c>
      <c r="I307" s="1">
        <v>21.0</v>
      </c>
      <c r="J307" s="1">
        <v>32.0</v>
      </c>
      <c r="K307" s="1">
        <v>123.0</v>
      </c>
      <c r="L307" s="1">
        <v>71.0</v>
      </c>
      <c r="M307" s="1">
        <v>57.0</v>
      </c>
      <c r="N307" s="1">
        <v>2.0</v>
      </c>
      <c r="O307" s="1">
        <v>9.0</v>
      </c>
      <c r="P307" s="1">
        <v>1.0</v>
      </c>
      <c r="Q307" s="1">
        <v>1.0</v>
      </c>
      <c r="R307" s="1">
        <v>-30.0</v>
      </c>
      <c r="S307" s="1">
        <v>14.0</v>
      </c>
      <c r="T307" s="1">
        <v>1.0</v>
      </c>
    </row>
    <row r="308" ht="12.75" customHeight="1">
      <c r="A308" s="1" t="s">
        <v>339</v>
      </c>
      <c r="B308" s="1" t="str">
        <f>IFERROR(__xludf.DUMMYFUNCTION("split(A308, ""\"")"),"Ondrej Palat")</f>
        <v>Ondrej Palat</v>
      </c>
      <c r="C308" s="1" t="str">
        <f>IFERROR(__xludf.DUMMYFUNCTION("""COMPUTED_VALUE"""),"palaton01")</f>
        <v>palaton01</v>
      </c>
      <c r="D308" s="1" t="s">
        <v>28</v>
      </c>
      <c r="E308" s="1">
        <f t="shared" si="1"/>
        <v>180.45</v>
      </c>
      <c r="F308" s="1">
        <f t="shared" si="2"/>
        <v>3.22</v>
      </c>
      <c r="G308" s="1">
        <v>56.0</v>
      </c>
      <c r="H308" s="1">
        <v>11.0</v>
      </c>
      <c r="I308" s="1">
        <v>24.0</v>
      </c>
      <c r="J308" s="1">
        <v>35.0</v>
      </c>
      <c r="K308" s="1">
        <v>109.0</v>
      </c>
      <c r="L308" s="1">
        <v>80.0</v>
      </c>
      <c r="M308" s="1">
        <v>48.0</v>
      </c>
      <c r="N308" s="1">
        <v>4.0</v>
      </c>
      <c r="O308" s="1">
        <v>5.0</v>
      </c>
      <c r="P308" s="1">
        <v>1.0</v>
      </c>
      <c r="Q308" s="1">
        <v>0.0</v>
      </c>
      <c r="R308" s="1">
        <v>16.0</v>
      </c>
      <c r="S308" s="1">
        <v>6.0</v>
      </c>
      <c r="T308" s="1">
        <v>0.0</v>
      </c>
    </row>
    <row r="309" ht="12.75" customHeight="1">
      <c r="A309" s="1" t="s">
        <v>340</v>
      </c>
      <c r="B309" s="1" t="str">
        <f>IFERROR(__xludf.DUMMYFUNCTION("split(A309, ""\"")"),"Carl Hagelin")</f>
        <v>Carl Hagelin</v>
      </c>
      <c r="C309" s="1" t="str">
        <f>IFERROR(__xludf.DUMMYFUNCTION("""COMPUTED_VALUE"""),"hagelca01")</f>
        <v>hagelca01</v>
      </c>
      <c r="D309" s="1" t="s">
        <v>28</v>
      </c>
      <c r="E309" s="1">
        <f t="shared" si="1"/>
        <v>179.15</v>
      </c>
      <c r="F309" s="1">
        <f t="shared" si="2"/>
        <v>2.21</v>
      </c>
      <c r="G309" s="1">
        <v>81.0</v>
      </c>
      <c r="H309" s="1">
        <v>10.0</v>
      </c>
      <c r="I309" s="1">
        <v>21.0</v>
      </c>
      <c r="J309" s="1">
        <v>31.0</v>
      </c>
      <c r="K309" s="1">
        <v>169.0</v>
      </c>
      <c r="L309" s="1">
        <v>112.0</v>
      </c>
      <c r="M309" s="1">
        <v>36.0</v>
      </c>
      <c r="N309" s="1">
        <v>0.0</v>
      </c>
      <c r="O309" s="1">
        <v>0.0</v>
      </c>
      <c r="P309" s="1">
        <v>1.0</v>
      </c>
      <c r="Q309" s="1">
        <v>1.0</v>
      </c>
      <c r="R309" s="1">
        <v>8.0</v>
      </c>
      <c r="S309" s="1">
        <v>28.0</v>
      </c>
      <c r="T309" s="1">
        <v>2.0</v>
      </c>
    </row>
    <row r="310" ht="12.75" customHeight="1">
      <c r="A310" s="1" t="s">
        <v>341</v>
      </c>
      <c r="B310" s="1" t="str">
        <f>IFERROR(__xludf.DUMMYFUNCTION("split(A310, ""\"")"),"Kari Lehtonen")</f>
        <v>Kari Lehtonen</v>
      </c>
      <c r="C310" s="2" t="str">
        <f>IFERROR(__xludf.DUMMYFUNCTION("""COMPUTED_VALUE"""),"lehtoka01")</f>
        <v>lehtoka01</v>
      </c>
      <c r="D310" s="1" t="s">
        <v>5</v>
      </c>
      <c r="E310" s="1">
        <f t="shared" si="1"/>
        <v>178.75</v>
      </c>
      <c r="F310" s="1">
        <f t="shared" si="2"/>
        <v>4.83</v>
      </c>
      <c r="G310" s="1">
        <v>37.0</v>
      </c>
      <c r="U310" s="1">
        <v>30.0</v>
      </c>
      <c r="V310" s="1">
        <v>15.0</v>
      </c>
      <c r="W310" s="1">
        <v>14.0</v>
      </c>
      <c r="X310" s="1">
        <v>83.0</v>
      </c>
      <c r="Y310" s="1">
        <v>946.0</v>
      </c>
      <c r="Z310" s="1">
        <v>863.0</v>
      </c>
      <c r="AA310" s="1">
        <v>1.0</v>
      </c>
    </row>
    <row r="311" ht="12.75" customHeight="1">
      <c r="A311" s="1" t="s">
        <v>342</v>
      </c>
      <c r="B311" s="1" t="str">
        <f>IFERROR(__xludf.DUMMYFUNCTION("split(A311, ""\"")"),"Ryan Spooner")</f>
        <v>Ryan Spooner</v>
      </c>
      <c r="C311" s="1" t="str">
        <f>IFERROR(__xludf.DUMMYFUNCTION("""COMPUTED_VALUE"""),"spoonry01")</f>
        <v>spoonry01</v>
      </c>
      <c r="D311" s="1" t="s">
        <v>31</v>
      </c>
      <c r="E311" s="1">
        <f t="shared" si="1"/>
        <v>178.65</v>
      </c>
      <c r="F311" s="1">
        <f t="shared" si="2"/>
        <v>3.03</v>
      </c>
      <c r="G311" s="1">
        <v>59.0</v>
      </c>
      <c r="H311" s="1">
        <v>13.0</v>
      </c>
      <c r="I311" s="1">
        <v>28.0</v>
      </c>
      <c r="J311" s="1">
        <v>41.0</v>
      </c>
      <c r="K311" s="1">
        <v>107.0</v>
      </c>
      <c r="L311" s="1">
        <v>66.0</v>
      </c>
      <c r="M311" s="1">
        <v>16.0</v>
      </c>
      <c r="N311" s="1">
        <v>1.0</v>
      </c>
      <c r="O311" s="1">
        <v>6.0</v>
      </c>
      <c r="P311" s="1">
        <v>0.0</v>
      </c>
      <c r="Q311" s="1">
        <v>0.0</v>
      </c>
      <c r="R311" s="1">
        <v>6.0</v>
      </c>
      <c r="S311" s="1">
        <v>4.0</v>
      </c>
      <c r="T311" s="1">
        <v>3.0</v>
      </c>
    </row>
    <row r="312" ht="12.75" customHeight="1">
      <c r="A312" s="1" t="s">
        <v>343</v>
      </c>
      <c r="B312" s="1" t="str">
        <f>IFERROR(__xludf.DUMMYFUNCTION("split(A312, ""\"")"),"Brendan Perlini")</f>
        <v>Brendan Perlini</v>
      </c>
      <c r="C312" s="1" t="str">
        <f>IFERROR(__xludf.DUMMYFUNCTION("""COMPUTED_VALUE"""),"perlibr01")</f>
        <v>perlibr01</v>
      </c>
      <c r="D312" s="1" t="s">
        <v>28</v>
      </c>
      <c r="E312" s="1">
        <f t="shared" si="1"/>
        <v>178.1</v>
      </c>
      <c r="F312" s="1">
        <f t="shared" si="2"/>
        <v>2.41</v>
      </c>
      <c r="G312" s="1">
        <v>74.0</v>
      </c>
      <c r="H312" s="1">
        <v>17.0</v>
      </c>
      <c r="I312" s="1">
        <v>13.0</v>
      </c>
      <c r="J312" s="1">
        <v>30.0</v>
      </c>
      <c r="K312" s="1">
        <v>129.0</v>
      </c>
      <c r="L312" s="1">
        <v>83.0</v>
      </c>
      <c r="M312" s="1">
        <v>34.0</v>
      </c>
      <c r="N312" s="1">
        <v>5.0</v>
      </c>
      <c r="O312" s="1">
        <v>6.0</v>
      </c>
      <c r="P312" s="1">
        <v>0.0</v>
      </c>
      <c r="Q312" s="1">
        <v>0.0</v>
      </c>
      <c r="R312" s="1">
        <v>-2.0</v>
      </c>
      <c r="S312" s="1">
        <v>28.0</v>
      </c>
      <c r="T312" s="1">
        <v>1.0</v>
      </c>
    </row>
    <row r="313" ht="12.75" customHeight="1">
      <c r="A313" s="1" t="s">
        <v>344</v>
      </c>
      <c r="B313" s="1" t="str">
        <f>IFERROR(__xludf.DUMMYFUNCTION("split(A313, ""\"")"),"Adam Larsson")</f>
        <v>Adam Larsson</v>
      </c>
      <c r="C313" s="1" t="str">
        <f>IFERROR(__xludf.DUMMYFUNCTION("""COMPUTED_VALUE"""),"larssad01")</f>
        <v>larssad01</v>
      </c>
      <c r="D313" s="1" t="s">
        <v>66</v>
      </c>
      <c r="E313" s="1">
        <f t="shared" si="1"/>
        <v>177.25</v>
      </c>
      <c r="F313" s="1">
        <f t="shared" si="2"/>
        <v>2.81</v>
      </c>
      <c r="G313" s="1">
        <v>63.0</v>
      </c>
      <c r="H313" s="1">
        <v>4.0</v>
      </c>
      <c r="I313" s="1">
        <v>9.0</v>
      </c>
      <c r="J313" s="1">
        <v>13.0</v>
      </c>
      <c r="K313" s="1">
        <v>92.0</v>
      </c>
      <c r="L313" s="1">
        <v>239.0</v>
      </c>
      <c r="M313" s="1">
        <v>140.0</v>
      </c>
      <c r="N313" s="1">
        <v>0.0</v>
      </c>
      <c r="O313" s="1">
        <v>0.0</v>
      </c>
      <c r="P313" s="1">
        <v>0.0</v>
      </c>
      <c r="Q313" s="1">
        <v>0.0</v>
      </c>
      <c r="R313" s="1">
        <v>10.0</v>
      </c>
      <c r="S313" s="1">
        <v>34.0</v>
      </c>
      <c r="T313" s="1">
        <v>1.0</v>
      </c>
    </row>
    <row r="314" ht="12.75" customHeight="1">
      <c r="A314" s="1" t="s">
        <v>345</v>
      </c>
      <c r="B314" s="1" t="str">
        <f>IFERROR(__xludf.DUMMYFUNCTION("split(A314, ""\"")"),"Brenden Dillon")</f>
        <v>Brenden Dillon</v>
      </c>
      <c r="C314" s="1" t="str">
        <f>IFERROR(__xludf.DUMMYFUNCTION("""COMPUTED_VALUE"""),"dillobr01")</f>
        <v>dillobr01</v>
      </c>
      <c r="D314" s="1" t="s">
        <v>66</v>
      </c>
      <c r="E314" s="1">
        <f t="shared" si="1"/>
        <v>176.55</v>
      </c>
      <c r="F314" s="1">
        <f t="shared" si="2"/>
        <v>2.18</v>
      </c>
      <c r="G314" s="1">
        <v>81.0</v>
      </c>
      <c r="H314" s="1">
        <v>5.0</v>
      </c>
      <c r="I314" s="1">
        <v>17.0</v>
      </c>
      <c r="J314" s="1">
        <v>22.0</v>
      </c>
      <c r="K314" s="1">
        <v>88.0</v>
      </c>
      <c r="L314" s="1">
        <v>197.0</v>
      </c>
      <c r="M314" s="1">
        <v>107.0</v>
      </c>
      <c r="N314" s="1">
        <v>0.0</v>
      </c>
      <c r="O314" s="1">
        <v>0.0</v>
      </c>
      <c r="P314" s="1">
        <v>0.0</v>
      </c>
      <c r="Q314" s="1">
        <v>0.0</v>
      </c>
      <c r="R314" s="1">
        <v>-7.0</v>
      </c>
      <c r="S314" s="1">
        <v>60.0</v>
      </c>
      <c r="T314" s="1">
        <v>0.0</v>
      </c>
    </row>
    <row r="315" ht="12.75" customHeight="1">
      <c r="A315" s="1" t="s">
        <v>346</v>
      </c>
      <c r="B315" s="1" t="str">
        <f>IFERROR(__xludf.DUMMYFUNCTION("split(A315, ""\"")"),"David Savard")</f>
        <v>David Savard</v>
      </c>
      <c r="C315" s="1" t="str">
        <f>IFERROR(__xludf.DUMMYFUNCTION("""COMPUTED_VALUE"""),"savarda01")</f>
        <v>savarda01</v>
      </c>
      <c r="D315" s="1" t="s">
        <v>66</v>
      </c>
      <c r="E315" s="1">
        <f t="shared" si="1"/>
        <v>176.45</v>
      </c>
      <c r="F315" s="1">
        <f t="shared" si="2"/>
        <v>2.18</v>
      </c>
      <c r="G315" s="1">
        <v>81.0</v>
      </c>
      <c r="H315" s="1">
        <v>4.0</v>
      </c>
      <c r="I315" s="1">
        <v>12.0</v>
      </c>
      <c r="J315" s="1">
        <v>16.0</v>
      </c>
      <c r="K315" s="1">
        <v>145.0</v>
      </c>
      <c r="L315" s="1">
        <v>144.0</v>
      </c>
      <c r="M315" s="1">
        <v>143.0</v>
      </c>
      <c r="N315" s="1">
        <v>0.0</v>
      </c>
      <c r="O315" s="1">
        <v>0.0</v>
      </c>
      <c r="P315" s="1">
        <v>0.0</v>
      </c>
      <c r="Q315" s="1">
        <v>1.0</v>
      </c>
      <c r="R315" s="1">
        <v>2.0</v>
      </c>
      <c r="S315" s="1">
        <v>32.0</v>
      </c>
      <c r="T315" s="1">
        <v>0.0</v>
      </c>
    </row>
    <row r="316" ht="12.75" customHeight="1">
      <c r="A316" s="1" t="s">
        <v>347</v>
      </c>
      <c r="B316" s="1" t="str">
        <f>IFERROR(__xludf.DUMMYFUNCTION("split(A316, ""\"")"),"Bobby Ryan")</f>
        <v>Bobby Ryan</v>
      </c>
      <c r="C316" s="1" t="str">
        <f>IFERROR(__xludf.DUMMYFUNCTION("""COMPUTED_VALUE"""),"ryanbo01")</f>
        <v>ryanbo01</v>
      </c>
      <c r="D316" s="1" t="s">
        <v>28</v>
      </c>
      <c r="E316" s="1">
        <f t="shared" si="1"/>
        <v>176.05</v>
      </c>
      <c r="F316" s="1">
        <f t="shared" si="2"/>
        <v>2.84</v>
      </c>
      <c r="G316" s="1">
        <v>62.0</v>
      </c>
      <c r="H316" s="1">
        <v>11.0</v>
      </c>
      <c r="I316" s="1">
        <v>22.0</v>
      </c>
      <c r="J316" s="1">
        <v>33.0</v>
      </c>
      <c r="K316" s="1">
        <v>112.0</v>
      </c>
      <c r="L316" s="1">
        <v>97.0</v>
      </c>
      <c r="M316" s="1">
        <v>52.0</v>
      </c>
      <c r="N316" s="1">
        <v>1.0</v>
      </c>
      <c r="O316" s="1">
        <v>3.0</v>
      </c>
      <c r="P316" s="1">
        <v>0.0</v>
      </c>
      <c r="Q316" s="1">
        <v>0.0</v>
      </c>
      <c r="R316" s="1">
        <v>-12.0</v>
      </c>
      <c r="S316" s="1">
        <v>14.0</v>
      </c>
      <c r="T316" s="1">
        <v>1.0</v>
      </c>
    </row>
    <row r="317" ht="12.75" customHeight="1">
      <c r="A317" s="1" t="s">
        <v>348</v>
      </c>
      <c r="B317" s="1" t="str">
        <f>IFERROR(__xludf.DUMMYFUNCTION("split(A317, ""\"")"),"Austin Watson")</f>
        <v>Austin Watson</v>
      </c>
      <c r="C317" s="1" t="str">
        <f>IFERROR(__xludf.DUMMYFUNCTION("""COMPUTED_VALUE"""),"watsoau01")</f>
        <v>watsoau01</v>
      </c>
      <c r="D317" s="1" t="s">
        <v>28</v>
      </c>
      <c r="E317" s="1">
        <f t="shared" si="1"/>
        <v>175.45</v>
      </c>
      <c r="F317" s="1">
        <f t="shared" si="2"/>
        <v>2.31</v>
      </c>
      <c r="G317" s="1">
        <v>76.0</v>
      </c>
      <c r="H317" s="1">
        <v>14.0</v>
      </c>
      <c r="I317" s="1">
        <v>5.0</v>
      </c>
      <c r="J317" s="1">
        <v>19.0</v>
      </c>
      <c r="K317" s="1">
        <v>96.0</v>
      </c>
      <c r="L317" s="1">
        <v>187.0</v>
      </c>
      <c r="M317" s="1">
        <v>78.0</v>
      </c>
      <c r="N317" s="1">
        <v>0.0</v>
      </c>
      <c r="O317" s="1">
        <v>0.0</v>
      </c>
      <c r="P317" s="1">
        <v>4.0</v>
      </c>
      <c r="Q317" s="1">
        <v>1.0</v>
      </c>
      <c r="R317" s="1">
        <v>2.0</v>
      </c>
      <c r="S317" s="1">
        <v>123.0</v>
      </c>
      <c r="T317" s="1">
        <v>3.0</v>
      </c>
    </row>
    <row r="318" ht="12.75" customHeight="1">
      <c r="A318" s="1" t="s">
        <v>349</v>
      </c>
      <c r="B318" s="1" t="str">
        <f>IFERROR(__xludf.DUMMYFUNCTION("split(A318, ""\"")"),"Henrik Sedin")</f>
        <v>Henrik Sedin</v>
      </c>
      <c r="C318" s="1" t="str">
        <f>IFERROR(__xludf.DUMMYFUNCTION("""COMPUTED_VALUE"""),"sedinhe01")</f>
        <v>sedinhe01</v>
      </c>
      <c r="D318" s="1" t="s">
        <v>31</v>
      </c>
      <c r="E318" s="1">
        <f t="shared" si="1"/>
        <v>175.35</v>
      </c>
      <c r="F318" s="1">
        <f t="shared" si="2"/>
        <v>2.14</v>
      </c>
      <c r="G318" s="1">
        <v>82.0</v>
      </c>
      <c r="H318" s="1">
        <v>3.0</v>
      </c>
      <c r="I318" s="1">
        <v>47.0</v>
      </c>
      <c r="J318" s="1">
        <v>50.0</v>
      </c>
      <c r="K318" s="1">
        <v>67.0</v>
      </c>
      <c r="L318" s="1">
        <v>18.0</v>
      </c>
      <c r="M318" s="1">
        <v>19.0</v>
      </c>
      <c r="N318" s="1">
        <v>0.0</v>
      </c>
      <c r="O318" s="1">
        <v>17.0</v>
      </c>
      <c r="P318" s="1">
        <v>0.0</v>
      </c>
      <c r="Q318" s="1">
        <v>0.0</v>
      </c>
      <c r="R318" s="1">
        <v>-22.0</v>
      </c>
      <c r="S318" s="1">
        <v>30.0</v>
      </c>
      <c r="T318" s="1">
        <v>0.0</v>
      </c>
    </row>
    <row r="319" ht="12.75" customHeight="1">
      <c r="A319" s="1" t="s">
        <v>350</v>
      </c>
      <c r="B319" s="1" t="str">
        <f>IFERROR(__xludf.DUMMYFUNCTION("split(A319, ""\"")"),"Ron Hainsey")</f>
        <v>Ron Hainsey</v>
      </c>
      <c r="C319" s="1" t="str">
        <f>IFERROR(__xludf.DUMMYFUNCTION("""COMPUTED_VALUE"""),"hainsro01")</f>
        <v>hainsro01</v>
      </c>
      <c r="D319" s="1" t="s">
        <v>66</v>
      </c>
      <c r="E319" s="1">
        <f t="shared" si="1"/>
        <v>175.1</v>
      </c>
      <c r="F319" s="1">
        <f t="shared" si="2"/>
        <v>2.19</v>
      </c>
      <c r="G319" s="1">
        <v>80.0</v>
      </c>
      <c r="H319" s="1">
        <v>4.0</v>
      </c>
      <c r="I319" s="1">
        <v>19.0</v>
      </c>
      <c r="J319" s="1">
        <v>23.0</v>
      </c>
      <c r="K319" s="1">
        <v>73.0</v>
      </c>
      <c r="L319" s="1">
        <v>91.0</v>
      </c>
      <c r="M319" s="1">
        <v>169.0</v>
      </c>
      <c r="N319" s="1">
        <v>1.0</v>
      </c>
      <c r="O319" s="1">
        <v>0.0</v>
      </c>
      <c r="P319" s="1">
        <v>0.0</v>
      </c>
      <c r="Q319" s="1">
        <v>2.0</v>
      </c>
      <c r="R319" s="1">
        <v>12.0</v>
      </c>
      <c r="S319" s="1">
        <v>20.0</v>
      </c>
      <c r="T319" s="1">
        <v>2.0</v>
      </c>
    </row>
    <row r="320" ht="12.75" customHeight="1">
      <c r="A320" s="1" t="s">
        <v>351</v>
      </c>
      <c r="B320" s="1" t="str">
        <f>IFERROR(__xludf.DUMMYFUNCTION("split(A320, ""\"")"),"Tyler Pitlick")</f>
        <v>Tyler Pitlick</v>
      </c>
      <c r="C320" s="1" t="str">
        <f>IFERROR(__xludf.DUMMYFUNCTION("""COMPUTED_VALUE"""),"pitlity01")</f>
        <v>pitlity01</v>
      </c>
      <c r="D320" s="1" t="s">
        <v>31</v>
      </c>
      <c r="E320" s="1">
        <f t="shared" si="1"/>
        <v>175.05</v>
      </c>
      <c r="F320" s="1">
        <f t="shared" si="2"/>
        <v>2.19</v>
      </c>
      <c r="G320" s="1">
        <v>80.0</v>
      </c>
      <c r="H320" s="1">
        <v>14.0</v>
      </c>
      <c r="I320" s="1">
        <v>13.0</v>
      </c>
      <c r="J320" s="1">
        <v>27.0</v>
      </c>
      <c r="K320" s="1">
        <v>129.0</v>
      </c>
      <c r="L320" s="1">
        <v>122.0</v>
      </c>
      <c r="M320" s="1">
        <v>57.0</v>
      </c>
      <c r="N320" s="1">
        <v>0.0</v>
      </c>
      <c r="O320" s="1">
        <v>0.0</v>
      </c>
      <c r="P320" s="1">
        <v>0.0</v>
      </c>
      <c r="Q320" s="1">
        <v>1.0</v>
      </c>
      <c r="R320" s="1">
        <v>9.0</v>
      </c>
      <c r="S320" s="1">
        <v>34.0</v>
      </c>
      <c r="T320" s="1">
        <v>2.0</v>
      </c>
    </row>
    <row r="321" ht="12.75" customHeight="1">
      <c r="A321" s="1" t="s">
        <v>352</v>
      </c>
      <c r="B321" s="1" t="str">
        <f>IFERROR(__xludf.DUMMYFUNCTION("split(A321, ""\"")"),"Mattias Janmark")</f>
        <v>Mattias Janmark</v>
      </c>
      <c r="C321" s="1" t="str">
        <f>IFERROR(__xludf.DUMMYFUNCTION("""COMPUTED_VALUE"""),"janmama02")</f>
        <v>janmama02</v>
      </c>
      <c r="D321" s="1" t="s">
        <v>31</v>
      </c>
      <c r="E321" s="1">
        <f t="shared" si="1"/>
        <v>174.65</v>
      </c>
      <c r="F321" s="1">
        <f t="shared" si="2"/>
        <v>2.16</v>
      </c>
      <c r="G321" s="1">
        <v>81.0</v>
      </c>
      <c r="H321" s="1">
        <v>19.0</v>
      </c>
      <c r="I321" s="1">
        <v>15.0</v>
      </c>
      <c r="J321" s="1">
        <v>34.0</v>
      </c>
      <c r="K321" s="1">
        <v>136.0</v>
      </c>
      <c r="L321" s="1">
        <v>15.0</v>
      </c>
      <c r="M321" s="1">
        <v>41.0</v>
      </c>
      <c r="N321" s="1">
        <v>4.0</v>
      </c>
      <c r="O321" s="1">
        <v>1.0</v>
      </c>
      <c r="P321" s="1">
        <v>2.0</v>
      </c>
      <c r="Q321" s="1">
        <v>0.0</v>
      </c>
      <c r="R321" s="1">
        <v>-13.0</v>
      </c>
      <c r="S321" s="1">
        <v>24.0</v>
      </c>
      <c r="T321" s="1">
        <v>4.0</v>
      </c>
    </row>
    <row r="322" ht="12.75" customHeight="1">
      <c r="A322" s="1" t="s">
        <v>353</v>
      </c>
      <c r="B322" s="1" t="str">
        <f>IFERROR(__xludf.DUMMYFUNCTION("split(A322, ""\"")"),"Colton Sissons")</f>
        <v>Colton Sissons</v>
      </c>
      <c r="C322" s="1" t="str">
        <f>IFERROR(__xludf.DUMMYFUNCTION("""COMPUTED_VALUE"""),"sissoco01")</f>
        <v>sissoco01</v>
      </c>
      <c r="D322" s="1" t="s">
        <v>31</v>
      </c>
      <c r="E322" s="1">
        <f t="shared" si="1"/>
        <v>174.6</v>
      </c>
      <c r="F322" s="1">
        <f t="shared" si="2"/>
        <v>2.16</v>
      </c>
      <c r="G322" s="1">
        <v>81.0</v>
      </c>
      <c r="H322" s="1">
        <v>9.0</v>
      </c>
      <c r="I322" s="1">
        <v>18.0</v>
      </c>
      <c r="J322" s="1">
        <v>27.0</v>
      </c>
      <c r="K322" s="1">
        <v>120.0</v>
      </c>
      <c r="L322" s="1">
        <v>136.0</v>
      </c>
      <c r="M322" s="1">
        <v>49.0</v>
      </c>
      <c r="N322" s="1">
        <v>1.0</v>
      </c>
      <c r="O322" s="1">
        <v>6.0</v>
      </c>
      <c r="P322" s="1">
        <v>0.0</v>
      </c>
      <c r="Q322" s="1">
        <v>3.0</v>
      </c>
      <c r="R322" s="1">
        <v>2.0</v>
      </c>
      <c r="S322" s="1">
        <v>42.0</v>
      </c>
      <c r="T322" s="1">
        <v>4.0</v>
      </c>
    </row>
    <row r="323" ht="12.75" customHeight="1">
      <c r="A323" s="1" t="s">
        <v>354</v>
      </c>
      <c r="B323" s="1" t="str">
        <f>IFERROR(__xludf.DUMMYFUNCTION("split(A323, ""\"")"),"Dan Girardi")</f>
        <v>Dan Girardi</v>
      </c>
      <c r="C323" s="1" t="str">
        <f>IFERROR(__xludf.DUMMYFUNCTION("""COMPUTED_VALUE"""),"girarda01")</f>
        <v>girarda01</v>
      </c>
      <c r="D323" s="1" t="s">
        <v>66</v>
      </c>
      <c r="E323" s="1">
        <f t="shared" si="1"/>
        <v>174.5</v>
      </c>
      <c r="F323" s="1">
        <f t="shared" si="2"/>
        <v>2.27</v>
      </c>
      <c r="G323" s="1">
        <v>77.0</v>
      </c>
      <c r="H323" s="1">
        <v>6.0</v>
      </c>
      <c r="I323" s="1">
        <v>12.0</v>
      </c>
      <c r="J323" s="1">
        <v>18.0</v>
      </c>
      <c r="K323" s="1">
        <v>93.0</v>
      </c>
      <c r="L323" s="1">
        <v>133.0</v>
      </c>
      <c r="M323" s="1">
        <v>155.0</v>
      </c>
      <c r="N323" s="1">
        <v>1.0</v>
      </c>
      <c r="O323" s="1">
        <v>0.0</v>
      </c>
      <c r="P323" s="1">
        <v>0.0</v>
      </c>
      <c r="Q323" s="1">
        <v>1.0</v>
      </c>
      <c r="R323" s="1">
        <v>18.0</v>
      </c>
      <c r="S323" s="1">
        <v>27.0</v>
      </c>
      <c r="T323" s="1">
        <v>1.0</v>
      </c>
    </row>
    <row r="324" ht="12.75" customHeight="1">
      <c r="A324" s="1" t="s">
        <v>355</v>
      </c>
      <c r="B324" s="1" t="str">
        <f>IFERROR(__xludf.DUMMYFUNCTION("split(A324, ""\"")"),"Jesper Fast")</f>
        <v>Jesper Fast</v>
      </c>
      <c r="C324" s="1" t="str">
        <f>IFERROR(__xludf.DUMMYFUNCTION("""COMPUTED_VALUE"""),"fastje01")</f>
        <v>fastje01</v>
      </c>
      <c r="D324" s="1" t="s">
        <v>36</v>
      </c>
      <c r="E324" s="1">
        <f t="shared" si="1"/>
        <v>174.1</v>
      </c>
      <c r="F324" s="1">
        <f t="shared" si="2"/>
        <v>2.45</v>
      </c>
      <c r="G324" s="1">
        <v>71.0</v>
      </c>
      <c r="H324" s="1">
        <v>13.0</v>
      </c>
      <c r="I324" s="1">
        <v>20.0</v>
      </c>
      <c r="J324" s="1">
        <v>33.0</v>
      </c>
      <c r="K324" s="1">
        <v>80.0</v>
      </c>
      <c r="L324" s="1">
        <v>130.0</v>
      </c>
      <c r="M324" s="1">
        <v>44.0</v>
      </c>
      <c r="N324" s="1">
        <v>0.0</v>
      </c>
      <c r="O324" s="1">
        <v>0.0</v>
      </c>
      <c r="P324" s="1">
        <v>0.0</v>
      </c>
      <c r="Q324" s="1">
        <v>2.0</v>
      </c>
      <c r="R324" s="1">
        <v>-10.0</v>
      </c>
      <c r="S324" s="1">
        <v>26.0</v>
      </c>
      <c r="T324" s="1">
        <v>0.0</v>
      </c>
    </row>
    <row r="325" ht="12.75" customHeight="1">
      <c r="A325" s="1" t="s">
        <v>356</v>
      </c>
      <c r="B325" s="1" t="str">
        <f>IFERROR(__xludf.DUMMYFUNCTION("split(A325, ""\"")"),"Anton Khudobin")</f>
        <v>Anton Khudobin</v>
      </c>
      <c r="C325" s="2" t="str">
        <f>IFERROR(__xludf.DUMMYFUNCTION("""COMPUTED_VALUE"""),"khudoan01")</f>
        <v>khudoan01</v>
      </c>
      <c r="D325" s="1" t="s">
        <v>5</v>
      </c>
      <c r="E325" s="1">
        <f t="shared" si="1"/>
        <v>173</v>
      </c>
      <c r="F325" s="1">
        <f t="shared" si="2"/>
        <v>5.58</v>
      </c>
      <c r="G325" s="1">
        <v>31.0</v>
      </c>
      <c r="U325" s="1">
        <v>29.0</v>
      </c>
      <c r="V325" s="1">
        <v>16.0</v>
      </c>
      <c r="W325" s="1">
        <v>6.0</v>
      </c>
      <c r="X325" s="1">
        <v>76.0</v>
      </c>
      <c r="Y325" s="1">
        <v>876.0</v>
      </c>
      <c r="Z325" s="1">
        <v>800.0</v>
      </c>
      <c r="AA325" s="1">
        <v>1.0</v>
      </c>
    </row>
    <row r="326" ht="12.75" customHeight="1">
      <c r="A326" s="1" t="s">
        <v>357</v>
      </c>
      <c r="B326" s="1" t="str">
        <f>IFERROR(__xludf.DUMMYFUNCTION("split(A326, ""\"")"),"Joel Edmundson")</f>
        <v>Joel Edmundson</v>
      </c>
      <c r="C326" s="1" t="str">
        <f>IFERROR(__xludf.DUMMYFUNCTION("""COMPUTED_VALUE"""),"edmunjo01")</f>
        <v>edmunjo01</v>
      </c>
      <c r="D326" s="1" t="s">
        <v>66</v>
      </c>
      <c r="E326" s="1">
        <f t="shared" si="1"/>
        <v>173</v>
      </c>
      <c r="F326" s="1">
        <f t="shared" si="2"/>
        <v>2.51</v>
      </c>
      <c r="G326" s="1">
        <v>69.0</v>
      </c>
      <c r="H326" s="1">
        <v>7.0</v>
      </c>
      <c r="I326" s="1">
        <v>10.0</v>
      </c>
      <c r="J326" s="1">
        <v>17.0</v>
      </c>
      <c r="K326" s="1">
        <v>124.0</v>
      </c>
      <c r="L326" s="1">
        <v>116.0</v>
      </c>
      <c r="M326" s="1">
        <v>150.0</v>
      </c>
      <c r="N326" s="1">
        <v>0.0</v>
      </c>
      <c r="O326" s="1">
        <v>0.0</v>
      </c>
      <c r="P326" s="1">
        <v>0.0</v>
      </c>
      <c r="Q326" s="1">
        <v>0.0</v>
      </c>
      <c r="R326" s="1">
        <v>-1.0</v>
      </c>
      <c r="S326" s="1">
        <v>57.0</v>
      </c>
      <c r="T326" s="1">
        <v>0.0</v>
      </c>
    </row>
    <row r="327" ht="12.75" customHeight="1">
      <c r="A327" s="1" t="s">
        <v>358</v>
      </c>
      <c r="B327" s="1" t="str">
        <f>IFERROR(__xludf.DUMMYFUNCTION("split(A327, ""\"")"),"Artem Anisimov")</f>
        <v>Artem Anisimov</v>
      </c>
      <c r="C327" s="1" t="str">
        <f>IFERROR(__xludf.DUMMYFUNCTION("""COMPUTED_VALUE"""),"anisiar01")</f>
        <v>anisiar01</v>
      </c>
      <c r="D327" s="1" t="s">
        <v>31</v>
      </c>
      <c r="E327" s="1">
        <f t="shared" si="1"/>
        <v>172.75</v>
      </c>
      <c r="F327" s="1">
        <f t="shared" si="2"/>
        <v>2.4</v>
      </c>
      <c r="G327" s="1">
        <v>72.0</v>
      </c>
      <c r="H327" s="1">
        <v>20.0</v>
      </c>
      <c r="I327" s="1">
        <v>11.0</v>
      </c>
      <c r="J327" s="1">
        <v>31.0</v>
      </c>
      <c r="K327" s="1">
        <v>130.0</v>
      </c>
      <c r="L327" s="1">
        <v>15.0</v>
      </c>
      <c r="M327" s="1">
        <v>40.0</v>
      </c>
      <c r="N327" s="1">
        <v>11.0</v>
      </c>
      <c r="O327" s="1">
        <v>1.0</v>
      </c>
      <c r="P327" s="1">
        <v>1.0</v>
      </c>
      <c r="Q327" s="1">
        <v>0.0</v>
      </c>
      <c r="R327" s="1">
        <v>-17.0</v>
      </c>
      <c r="S327" s="1">
        <v>22.0</v>
      </c>
      <c r="T327" s="1">
        <v>6.0</v>
      </c>
    </row>
    <row r="328" ht="12.75" customHeight="1">
      <c r="A328" s="1" t="s">
        <v>359</v>
      </c>
      <c r="B328" s="1" t="str">
        <f>IFERROR(__xludf.DUMMYFUNCTION("split(A328, ""\"")"),"Mikkel Boedker")</f>
        <v>Mikkel Boedker</v>
      </c>
      <c r="C328" s="1" t="str">
        <f>IFERROR(__xludf.DUMMYFUNCTION("""COMPUTED_VALUE"""),"boedkmi01")</f>
        <v>boedkmi01</v>
      </c>
      <c r="D328" s="1" t="s">
        <v>36</v>
      </c>
      <c r="E328" s="1">
        <f t="shared" si="1"/>
        <v>172.6</v>
      </c>
      <c r="F328" s="1">
        <f t="shared" si="2"/>
        <v>2.33</v>
      </c>
      <c r="G328" s="1">
        <v>74.0</v>
      </c>
      <c r="H328" s="1">
        <v>15.0</v>
      </c>
      <c r="I328" s="1">
        <v>22.0</v>
      </c>
      <c r="J328" s="1">
        <v>37.0</v>
      </c>
      <c r="K328" s="1">
        <v>119.0</v>
      </c>
      <c r="L328" s="1">
        <v>41.0</v>
      </c>
      <c r="M328" s="1">
        <v>24.0</v>
      </c>
      <c r="N328" s="1">
        <v>4.0</v>
      </c>
      <c r="O328" s="1">
        <v>4.0</v>
      </c>
      <c r="P328" s="1">
        <v>0.0</v>
      </c>
      <c r="Q328" s="1">
        <v>0.0</v>
      </c>
      <c r="R328" s="1">
        <v>0.0</v>
      </c>
      <c r="S328" s="1">
        <v>12.0</v>
      </c>
      <c r="T328" s="1">
        <v>4.0</v>
      </c>
    </row>
    <row r="329" ht="12.75" customHeight="1">
      <c r="A329" s="1" t="s">
        <v>360</v>
      </c>
      <c r="B329" s="1" t="str">
        <f>IFERROR(__xludf.DUMMYFUNCTION("split(A329, ""\"")"),"Sam Bennett")</f>
        <v>Sam Bennett</v>
      </c>
      <c r="C329" s="1" t="str">
        <f>IFERROR(__xludf.DUMMYFUNCTION("""COMPUTED_VALUE"""),"bennesa01")</f>
        <v>bennesa01</v>
      </c>
      <c r="D329" s="1" t="s">
        <v>31</v>
      </c>
      <c r="E329" s="1">
        <f t="shared" si="1"/>
        <v>172.35</v>
      </c>
      <c r="F329" s="1">
        <f t="shared" si="2"/>
        <v>2.1</v>
      </c>
      <c r="G329" s="1">
        <v>82.0</v>
      </c>
      <c r="H329" s="1">
        <v>11.0</v>
      </c>
      <c r="I329" s="1">
        <v>15.0</v>
      </c>
      <c r="J329" s="1">
        <v>26.0</v>
      </c>
      <c r="K329" s="1">
        <v>157.0</v>
      </c>
      <c r="L329" s="1">
        <v>140.0</v>
      </c>
      <c r="M329" s="1">
        <v>34.0</v>
      </c>
      <c r="N329" s="1">
        <v>1.0</v>
      </c>
      <c r="O329" s="1">
        <v>2.0</v>
      </c>
      <c r="P329" s="1">
        <v>0.0</v>
      </c>
      <c r="Q329" s="1">
        <v>0.0</v>
      </c>
      <c r="R329" s="1">
        <v>-18.0</v>
      </c>
      <c r="S329" s="1">
        <v>59.0</v>
      </c>
      <c r="T329" s="1">
        <v>1.0</v>
      </c>
    </row>
    <row r="330" ht="12.75" customHeight="1">
      <c r="A330" s="1" t="s">
        <v>361</v>
      </c>
      <c r="B330" s="1" t="str">
        <f>IFERROR(__xludf.DUMMYFUNCTION("split(A330, ""\"")"),"T.J. Brodie")</f>
        <v>T.J. Brodie</v>
      </c>
      <c r="C330" s="1" t="str">
        <f>IFERROR(__xludf.DUMMYFUNCTION("""COMPUTED_VALUE"""),"broditj01")</f>
        <v>broditj01</v>
      </c>
      <c r="D330" s="1" t="s">
        <v>66</v>
      </c>
      <c r="E330" s="1">
        <f t="shared" si="1"/>
        <v>172.1</v>
      </c>
      <c r="F330" s="1">
        <f t="shared" si="2"/>
        <v>2.36</v>
      </c>
      <c r="G330" s="1">
        <v>73.0</v>
      </c>
      <c r="H330" s="1">
        <v>4.0</v>
      </c>
      <c r="I330" s="1">
        <v>28.0</v>
      </c>
      <c r="J330" s="1">
        <v>32.0</v>
      </c>
      <c r="K330" s="1">
        <v>118.0</v>
      </c>
      <c r="L330" s="1">
        <v>24.0</v>
      </c>
      <c r="M330" s="1">
        <v>99.0</v>
      </c>
      <c r="N330" s="1">
        <v>1.0</v>
      </c>
      <c r="O330" s="1">
        <v>10.0</v>
      </c>
      <c r="P330" s="1">
        <v>0.0</v>
      </c>
      <c r="Q330" s="1">
        <v>0.0</v>
      </c>
      <c r="R330" s="1">
        <v>-16.0</v>
      </c>
      <c r="S330" s="1">
        <v>18.0</v>
      </c>
      <c r="T330" s="1">
        <v>0.0</v>
      </c>
    </row>
    <row r="331" ht="12.75" customHeight="1">
      <c r="A331" s="1" t="s">
        <v>362</v>
      </c>
      <c r="B331" s="1" t="str">
        <f>IFERROR(__xludf.DUMMYFUNCTION("split(A331, ""\"")"),"Ryan Hartman")</f>
        <v>Ryan Hartman</v>
      </c>
      <c r="C331" s="1" t="str">
        <f>IFERROR(__xludf.DUMMYFUNCTION("""COMPUTED_VALUE"""),"hartmry01")</f>
        <v>hartmry01</v>
      </c>
      <c r="D331" s="1" t="s">
        <v>36</v>
      </c>
      <c r="E331" s="1">
        <f t="shared" si="1"/>
        <v>171.7</v>
      </c>
      <c r="F331" s="1">
        <f t="shared" si="2"/>
        <v>2.2</v>
      </c>
      <c r="G331" s="1">
        <v>78.0</v>
      </c>
      <c r="H331" s="1">
        <v>11.0</v>
      </c>
      <c r="I331" s="1">
        <v>20.0</v>
      </c>
      <c r="J331" s="1">
        <v>31.0</v>
      </c>
      <c r="K331" s="1">
        <v>129.0</v>
      </c>
      <c r="L331" s="1">
        <v>113.0</v>
      </c>
      <c r="M331" s="1">
        <v>38.0</v>
      </c>
      <c r="N331" s="1">
        <v>1.0</v>
      </c>
      <c r="O331" s="1">
        <v>1.0</v>
      </c>
      <c r="P331" s="1">
        <v>0.0</v>
      </c>
      <c r="Q331" s="1">
        <v>0.0</v>
      </c>
      <c r="R331" s="1">
        <v>1.0</v>
      </c>
      <c r="S331" s="1">
        <v>72.0</v>
      </c>
      <c r="T331" s="1">
        <v>2.0</v>
      </c>
    </row>
    <row r="332" ht="12.75" customHeight="1">
      <c r="A332" s="1" t="s">
        <v>363</v>
      </c>
      <c r="B332" s="1" t="str">
        <f>IFERROR(__xludf.DUMMYFUNCTION("split(A332, ""\"")"),"Kyle Brodziak")</f>
        <v>Kyle Brodziak</v>
      </c>
      <c r="C332" s="1" t="str">
        <f>IFERROR(__xludf.DUMMYFUNCTION("""COMPUTED_VALUE"""),"brodzky01")</f>
        <v>brodzky01</v>
      </c>
      <c r="D332" s="1" t="s">
        <v>31</v>
      </c>
      <c r="E332" s="1">
        <f t="shared" si="1"/>
        <v>171.5</v>
      </c>
      <c r="F332" s="1">
        <f t="shared" si="2"/>
        <v>2.12</v>
      </c>
      <c r="G332" s="1">
        <v>81.0</v>
      </c>
      <c r="H332" s="1">
        <v>10.0</v>
      </c>
      <c r="I332" s="1">
        <v>23.0</v>
      </c>
      <c r="J332" s="1">
        <v>33.0</v>
      </c>
      <c r="K332" s="1">
        <v>113.0</v>
      </c>
      <c r="L332" s="1">
        <v>83.0</v>
      </c>
      <c r="M332" s="1">
        <v>55.0</v>
      </c>
      <c r="N332" s="1">
        <v>0.0</v>
      </c>
      <c r="O332" s="1">
        <v>0.0</v>
      </c>
      <c r="P332" s="1">
        <v>1.0</v>
      </c>
      <c r="Q332" s="1">
        <v>2.0</v>
      </c>
      <c r="R332" s="1">
        <v>13.0</v>
      </c>
      <c r="S332" s="1">
        <v>33.0</v>
      </c>
      <c r="T332" s="1">
        <v>2.0</v>
      </c>
    </row>
    <row r="333" ht="12.75" customHeight="1">
      <c r="A333" s="1" t="s">
        <v>364</v>
      </c>
      <c r="B333" s="1" t="str">
        <f>IFERROR(__xludf.DUMMYFUNCTION("split(A333, ""\"")"),"Radko Gudas")</f>
        <v>Radko Gudas</v>
      </c>
      <c r="C333" s="1" t="str">
        <f>IFERROR(__xludf.DUMMYFUNCTION("""COMPUTED_VALUE"""),"gudasra01")</f>
        <v>gudasra01</v>
      </c>
      <c r="D333" s="1" t="s">
        <v>66</v>
      </c>
      <c r="E333" s="1">
        <f t="shared" si="1"/>
        <v>171.2</v>
      </c>
      <c r="F333" s="1">
        <f t="shared" si="2"/>
        <v>2.45</v>
      </c>
      <c r="G333" s="1">
        <v>70.0</v>
      </c>
      <c r="H333" s="1">
        <v>2.0</v>
      </c>
      <c r="I333" s="1">
        <v>14.0</v>
      </c>
      <c r="J333" s="1">
        <v>16.0</v>
      </c>
      <c r="K333" s="1">
        <v>142.0</v>
      </c>
      <c r="L333" s="1">
        <v>170.0</v>
      </c>
      <c r="M333" s="1">
        <v>123.0</v>
      </c>
      <c r="N333" s="1">
        <v>0.0</v>
      </c>
      <c r="O333" s="1">
        <v>0.0</v>
      </c>
      <c r="P333" s="1">
        <v>0.0</v>
      </c>
      <c r="Q333" s="1">
        <v>1.0</v>
      </c>
      <c r="R333" s="1">
        <v>0.0</v>
      </c>
      <c r="S333" s="1">
        <v>83.0</v>
      </c>
      <c r="T333" s="1">
        <v>0.0</v>
      </c>
    </row>
    <row r="334" ht="12.75" customHeight="1">
      <c r="A334" s="1" t="s">
        <v>365</v>
      </c>
      <c r="B334" s="1" t="str">
        <f>IFERROR(__xludf.DUMMYFUNCTION("split(A334, ""\"")"),"Niklas Kronwall")</f>
        <v>Niklas Kronwall</v>
      </c>
      <c r="C334" s="1" t="str">
        <f>IFERROR(__xludf.DUMMYFUNCTION("""COMPUTED_VALUE"""),"kronwni01")</f>
        <v>kronwni01</v>
      </c>
      <c r="D334" s="1" t="s">
        <v>66</v>
      </c>
      <c r="E334" s="1">
        <f t="shared" si="1"/>
        <v>170.8</v>
      </c>
      <c r="F334" s="1">
        <f t="shared" si="2"/>
        <v>2.16</v>
      </c>
      <c r="G334" s="1">
        <v>79.0</v>
      </c>
      <c r="H334" s="1">
        <v>4.0</v>
      </c>
      <c r="I334" s="1">
        <v>23.0</v>
      </c>
      <c r="J334" s="1">
        <v>27.0</v>
      </c>
      <c r="K334" s="1">
        <v>76.0</v>
      </c>
      <c r="L334" s="1">
        <v>82.0</v>
      </c>
      <c r="M334" s="1">
        <v>107.0</v>
      </c>
      <c r="N334" s="1">
        <v>2.0</v>
      </c>
      <c r="O334" s="1">
        <v>13.0</v>
      </c>
      <c r="P334" s="1">
        <v>0.0</v>
      </c>
      <c r="Q334" s="1">
        <v>0.0</v>
      </c>
      <c r="R334" s="1">
        <v>-14.0</v>
      </c>
      <c r="S334" s="1">
        <v>36.0</v>
      </c>
      <c r="T334" s="1">
        <v>0.0</v>
      </c>
    </row>
    <row r="335" ht="12.75" customHeight="1">
      <c r="A335" s="1" t="s">
        <v>366</v>
      </c>
      <c r="B335" s="1" t="str">
        <f>IFERROR(__xludf.DUMMYFUNCTION("split(A335, ""\"")"),"Nino Niederreiter")</f>
        <v>Nino Niederreiter</v>
      </c>
      <c r="C335" s="1" t="str">
        <f>IFERROR(__xludf.DUMMYFUNCTION("""COMPUTED_VALUE"""),"niedeni01")</f>
        <v>niedeni01</v>
      </c>
      <c r="D335" s="1" t="s">
        <v>36</v>
      </c>
      <c r="E335" s="1">
        <f t="shared" si="1"/>
        <v>170.75</v>
      </c>
      <c r="F335" s="1">
        <f t="shared" si="2"/>
        <v>2.71</v>
      </c>
      <c r="G335" s="1">
        <v>63.0</v>
      </c>
      <c r="H335" s="1">
        <v>18.0</v>
      </c>
      <c r="I335" s="1">
        <v>14.0</v>
      </c>
      <c r="J335" s="1">
        <v>32.0</v>
      </c>
      <c r="K335" s="1">
        <v>133.0</v>
      </c>
      <c r="L335" s="1">
        <v>58.0</v>
      </c>
      <c r="M335" s="1">
        <v>20.0</v>
      </c>
      <c r="N335" s="1">
        <v>7.0</v>
      </c>
      <c r="O335" s="1">
        <v>1.0</v>
      </c>
      <c r="P335" s="1">
        <v>0.0</v>
      </c>
      <c r="Q335" s="1">
        <v>0.0</v>
      </c>
      <c r="R335" s="1">
        <v>14.0</v>
      </c>
      <c r="S335" s="1">
        <v>36.0</v>
      </c>
      <c r="T335" s="1">
        <v>4.0</v>
      </c>
    </row>
    <row r="336" ht="12.75" customHeight="1">
      <c r="A336" s="1" t="s">
        <v>367</v>
      </c>
      <c r="B336" s="1" t="str">
        <f>IFERROR(__xludf.DUMMYFUNCTION("split(A336, ""\"")"),"Marco Scandella")</f>
        <v>Marco Scandella</v>
      </c>
      <c r="C336" s="1" t="str">
        <f>IFERROR(__xludf.DUMMYFUNCTION("""COMPUTED_VALUE"""),"scandma01")</f>
        <v>scandma01</v>
      </c>
      <c r="D336" s="1" t="s">
        <v>66</v>
      </c>
      <c r="E336" s="1">
        <f t="shared" si="1"/>
        <v>170.35</v>
      </c>
      <c r="F336" s="1">
        <f t="shared" si="2"/>
        <v>2.08</v>
      </c>
      <c r="G336" s="1">
        <v>82.0</v>
      </c>
      <c r="H336" s="1">
        <v>5.0</v>
      </c>
      <c r="I336" s="1">
        <v>17.0</v>
      </c>
      <c r="J336" s="1">
        <v>22.0</v>
      </c>
      <c r="K336" s="1">
        <v>138.0</v>
      </c>
      <c r="L336" s="1">
        <v>91.0</v>
      </c>
      <c r="M336" s="1">
        <v>114.0</v>
      </c>
      <c r="N336" s="1">
        <v>0.0</v>
      </c>
      <c r="O336" s="1">
        <v>4.0</v>
      </c>
      <c r="P336" s="1">
        <v>0.0</v>
      </c>
      <c r="Q336" s="1">
        <v>1.0</v>
      </c>
      <c r="R336" s="1">
        <v>-15.0</v>
      </c>
      <c r="S336" s="1">
        <v>37.0</v>
      </c>
      <c r="T336" s="1">
        <v>1.0</v>
      </c>
    </row>
    <row r="337" ht="12.75" customHeight="1">
      <c r="A337" s="1" t="s">
        <v>368</v>
      </c>
      <c r="B337" s="1" t="str">
        <f>IFERROR(__xludf.DUMMYFUNCTION("split(A337, ""\"")"),"John Moore")</f>
        <v>John Moore</v>
      </c>
      <c r="C337" s="1" t="str">
        <f>IFERROR(__xludf.DUMMYFUNCTION("""COMPUTED_VALUE"""),"moorejo01")</f>
        <v>moorejo01</v>
      </c>
      <c r="D337" s="1" t="s">
        <v>66</v>
      </c>
      <c r="E337" s="1">
        <f t="shared" si="1"/>
        <v>169.5</v>
      </c>
      <c r="F337" s="1">
        <f t="shared" si="2"/>
        <v>2.09</v>
      </c>
      <c r="G337" s="1">
        <v>81.0</v>
      </c>
      <c r="H337" s="1">
        <v>7.0</v>
      </c>
      <c r="I337" s="1">
        <v>11.0</v>
      </c>
      <c r="J337" s="1">
        <v>18.0</v>
      </c>
      <c r="K337" s="1">
        <v>141.0</v>
      </c>
      <c r="L337" s="1">
        <v>135.0</v>
      </c>
      <c r="M337" s="1">
        <v>105.0</v>
      </c>
      <c r="N337" s="1">
        <v>0.0</v>
      </c>
      <c r="O337" s="1">
        <v>2.0</v>
      </c>
      <c r="P337" s="1">
        <v>1.0</v>
      </c>
      <c r="Q337" s="1">
        <v>0.0</v>
      </c>
      <c r="R337" s="1">
        <v>3.0</v>
      </c>
      <c r="S337" s="1">
        <v>47.0</v>
      </c>
      <c r="T337" s="1">
        <v>2.0</v>
      </c>
    </row>
    <row r="338" ht="12.75" customHeight="1">
      <c r="A338" s="1" t="s">
        <v>369</v>
      </c>
      <c r="B338" s="1" t="str">
        <f>IFERROR(__xludf.DUMMYFUNCTION("split(A338, ""\"")"),"Ryan Ellis")</f>
        <v>Ryan Ellis</v>
      </c>
      <c r="C338" s="1" t="str">
        <f>IFERROR(__xludf.DUMMYFUNCTION("""COMPUTED_VALUE"""),"ellisry01")</f>
        <v>ellisry01</v>
      </c>
      <c r="D338" s="1" t="s">
        <v>66</v>
      </c>
      <c r="E338" s="1">
        <f t="shared" si="1"/>
        <v>169.35</v>
      </c>
      <c r="F338" s="1">
        <f t="shared" si="2"/>
        <v>3.85</v>
      </c>
      <c r="G338" s="1">
        <v>44.0</v>
      </c>
      <c r="H338" s="1">
        <v>9.0</v>
      </c>
      <c r="I338" s="1">
        <v>23.0</v>
      </c>
      <c r="J338" s="1">
        <v>32.0</v>
      </c>
      <c r="K338" s="1">
        <v>110.0</v>
      </c>
      <c r="L338" s="1">
        <v>27.0</v>
      </c>
      <c r="M338" s="1">
        <v>84.0</v>
      </c>
      <c r="N338" s="1">
        <v>2.0</v>
      </c>
      <c r="O338" s="1">
        <v>3.0</v>
      </c>
      <c r="P338" s="1">
        <v>0.0</v>
      </c>
      <c r="Q338" s="1">
        <v>3.0</v>
      </c>
      <c r="R338" s="1">
        <v>26.0</v>
      </c>
      <c r="S338" s="1">
        <v>6.0</v>
      </c>
      <c r="T338" s="1">
        <v>2.0</v>
      </c>
    </row>
    <row r="339" ht="12.75" customHeight="1">
      <c r="A339" s="1" t="s">
        <v>370</v>
      </c>
      <c r="B339" s="1" t="str">
        <f>IFERROR(__xludf.DUMMYFUNCTION("split(A339, ""\"")"),"Andreas Athanasiou")</f>
        <v>Andreas Athanasiou</v>
      </c>
      <c r="C339" s="1" t="str">
        <f>IFERROR(__xludf.DUMMYFUNCTION("""COMPUTED_VALUE"""),"athanan01")</f>
        <v>athanan01</v>
      </c>
      <c r="D339" s="1" t="s">
        <v>31</v>
      </c>
      <c r="E339" s="1">
        <f t="shared" si="1"/>
        <v>169.2</v>
      </c>
      <c r="F339" s="1">
        <f t="shared" si="2"/>
        <v>2.38</v>
      </c>
      <c r="G339" s="1">
        <v>71.0</v>
      </c>
      <c r="H339" s="1">
        <v>16.0</v>
      </c>
      <c r="I339" s="1">
        <v>17.0</v>
      </c>
      <c r="J339" s="1">
        <v>33.0</v>
      </c>
      <c r="K339" s="1">
        <v>170.0</v>
      </c>
      <c r="L339" s="1">
        <v>24.0</v>
      </c>
      <c r="M339" s="1">
        <v>28.0</v>
      </c>
      <c r="N339" s="1">
        <v>1.0</v>
      </c>
      <c r="O339" s="1">
        <v>2.0</v>
      </c>
      <c r="P339" s="1">
        <v>0.0</v>
      </c>
      <c r="Q339" s="1">
        <v>0.0</v>
      </c>
      <c r="R339" s="1">
        <v>-15.0</v>
      </c>
      <c r="S339" s="1">
        <v>16.0</v>
      </c>
      <c r="T339" s="1">
        <v>2.0</v>
      </c>
    </row>
    <row r="340" ht="12.75" customHeight="1">
      <c r="A340" s="1" t="s">
        <v>371</v>
      </c>
      <c r="B340" s="1" t="str">
        <f>IFERROR(__xludf.DUMMYFUNCTION("split(A340, ""\"")"),"Sam Gagner")</f>
        <v>Sam Gagner</v>
      </c>
      <c r="C340" s="1" t="str">
        <f>IFERROR(__xludf.DUMMYFUNCTION("""COMPUTED_VALUE"""),"gagnesa01")</f>
        <v>gagnesa01</v>
      </c>
      <c r="D340" s="1" t="s">
        <v>31</v>
      </c>
      <c r="E340" s="1">
        <f t="shared" si="1"/>
        <v>169.2</v>
      </c>
      <c r="F340" s="1">
        <f t="shared" si="2"/>
        <v>2.29</v>
      </c>
      <c r="G340" s="1">
        <v>74.0</v>
      </c>
      <c r="H340" s="1">
        <v>10.0</v>
      </c>
      <c r="I340" s="1">
        <v>21.0</v>
      </c>
      <c r="J340" s="1">
        <v>31.0</v>
      </c>
      <c r="K340" s="1">
        <v>164.0</v>
      </c>
      <c r="L340" s="1">
        <v>54.0</v>
      </c>
      <c r="M340" s="1">
        <v>28.0</v>
      </c>
      <c r="N340" s="1">
        <v>3.0</v>
      </c>
      <c r="O340" s="1">
        <v>8.0</v>
      </c>
      <c r="P340" s="1">
        <v>0.0</v>
      </c>
      <c r="Q340" s="1">
        <v>0.0</v>
      </c>
      <c r="R340" s="1">
        <v>-18.0</v>
      </c>
      <c r="S340" s="1">
        <v>35.0</v>
      </c>
      <c r="T340" s="1">
        <v>2.0</v>
      </c>
    </row>
    <row r="341" ht="12.75" customHeight="1">
      <c r="A341" s="1" t="s">
        <v>372</v>
      </c>
      <c r="B341" s="1" t="str">
        <f>IFERROR(__xludf.DUMMYFUNCTION("split(A341, ""\"")"),"Trevor Lewis")</f>
        <v>Trevor Lewis</v>
      </c>
      <c r="C341" s="1" t="str">
        <f>IFERROR(__xludf.DUMMYFUNCTION("""COMPUTED_VALUE"""),"lewistr01")</f>
        <v>lewistr01</v>
      </c>
      <c r="D341" s="1" t="s">
        <v>31</v>
      </c>
      <c r="E341" s="1">
        <f t="shared" si="1"/>
        <v>168.55</v>
      </c>
      <c r="F341" s="1">
        <f t="shared" si="2"/>
        <v>2.48</v>
      </c>
      <c r="G341" s="1">
        <v>68.0</v>
      </c>
      <c r="H341" s="1">
        <v>14.0</v>
      </c>
      <c r="I341" s="1">
        <v>12.0</v>
      </c>
      <c r="J341" s="1">
        <v>26.0</v>
      </c>
      <c r="K341" s="1">
        <v>134.0</v>
      </c>
      <c r="L341" s="1">
        <v>125.0</v>
      </c>
      <c r="M341" s="1">
        <v>32.0</v>
      </c>
      <c r="N341" s="1">
        <v>1.0</v>
      </c>
      <c r="O341" s="1">
        <v>2.0</v>
      </c>
      <c r="P341" s="1">
        <v>2.0</v>
      </c>
      <c r="Q341" s="1">
        <v>0.0</v>
      </c>
      <c r="R341" s="1">
        <v>-6.0</v>
      </c>
      <c r="S341" s="1">
        <v>25.0</v>
      </c>
      <c r="T341" s="1">
        <v>3.0</v>
      </c>
    </row>
    <row r="342" ht="12.75" customHeight="1">
      <c r="A342" s="1" t="s">
        <v>373</v>
      </c>
      <c r="B342" s="1" t="str">
        <f>IFERROR(__xludf.DUMMYFUNCTION("split(A342, ""\"")"),"Victor Rask")</f>
        <v>Victor Rask</v>
      </c>
      <c r="C342" s="1" t="str">
        <f>IFERROR(__xludf.DUMMYFUNCTION("""COMPUTED_VALUE"""),"raskvi01")</f>
        <v>raskvi01</v>
      </c>
      <c r="D342" s="1" t="s">
        <v>31</v>
      </c>
      <c r="E342" s="1">
        <f t="shared" si="1"/>
        <v>168.1</v>
      </c>
      <c r="F342" s="1">
        <f t="shared" si="2"/>
        <v>2.37</v>
      </c>
      <c r="G342" s="1">
        <v>71.0</v>
      </c>
      <c r="H342" s="1">
        <v>14.0</v>
      </c>
      <c r="I342" s="1">
        <v>17.0</v>
      </c>
      <c r="J342" s="1">
        <v>31.0</v>
      </c>
      <c r="K342" s="1">
        <v>126.0</v>
      </c>
      <c r="L342" s="1">
        <v>62.0</v>
      </c>
      <c r="M342" s="1">
        <v>29.0</v>
      </c>
      <c r="N342" s="1">
        <v>4.0</v>
      </c>
      <c r="O342" s="1">
        <v>7.0</v>
      </c>
      <c r="P342" s="1">
        <v>0.0</v>
      </c>
      <c r="Q342" s="1">
        <v>0.0</v>
      </c>
      <c r="R342" s="1">
        <v>0.0</v>
      </c>
      <c r="S342" s="1">
        <v>12.0</v>
      </c>
      <c r="T342" s="1">
        <v>3.0</v>
      </c>
    </row>
    <row r="343" ht="12.75" customHeight="1">
      <c r="A343" s="1" t="s">
        <v>374</v>
      </c>
      <c r="B343" s="1" t="str">
        <f>IFERROR(__xludf.DUMMYFUNCTION("split(A343, ""\"")"),"Scott Darling")</f>
        <v>Scott Darling</v>
      </c>
      <c r="C343" s="2" t="str">
        <f>IFERROR(__xludf.DUMMYFUNCTION("""COMPUTED_VALUE"""),"darlisc01")</f>
        <v>darlisc01</v>
      </c>
      <c r="D343" s="1" t="s">
        <v>5</v>
      </c>
      <c r="E343" s="1">
        <f t="shared" si="1"/>
        <v>168</v>
      </c>
      <c r="F343" s="1">
        <f t="shared" si="2"/>
        <v>3.91</v>
      </c>
      <c r="G343" s="1">
        <v>43.0</v>
      </c>
      <c r="U343" s="1">
        <v>40.0</v>
      </c>
      <c r="V343" s="1">
        <v>13.0</v>
      </c>
      <c r="W343" s="1">
        <v>21.0</v>
      </c>
      <c r="X343" s="1">
        <v>131.0</v>
      </c>
      <c r="Y343" s="1">
        <v>1171.0</v>
      </c>
      <c r="Z343" s="1">
        <v>1040.0</v>
      </c>
      <c r="AA343" s="1">
        <v>0.0</v>
      </c>
    </row>
    <row r="344" ht="12.75" customHeight="1">
      <c r="A344" s="1" t="s">
        <v>375</v>
      </c>
      <c r="B344" s="1" t="str">
        <f>IFERROR(__xludf.DUMMYFUNCTION("split(A344, ""\"")"),"Patrik Berglund")</f>
        <v>Patrik Berglund</v>
      </c>
      <c r="C344" s="1" t="str">
        <f>IFERROR(__xludf.DUMMYFUNCTION("""COMPUTED_VALUE"""),"berglpa01")</f>
        <v>berglpa01</v>
      </c>
      <c r="D344" s="1" t="s">
        <v>31</v>
      </c>
      <c r="E344" s="1">
        <f t="shared" si="1"/>
        <v>167.65</v>
      </c>
      <c r="F344" s="1">
        <f t="shared" si="2"/>
        <v>2.94</v>
      </c>
      <c r="G344" s="1">
        <v>57.0</v>
      </c>
      <c r="H344" s="1">
        <v>17.0</v>
      </c>
      <c r="I344" s="1">
        <v>9.0</v>
      </c>
      <c r="J344" s="1">
        <v>26.0</v>
      </c>
      <c r="K344" s="1">
        <v>112.0</v>
      </c>
      <c r="L344" s="1">
        <v>111.0</v>
      </c>
      <c r="M344" s="1">
        <v>36.0</v>
      </c>
      <c r="N344" s="1">
        <v>3.0</v>
      </c>
      <c r="O344" s="1">
        <v>3.0</v>
      </c>
      <c r="P344" s="1">
        <v>1.0</v>
      </c>
      <c r="Q344" s="1">
        <v>0.0</v>
      </c>
      <c r="R344" s="1">
        <v>-5.0</v>
      </c>
      <c r="S344" s="1">
        <v>30.0</v>
      </c>
      <c r="T344" s="1">
        <v>4.0</v>
      </c>
    </row>
    <row r="345" ht="12.75" customHeight="1">
      <c r="A345" s="1" t="s">
        <v>376</v>
      </c>
      <c r="B345" s="1" t="str">
        <f>IFERROR(__xludf.DUMMYFUNCTION("split(A345, ""\"")"),"Jimmy Vesey")</f>
        <v>Jimmy Vesey</v>
      </c>
      <c r="C345" s="1" t="str">
        <f>IFERROR(__xludf.DUMMYFUNCTION("""COMPUTED_VALUE"""),"veseyji02")</f>
        <v>veseyji02</v>
      </c>
      <c r="D345" s="1" t="s">
        <v>28</v>
      </c>
      <c r="E345" s="1">
        <f t="shared" si="1"/>
        <v>166.85</v>
      </c>
      <c r="F345" s="1">
        <f t="shared" si="2"/>
        <v>2.11</v>
      </c>
      <c r="G345" s="1">
        <v>79.0</v>
      </c>
      <c r="H345" s="1">
        <v>17.0</v>
      </c>
      <c r="I345" s="1">
        <v>11.0</v>
      </c>
      <c r="J345" s="1">
        <v>28.0</v>
      </c>
      <c r="K345" s="1">
        <v>136.0</v>
      </c>
      <c r="L345" s="1">
        <v>83.0</v>
      </c>
      <c r="M345" s="1">
        <v>34.0</v>
      </c>
      <c r="N345" s="1">
        <v>1.0</v>
      </c>
      <c r="O345" s="1">
        <v>2.0</v>
      </c>
      <c r="P345" s="1">
        <v>0.0</v>
      </c>
      <c r="Q345" s="1">
        <v>0.0</v>
      </c>
      <c r="R345" s="1">
        <v>-18.0</v>
      </c>
      <c r="S345" s="1">
        <v>20.0</v>
      </c>
      <c r="T345" s="1">
        <v>4.0</v>
      </c>
    </row>
    <row r="346" ht="12.75" customHeight="1">
      <c r="A346" s="1" t="s">
        <v>377</v>
      </c>
      <c r="B346" s="1" t="str">
        <f>IFERROR(__xludf.DUMMYFUNCTION("split(A346, ""\"")"),"Tim Schaller")</f>
        <v>Tim Schaller</v>
      </c>
      <c r="C346" s="1" t="str">
        <f>IFERROR(__xludf.DUMMYFUNCTION("""COMPUTED_VALUE"""),"schalti01")</f>
        <v>schalti01</v>
      </c>
      <c r="D346" s="1" t="s">
        <v>28</v>
      </c>
      <c r="E346" s="1">
        <f t="shared" si="1"/>
        <v>165.85</v>
      </c>
      <c r="F346" s="1">
        <f t="shared" si="2"/>
        <v>2.02</v>
      </c>
      <c r="G346" s="1">
        <v>82.0</v>
      </c>
      <c r="H346" s="1">
        <v>12.0</v>
      </c>
      <c r="I346" s="1">
        <v>10.0</v>
      </c>
      <c r="J346" s="1">
        <v>22.0</v>
      </c>
      <c r="K346" s="1">
        <v>133.0</v>
      </c>
      <c r="L346" s="1">
        <v>132.0</v>
      </c>
      <c r="M346" s="1">
        <v>59.0</v>
      </c>
      <c r="N346" s="1">
        <v>0.0</v>
      </c>
      <c r="O346" s="1">
        <v>0.0</v>
      </c>
      <c r="P346" s="1">
        <v>3.0</v>
      </c>
      <c r="Q346" s="1">
        <v>0.0</v>
      </c>
      <c r="R346" s="1">
        <v>-5.0</v>
      </c>
      <c r="S346" s="1">
        <v>42.0</v>
      </c>
      <c r="T346" s="1">
        <v>0.0</v>
      </c>
    </row>
    <row r="347" ht="12.75" customHeight="1">
      <c r="A347" s="1" t="s">
        <v>378</v>
      </c>
      <c r="B347" s="1" t="str">
        <f>IFERROR(__xludf.DUMMYFUNCTION("split(A347, ""\"")"),"Jesper Bratt")</f>
        <v>Jesper Bratt</v>
      </c>
      <c r="C347" s="1" t="str">
        <f>IFERROR(__xludf.DUMMYFUNCTION("""COMPUTED_VALUE"""),"brattje01")</f>
        <v>brattje01</v>
      </c>
      <c r="D347" s="1" t="s">
        <v>19</v>
      </c>
      <c r="E347" s="1">
        <f t="shared" si="1"/>
        <v>165.8</v>
      </c>
      <c r="F347" s="1">
        <f t="shared" si="2"/>
        <v>2.24</v>
      </c>
      <c r="G347" s="1">
        <v>74.0</v>
      </c>
      <c r="H347" s="1">
        <v>13.0</v>
      </c>
      <c r="I347" s="1">
        <v>22.0</v>
      </c>
      <c r="J347" s="1">
        <v>35.0</v>
      </c>
      <c r="K347" s="1">
        <v>100.0</v>
      </c>
      <c r="L347" s="1">
        <v>44.0</v>
      </c>
      <c r="M347" s="1">
        <v>22.0</v>
      </c>
      <c r="N347" s="1">
        <v>4.0</v>
      </c>
      <c r="O347" s="1">
        <v>8.0</v>
      </c>
      <c r="P347" s="1">
        <v>1.0</v>
      </c>
      <c r="Q347" s="1">
        <v>1.0</v>
      </c>
      <c r="R347" s="1">
        <v>-16.0</v>
      </c>
      <c r="S347" s="1">
        <v>18.0</v>
      </c>
      <c r="T347" s="1">
        <v>2.0</v>
      </c>
    </row>
    <row r="348" ht="12.75" customHeight="1">
      <c r="A348" s="1" t="s">
        <v>379</v>
      </c>
      <c r="B348" s="1" t="str">
        <f>IFERROR(__xludf.DUMMYFUNCTION("split(A348, ""\"")"),"Jamie McGinn")</f>
        <v>Jamie McGinn</v>
      </c>
      <c r="C348" s="1" t="str">
        <f>IFERROR(__xludf.DUMMYFUNCTION("""COMPUTED_VALUE"""),"mcginja01")</f>
        <v>mcginja01</v>
      </c>
      <c r="D348" s="1" t="s">
        <v>28</v>
      </c>
      <c r="E348" s="1">
        <f t="shared" si="1"/>
        <v>165.8</v>
      </c>
      <c r="F348" s="1">
        <f t="shared" si="2"/>
        <v>2.18</v>
      </c>
      <c r="G348" s="1">
        <v>76.0</v>
      </c>
      <c r="H348" s="1">
        <v>13.0</v>
      </c>
      <c r="I348" s="1">
        <v>16.0</v>
      </c>
      <c r="J348" s="1">
        <v>29.0</v>
      </c>
      <c r="K348" s="1">
        <v>116.0</v>
      </c>
      <c r="L348" s="1">
        <v>120.0</v>
      </c>
      <c r="M348" s="1">
        <v>22.0</v>
      </c>
      <c r="N348" s="1">
        <v>4.0</v>
      </c>
      <c r="O348" s="1">
        <v>2.0</v>
      </c>
      <c r="P348" s="1">
        <v>0.0</v>
      </c>
      <c r="Q348" s="1">
        <v>0.0</v>
      </c>
      <c r="R348" s="1">
        <v>-5.0</v>
      </c>
      <c r="S348" s="1">
        <v>33.0</v>
      </c>
      <c r="T348" s="1">
        <v>0.0</v>
      </c>
    </row>
    <row r="349" ht="12.75" customHeight="1">
      <c r="A349" s="1" t="s">
        <v>380</v>
      </c>
      <c r="B349" s="1" t="str">
        <f>IFERROR(__xludf.DUMMYFUNCTION("split(A349, ""\"")"),"Ryan Strome")</f>
        <v>Ryan Strome</v>
      </c>
      <c r="C349" s="1" t="str">
        <f>IFERROR(__xludf.DUMMYFUNCTION("""COMPUTED_VALUE"""),"stromry01")</f>
        <v>stromry01</v>
      </c>
      <c r="D349" s="1" t="s">
        <v>31</v>
      </c>
      <c r="E349" s="1">
        <f t="shared" si="1"/>
        <v>165.8</v>
      </c>
      <c r="F349" s="1">
        <f t="shared" si="2"/>
        <v>2.02</v>
      </c>
      <c r="G349" s="1">
        <v>82.0</v>
      </c>
      <c r="H349" s="1">
        <v>13.0</v>
      </c>
      <c r="I349" s="1">
        <v>21.0</v>
      </c>
      <c r="J349" s="1">
        <v>34.0</v>
      </c>
      <c r="K349" s="1">
        <v>147.0</v>
      </c>
      <c r="L349" s="1">
        <v>43.0</v>
      </c>
      <c r="M349" s="1">
        <v>17.0</v>
      </c>
      <c r="N349" s="1">
        <v>2.0</v>
      </c>
      <c r="O349" s="1">
        <v>4.0</v>
      </c>
      <c r="P349" s="1">
        <v>0.0</v>
      </c>
      <c r="Q349" s="1">
        <v>1.0</v>
      </c>
      <c r="R349" s="1">
        <v>-4.0</v>
      </c>
      <c r="S349" s="1">
        <v>33.0</v>
      </c>
      <c r="T349" s="1">
        <v>3.0</v>
      </c>
    </row>
    <row r="350" ht="12.75" customHeight="1">
      <c r="A350" s="1" t="s">
        <v>381</v>
      </c>
      <c r="B350" s="1" t="str">
        <f>IFERROR(__xludf.DUMMYFUNCTION("split(A350, ""\"")"),"Joel Armia")</f>
        <v>Joel Armia</v>
      </c>
      <c r="C350" s="1" t="str">
        <f>IFERROR(__xludf.DUMMYFUNCTION("""COMPUTED_VALUE"""),"armiajo01")</f>
        <v>armiajo01</v>
      </c>
      <c r="D350" s="1" t="s">
        <v>36</v>
      </c>
      <c r="E350" s="1">
        <f t="shared" si="1"/>
        <v>165.6</v>
      </c>
      <c r="F350" s="1">
        <f t="shared" si="2"/>
        <v>2.1</v>
      </c>
      <c r="G350" s="1">
        <v>79.0</v>
      </c>
      <c r="H350" s="1">
        <v>12.0</v>
      </c>
      <c r="I350" s="1">
        <v>17.0</v>
      </c>
      <c r="J350" s="1">
        <v>29.0</v>
      </c>
      <c r="K350" s="1">
        <v>128.0</v>
      </c>
      <c r="L350" s="1">
        <v>86.0</v>
      </c>
      <c r="M350" s="1">
        <v>39.0</v>
      </c>
      <c r="N350" s="1">
        <v>0.0</v>
      </c>
      <c r="O350" s="1">
        <v>4.0</v>
      </c>
      <c r="P350" s="1">
        <v>1.0</v>
      </c>
      <c r="Q350" s="1">
        <v>1.0</v>
      </c>
      <c r="R350" s="1">
        <v>3.0</v>
      </c>
      <c r="S350" s="1">
        <v>22.0</v>
      </c>
      <c r="T350" s="1">
        <v>2.0</v>
      </c>
    </row>
    <row r="351" ht="12.75" customHeight="1">
      <c r="A351" s="1" t="s">
        <v>382</v>
      </c>
      <c r="B351" s="1" t="str">
        <f>IFERROR(__xludf.DUMMYFUNCTION("split(A351, ""\"")"),"Jacob Trouba")</f>
        <v>Jacob Trouba</v>
      </c>
      <c r="C351" s="1" t="str">
        <f>IFERROR(__xludf.DUMMYFUNCTION("""COMPUTED_VALUE"""),"troubja01")</f>
        <v>troubja01</v>
      </c>
      <c r="D351" s="1" t="s">
        <v>66</v>
      </c>
      <c r="E351" s="1">
        <f t="shared" si="1"/>
        <v>165.5</v>
      </c>
      <c r="F351" s="1">
        <f t="shared" si="2"/>
        <v>3.01</v>
      </c>
      <c r="G351" s="1">
        <v>55.0</v>
      </c>
      <c r="H351" s="1">
        <v>3.0</v>
      </c>
      <c r="I351" s="1">
        <v>21.0</v>
      </c>
      <c r="J351" s="1">
        <v>24.0</v>
      </c>
      <c r="K351" s="1">
        <v>144.0</v>
      </c>
      <c r="L351" s="1">
        <v>84.0</v>
      </c>
      <c r="M351" s="1">
        <v>100.0</v>
      </c>
      <c r="N351" s="1">
        <v>0.0</v>
      </c>
      <c r="O351" s="1">
        <v>3.0</v>
      </c>
      <c r="P351" s="1">
        <v>0.0</v>
      </c>
      <c r="Q351" s="1">
        <v>1.0</v>
      </c>
      <c r="R351" s="1">
        <v>9.0</v>
      </c>
      <c r="S351" s="1">
        <v>34.0</v>
      </c>
      <c r="T351" s="1">
        <v>2.0</v>
      </c>
    </row>
    <row r="352" ht="12.75" customHeight="1">
      <c r="A352" s="1" t="s">
        <v>383</v>
      </c>
      <c r="B352" s="1" t="str">
        <f>IFERROR(__xludf.DUMMYFUNCTION("split(A352, ""\"")"),"Calle Jarnkrok")</f>
        <v>Calle Jarnkrok</v>
      </c>
      <c r="C352" s="1" t="str">
        <f>IFERROR(__xludf.DUMMYFUNCTION("""COMPUTED_VALUE"""),"jarnkca01")</f>
        <v>jarnkca01</v>
      </c>
      <c r="D352" s="1" t="s">
        <v>31</v>
      </c>
      <c r="E352" s="1">
        <f t="shared" si="1"/>
        <v>165.15</v>
      </c>
      <c r="F352" s="1">
        <f t="shared" si="2"/>
        <v>2.43</v>
      </c>
      <c r="G352" s="1">
        <v>68.0</v>
      </c>
      <c r="H352" s="1">
        <v>16.0</v>
      </c>
      <c r="I352" s="1">
        <v>19.0</v>
      </c>
      <c r="J352" s="1">
        <v>35.0</v>
      </c>
      <c r="K352" s="1">
        <v>105.0</v>
      </c>
      <c r="L352" s="1">
        <v>36.0</v>
      </c>
      <c r="M352" s="1">
        <v>31.0</v>
      </c>
      <c r="N352" s="1">
        <v>1.0</v>
      </c>
      <c r="O352" s="1">
        <v>3.0</v>
      </c>
      <c r="P352" s="1">
        <v>2.0</v>
      </c>
      <c r="Q352" s="1">
        <v>0.0</v>
      </c>
      <c r="R352" s="1">
        <v>20.0</v>
      </c>
      <c r="S352" s="1">
        <v>12.0</v>
      </c>
      <c r="T352" s="1">
        <v>3.0</v>
      </c>
    </row>
    <row r="353" ht="12.75" customHeight="1">
      <c r="A353" s="1" t="s">
        <v>384</v>
      </c>
      <c r="B353" s="1" t="str">
        <f>IFERROR(__xludf.DUMMYFUNCTION("split(A353, ""\"")"),"Johnny Boychuk")</f>
        <v>Johnny Boychuk</v>
      </c>
      <c r="C353" s="1" t="str">
        <f>IFERROR(__xludf.DUMMYFUNCTION("""COMPUTED_VALUE"""),"boychjo01")</f>
        <v>boychjo01</v>
      </c>
      <c r="D353" s="1" t="s">
        <v>66</v>
      </c>
      <c r="E353" s="1">
        <f t="shared" si="1"/>
        <v>164.55</v>
      </c>
      <c r="F353" s="1">
        <f t="shared" si="2"/>
        <v>2.84</v>
      </c>
      <c r="G353" s="1">
        <v>58.0</v>
      </c>
      <c r="H353" s="1">
        <v>6.0</v>
      </c>
      <c r="I353" s="1">
        <v>12.0</v>
      </c>
      <c r="J353" s="1">
        <v>18.0</v>
      </c>
      <c r="K353" s="1">
        <v>141.0</v>
      </c>
      <c r="L353" s="1">
        <v>114.0</v>
      </c>
      <c r="M353" s="1">
        <v>112.0</v>
      </c>
      <c r="N353" s="1">
        <v>2.0</v>
      </c>
      <c r="O353" s="1">
        <v>0.0</v>
      </c>
      <c r="P353" s="1">
        <v>0.0</v>
      </c>
      <c r="Q353" s="1">
        <v>0.0</v>
      </c>
      <c r="R353" s="1">
        <v>-8.0</v>
      </c>
      <c r="S353" s="1">
        <v>30.0</v>
      </c>
      <c r="T353" s="1">
        <v>3.0</v>
      </c>
    </row>
    <row r="354" ht="12.75" customHeight="1">
      <c r="A354" s="1" t="s">
        <v>385</v>
      </c>
      <c r="B354" s="1" t="str">
        <f>IFERROR(__xludf.DUMMYFUNCTION("split(A354, ""\"")"),"Darcy Kuemper")</f>
        <v>Darcy Kuemper</v>
      </c>
      <c r="C354" s="2" t="str">
        <f>IFERROR(__xludf.DUMMYFUNCTION("""COMPUTED_VALUE"""),"kuempda01")</f>
        <v>kuempda01</v>
      </c>
      <c r="D354" s="1" t="s">
        <v>5</v>
      </c>
      <c r="E354" s="1">
        <f t="shared" si="1"/>
        <v>164.5</v>
      </c>
      <c r="F354" s="1">
        <f t="shared" si="2"/>
        <v>5.67</v>
      </c>
      <c r="G354" s="1">
        <v>29.0</v>
      </c>
      <c r="U354" s="1">
        <v>25.0</v>
      </c>
      <c r="V354" s="1">
        <v>12.0</v>
      </c>
      <c r="W354" s="1">
        <v>7.0</v>
      </c>
      <c r="X354" s="1">
        <v>67.0</v>
      </c>
      <c r="Y354" s="1">
        <v>833.0</v>
      </c>
      <c r="Z354" s="1">
        <v>766.0</v>
      </c>
      <c r="AA354" s="1">
        <v>4.0</v>
      </c>
    </row>
    <row r="355" ht="12.75" customHeight="1">
      <c r="A355" s="1" t="s">
        <v>386</v>
      </c>
      <c r="B355" s="1" t="str">
        <f>IFERROR(__xludf.DUMMYFUNCTION("split(A355, ""\"")"),"Leo Komarov")</f>
        <v>Leo Komarov</v>
      </c>
      <c r="C355" s="1" t="str">
        <f>IFERROR(__xludf.DUMMYFUNCTION("""COMPUTED_VALUE"""),"komarle01")</f>
        <v>komarle01</v>
      </c>
      <c r="D355" s="1" t="s">
        <v>31</v>
      </c>
      <c r="E355" s="1">
        <f t="shared" si="1"/>
        <v>164.45</v>
      </c>
      <c r="F355" s="1">
        <f t="shared" si="2"/>
        <v>2.22</v>
      </c>
      <c r="G355" s="1">
        <v>74.0</v>
      </c>
      <c r="H355" s="1">
        <v>7.0</v>
      </c>
      <c r="I355" s="1">
        <v>12.0</v>
      </c>
      <c r="J355" s="1">
        <v>19.0</v>
      </c>
      <c r="K355" s="1">
        <v>114.0</v>
      </c>
      <c r="L355" s="1">
        <v>219.0</v>
      </c>
      <c r="M355" s="1">
        <v>48.0</v>
      </c>
      <c r="N355" s="1">
        <v>2.0</v>
      </c>
      <c r="O355" s="1">
        <v>1.0</v>
      </c>
      <c r="P355" s="1">
        <v>1.0</v>
      </c>
      <c r="Q355" s="1">
        <v>0.0</v>
      </c>
      <c r="R355" s="1">
        <v>0.0</v>
      </c>
      <c r="S355" s="1">
        <v>31.0</v>
      </c>
      <c r="T355" s="1">
        <v>0.0</v>
      </c>
    </row>
    <row r="356" ht="12.75" customHeight="1">
      <c r="A356" s="1" t="s">
        <v>387</v>
      </c>
      <c r="B356" s="1" t="str">
        <f>IFERROR(__xludf.DUMMYFUNCTION("split(A356, ""\"")"),"Derek Forbort")</f>
        <v>Derek Forbort</v>
      </c>
      <c r="C356" s="1" t="str">
        <f>IFERROR(__xludf.DUMMYFUNCTION("""COMPUTED_VALUE"""),"forbode01")</f>
        <v>forbode01</v>
      </c>
      <c r="D356" s="1" t="s">
        <v>66</v>
      </c>
      <c r="E356" s="1">
        <f t="shared" si="1"/>
        <v>163.9</v>
      </c>
      <c r="F356" s="1">
        <f t="shared" si="2"/>
        <v>2.1</v>
      </c>
      <c r="G356" s="1">
        <v>78.0</v>
      </c>
      <c r="H356" s="1">
        <v>1.0</v>
      </c>
      <c r="I356" s="1">
        <v>17.0</v>
      </c>
      <c r="J356" s="1">
        <v>18.0</v>
      </c>
      <c r="K356" s="1">
        <v>78.0</v>
      </c>
      <c r="L356" s="1">
        <v>142.0</v>
      </c>
      <c r="M356" s="1">
        <v>156.0</v>
      </c>
      <c r="N356" s="1">
        <v>0.0</v>
      </c>
      <c r="O356" s="1">
        <v>0.0</v>
      </c>
      <c r="P356" s="1">
        <v>0.0</v>
      </c>
      <c r="Q356" s="1">
        <v>0.0</v>
      </c>
      <c r="R356" s="1">
        <v>18.0</v>
      </c>
      <c r="S356" s="1">
        <v>49.0</v>
      </c>
      <c r="T356" s="1">
        <v>0.0</v>
      </c>
    </row>
    <row r="357" ht="12.75" customHeight="1">
      <c r="A357" s="1" t="s">
        <v>388</v>
      </c>
      <c r="B357" s="1" t="str">
        <f>IFERROR(__xludf.DUMMYFUNCTION("split(A357, ""\"")"),"Colton Sceviour")</f>
        <v>Colton Sceviour</v>
      </c>
      <c r="C357" s="1" t="str">
        <f>IFERROR(__xludf.DUMMYFUNCTION("""COMPUTED_VALUE"""),"scevico01")</f>
        <v>scevico01</v>
      </c>
      <c r="D357" s="1" t="s">
        <v>42</v>
      </c>
      <c r="E357" s="1">
        <f t="shared" si="1"/>
        <v>163.35</v>
      </c>
      <c r="F357" s="1">
        <f t="shared" si="2"/>
        <v>2.15</v>
      </c>
      <c r="G357" s="1">
        <v>76.0</v>
      </c>
      <c r="H357" s="1">
        <v>11.0</v>
      </c>
      <c r="I357" s="1">
        <v>13.0</v>
      </c>
      <c r="J357" s="1">
        <v>24.0</v>
      </c>
      <c r="K357" s="1">
        <v>141.0</v>
      </c>
      <c r="L357" s="1">
        <v>84.0</v>
      </c>
      <c r="M357" s="1">
        <v>69.0</v>
      </c>
      <c r="N357" s="1">
        <v>0.0</v>
      </c>
      <c r="O357" s="1">
        <v>0.0</v>
      </c>
      <c r="P357" s="1">
        <v>1.0</v>
      </c>
      <c r="Q357" s="1">
        <v>2.0</v>
      </c>
      <c r="R357" s="1">
        <v>6.0</v>
      </c>
      <c r="S357" s="1">
        <v>24.0</v>
      </c>
      <c r="T357" s="1">
        <v>2.0</v>
      </c>
    </row>
    <row r="358" ht="12.75" customHeight="1">
      <c r="A358" s="1" t="s">
        <v>389</v>
      </c>
      <c r="B358" s="1" t="str">
        <f>IFERROR(__xludf.DUMMYFUNCTION("split(A358, ""\"")"),"Adam Pelech")</f>
        <v>Adam Pelech</v>
      </c>
      <c r="C358" s="1" t="str">
        <f>IFERROR(__xludf.DUMMYFUNCTION("""COMPUTED_VALUE"""),"pelecad01")</f>
        <v>pelecad01</v>
      </c>
      <c r="D358" s="1" t="s">
        <v>66</v>
      </c>
      <c r="E358" s="1">
        <f t="shared" si="1"/>
        <v>163.3</v>
      </c>
      <c r="F358" s="1">
        <f t="shared" si="2"/>
        <v>2.09</v>
      </c>
      <c r="G358" s="1">
        <v>78.0</v>
      </c>
      <c r="H358" s="1">
        <v>3.0</v>
      </c>
      <c r="I358" s="1">
        <v>16.0</v>
      </c>
      <c r="J358" s="1">
        <v>19.0</v>
      </c>
      <c r="K358" s="1">
        <v>106.0</v>
      </c>
      <c r="L358" s="1">
        <v>100.0</v>
      </c>
      <c r="M358" s="1">
        <v>142.0</v>
      </c>
      <c r="N358" s="1">
        <v>0.0</v>
      </c>
      <c r="O358" s="1">
        <v>2.0</v>
      </c>
      <c r="P358" s="1">
        <v>0.0</v>
      </c>
      <c r="Q358" s="1">
        <v>1.0</v>
      </c>
      <c r="R358" s="1">
        <v>7.0</v>
      </c>
      <c r="S358" s="1">
        <v>28.0</v>
      </c>
      <c r="T358" s="1">
        <v>1.0</v>
      </c>
    </row>
    <row r="359" ht="12.75" customHeight="1">
      <c r="A359" s="1" t="s">
        <v>390</v>
      </c>
      <c r="B359" s="1" t="str">
        <f>IFERROR(__xludf.DUMMYFUNCTION("split(A359, ""\"")"),"Stefan Noesen")</f>
        <v>Stefan Noesen</v>
      </c>
      <c r="C359" s="1" t="str">
        <f>IFERROR(__xludf.DUMMYFUNCTION("""COMPUTED_VALUE"""),"noesest01")</f>
        <v>noesest01</v>
      </c>
      <c r="D359" s="1" t="s">
        <v>36</v>
      </c>
      <c r="E359" s="1">
        <f t="shared" si="1"/>
        <v>163.15</v>
      </c>
      <c r="F359" s="1">
        <f t="shared" si="2"/>
        <v>2.27</v>
      </c>
      <c r="G359" s="1">
        <v>72.0</v>
      </c>
      <c r="H359" s="1">
        <v>13.0</v>
      </c>
      <c r="I359" s="1">
        <v>14.0</v>
      </c>
      <c r="J359" s="1">
        <v>27.0</v>
      </c>
      <c r="K359" s="1">
        <v>127.0</v>
      </c>
      <c r="L359" s="1">
        <v>112.0</v>
      </c>
      <c r="M359" s="1">
        <v>41.0</v>
      </c>
      <c r="N359" s="1">
        <v>0.0</v>
      </c>
      <c r="O359" s="1">
        <v>0.0</v>
      </c>
      <c r="P359" s="1">
        <v>0.0</v>
      </c>
      <c r="Q359" s="1">
        <v>0.0</v>
      </c>
      <c r="R359" s="1">
        <v>12.0</v>
      </c>
      <c r="S359" s="1">
        <v>36.0</v>
      </c>
      <c r="T359" s="1">
        <v>4.0</v>
      </c>
    </row>
    <row r="360" ht="12.75" customHeight="1">
      <c r="A360" s="1" t="s">
        <v>391</v>
      </c>
      <c r="B360" s="1" t="str">
        <f>IFERROR(__xludf.DUMMYFUNCTION("split(A360, ""\"")"),"Matt Benning")</f>
        <v>Matt Benning</v>
      </c>
      <c r="C360" s="1" t="str">
        <f>IFERROR(__xludf.DUMMYFUNCTION("""COMPUTED_VALUE"""),"bennima01")</f>
        <v>bennima01</v>
      </c>
      <c r="D360" s="1" t="s">
        <v>66</v>
      </c>
      <c r="E360" s="1">
        <f t="shared" si="1"/>
        <v>162.3</v>
      </c>
      <c r="F360" s="1">
        <f t="shared" si="2"/>
        <v>2.22</v>
      </c>
      <c r="G360" s="1">
        <v>73.0</v>
      </c>
      <c r="H360" s="1">
        <v>6.0</v>
      </c>
      <c r="I360" s="1">
        <v>15.0</v>
      </c>
      <c r="J360" s="1">
        <v>21.0</v>
      </c>
      <c r="K360" s="1">
        <v>111.0</v>
      </c>
      <c r="L360" s="1">
        <v>149.0</v>
      </c>
      <c r="M360" s="1">
        <v>82.0</v>
      </c>
      <c r="N360" s="1">
        <v>0.0</v>
      </c>
      <c r="O360" s="1">
        <v>2.0</v>
      </c>
      <c r="P360" s="1">
        <v>0.0</v>
      </c>
      <c r="Q360" s="1">
        <v>1.0</v>
      </c>
      <c r="R360" s="1">
        <v>5.0</v>
      </c>
      <c r="S360" s="1">
        <v>49.0</v>
      </c>
      <c r="T360" s="1">
        <v>2.0</v>
      </c>
    </row>
    <row r="361" ht="12.75" customHeight="1">
      <c r="A361" s="1" t="s">
        <v>392</v>
      </c>
      <c r="B361" s="1" t="str">
        <f>IFERROR(__xludf.DUMMYFUNCTION("split(A361, ""\"")"),"Juuse Saros")</f>
        <v>Juuse Saros</v>
      </c>
      <c r="C361" s="2" t="str">
        <f>IFERROR(__xludf.DUMMYFUNCTION("""COMPUTED_VALUE"""),"sarosju01")</f>
        <v>sarosju01</v>
      </c>
      <c r="D361" s="1" t="s">
        <v>5</v>
      </c>
      <c r="E361" s="1">
        <f t="shared" si="1"/>
        <v>162.25</v>
      </c>
      <c r="F361" s="1">
        <f t="shared" si="2"/>
        <v>6.24</v>
      </c>
      <c r="G361" s="1">
        <v>26.0</v>
      </c>
      <c r="U361" s="1">
        <v>23.0</v>
      </c>
      <c r="V361" s="1">
        <v>11.0</v>
      </c>
      <c r="W361" s="1">
        <v>5.0</v>
      </c>
      <c r="X361" s="1">
        <v>61.0</v>
      </c>
      <c r="Y361" s="1">
        <v>810.0</v>
      </c>
      <c r="Z361" s="1">
        <v>749.0</v>
      </c>
      <c r="AA361" s="1">
        <v>3.0</v>
      </c>
    </row>
    <row r="362" ht="12.75" customHeight="1">
      <c r="A362" s="1" t="s">
        <v>393</v>
      </c>
      <c r="B362" s="1" t="str">
        <f>IFERROR(__xludf.DUMMYFUNCTION("split(A362, ""\"")"),"Shea Theodore")</f>
        <v>Shea Theodore</v>
      </c>
      <c r="C362" s="1" t="str">
        <f>IFERROR(__xludf.DUMMYFUNCTION("""COMPUTED_VALUE"""),"theodsh01")</f>
        <v>theodsh01</v>
      </c>
      <c r="D362" s="1" t="s">
        <v>66</v>
      </c>
      <c r="E362" s="1">
        <f t="shared" si="1"/>
        <v>161.75</v>
      </c>
      <c r="F362" s="1">
        <f t="shared" si="2"/>
        <v>2.65</v>
      </c>
      <c r="G362" s="1">
        <v>61.0</v>
      </c>
      <c r="H362" s="1">
        <v>6.0</v>
      </c>
      <c r="I362" s="1">
        <v>23.0</v>
      </c>
      <c r="J362" s="1">
        <v>29.0</v>
      </c>
      <c r="K362" s="1">
        <v>144.0</v>
      </c>
      <c r="L362" s="1">
        <v>29.0</v>
      </c>
      <c r="M362" s="1">
        <v>70.0</v>
      </c>
      <c r="N362" s="1">
        <v>1.0</v>
      </c>
      <c r="O362" s="1">
        <v>8.0</v>
      </c>
      <c r="P362" s="1">
        <v>0.0</v>
      </c>
      <c r="Q362" s="1">
        <v>0.0</v>
      </c>
      <c r="R362" s="1">
        <v>5.0</v>
      </c>
      <c r="S362" s="1">
        <v>14.0</v>
      </c>
      <c r="T362" s="1">
        <v>1.0</v>
      </c>
    </row>
    <row r="363" ht="12.75" customHeight="1">
      <c r="A363" s="1" t="s">
        <v>394</v>
      </c>
      <c r="B363" s="1" t="str">
        <f>IFERROR(__xludf.DUMMYFUNCTION("split(A363, ""\"")"),"Chris Wagner")</f>
        <v>Chris Wagner</v>
      </c>
      <c r="C363" s="1" t="str">
        <f>IFERROR(__xludf.DUMMYFUNCTION("""COMPUTED_VALUE"""),"wagnech01")</f>
        <v>wagnech01</v>
      </c>
      <c r="D363" s="1" t="s">
        <v>31</v>
      </c>
      <c r="E363" s="1">
        <f t="shared" si="1"/>
        <v>161.6</v>
      </c>
      <c r="F363" s="1">
        <f t="shared" si="2"/>
        <v>2.05</v>
      </c>
      <c r="G363" s="1">
        <v>79.0</v>
      </c>
      <c r="H363" s="1">
        <v>7.0</v>
      </c>
      <c r="I363" s="1">
        <v>9.0</v>
      </c>
      <c r="J363" s="1">
        <v>16.0</v>
      </c>
      <c r="K363" s="1">
        <v>93.0</v>
      </c>
      <c r="L363" s="1">
        <v>253.0</v>
      </c>
      <c r="M363" s="1">
        <v>49.0</v>
      </c>
      <c r="N363" s="1">
        <v>1.0</v>
      </c>
      <c r="O363" s="1">
        <v>2.0</v>
      </c>
      <c r="P363" s="1">
        <v>2.0</v>
      </c>
      <c r="Q363" s="1">
        <v>0.0</v>
      </c>
      <c r="R363" s="1">
        <v>-10.0</v>
      </c>
      <c r="S363" s="1">
        <v>37.0</v>
      </c>
      <c r="T363" s="1">
        <v>0.0</v>
      </c>
    </row>
    <row r="364" ht="12.75" customHeight="1">
      <c r="A364" s="1" t="s">
        <v>395</v>
      </c>
      <c r="B364" s="1" t="str">
        <f>IFERROR(__xludf.DUMMYFUNCTION("split(A364, ""\"")"),"Joe Thornton")</f>
        <v>Joe Thornton</v>
      </c>
      <c r="C364" s="1" t="str">
        <f>IFERROR(__xludf.DUMMYFUNCTION("""COMPUTED_VALUE"""),"thornjo01")</f>
        <v>thornjo01</v>
      </c>
      <c r="D364" s="1" t="s">
        <v>31</v>
      </c>
      <c r="E364" s="1">
        <f t="shared" si="1"/>
        <v>161.45</v>
      </c>
      <c r="F364" s="1">
        <f t="shared" si="2"/>
        <v>3.44</v>
      </c>
      <c r="G364" s="1">
        <v>47.0</v>
      </c>
      <c r="H364" s="1">
        <v>13.0</v>
      </c>
      <c r="I364" s="1">
        <v>23.0</v>
      </c>
      <c r="J364" s="1">
        <v>36.0</v>
      </c>
      <c r="K364" s="1">
        <v>75.0</v>
      </c>
      <c r="L364" s="1">
        <v>32.0</v>
      </c>
      <c r="M364" s="1">
        <v>18.0</v>
      </c>
      <c r="N364" s="1">
        <v>7.0</v>
      </c>
      <c r="O364" s="1">
        <v>11.0</v>
      </c>
      <c r="P364" s="1">
        <v>0.0</v>
      </c>
      <c r="Q364" s="1">
        <v>0.0</v>
      </c>
      <c r="R364" s="1">
        <v>-9.0</v>
      </c>
      <c r="S364" s="1">
        <v>38.0</v>
      </c>
      <c r="T364" s="1">
        <v>1.0</v>
      </c>
    </row>
    <row r="365" ht="12.75" customHeight="1">
      <c r="A365" s="1" t="s">
        <v>396</v>
      </c>
      <c r="B365" s="1" t="str">
        <f>IFERROR(__xludf.DUMMYFUNCTION("split(A365, ""\"")"),"Cal Clutterbuck")</f>
        <v>Cal Clutterbuck</v>
      </c>
      <c r="C365" s="1" t="str">
        <f>IFERROR(__xludf.DUMMYFUNCTION("""COMPUTED_VALUE"""),"cluttca01")</f>
        <v>cluttca01</v>
      </c>
      <c r="D365" s="1" t="s">
        <v>36</v>
      </c>
      <c r="E365" s="1">
        <f t="shared" si="1"/>
        <v>160.95</v>
      </c>
      <c r="F365" s="1">
        <f t="shared" si="2"/>
        <v>2.12</v>
      </c>
      <c r="G365" s="1">
        <v>76.0</v>
      </c>
      <c r="H365" s="1">
        <v>8.0</v>
      </c>
      <c r="I365" s="1">
        <v>10.0</v>
      </c>
      <c r="J365" s="1">
        <v>18.0</v>
      </c>
      <c r="K365" s="1">
        <v>101.0</v>
      </c>
      <c r="L365" s="1">
        <v>226.0</v>
      </c>
      <c r="M365" s="1">
        <v>53.0</v>
      </c>
      <c r="N365" s="1">
        <v>0.0</v>
      </c>
      <c r="O365" s="1">
        <v>0.0</v>
      </c>
      <c r="P365" s="1">
        <v>1.0</v>
      </c>
      <c r="Q365" s="1">
        <v>0.0</v>
      </c>
      <c r="R365" s="1">
        <v>-7.0</v>
      </c>
      <c r="S365" s="1">
        <v>53.0</v>
      </c>
      <c r="T365" s="1">
        <v>1.0</v>
      </c>
    </row>
    <row r="366" ht="12.75" customHeight="1">
      <c r="A366" s="1" t="s">
        <v>397</v>
      </c>
      <c r="B366" s="1" t="str">
        <f>IFERROR(__xludf.DUMMYFUNCTION("split(A366, ""\"")"),"Brooks Orpik")</f>
        <v>Brooks Orpik</v>
      </c>
      <c r="C366" s="1" t="str">
        <f>IFERROR(__xludf.DUMMYFUNCTION("""COMPUTED_VALUE"""),"orpikbr01")</f>
        <v>orpikbr01</v>
      </c>
      <c r="D366" s="1" t="s">
        <v>66</v>
      </c>
      <c r="E366" s="1">
        <f t="shared" si="1"/>
        <v>160.2</v>
      </c>
      <c r="F366" s="1">
        <f t="shared" si="2"/>
        <v>1.98</v>
      </c>
      <c r="G366" s="1">
        <v>81.0</v>
      </c>
      <c r="H366" s="1">
        <v>0.0</v>
      </c>
      <c r="I366" s="1">
        <v>10.0</v>
      </c>
      <c r="J366" s="1">
        <v>10.0</v>
      </c>
      <c r="K366" s="1">
        <v>54.0</v>
      </c>
      <c r="L366" s="1">
        <v>218.0</v>
      </c>
      <c r="M366" s="1">
        <v>168.0</v>
      </c>
      <c r="N366" s="1">
        <v>0.0</v>
      </c>
      <c r="O366" s="1">
        <v>0.0</v>
      </c>
      <c r="P366" s="1">
        <v>0.0</v>
      </c>
      <c r="Q366" s="1">
        <v>0.0</v>
      </c>
      <c r="R366" s="1">
        <v>-9.0</v>
      </c>
      <c r="S366" s="1">
        <v>68.0</v>
      </c>
      <c r="T366" s="1">
        <v>0.0</v>
      </c>
    </row>
    <row r="367" ht="12.75" customHeight="1">
      <c r="A367" s="1" t="s">
        <v>398</v>
      </c>
      <c r="B367" s="1" t="str">
        <f>IFERROR(__xludf.DUMMYFUNCTION("split(A367, ""\"")"),"Conor Sheary")</f>
        <v>Conor Sheary</v>
      </c>
      <c r="C367" s="1" t="str">
        <f>IFERROR(__xludf.DUMMYFUNCTION("""COMPUTED_VALUE"""),"shearco01")</f>
        <v>shearco01</v>
      </c>
      <c r="D367" s="1" t="s">
        <v>28</v>
      </c>
      <c r="E367" s="1">
        <f t="shared" si="1"/>
        <v>160.15</v>
      </c>
      <c r="F367" s="1">
        <f t="shared" si="2"/>
        <v>2.03</v>
      </c>
      <c r="G367" s="1">
        <v>79.0</v>
      </c>
      <c r="H367" s="1">
        <v>18.0</v>
      </c>
      <c r="I367" s="1">
        <v>12.0</v>
      </c>
      <c r="J367" s="1">
        <v>30.0</v>
      </c>
      <c r="K367" s="1">
        <v>142.0</v>
      </c>
      <c r="L367" s="1">
        <v>29.0</v>
      </c>
      <c r="M367" s="1">
        <v>31.0</v>
      </c>
      <c r="N367" s="1">
        <v>2.0</v>
      </c>
      <c r="O367" s="1">
        <v>1.0</v>
      </c>
      <c r="P367" s="1">
        <v>0.0</v>
      </c>
      <c r="Q367" s="1">
        <v>0.0</v>
      </c>
      <c r="R367" s="1">
        <v>2.0</v>
      </c>
      <c r="S367" s="1">
        <v>10.0</v>
      </c>
      <c r="T367" s="1">
        <v>4.0</v>
      </c>
    </row>
    <row r="368" ht="12.75" customHeight="1">
      <c r="A368" s="1" t="s">
        <v>399</v>
      </c>
      <c r="B368" s="1" t="str">
        <f>IFERROR(__xludf.DUMMYFUNCTION("split(A368, ""\"")"),"Riley Sheahan")</f>
        <v>Riley Sheahan</v>
      </c>
      <c r="C368" s="1" t="str">
        <f>IFERROR(__xludf.DUMMYFUNCTION("""COMPUTED_VALUE"""),"sheahri01")</f>
        <v>sheahri01</v>
      </c>
      <c r="D368" s="1" t="s">
        <v>31</v>
      </c>
      <c r="E368" s="1">
        <f t="shared" si="1"/>
        <v>159.75</v>
      </c>
      <c r="F368" s="1">
        <f t="shared" si="2"/>
        <v>1.97</v>
      </c>
      <c r="G368" s="1">
        <v>81.0</v>
      </c>
      <c r="H368" s="1">
        <v>11.0</v>
      </c>
      <c r="I368" s="1">
        <v>21.0</v>
      </c>
      <c r="J368" s="1">
        <v>32.0</v>
      </c>
      <c r="K368" s="1">
        <v>109.0</v>
      </c>
      <c r="L368" s="1">
        <v>52.0</v>
      </c>
      <c r="M368" s="1">
        <v>50.0</v>
      </c>
      <c r="N368" s="1">
        <v>1.0</v>
      </c>
      <c r="O368" s="1">
        <v>1.0</v>
      </c>
      <c r="P368" s="1">
        <v>0.0</v>
      </c>
      <c r="Q368" s="1">
        <v>1.0</v>
      </c>
      <c r="R368" s="1">
        <v>4.0</v>
      </c>
      <c r="S368" s="1">
        <v>8.0</v>
      </c>
      <c r="T368" s="1">
        <v>1.0</v>
      </c>
    </row>
    <row r="369" ht="12.75" customHeight="1">
      <c r="A369" s="1" t="s">
        <v>400</v>
      </c>
      <c r="B369" s="1" t="str">
        <f>IFERROR(__xludf.DUMMYFUNCTION("split(A369, ""\"")"),"Damon Severson")</f>
        <v>Damon Severson</v>
      </c>
      <c r="C369" s="1" t="str">
        <f>IFERROR(__xludf.DUMMYFUNCTION("""COMPUTED_VALUE"""),"severda01")</f>
        <v>severda01</v>
      </c>
      <c r="D369" s="1" t="s">
        <v>66</v>
      </c>
      <c r="E369" s="1">
        <f t="shared" si="1"/>
        <v>159.3</v>
      </c>
      <c r="F369" s="1">
        <f t="shared" si="2"/>
        <v>2.1</v>
      </c>
      <c r="G369" s="1">
        <v>76.0</v>
      </c>
      <c r="H369" s="1">
        <v>9.0</v>
      </c>
      <c r="I369" s="1">
        <v>15.0</v>
      </c>
      <c r="J369" s="1">
        <v>24.0</v>
      </c>
      <c r="K369" s="1">
        <v>121.0</v>
      </c>
      <c r="L369" s="1">
        <v>107.0</v>
      </c>
      <c r="M369" s="1">
        <v>62.0</v>
      </c>
      <c r="N369" s="1">
        <v>0.0</v>
      </c>
      <c r="O369" s="1">
        <v>4.0</v>
      </c>
      <c r="P369" s="1">
        <v>0.0</v>
      </c>
      <c r="Q369" s="1">
        <v>0.0</v>
      </c>
      <c r="R369" s="1">
        <v>-8.0</v>
      </c>
      <c r="S369" s="1">
        <v>42.0</v>
      </c>
      <c r="T369" s="1">
        <v>2.0</v>
      </c>
    </row>
    <row r="370" ht="12.75" customHeight="1">
      <c r="A370" s="1" t="s">
        <v>401</v>
      </c>
      <c r="B370" s="1" t="str">
        <f>IFERROR(__xludf.DUMMYFUNCTION("split(A370, ""\"")"),"Chris Kunitz")</f>
        <v>Chris Kunitz</v>
      </c>
      <c r="C370" s="1" t="str">
        <f>IFERROR(__xludf.DUMMYFUNCTION("""COMPUTED_VALUE"""),"kunitch01")</f>
        <v>kunitch01</v>
      </c>
      <c r="D370" s="1" t="s">
        <v>28</v>
      </c>
      <c r="E370" s="1">
        <f t="shared" si="1"/>
        <v>159</v>
      </c>
      <c r="F370" s="1">
        <f t="shared" si="2"/>
        <v>1.94</v>
      </c>
      <c r="G370" s="1">
        <v>82.0</v>
      </c>
      <c r="H370" s="1">
        <v>13.0</v>
      </c>
      <c r="I370" s="1">
        <v>16.0</v>
      </c>
      <c r="J370" s="1">
        <v>29.0</v>
      </c>
      <c r="K370" s="1">
        <v>81.0</v>
      </c>
      <c r="L370" s="1">
        <v>131.0</v>
      </c>
      <c r="M370" s="1">
        <v>30.0</v>
      </c>
      <c r="N370" s="1">
        <v>0.0</v>
      </c>
      <c r="O370" s="1">
        <v>1.0</v>
      </c>
      <c r="P370" s="1">
        <v>1.0</v>
      </c>
      <c r="Q370" s="1">
        <v>0.0</v>
      </c>
      <c r="R370" s="1">
        <v>8.0</v>
      </c>
      <c r="S370" s="1">
        <v>35.0</v>
      </c>
      <c r="T370" s="1">
        <v>2.0</v>
      </c>
    </row>
    <row r="371" ht="12.75" customHeight="1">
      <c r="A371" s="1" t="s">
        <v>402</v>
      </c>
      <c r="B371" s="1" t="str">
        <f>IFERROR(__xludf.DUMMYFUNCTION("split(A371, ""\"")"),"Ryan Miller")</f>
        <v>Ryan Miller</v>
      </c>
      <c r="C371" s="2" t="str">
        <f>IFERROR(__xludf.DUMMYFUNCTION("""COMPUTED_VALUE"""),"millery01")</f>
        <v>millery01</v>
      </c>
      <c r="D371" s="1" t="s">
        <v>5</v>
      </c>
      <c r="E371" s="1">
        <f t="shared" si="1"/>
        <v>158.5</v>
      </c>
      <c r="F371" s="1">
        <f t="shared" si="2"/>
        <v>5.66</v>
      </c>
      <c r="G371" s="1">
        <v>28.0</v>
      </c>
      <c r="U371" s="1">
        <v>21.0</v>
      </c>
      <c r="V371" s="1">
        <v>12.0</v>
      </c>
      <c r="W371" s="1">
        <v>6.0</v>
      </c>
      <c r="X371" s="1">
        <v>53.0</v>
      </c>
      <c r="Y371" s="1">
        <v>739.0</v>
      </c>
      <c r="Z371" s="1">
        <v>686.0</v>
      </c>
      <c r="AA371" s="1">
        <v>4.0</v>
      </c>
    </row>
    <row r="372" ht="12.75" customHeight="1">
      <c r="A372" s="1" t="s">
        <v>403</v>
      </c>
      <c r="B372" s="1" t="str">
        <f>IFERROR(__xludf.DUMMYFUNCTION("split(A372, ""\"")"),"Luke Glendening")</f>
        <v>Luke Glendening</v>
      </c>
      <c r="C372" s="1" t="str">
        <f>IFERROR(__xludf.DUMMYFUNCTION("""COMPUTED_VALUE"""),"glendlu01")</f>
        <v>glendlu01</v>
      </c>
      <c r="D372" s="1" t="s">
        <v>31</v>
      </c>
      <c r="E372" s="1">
        <f t="shared" si="1"/>
        <v>157.45</v>
      </c>
      <c r="F372" s="1">
        <f t="shared" si="2"/>
        <v>2.28</v>
      </c>
      <c r="G372" s="1">
        <v>69.0</v>
      </c>
      <c r="H372" s="1">
        <v>11.0</v>
      </c>
      <c r="I372" s="1">
        <v>8.0</v>
      </c>
      <c r="J372" s="1">
        <v>19.0</v>
      </c>
      <c r="K372" s="1">
        <v>88.0</v>
      </c>
      <c r="L372" s="1">
        <v>137.0</v>
      </c>
      <c r="M372" s="1">
        <v>83.0</v>
      </c>
      <c r="N372" s="1">
        <v>1.0</v>
      </c>
      <c r="O372" s="1">
        <v>0.0</v>
      </c>
      <c r="P372" s="1">
        <v>2.0</v>
      </c>
      <c r="Q372" s="1">
        <v>1.0</v>
      </c>
      <c r="R372" s="1">
        <v>-14.0</v>
      </c>
      <c r="S372" s="1">
        <v>17.0</v>
      </c>
      <c r="T372" s="1">
        <v>2.0</v>
      </c>
    </row>
    <row r="373" ht="12.75" customHeight="1">
      <c r="A373" s="1" t="s">
        <v>404</v>
      </c>
      <c r="B373" s="1" t="str">
        <f>IFERROR(__xludf.DUMMYFUNCTION("split(A373, ""\"")"),"Aaron Dell")</f>
        <v>Aaron Dell</v>
      </c>
      <c r="C373" s="2" t="str">
        <f>IFERROR(__xludf.DUMMYFUNCTION("""COMPUTED_VALUE"""),"dellaa01")</f>
        <v>dellaa01</v>
      </c>
      <c r="D373" s="1" t="s">
        <v>5</v>
      </c>
      <c r="E373" s="1">
        <f t="shared" si="1"/>
        <v>157</v>
      </c>
      <c r="F373" s="1">
        <f t="shared" si="2"/>
        <v>5.41</v>
      </c>
      <c r="G373" s="1">
        <v>29.0</v>
      </c>
      <c r="U373" s="1">
        <v>22.0</v>
      </c>
      <c r="V373" s="1">
        <v>15.0</v>
      </c>
      <c r="W373" s="1">
        <v>5.0</v>
      </c>
      <c r="X373" s="1">
        <v>67.0</v>
      </c>
      <c r="Y373" s="1">
        <v>775.0</v>
      </c>
      <c r="Z373" s="1">
        <v>708.0</v>
      </c>
      <c r="AA373" s="1">
        <v>2.0</v>
      </c>
    </row>
    <row r="374" ht="12.75" customHeight="1">
      <c r="A374" s="1" t="s">
        <v>405</v>
      </c>
      <c r="B374" s="1" t="str">
        <f>IFERROR(__xludf.DUMMYFUNCTION("split(A374, ""\"")"),"Justin Schultz")</f>
        <v>Justin Schultz</v>
      </c>
      <c r="C374" s="1" t="str">
        <f>IFERROR(__xludf.DUMMYFUNCTION("""COMPUTED_VALUE"""),"schulju01")</f>
        <v>schulju01</v>
      </c>
      <c r="D374" s="1" t="s">
        <v>66</v>
      </c>
      <c r="E374" s="1">
        <f t="shared" si="1"/>
        <v>156.95</v>
      </c>
      <c r="F374" s="1">
        <f t="shared" si="2"/>
        <v>2.49</v>
      </c>
      <c r="G374" s="1">
        <v>63.0</v>
      </c>
      <c r="H374" s="1">
        <v>4.0</v>
      </c>
      <c r="I374" s="1">
        <v>23.0</v>
      </c>
      <c r="J374" s="1">
        <v>27.0</v>
      </c>
      <c r="K374" s="1">
        <v>109.0</v>
      </c>
      <c r="L374" s="1">
        <v>36.0</v>
      </c>
      <c r="M374" s="1">
        <v>93.0</v>
      </c>
      <c r="N374" s="1">
        <v>0.0</v>
      </c>
      <c r="O374" s="1">
        <v>10.0</v>
      </c>
      <c r="P374" s="1">
        <v>0.0</v>
      </c>
      <c r="Q374" s="1">
        <v>0.0</v>
      </c>
      <c r="R374" s="1">
        <v>22.0</v>
      </c>
      <c r="S374" s="1">
        <v>14.0</v>
      </c>
      <c r="T374" s="1">
        <v>1.0</v>
      </c>
    </row>
    <row r="375" ht="12.75" customHeight="1">
      <c r="A375" s="1" t="s">
        <v>406</v>
      </c>
      <c r="B375" s="1" t="str">
        <f>IFERROR(__xludf.DUMMYFUNCTION("split(A375, ""\"")"),"Greg Pateryn")</f>
        <v>Greg Pateryn</v>
      </c>
      <c r="C375" s="1" t="str">
        <f>IFERROR(__xludf.DUMMYFUNCTION("""COMPUTED_VALUE"""),"patergr01")</f>
        <v>patergr01</v>
      </c>
      <c r="D375" s="1" t="s">
        <v>66</v>
      </c>
      <c r="E375" s="1">
        <f t="shared" si="1"/>
        <v>156.95</v>
      </c>
      <c r="F375" s="1">
        <f t="shared" si="2"/>
        <v>2.15</v>
      </c>
      <c r="G375" s="1">
        <v>73.0</v>
      </c>
      <c r="H375" s="1">
        <v>1.0</v>
      </c>
      <c r="I375" s="1">
        <v>12.0</v>
      </c>
      <c r="J375" s="1">
        <v>13.0</v>
      </c>
      <c r="K375" s="1">
        <v>100.0</v>
      </c>
      <c r="L375" s="1">
        <v>155.0</v>
      </c>
      <c r="M375" s="1">
        <v>148.0</v>
      </c>
      <c r="N375" s="1">
        <v>0.0</v>
      </c>
      <c r="O375" s="1">
        <v>0.0</v>
      </c>
      <c r="P375" s="1">
        <v>0.0</v>
      </c>
      <c r="Q375" s="1">
        <v>0.0</v>
      </c>
      <c r="R375" s="1">
        <v>6.0</v>
      </c>
      <c r="S375" s="1">
        <v>50.0</v>
      </c>
      <c r="T375" s="1">
        <v>0.0</v>
      </c>
    </row>
    <row r="376" ht="12.75" customHeight="1">
      <c r="A376" s="1" t="s">
        <v>407</v>
      </c>
      <c r="B376" s="1" t="str">
        <f>IFERROR(__xludf.DUMMYFUNCTION("split(A376, ""\"")"),"Andrew Ladd")</f>
        <v>Andrew Ladd</v>
      </c>
      <c r="C376" s="1" t="str">
        <f>IFERROR(__xludf.DUMMYFUNCTION("""COMPUTED_VALUE"""),"laddan01")</f>
        <v>laddan01</v>
      </c>
      <c r="D376" s="1" t="s">
        <v>28</v>
      </c>
      <c r="E376" s="1">
        <f t="shared" si="1"/>
        <v>156.5</v>
      </c>
      <c r="F376" s="1">
        <f t="shared" si="2"/>
        <v>2.14</v>
      </c>
      <c r="G376" s="1">
        <v>73.0</v>
      </c>
      <c r="H376" s="1">
        <v>12.0</v>
      </c>
      <c r="I376" s="1">
        <v>17.0</v>
      </c>
      <c r="J376" s="1">
        <v>29.0</v>
      </c>
      <c r="K376" s="1">
        <v>112.0</v>
      </c>
      <c r="L376" s="1">
        <v>76.0</v>
      </c>
      <c r="M376" s="1">
        <v>40.0</v>
      </c>
      <c r="N376" s="1">
        <v>0.0</v>
      </c>
      <c r="O376" s="1">
        <v>1.0</v>
      </c>
      <c r="P376" s="1">
        <v>1.0</v>
      </c>
      <c r="Q376" s="1">
        <v>1.0</v>
      </c>
      <c r="R376" s="1">
        <v>11.0</v>
      </c>
      <c r="S376" s="1">
        <v>24.0</v>
      </c>
      <c r="T376" s="1">
        <v>2.0</v>
      </c>
    </row>
    <row r="377" ht="12.75" customHeight="1">
      <c r="A377" s="1" t="s">
        <v>408</v>
      </c>
      <c r="B377" s="1" t="str">
        <f>IFERROR(__xludf.DUMMYFUNCTION("split(A377, ""\"")"),"Joonas Donskoi")</f>
        <v>Joonas Donskoi</v>
      </c>
      <c r="C377" s="1" t="str">
        <f>IFERROR(__xludf.DUMMYFUNCTION("""COMPUTED_VALUE"""),"donskjo01")</f>
        <v>donskjo01</v>
      </c>
      <c r="D377" s="1" t="s">
        <v>36</v>
      </c>
      <c r="E377" s="1">
        <f t="shared" si="1"/>
        <v>156.45</v>
      </c>
      <c r="F377" s="1">
        <f t="shared" si="2"/>
        <v>2.37</v>
      </c>
      <c r="G377" s="1">
        <v>66.0</v>
      </c>
      <c r="H377" s="1">
        <v>14.0</v>
      </c>
      <c r="I377" s="1">
        <v>18.0</v>
      </c>
      <c r="J377" s="1">
        <v>32.0</v>
      </c>
      <c r="K377" s="1">
        <v>129.0</v>
      </c>
      <c r="L377" s="1">
        <v>28.0</v>
      </c>
      <c r="M377" s="1">
        <v>28.0</v>
      </c>
      <c r="N377" s="1">
        <v>1.0</v>
      </c>
      <c r="O377" s="1">
        <v>4.0</v>
      </c>
      <c r="P377" s="1">
        <v>0.0</v>
      </c>
      <c r="Q377" s="1">
        <v>0.0</v>
      </c>
      <c r="R377" s="1">
        <v>10.0</v>
      </c>
      <c r="S377" s="1">
        <v>26.0</v>
      </c>
      <c r="T377" s="1">
        <v>2.0</v>
      </c>
    </row>
    <row r="378" ht="12.75" customHeight="1">
      <c r="A378" s="1" t="s">
        <v>409</v>
      </c>
      <c r="B378" s="1" t="str">
        <f>IFERROR(__xludf.DUMMYFUNCTION("split(A378, ""\"")"),"Andy Greene")</f>
        <v>Andy Greene</v>
      </c>
      <c r="C378" s="1" t="str">
        <f>IFERROR(__xludf.DUMMYFUNCTION("""COMPUTED_VALUE"""),"greenan01")</f>
        <v>greenan01</v>
      </c>
      <c r="D378" s="1" t="s">
        <v>66</v>
      </c>
      <c r="E378" s="1">
        <f t="shared" si="1"/>
        <v>156.45</v>
      </c>
      <c r="F378" s="1">
        <f t="shared" si="2"/>
        <v>1.93</v>
      </c>
      <c r="G378" s="1">
        <v>81.0</v>
      </c>
      <c r="H378" s="1">
        <v>3.0</v>
      </c>
      <c r="I378" s="1">
        <v>10.0</v>
      </c>
      <c r="J378" s="1">
        <v>13.0</v>
      </c>
      <c r="K378" s="1">
        <v>93.0</v>
      </c>
      <c r="L378" s="1">
        <v>84.0</v>
      </c>
      <c r="M378" s="1">
        <v>188.0</v>
      </c>
      <c r="N378" s="1">
        <v>0.0</v>
      </c>
      <c r="O378" s="1">
        <v>0.0</v>
      </c>
      <c r="P378" s="1">
        <v>0.0</v>
      </c>
      <c r="Q378" s="1">
        <v>0.0</v>
      </c>
      <c r="R378" s="1">
        <v>-9.0</v>
      </c>
      <c r="S378" s="1">
        <v>21.0</v>
      </c>
      <c r="T378" s="1">
        <v>0.0</v>
      </c>
    </row>
    <row r="379" ht="12.75" customHeight="1">
      <c r="A379" s="1" t="s">
        <v>410</v>
      </c>
      <c r="B379" s="1" t="str">
        <f>IFERROR(__xludf.DUMMYFUNCTION("split(A379, ""\"")"),"Brian Dumoulin")</f>
        <v>Brian Dumoulin</v>
      </c>
      <c r="C379" s="1" t="str">
        <f>IFERROR(__xludf.DUMMYFUNCTION("""COMPUTED_VALUE"""),"dumoubr01")</f>
        <v>dumoubr01</v>
      </c>
      <c r="D379" s="1" t="s">
        <v>66</v>
      </c>
      <c r="E379" s="1">
        <f t="shared" si="1"/>
        <v>156.05</v>
      </c>
      <c r="F379" s="1">
        <f t="shared" si="2"/>
        <v>1.95</v>
      </c>
      <c r="G379" s="1">
        <v>80.0</v>
      </c>
      <c r="H379" s="1">
        <v>5.0</v>
      </c>
      <c r="I379" s="1">
        <v>13.0</v>
      </c>
      <c r="J379" s="1">
        <v>18.0</v>
      </c>
      <c r="K379" s="1">
        <v>102.0</v>
      </c>
      <c r="L379" s="1">
        <v>101.0</v>
      </c>
      <c r="M379" s="1">
        <v>132.0</v>
      </c>
      <c r="N379" s="1">
        <v>0.0</v>
      </c>
      <c r="O379" s="1">
        <v>0.0</v>
      </c>
      <c r="P379" s="1">
        <v>0.0</v>
      </c>
      <c r="Q379" s="1">
        <v>0.0</v>
      </c>
      <c r="R379" s="1">
        <v>-5.0</v>
      </c>
      <c r="S379" s="1">
        <v>30.0</v>
      </c>
      <c r="T379" s="1">
        <v>1.0</v>
      </c>
    </row>
    <row r="380" ht="12.75" customHeight="1">
      <c r="A380" s="1" t="s">
        <v>411</v>
      </c>
      <c r="B380" s="1" t="str">
        <f>IFERROR(__xludf.DUMMYFUNCTION("split(A380, ""\"")"),"J.T. Compher")</f>
        <v>J.T. Compher</v>
      </c>
      <c r="C380" s="1" t="str">
        <f>IFERROR(__xludf.DUMMYFUNCTION("""COMPUTED_VALUE"""),"comphj.01")</f>
        <v>comphj.01</v>
      </c>
      <c r="D380" s="1" t="s">
        <v>28</v>
      </c>
      <c r="E380" s="1">
        <f t="shared" si="1"/>
        <v>156</v>
      </c>
      <c r="F380" s="1">
        <f t="shared" si="2"/>
        <v>2.26</v>
      </c>
      <c r="G380" s="1">
        <v>69.0</v>
      </c>
      <c r="H380" s="1">
        <v>13.0</v>
      </c>
      <c r="I380" s="1">
        <v>10.0</v>
      </c>
      <c r="J380" s="1">
        <v>23.0</v>
      </c>
      <c r="K380" s="1">
        <v>131.0</v>
      </c>
      <c r="L380" s="1">
        <v>45.0</v>
      </c>
      <c r="M380" s="1">
        <v>65.0</v>
      </c>
      <c r="N380" s="1">
        <v>4.0</v>
      </c>
      <c r="O380" s="1">
        <v>3.0</v>
      </c>
      <c r="P380" s="1">
        <v>2.0</v>
      </c>
      <c r="Q380" s="1">
        <v>0.0</v>
      </c>
      <c r="R380" s="1">
        <v>-29.0</v>
      </c>
      <c r="S380" s="1">
        <v>20.0</v>
      </c>
      <c r="T380" s="1">
        <v>3.0</v>
      </c>
    </row>
    <row r="381" ht="12.75" customHeight="1">
      <c r="A381" s="1" t="s">
        <v>412</v>
      </c>
      <c r="B381" s="1" t="str">
        <f>IFERROR(__xludf.DUMMYFUNCTION("split(A381, ""\"")"),"Derrick Pouliot")</f>
        <v>Derrick Pouliot</v>
      </c>
      <c r="C381" s="1" t="str">
        <f>IFERROR(__xludf.DUMMYFUNCTION("""COMPUTED_VALUE"""),"poulide01")</f>
        <v>poulide01</v>
      </c>
      <c r="D381" s="1" t="s">
        <v>66</v>
      </c>
      <c r="E381" s="1">
        <f t="shared" si="1"/>
        <v>155.95</v>
      </c>
      <c r="F381" s="1">
        <f t="shared" si="2"/>
        <v>2.2</v>
      </c>
      <c r="G381" s="1">
        <v>71.0</v>
      </c>
      <c r="H381" s="1">
        <v>3.0</v>
      </c>
      <c r="I381" s="1">
        <v>19.0</v>
      </c>
      <c r="J381" s="1">
        <v>22.0</v>
      </c>
      <c r="K381" s="1">
        <v>78.0</v>
      </c>
      <c r="L381" s="1">
        <v>79.0</v>
      </c>
      <c r="M381" s="1">
        <v>118.0</v>
      </c>
      <c r="N381" s="1">
        <v>1.0</v>
      </c>
      <c r="O381" s="1">
        <v>8.0</v>
      </c>
      <c r="P381" s="1">
        <v>0.0</v>
      </c>
      <c r="Q381" s="1">
        <v>1.0</v>
      </c>
      <c r="R381" s="1">
        <v>-22.0</v>
      </c>
      <c r="S381" s="1">
        <v>39.0</v>
      </c>
      <c r="T381" s="1">
        <v>3.0</v>
      </c>
    </row>
    <row r="382" ht="12.75" customHeight="1">
      <c r="A382" s="1" t="s">
        <v>413</v>
      </c>
      <c r="B382" s="1" t="str">
        <f>IFERROR(__xludf.DUMMYFUNCTION("split(A382, ""\"")"),"Brian Boyle")</f>
        <v>Brian Boyle</v>
      </c>
      <c r="C382" s="1" t="str">
        <f>IFERROR(__xludf.DUMMYFUNCTION("""COMPUTED_VALUE"""),"boylebr01")</f>
        <v>boylebr01</v>
      </c>
      <c r="D382" s="1" t="s">
        <v>31</v>
      </c>
      <c r="E382" s="1">
        <f t="shared" si="1"/>
        <v>155.9</v>
      </c>
      <c r="F382" s="1">
        <f t="shared" si="2"/>
        <v>2.26</v>
      </c>
      <c r="G382" s="1">
        <v>69.0</v>
      </c>
      <c r="H382" s="1">
        <v>13.0</v>
      </c>
      <c r="I382" s="1">
        <v>10.0</v>
      </c>
      <c r="J382" s="1">
        <v>23.0</v>
      </c>
      <c r="K382" s="1">
        <v>120.0</v>
      </c>
      <c r="L382" s="1">
        <v>126.0</v>
      </c>
      <c r="M382" s="1">
        <v>26.0</v>
      </c>
      <c r="N382" s="1">
        <v>5.0</v>
      </c>
      <c r="O382" s="1">
        <v>2.0</v>
      </c>
      <c r="P382" s="1">
        <v>0.0</v>
      </c>
      <c r="Q382" s="1">
        <v>0.0</v>
      </c>
      <c r="R382" s="1">
        <v>-9.0</v>
      </c>
      <c r="S382" s="1">
        <v>45.0</v>
      </c>
      <c r="T382" s="1">
        <v>2.0</v>
      </c>
    </row>
    <row r="383" ht="12.75" customHeight="1">
      <c r="A383" s="1" t="s">
        <v>414</v>
      </c>
      <c r="B383" s="1" t="str">
        <f>IFERROR(__xludf.DUMMYFUNCTION("split(A383, ""\"")"),"Andrew Copp")</f>
        <v>Andrew Copp</v>
      </c>
      <c r="C383" s="1" t="str">
        <f>IFERROR(__xludf.DUMMYFUNCTION("""COMPUTED_VALUE"""),"coppan01")</f>
        <v>coppan01</v>
      </c>
      <c r="D383" s="1" t="s">
        <v>31</v>
      </c>
      <c r="E383" s="1">
        <f t="shared" si="1"/>
        <v>155.65</v>
      </c>
      <c r="F383" s="1">
        <f t="shared" si="2"/>
        <v>1.9</v>
      </c>
      <c r="G383" s="1">
        <v>82.0</v>
      </c>
      <c r="H383" s="1">
        <v>9.0</v>
      </c>
      <c r="I383" s="1">
        <v>19.0</v>
      </c>
      <c r="J383" s="1">
        <v>28.0</v>
      </c>
      <c r="K383" s="1">
        <v>96.0</v>
      </c>
      <c r="L383" s="1">
        <v>99.0</v>
      </c>
      <c r="M383" s="1">
        <v>51.0</v>
      </c>
      <c r="N383" s="1">
        <v>0.0</v>
      </c>
      <c r="O383" s="1">
        <v>0.0</v>
      </c>
      <c r="P383" s="1">
        <v>2.0</v>
      </c>
      <c r="Q383" s="1">
        <v>1.0</v>
      </c>
      <c r="R383" s="1">
        <v>17.0</v>
      </c>
      <c r="S383" s="1">
        <v>14.0</v>
      </c>
      <c r="T383" s="1">
        <v>0.0</v>
      </c>
    </row>
    <row r="384" ht="12.75" customHeight="1">
      <c r="A384" s="1" t="s">
        <v>415</v>
      </c>
      <c r="B384" s="1" t="str">
        <f>IFERROR(__xludf.DUMMYFUNCTION("split(A384, ""\"")"),"Marcus Foligno")</f>
        <v>Marcus Foligno</v>
      </c>
      <c r="C384" s="1" t="str">
        <f>IFERROR(__xludf.DUMMYFUNCTION("""COMPUTED_VALUE"""),"foligma01")</f>
        <v>foligma01</v>
      </c>
      <c r="D384" s="1" t="s">
        <v>28</v>
      </c>
      <c r="E384" s="1">
        <f t="shared" si="1"/>
        <v>155.1</v>
      </c>
      <c r="F384" s="1">
        <f t="shared" si="2"/>
        <v>2.01</v>
      </c>
      <c r="G384" s="1">
        <v>77.0</v>
      </c>
      <c r="H384" s="1">
        <v>8.0</v>
      </c>
      <c r="I384" s="1">
        <v>15.0</v>
      </c>
      <c r="J384" s="1">
        <v>23.0</v>
      </c>
      <c r="K384" s="1">
        <v>79.0</v>
      </c>
      <c r="L384" s="1">
        <v>185.0</v>
      </c>
      <c r="M384" s="1">
        <v>44.0</v>
      </c>
      <c r="N384" s="1">
        <v>1.0</v>
      </c>
      <c r="O384" s="1">
        <v>1.0</v>
      </c>
      <c r="P384" s="1">
        <v>0.0</v>
      </c>
      <c r="Q384" s="1">
        <v>0.0</v>
      </c>
      <c r="R384" s="1">
        <v>2.0</v>
      </c>
      <c r="S384" s="1">
        <v>72.0</v>
      </c>
      <c r="T384" s="1">
        <v>2.0</v>
      </c>
    </row>
    <row r="385" ht="12.75" customHeight="1">
      <c r="A385" s="1" t="s">
        <v>416</v>
      </c>
      <c r="B385" s="1" t="str">
        <f>IFERROR(__xludf.DUMMYFUNCTION("split(A385, ""\"")"),"Thomas Hickey")</f>
        <v>Thomas Hickey</v>
      </c>
      <c r="C385" s="1" t="str">
        <f>IFERROR(__xludf.DUMMYFUNCTION("""COMPUTED_VALUE"""),"hicketh01")</f>
        <v>hicketh01</v>
      </c>
      <c r="D385" s="1" t="s">
        <v>66</v>
      </c>
      <c r="E385" s="1">
        <f t="shared" si="1"/>
        <v>154.75</v>
      </c>
      <c r="F385" s="1">
        <f t="shared" si="2"/>
        <v>2.24</v>
      </c>
      <c r="G385" s="1">
        <v>69.0</v>
      </c>
      <c r="H385" s="1">
        <v>5.0</v>
      </c>
      <c r="I385" s="1">
        <v>20.0</v>
      </c>
      <c r="J385" s="1">
        <v>25.0</v>
      </c>
      <c r="K385" s="1">
        <v>87.0</v>
      </c>
      <c r="L385" s="1">
        <v>76.0</v>
      </c>
      <c r="M385" s="1">
        <v>110.0</v>
      </c>
      <c r="N385" s="1">
        <v>0.0</v>
      </c>
      <c r="O385" s="1">
        <v>0.0</v>
      </c>
      <c r="P385" s="1">
        <v>0.0</v>
      </c>
      <c r="Q385" s="1">
        <v>0.0</v>
      </c>
      <c r="R385" s="1">
        <v>20.0</v>
      </c>
      <c r="S385" s="1">
        <v>24.0</v>
      </c>
      <c r="T385" s="1">
        <v>0.0</v>
      </c>
    </row>
    <row r="386" ht="12.75" customHeight="1">
      <c r="A386" s="1" t="s">
        <v>417</v>
      </c>
      <c r="B386" s="1" t="str">
        <f>IFERROR(__xludf.DUMMYFUNCTION("split(A386, ""\"")"),"Anton Forsberg")</f>
        <v>Anton Forsberg</v>
      </c>
      <c r="C386" s="2" t="str">
        <f>IFERROR(__xludf.DUMMYFUNCTION("""COMPUTED_VALUE"""),"forsban01")</f>
        <v>forsban01</v>
      </c>
      <c r="D386" s="1" t="s">
        <v>5</v>
      </c>
      <c r="E386" s="1">
        <f t="shared" si="1"/>
        <v>154</v>
      </c>
      <c r="F386" s="1">
        <f t="shared" si="2"/>
        <v>4.4</v>
      </c>
      <c r="G386" s="1">
        <v>35.0</v>
      </c>
      <c r="U386" s="1">
        <v>30.0</v>
      </c>
      <c r="V386" s="1">
        <v>10.0</v>
      </c>
      <c r="W386" s="1">
        <v>16.0</v>
      </c>
      <c r="X386" s="1">
        <v>85.0</v>
      </c>
      <c r="Y386" s="1">
        <v>921.0</v>
      </c>
      <c r="Z386" s="1">
        <v>836.0</v>
      </c>
      <c r="AA386" s="1">
        <v>0.0</v>
      </c>
    </row>
    <row r="387" ht="12.75" customHeight="1">
      <c r="A387" s="1" t="s">
        <v>418</v>
      </c>
      <c r="B387" s="1" t="str">
        <f>IFERROR(__xludf.DUMMYFUNCTION("split(A387, ""\"")"),"Nolan Patrick")</f>
        <v>Nolan Patrick</v>
      </c>
      <c r="C387" s="1" t="str">
        <f>IFERROR(__xludf.DUMMYFUNCTION("""COMPUTED_VALUE"""),"patrino01")</f>
        <v>patrino01</v>
      </c>
      <c r="D387" s="1" t="s">
        <v>31</v>
      </c>
      <c r="E387" s="1">
        <f t="shared" si="1"/>
        <v>153.85</v>
      </c>
      <c r="F387" s="1">
        <f t="shared" si="2"/>
        <v>2.11</v>
      </c>
      <c r="G387" s="1">
        <v>73.0</v>
      </c>
      <c r="H387" s="1">
        <v>13.0</v>
      </c>
      <c r="I387" s="1">
        <v>17.0</v>
      </c>
      <c r="J387" s="1">
        <v>30.0</v>
      </c>
      <c r="K387" s="1">
        <v>127.0</v>
      </c>
      <c r="L387" s="1">
        <v>48.0</v>
      </c>
      <c r="M387" s="1">
        <v>19.0</v>
      </c>
      <c r="N387" s="1">
        <v>5.0</v>
      </c>
      <c r="O387" s="1">
        <v>3.0</v>
      </c>
      <c r="P387" s="1">
        <v>0.0</v>
      </c>
      <c r="Q387" s="1">
        <v>0.0</v>
      </c>
      <c r="R387" s="1">
        <v>1.0</v>
      </c>
      <c r="S387" s="1">
        <v>30.0</v>
      </c>
      <c r="T387" s="1">
        <v>2.0</v>
      </c>
    </row>
    <row r="388" ht="12.75" customHeight="1">
      <c r="A388" s="1" t="s">
        <v>419</v>
      </c>
      <c r="B388" s="1" t="str">
        <f>IFERROR(__xludf.DUMMYFUNCTION("split(A388, ""\"")"),"Jordie Benn")</f>
        <v>Jordie Benn</v>
      </c>
      <c r="C388" s="1" t="str">
        <f>IFERROR(__xludf.DUMMYFUNCTION("""COMPUTED_VALUE"""),"bennjo01")</f>
        <v>bennjo01</v>
      </c>
      <c r="D388" s="1" t="s">
        <v>66</v>
      </c>
      <c r="E388" s="1">
        <f t="shared" si="1"/>
        <v>153.7</v>
      </c>
      <c r="F388" s="1">
        <f t="shared" si="2"/>
        <v>2</v>
      </c>
      <c r="G388" s="1">
        <v>77.0</v>
      </c>
      <c r="H388" s="1">
        <v>4.0</v>
      </c>
      <c r="I388" s="1">
        <v>11.0</v>
      </c>
      <c r="J388" s="1">
        <v>15.0</v>
      </c>
      <c r="K388" s="1">
        <v>106.0</v>
      </c>
      <c r="L388" s="1">
        <v>90.0</v>
      </c>
      <c r="M388" s="1">
        <v>153.0</v>
      </c>
      <c r="N388" s="1">
        <v>0.0</v>
      </c>
      <c r="O388" s="1">
        <v>0.0</v>
      </c>
      <c r="P388" s="1">
        <v>0.0</v>
      </c>
      <c r="Q388" s="1">
        <v>0.0</v>
      </c>
      <c r="R388" s="1">
        <v>-2.0</v>
      </c>
      <c r="S388" s="1">
        <v>34.0</v>
      </c>
      <c r="T388" s="1">
        <v>0.0</v>
      </c>
    </row>
    <row r="389" ht="12.75" customHeight="1">
      <c r="A389" s="1" t="s">
        <v>420</v>
      </c>
      <c r="B389" s="1" t="str">
        <f>IFERROR(__xludf.DUMMYFUNCTION("split(A389, ""\"")"),"Dmitrij Jaskin")</f>
        <v>Dmitrij Jaskin</v>
      </c>
      <c r="C389" s="1" t="str">
        <f>IFERROR(__xludf.DUMMYFUNCTION("""COMPUTED_VALUE"""),"jaskidm01")</f>
        <v>jaskidm01</v>
      </c>
      <c r="D389" s="1" t="s">
        <v>36</v>
      </c>
      <c r="E389" s="1">
        <f t="shared" si="1"/>
        <v>153.65</v>
      </c>
      <c r="F389" s="1">
        <f t="shared" si="2"/>
        <v>2.02</v>
      </c>
      <c r="G389" s="1">
        <v>76.0</v>
      </c>
      <c r="H389" s="1">
        <v>6.0</v>
      </c>
      <c r="I389" s="1">
        <v>11.0</v>
      </c>
      <c r="J389" s="1">
        <v>17.0</v>
      </c>
      <c r="K389" s="1">
        <v>124.0</v>
      </c>
      <c r="L389" s="1">
        <v>207.0</v>
      </c>
      <c r="M389" s="1">
        <v>46.0</v>
      </c>
      <c r="N389" s="1">
        <v>0.0</v>
      </c>
      <c r="O389" s="1">
        <v>1.0</v>
      </c>
      <c r="P389" s="1">
        <v>0.0</v>
      </c>
      <c r="Q389" s="1">
        <v>0.0</v>
      </c>
      <c r="R389" s="1">
        <v>6.0</v>
      </c>
      <c r="S389" s="1">
        <v>14.0</v>
      </c>
      <c r="T389" s="1">
        <v>0.0</v>
      </c>
    </row>
    <row r="390" ht="12.75" customHeight="1">
      <c r="A390" s="1" t="s">
        <v>421</v>
      </c>
      <c r="B390" s="1" t="str">
        <f>IFERROR(__xludf.DUMMYFUNCTION("split(A390, ""\"")"),"Patrik Nemeth")</f>
        <v>Patrik Nemeth</v>
      </c>
      <c r="C390" s="1" t="str">
        <f>IFERROR(__xludf.DUMMYFUNCTION("""COMPUTED_VALUE"""),"nemetpa01")</f>
        <v>nemetpa01</v>
      </c>
      <c r="D390" s="1" t="s">
        <v>66</v>
      </c>
      <c r="E390" s="1">
        <f t="shared" si="1"/>
        <v>152.75</v>
      </c>
      <c r="F390" s="1">
        <f t="shared" si="2"/>
        <v>2.25</v>
      </c>
      <c r="G390" s="1">
        <v>68.0</v>
      </c>
      <c r="H390" s="1">
        <v>3.0</v>
      </c>
      <c r="I390" s="1">
        <v>12.0</v>
      </c>
      <c r="J390" s="1">
        <v>15.0</v>
      </c>
      <c r="K390" s="1">
        <v>73.0</v>
      </c>
      <c r="L390" s="1">
        <v>66.0</v>
      </c>
      <c r="M390" s="1">
        <v>185.0</v>
      </c>
      <c r="N390" s="1">
        <v>0.0</v>
      </c>
      <c r="O390" s="1">
        <v>0.0</v>
      </c>
      <c r="P390" s="1">
        <v>0.0</v>
      </c>
      <c r="Q390" s="1">
        <v>2.0</v>
      </c>
      <c r="R390" s="1">
        <v>27.0</v>
      </c>
      <c r="S390" s="1">
        <v>41.0</v>
      </c>
      <c r="T390" s="1">
        <v>0.0</v>
      </c>
    </row>
    <row r="391" ht="12.75" customHeight="1">
      <c r="A391" s="1" t="s">
        <v>422</v>
      </c>
      <c r="B391" s="1" t="str">
        <f>IFERROR(__xludf.DUMMYFUNCTION("split(A391, ""\"")"),"Tobias Rieder")</f>
        <v>Tobias Rieder</v>
      </c>
      <c r="C391" s="1" t="str">
        <f>IFERROR(__xludf.DUMMYFUNCTION("""COMPUTED_VALUE"""),"riedeto01")</f>
        <v>riedeto01</v>
      </c>
      <c r="D391" s="1" t="s">
        <v>31</v>
      </c>
      <c r="E391" s="1">
        <f t="shared" si="1"/>
        <v>152.4</v>
      </c>
      <c r="F391" s="1">
        <f t="shared" si="2"/>
        <v>1.95</v>
      </c>
      <c r="G391" s="1">
        <v>78.0</v>
      </c>
      <c r="H391" s="1">
        <v>12.0</v>
      </c>
      <c r="I391" s="1">
        <v>13.0</v>
      </c>
      <c r="J391" s="1">
        <v>25.0</v>
      </c>
      <c r="K391" s="1">
        <v>114.0</v>
      </c>
      <c r="L391" s="1">
        <v>96.0</v>
      </c>
      <c r="M391" s="1">
        <v>41.0</v>
      </c>
      <c r="N391" s="1">
        <v>2.0</v>
      </c>
      <c r="O391" s="1">
        <v>1.0</v>
      </c>
      <c r="P391" s="1">
        <v>0.0</v>
      </c>
      <c r="Q391" s="1">
        <v>0.0</v>
      </c>
      <c r="R391" s="1">
        <v>-12.0</v>
      </c>
      <c r="S391" s="1">
        <v>6.0</v>
      </c>
      <c r="T391" s="1">
        <v>0.0</v>
      </c>
    </row>
    <row r="392" ht="12.75" customHeight="1">
      <c r="A392" s="1" t="s">
        <v>423</v>
      </c>
      <c r="B392" s="1" t="str">
        <f>IFERROR(__xludf.DUMMYFUNCTION("split(A392, ""\"")"),"Kevin Connauton")</f>
        <v>Kevin Connauton</v>
      </c>
      <c r="C392" s="1" t="str">
        <f>IFERROR(__xludf.DUMMYFUNCTION("""COMPUTED_VALUE"""),"connake01")</f>
        <v>connake01</v>
      </c>
      <c r="D392" s="1" t="s">
        <v>66</v>
      </c>
      <c r="E392" s="1">
        <f t="shared" si="1"/>
        <v>152.3</v>
      </c>
      <c r="F392" s="1">
        <f t="shared" si="2"/>
        <v>2.09</v>
      </c>
      <c r="G392" s="1">
        <v>73.0</v>
      </c>
      <c r="H392" s="1">
        <v>11.0</v>
      </c>
      <c r="I392" s="1">
        <v>10.0</v>
      </c>
      <c r="J392" s="1">
        <v>21.0</v>
      </c>
      <c r="K392" s="1">
        <v>102.0</v>
      </c>
      <c r="L392" s="1">
        <v>116.0</v>
      </c>
      <c r="M392" s="1">
        <v>72.0</v>
      </c>
      <c r="N392" s="1">
        <v>0.0</v>
      </c>
      <c r="O392" s="1">
        <v>0.0</v>
      </c>
      <c r="P392" s="1">
        <v>0.0</v>
      </c>
      <c r="Q392" s="1">
        <v>0.0</v>
      </c>
      <c r="R392" s="1">
        <v>3.0</v>
      </c>
      <c r="S392" s="1">
        <v>20.0</v>
      </c>
      <c r="T392" s="1">
        <v>3.0</v>
      </c>
    </row>
    <row r="393" ht="12.75" customHeight="1">
      <c r="A393" s="1" t="s">
        <v>424</v>
      </c>
      <c r="B393" s="1" t="str">
        <f>IFERROR(__xludf.DUMMYFUNCTION("split(A393, ""\"")"),"Mark Jankowski")</f>
        <v>Mark Jankowski</v>
      </c>
      <c r="C393" s="1" t="str">
        <f>IFERROR(__xludf.DUMMYFUNCTION("""COMPUTED_VALUE"""),"jankoma01")</f>
        <v>jankoma01</v>
      </c>
      <c r="D393" s="1" t="s">
        <v>31</v>
      </c>
      <c r="E393" s="1">
        <f t="shared" si="1"/>
        <v>151.65</v>
      </c>
      <c r="F393" s="1">
        <f t="shared" si="2"/>
        <v>2.11</v>
      </c>
      <c r="G393" s="1">
        <v>72.0</v>
      </c>
      <c r="H393" s="1">
        <v>17.0</v>
      </c>
      <c r="I393" s="1">
        <v>8.0</v>
      </c>
      <c r="J393" s="1">
        <v>25.0</v>
      </c>
      <c r="K393" s="1">
        <v>118.0</v>
      </c>
      <c r="L393" s="1">
        <v>35.0</v>
      </c>
      <c r="M393" s="1">
        <v>51.0</v>
      </c>
      <c r="N393" s="1">
        <v>2.0</v>
      </c>
      <c r="O393" s="1">
        <v>1.0</v>
      </c>
      <c r="P393" s="1">
        <v>2.0</v>
      </c>
      <c r="Q393" s="1">
        <v>0.0</v>
      </c>
      <c r="R393" s="1">
        <v>-7.0</v>
      </c>
      <c r="S393" s="1">
        <v>33.0</v>
      </c>
      <c r="T393" s="1">
        <v>3.0</v>
      </c>
    </row>
    <row r="394" ht="12.75" customHeight="1">
      <c r="A394" s="1" t="s">
        <v>425</v>
      </c>
      <c r="B394" s="1" t="str">
        <f>IFERROR(__xludf.DUMMYFUNCTION("split(A394, ""\"")"),"Valtteri Filppula")</f>
        <v>Valtteri Filppula</v>
      </c>
      <c r="C394" s="1" t="str">
        <f>IFERROR(__xludf.DUMMYFUNCTION("""COMPUTED_VALUE"""),"filppva01")</f>
        <v>filppva01</v>
      </c>
      <c r="D394" s="1" t="s">
        <v>31</v>
      </c>
      <c r="E394" s="1">
        <f t="shared" si="1"/>
        <v>150.75</v>
      </c>
      <c r="F394" s="1">
        <f t="shared" si="2"/>
        <v>1.86</v>
      </c>
      <c r="G394" s="1">
        <v>81.0</v>
      </c>
      <c r="H394" s="1">
        <v>11.0</v>
      </c>
      <c r="I394" s="1">
        <v>22.0</v>
      </c>
      <c r="J394" s="1">
        <v>33.0</v>
      </c>
      <c r="K394" s="1">
        <v>70.0</v>
      </c>
      <c r="L394" s="1">
        <v>25.0</v>
      </c>
      <c r="M394" s="1">
        <v>55.0</v>
      </c>
      <c r="N394" s="1">
        <v>3.0</v>
      </c>
      <c r="O394" s="1">
        <v>1.0</v>
      </c>
      <c r="P394" s="1">
        <v>0.0</v>
      </c>
      <c r="Q394" s="1">
        <v>2.0</v>
      </c>
      <c r="R394" s="1">
        <v>-7.0</v>
      </c>
      <c r="S394" s="1">
        <v>20.0</v>
      </c>
      <c r="T394" s="1">
        <v>4.0</v>
      </c>
    </row>
    <row r="395" ht="12.75" customHeight="1">
      <c r="A395" s="1" t="s">
        <v>426</v>
      </c>
      <c r="B395" s="1" t="str">
        <f>IFERROR(__xludf.DUMMYFUNCTION("split(A395, ""\"")"),"Anton Stralman")</f>
        <v>Anton Stralman</v>
      </c>
      <c r="C395" s="1" t="str">
        <f>IFERROR(__xludf.DUMMYFUNCTION("""COMPUTED_VALUE"""),"stralan01")</f>
        <v>stralan01</v>
      </c>
      <c r="D395" s="1" t="s">
        <v>66</v>
      </c>
      <c r="E395" s="1">
        <f t="shared" si="1"/>
        <v>149.75</v>
      </c>
      <c r="F395" s="1">
        <f t="shared" si="2"/>
        <v>1.87</v>
      </c>
      <c r="G395" s="1">
        <v>80.0</v>
      </c>
      <c r="H395" s="1">
        <v>4.0</v>
      </c>
      <c r="I395" s="1">
        <v>14.0</v>
      </c>
      <c r="J395" s="1">
        <v>18.0</v>
      </c>
      <c r="K395" s="1">
        <v>131.0</v>
      </c>
      <c r="L395" s="1">
        <v>104.0</v>
      </c>
      <c r="M395" s="1">
        <v>100.0</v>
      </c>
      <c r="N395" s="1">
        <v>0.0</v>
      </c>
      <c r="O395" s="1">
        <v>0.0</v>
      </c>
      <c r="P395" s="1">
        <v>0.0</v>
      </c>
      <c r="Q395" s="1">
        <v>0.0</v>
      </c>
      <c r="R395" s="1">
        <v>29.0</v>
      </c>
      <c r="S395" s="1">
        <v>18.0</v>
      </c>
      <c r="T395" s="1">
        <v>0.0</v>
      </c>
    </row>
    <row r="396" ht="12.75" customHeight="1">
      <c r="A396" s="1" t="s">
        <v>427</v>
      </c>
      <c r="B396" s="1" t="str">
        <f>IFERROR(__xludf.DUMMYFUNCTION("split(A396, ""\"")"),"Ian Cole")</f>
        <v>Ian Cole</v>
      </c>
      <c r="C396" s="1" t="str">
        <f>IFERROR(__xludf.DUMMYFUNCTION("""COMPUTED_VALUE"""),"coleia01")</f>
        <v>coleia01</v>
      </c>
      <c r="D396" s="1" t="s">
        <v>66</v>
      </c>
      <c r="E396" s="1">
        <f t="shared" si="1"/>
        <v>149.65</v>
      </c>
      <c r="F396" s="1">
        <f t="shared" si="2"/>
        <v>2.23</v>
      </c>
      <c r="G396" s="1">
        <v>67.0</v>
      </c>
      <c r="H396" s="1">
        <v>5.0</v>
      </c>
      <c r="I396" s="1">
        <v>15.0</v>
      </c>
      <c r="J396" s="1">
        <v>20.0</v>
      </c>
      <c r="K396" s="1">
        <v>84.0</v>
      </c>
      <c r="L396" s="1">
        <v>95.0</v>
      </c>
      <c r="M396" s="1">
        <v>116.0</v>
      </c>
      <c r="N396" s="1">
        <v>0.0</v>
      </c>
      <c r="O396" s="1">
        <v>1.0</v>
      </c>
      <c r="P396" s="1">
        <v>0.0</v>
      </c>
      <c r="Q396" s="1">
        <v>0.0</v>
      </c>
      <c r="R396" s="1">
        <v>14.0</v>
      </c>
      <c r="S396" s="1">
        <v>76.0</v>
      </c>
      <c r="T396" s="1">
        <v>0.0</v>
      </c>
    </row>
    <row r="397" ht="12.75" customHeight="1">
      <c r="A397" s="1" t="s">
        <v>428</v>
      </c>
      <c r="B397" s="1" t="str">
        <f>IFERROR(__xludf.DUMMYFUNCTION("split(A397, ""\"")"),"Drake Caggiula")</f>
        <v>Drake Caggiula</v>
      </c>
      <c r="C397" s="1" t="str">
        <f>IFERROR(__xludf.DUMMYFUNCTION("""COMPUTED_VALUE"""),"caggidr01")</f>
        <v>caggidr01</v>
      </c>
      <c r="D397" s="1" t="s">
        <v>28</v>
      </c>
      <c r="E397" s="1">
        <f t="shared" si="1"/>
        <v>149.45</v>
      </c>
      <c r="F397" s="1">
        <f t="shared" si="2"/>
        <v>2.23</v>
      </c>
      <c r="G397" s="1">
        <v>67.0</v>
      </c>
      <c r="H397" s="1">
        <v>13.0</v>
      </c>
      <c r="I397" s="1">
        <v>7.0</v>
      </c>
      <c r="J397" s="1">
        <v>20.0</v>
      </c>
      <c r="K397" s="1">
        <v>104.0</v>
      </c>
      <c r="L397" s="1">
        <v>147.0</v>
      </c>
      <c r="M397" s="1">
        <v>33.0</v>
      </c>
      <c r="N397" s="1">
        <v>3.0</v>
      </c>
      <c r="O397" s="1">
        <v>0.0</v>
      </c>
      <c r="P397" s="1">
        <v>1.0</v>
      </c>
      <c r="Q397" s="1">
        <v>0.0</v>
      </c>
      <c r="R397" s="1">
        <v>-13.0</v>
      </c>
      <c r="S397" s="1">
        <v>37.0</v>
      </c>
      <c r="T397" s="1">
        <v>1.0</v>
      </c>
    </row>
    <row r="398" ht="12.75" customHeight="1">
      <c r="A398" s="1" t="s">
        <v>429</v>
      </c>
      <c r="B398" s="1" t="str">
        <f>IFERROR(__xludf.DUMMYFUNCTION("split(A398, ""\"")"),"Alexander Wennberg")</f>
        <v>Alexander Wennberg</v>
      </c>
      <c r="C398" s="1" t="str">
        <f>IFERROR(__xludf.DUMMYFUNCTION("""COMPUTED_VALUE"""),"wennbal01")</f>
        <v>wennbal01</v>
      </c>
      <c r="D398" s="1" t="s">
        <v>31</v>
      </c>
      <c r="E398" s="1">
        <f t="shared" si="1"/>
        <v>149.4</v>
      </c>
      <c r="F398" s="1">
        <f t="shared" si="2"/>
        <v>2.26</v>
      </c>
      <c r="G398" s="1">
        <v>66.0</v>
      </c>
      <c r="H398" s="1">
        <v>8.0</v>
      </c>
      <c r="I398" s="1">
        <v>27.0</v>
      </c>
      <c r="J398" s="1">
        <v>35.0</v>
      </c>
      <c r="K398" s="1">
        <v>74.0</v>
      </c>
      <c r="L398" s="1">
        <v>28.0</v>
      </c>
      <c r="M398" s="1">
        <v>46.0</v>
      </c>
      <c r="N398" s="1">
        <v>3.0</v>
      </c>
      <c r="O398" s="1">
        <v>2.0</v>
      </c>
      <c r="P398" s="1">
        <v>0.0</v>
      </c>
      <c r="Q398" s="1">
        <v>1.0</v>
      </c>
      <c r="R398" s="1">
        <v>22.0</v>
      </c>
      <c r="S398" s="1">
        <v>12.0</v>
      </c>
      <c r="T398" s="1">
        <v>2.0</v>
      </c>
    </row>
    <row r="399" ht="12.75" customHeight="1">
      <c r="A399" s="1" t="s">
        <v>430</v>
      </c>
      <c r="B399" s="1" t="str">
        <f>IFERROR(__xludf.DUMMYFUNCTION("split(A399, ""\"")"),"Brandon Tanev")</f>
        <v>Brandon Tanev</v>
      </c>
      <c r="C399" s="1" t="str">
        <f>IFERROR(__xludf.DUMMYFUNCTION("""COMPUTED_VALUE"""),"tanevbr01")</f>
        <v>tanevbr01</v>
      </c>
      <c r="D399" s="1" t="s">
        <v>28</v>
      </c>
      <c r="E399" s="1">
        <f t="shared" si="1"/>
        <v>149.15</v>
      </c>
      <c r="F399" s="1">
        <f t="shared" si="2"/>
        <v>2.45</v>
      </c>
      <c r="G399" s="1">
        <v>61.0</v>
      </c>
      <c r="H399" s="1">
        <v>8.0</v>
      </c>
      <c r="I399" s="1">
        <v>10.0</v>
      </c>
      <c r="J399" s="1">
        <v>18.0</v>
      </c>
      <c r="K399" s="1">
        <v>79.0</v>
      </c>
      <c r="L399" s="1">
        <v>188.0</v>
      </c>
      <c r="M399" s="1">
        <v>56.0</v>
      </c>
      <c r="N399" s="1">
        <v>0.0</v>
      </c>
      <c r="O399" s="1">
        <v>0.0</v>
      </c>
      <c r="P399" s="1">
        <v>3.0</v>
      </c>
      <c r="Q399" s="1">
        <v>0.0</v>
      </c>
      <c r="R399" s="1">
        <v>13.0</v>
      </c>
      <c r="S399" s="1">
        <v>18.0</v>
      </c>
      <c r="T399" s="1">
        <v>1.0</v>
      </c>
    </row>
    <row r="400" ht="12.75" customHeight="1">
      <c r="A400" s="1" t="s">
        <v>431</v>
      </c>
      <c r="B400" s="1" t="str">
        <f>IFERROR(__xludf.DUMMYFUNCTION("split(A400, ""\"")"),"Robert Hagg")</f>
        <v>Robert Hagg</v>
      </c>
      <c r="C400" s="1" t="str">
        <f>IFERROR(__xludf.DUMMYFUNCTION("""COMPUTED_VALUE"""),"haggro01")</f>
        <v>haggro01</v>
      </c>
      <c r="D400" s="1" t="s">
        <v>66</v>
      </c>
      <c r="E400" s="1">
        <f t="shared" si="1"/>
        <v>148.75</v>
      </c>
      <c r="F400" s="1">
        <f t="shared" si="2"/>
        <v>2.13</v>
      </c>
      <c r="G400" s="1">
        <v>70.0</v>
      </c>
      <c r="H400" s="1">
        <v>3.0</v>
      </c>
      <c r="I400" s="1">
        <v>6.0</v>
      </c>
      <c r="J400" s="1">
        <v>9.0</v>
      </c>
      <c r="K400" s="1">
        <v>89.0</v>
      </c>
      <c r="L400" s="1">
        <v>238.0</v>
      </c>
      <c r="M400" s="1">
        <v>100.0</v>
      </c>
      <c r="N400" s="1">
        <v>0.0</v>
      </c>
      <c r="O400" s="1">
        <v>0.0</v>
      </c>
      <c r="P400" s="1">
        <v>0.0</v>
      </c>
      <c r="Q400" s="1">
        <v>0.0</v>
      </c>
      <c r="R400" s="1">
        <v>5.0</v>
      </c>
      <c r="S400" s="1">
        <v>32.0</v>
      </c>
      <c r="T400" s="1">
        <v>0.0</v>
      </c>
    </row>
    <row r="401" ht="12.75" customHeight="1">
      <c r="A401" s="1" t="s">
        <v>432</v>
      </c>
      <c r="B401" s="1" t="str">
        <f>IFERROR(__xludf.DUMMYFUNCTION("split(A401, ""\"")"),"Dan Hamhuis")</f>
        <v>Dan Hamhuis</v>
      </c>
      <c r="C401" s="1" t="str">
        <f>IFERROR(__xludf.DUMMYFUNCTION("""COMPUTED_VALUE"""),"hamhuda01")</f>
        <v>hamhuda01</v>
      </c>
      <c r="D401" s="1" t="s">
        <v>66</v>
      </c>
      <c r="E401" s="1">
        <f t="shared" si="1"/>
        <v>148.7</v>
      </c>
      <c r="F401" s="1">
        <f t="shared" si="2"/>
        <v>1.86</v>
      </c>
      <c r="G401" s="1">
        <v>80.0</v>
      </c>
      <c r="H401" s="1">
        <v>3.0</v>
      </c>
      <c r="I401" s="1">
        <v>21.0</v>
      </c>
      <c r="J401" s="1">
        <v>24.0</v>
      </c>
      <c r="K401" s="1">
        <v>66.0</v>
      </c>
      <c r="L401" s="1">
        <v>82.0</v>
      </c>
      <c r="M401" s="1">
        <v>113.0</v>
      </c>
      <c r="N401" s="1">
        <v>0.0</v>
      </c>
      <c r="O401" s="1">
        <v>2.0</v>
      </c>
      <c r="P401" s="1">
        <v>0.0</v>
      </c>
      <c r="Q401" s="1">
        <v>0.0</v>
      </c>
      <c r="R401" s="1">
        <v>-6.0</v>
      </c>
      <c r="S401" s="1">
        <v>33.0</v>
      </c>
      <c r="T401" s="1">
        <v>1.0</v>
      </c>
    </row>
    <row r="402" ht="12.75" customHeight="1">
      <c r="A402" s="1" t="s">
        <v>433</v>
      </c>
      <c r="B402" s="1" t="str">
        <f>IFERROR(__xludf.DUMMYFUNCTION("split(A402, ""\"")"),"Jake Virtanen")</f>
        <v>Jake Virtanen</v>
      </c>
      <c r="C402" s="1" t="str">
        <f>IFERROR(__xludf.DUMMYFUNCTION("""COMPUTED_VALUE"""),"virtaja01")</f>
        <v>virtaja01</v>
      </c>
      <c r="D402" s="1" t="s">
        <v>36</v>
      </c>
      <c r="E402" s="1">
        <f t="shared" si="1"/>
        <v>148.1</v>
      </c>
      <c r="F402" s="1">
        <f t="shared" si="2"/>
        <v>1.97</v>
      </c>
      <c r="G402" s="1">
        <v>75.0</v>
      </c>
      <c r="H402" s="1">
        <v>10.0</v>
      </c>
      <c r="I402" s="1">
        <v>10.0</v>
      </c>
      <c r="J402" s="1">
        <v>20.0</v>
      </c>
      <c r="K402" s="1">
        <v>130.0</v>
      </c>
      <c r="L402" s="1">
        <v>156.0</v>
      </c>
      <c r="M402" s="1">
        <v>29.0</v>
      </c>
      <c r="N402" s="1">
        <v>0.0</v>
      </c>
      <c r="O402" s="1">
        <v>0.0</v>
      </c>
      <c r="P402" s="1">
        <v>0.0</v>
      </c>
      <c r="Q402" s="1">
        <v>0.0</v>
      </c>
      <c r="R402" s="1">
        <v>-11.0</v>
      </c>
      <c r="S402" s="1">
        <v>46.0</v>
      </c>
      <c r="T402" s="1">
        <v>1.0</v>
      </c>
    </row>
    <row r="403" ht="12.75" customHeight="1">
      <c r="A403" s="1" t="s">
        <v>434</v>
      </c>
      <c r="B403" s="1" t="str">
        <f>IFERROR(__xludf.DUMMYFUNCTION("split(A403, ""\"")"),"Jonas Brodin")</f>
        <v>Jonas Brodin</v>
      </c>
      <c r="C403" s="1" t="str">
        <f>IFERROR(__xludf.DUMMYFUNCTION("""COMPUTED_VALUE"""),"brodijo01")</f>
        <v>brodijo01</v>
      </c>
      <c r="D403" s="1" t="s">
        <v>66</v>
      </c>
      <c r="E403" s="1">
        <f t="shared" si="1"/>
        <v>147.85</v>
      </c>
      <c r="F403" s="1">
        <f t="shared" si="2"/>
        <v>2.03</v>
      </c>
      <c r="G403" s="1">
        <v>73.0</v>
      </c>
      <c r="H403" s="1">
        <v>6.0</v>
      </c>
      <c r="I403" s="1">
        <v>15.0</v>
      </c>
      <c r="J403" s="1">
        <v>21.0</v>
      </c>
      <c r="K403" s="1">
        <v>77.0</v>
      </c>
      <c r="L403" s="1">
        <v>34.0</v>
      </c>
      <c r="M403" s="1">
        <v>139.0</v>
      </c>
      <c r="N403" s="1">
        <v>0.0</v>
      </c>
      <c r="O403" s="1">
        <v>3.0</v>
      </c>
      <c r="P403" s="1">
        <v>0.0</v>
      </c>
      <c r="Q403" s="1">
        <v>0.0</v>
      </c>
      <c r="R403" s="1">
        <v>23.0</v>
      </c>
      <c r="S403" s="1">
        <v>30.0</v>
      </c>
      <c r="T403" s="1">
        <v>1.0</v>
      </c>
    </row>
    <row r="404" ht="12.75" customHeight="1">
      <c r="A404" s="1" t="s">
        <v>435</v>
      </c>
      <c r="B404" s="1" t="str">
        <f>IFERROR(__xludf.DUMMYFUNCTION("split(A404, ""\"")"),"Cody Eakin")</f>
        <v>Cody Eakin</v>
      </c>
      <c r="C404" s="1" t="str">
        <f>IFERROR(__xludf.DUMMYFUNCTION("""COMPUTED_VALUE"""),"eakinco01")</f>
        <v>eakinco01</v>
      </c>
      <c r="D404" s="1" t="s">
        <v>31</v>
      </c>
      <c r="E404" s="1">
        <f t="shared" si="1"/>
        <v>147.5</v>
      </c>
      <c r="F404" s="1">
        <f t="shared" si="2"/>
        <v>1.84</v>
      </c>
      <c r="G404" s="1">
        <v>80.0</v>
      </c>
      <c r="H404" s="1">
        <v>11.0</v>
      </c>
      <c r="I404" s="1">
        <v>16.0</v>
      </c>
      <c r="J404" s="1">
        <v>27.0</v>
      </c>
      <c r="K404" s="1">
        <v>107.0</v>
      </c>
      <c r="L404" s="1">
        <v>63.0</v>
      </c>
      <c r="M404" s="1">
        <v>45.0</v>
      </c>
      <c r="N404" s="1">
        <v>0.0</v>
      </c>
      <c r="O404" s="1">
        <v>0.0</v>
      </c>
      <c r="P404" s="1">
        <v>1.0</v>
      </c>
      <c r="Q404" s="1">
        <v>2.0</v>
      </c>
      <c r="R404" s="1">
        <v>-6.0</v>
      </c>
      <c r="S404" s="1">
        <v>22.0</v>
      </c>
      <c r="T404" s="1">
        <v>2.0</v>
      </c>
    </row>
    <row r="405" ht="12.75" customHeight="1">
      <c r="A405" s="1" t="s">
        <v>436</v>
      </c>
      <c r="B405" s="1" t="str">
        <f>IFERROR(__xludf.DUMMYFUNCTION("split(A405, ""\"")"),"Michael Frolik")</f>
        <v>Michael Frolik</v>
      </c>
      <c r="C405" s="1" t="str">
        <f>IFERROR(__xludf.DUMMYFUNCTION("""COMPUTED_VALUE"""),"frolimi01")</f>
        <v>frolimi01</v>
      </c>
      <c r="D405" s="1" t="s">
        <v>28</v>
      </c>
      <c r="E405" s="1">
        <f t="shared" si="1"/>
        <v>147.25</v>
      </c>
      <c r="F405" s="1">
        <f t="shared" si="2"/>
        <v>2.1</v>
      </c>
      <c r="G405" s="1">
        <v>70.0</v>
      </c>
      <c r="H405" s="1">
        <v>10.0</v>
      </c>
      <c r="I405" s="1">
        <v>15.0</v>
      </c>
      <c r="J405" s="1">
        <v>25.0</v>
      </c>
      <c r="K405" s="1">
        <v>167.0</v>
      </c>
      <c r="L405" s="1">
        <v>48.0</v>
      </c>
      <c r="M405" s="1">
        <v>35.0</v>
      </c>
      <c r="N405" s="1">
        <v>0.0</v>
      </c>
      <c r="O405" s="1">
        <v>0.0</v>
      </c>
      <c r="P405" s="1">
        <v>2.0</v>
      </c>
      <c r="Q405" s="1">
        <v>0.0</v>
      </c>
      <c r="R405" s="1">
        <v>-19.0</v>
      </c>
      <c r="S405" s="1">
        <v>26.0</v>
      </c>
      <c r="T405" s="1">
        <v>1.0</v>
      </c>
    </row>
    <row r="406" ht="12.75" customHeight="1">
      <c r="A406" s="1" t="s">
        <v>437</v>
      </c>
      <c r="B406" s="1" t="str">
        <f>IFERROR(__xludf.DUMMYFUNCTION("split(A406, ""\"")"),"Francois Beauchemin")</f>
        <v>Francois Beauchemin</v>
      </c>
      <c r="C406" s="1" t="str">
        <f>IFERROR(__xludf.DUMMYFUNCTION("""COMPUTED_VALUE"""),"beaucfr01")</f>
        <v>beaucfr01</v>
      </c>
      <c r="D406" s="1" t="s">
        <v>66</v>
      </c>
      <c r="E406" s="1">
        <f t="shared" si="1"/>
        <v>147.15</v>
      </c>
      <c r="F406" s="1">
        <f t="shared" si="2"/>
        <v>2.2</v>
      </c>
      <c r="G406" s="1">
        <v>67.0</v>
      </c>
      <c r="H406" s="1">
        <v>3.0</v>
      </c>
      <c r="I406" s="1">
        <v>14.0</v>
      </c>
      <c r="J406" s="1">
        <v>17.0</v>
      </c>
      <c r="K406" s="1">
        <v>93.0</v>
      </c>
      <c r="L406" s="1">
        <v>102.0</v>
      </c>
      <c r="M406" s="1">
        <v>121.0</v>
      </c>
      <c r="N406" s="1">
        <v>0.0</v>
      </c>
      <c r="O406" s="1">
        <v>2.0</v>
      </c>
      <c r="P406" s="1">
        <v>0.0</v>
      </c>
      <c r="Q406" s="1">
        <v>1.0</v>
      </c>
      <c r="R406" s="1">
        <v>12.0</v>
      </c>
      <c r="S406" s="1">
        <v>26.0</v>
      </c>
      <c r="T406" s="1">
        <v>0.0</v>
      </c>
    </row>
    <row r="407" ht="12.75" customHeight="1">
      <c r="A407" s="1" t="s">
        <v>438</v>
      </c>
      <c r="B407" s="1" t="str">
        <f>IFERROR(__xludf.DUMMYFUNCTION("split(A407, ""\"")"),"Karl Alzner")</f>
        <v>Karl Alzner</v>
      </c>
      <c r="C407" s="1" t="str">
        <f>IFERROR(__xludf.DUMMYFUNCTION("""COMPUTED_VALUE"""),"alzneka01")</f>
        <v>alzneka01</v>
      </c>
      <c r="D407" s="1" t="s">
        <v>66</v>
      </c>
      <c r="E407" s="1">
        <f t="shared" si="1"/>
        <v>146.35</v>
      </c>
      <c r="F407" s="1">
        <f t="shared" si="2"/>
        <v>1.78</v>
      </c>
      <c r="G407" s="1">
        <v>82.0</v>
      </c>
      <c r="H407" s="1">
        <v>1.0</v>
      </c>
      <c r="I407" s="1">
        <v>11.0</v>
      </c>
      <c r="J407" s="1">
        <v>12.0</v>
      </c>
      <c r="K407" s="1">
        <v>84.0</v>
      </c>
      <c r="L407" s="1">
        <v>141.0</v>
      </c>
      <c r="M407" s="1">
        <v>144.0</v>
      </c>
      <c r="N407" s="1">
        <v>0.0</v>
      </c>
      <c r="O407" s="1">
        <v>0.0</v>
      </c>
      <c r="P407" s="1">
        <v>0.0</v>
      </c>
      <c r="Q407" s="1">
        <v>1.0</v>
      </c>
      <c r="R407" s="1">
        <v>-7.0</v>
      </c>
      <c r="S407" s="1">
        <v>40.0</v>
      </c>
      <c r="T407" s="1">
        <v>0.0</v>
      </c>
    </row>
    <row r="408" ht="12.75" customHeight="1">
      <c r="A408" s="1" t="s">
        <v>439</v>
      </c>
      <c r="B408" s="1" t="str">
        <f>IFERROR(__xludf.DUMMYFUNCTION("split(A408, ""\"")"),"Mark Pysyk")</f>
        <v>Mark Pysyk</v>
      </c>
      <c r="C408" s="1" t="str">
        <f>IFERROR(__xludf.DUMMYFUNCTION("""COMPUTED_VALUE"""),"pysykma01")</f>
        <v>pysykma01</v>
      </c>
      <c r="D408" s="1" t="s">
        <v>66</v>
      </c>
      <c r="E408" s="1">
        <f t="shared" si="1"/>
        <v>145.7</v>
      </c>
      <c r="F408" s="1">
        <f t="shared" si="2"/>
        <v>1.78</v>
      </c>
      <c r="G408" s="1">
        <v>82.0</v>
      </c>
      <c r="H408" s="1">
        <v>3.0</v>
      </c>
      <c r="I408" s="1">
        <v>13.0</v>
      </c>
      <c r="J408" s="1">
        <v>16.0</v>
      </c>
      <c r="K408" s="1">
        <v>106.0</v>
      </c>
      <c r="L408" s="1">
        <v>102.0</v>
      </c>
      <c r="M408" s="1">
        <v>123.0</v>
      </c>
      <c r="N408" s="1">
        <v>0.0</v>
      </c>
      <c r="O408" s="1">
        <v>0.0</v>
      </c>
      <c r="P408" s="1">
        <v>0.0</v>
      </c>
      <c r="Q408" s="1">
        <v>0.0</v>
      </c>
      <c r="R408" s="1">
        <v>-8.0</v>
      </c>
      <c r="S408" s="1">
        <v>20.0</v>
      </c>
      <c r="T408" s="1">
        <v>0.0</v>
      </c>
    </row>
    <row r="409" ht="12.75" customHeight="1">
      <c r="A409" s="1" t="s">
        <v>440</v>
      </c>
      <c r="B409" s="1" t="str">
        <f>IFERROR(__xludf.DUMMYFUNCTION("split(A409, ""\"")"),"Brandon Manning")</f>
        <v>Brandon Manning</v>
      </c>
      <c r="C409" s="1" t="str">
        <f>IFERROR(__xludf.DUMMYFUNCTION("""COMPUTED_VALUE"""),"mannibr01")</f>
        <v>mannibr01</v>
      </c>
      <c r="D409" s="1" t="s">
        <v>66</v>
      </c>
      <c r="E409" s="1">
        <f t="shared" si="1"/>
        <v>145.4</v>
      </c>
      <c r="F409" s="1">
        <f t="shared" si="2"/>
        <v>2.24</v>
      </c>
      <c r="G409" s="1">
        <v>65.0</v>
      </c>
      <c r="H409" s="1">
        <v>7.0</v>
      </c>
      <c r="I409" s="1">
        <v>12.0</v>
      </c>
      <c r="J409" s="1">
        <v>19.0</v>
      </c>
      <c r="K409" s="1">
        <v>111.0</v>
      </c>
      <c r="L409" s="1">
        <v>113.0</v>
      </c>
      <c r="M409" s="1">
        <v>76.0</v>
      </c>
      <c r="N409" s="1">
        <v>0.0</v>
      </c>
      <c r="O409" s="1">
        <v>1.0</v>
      </c>
      <c r="P409" s="1">
        <v>0.0</v>
      </c>
      <c r="Q409" s="1">
        <v>0.0</v>
      </c>
      <c r="R409" s="1">
        <v>0.0</v>
      </c>
      <c r="S409" s="1">
        <v>56.0</v>
      </c>
      <c r="T409" s="1">
        <v>2.0</v>
      </c>
    </row>
    <row r="410" ht="12.75" customHeight="1">
      <c r="A410" s="1" t="s">
        <v>441</v>
      </c>
      <c r="B410" s="1" t="str">
        <f>IFERROR(__xludf.DUMMYFUNCTION("split(A410, ""\"")"),"Jamie Oleksiak")</f>
        <v>Jamie Oleksiak</v>
      </c>
      <c r="C410" s="1" t="str">
        <f>IFERROR(__xludf.DUMMYFUNCTION("""COMPUTED_VALUE"""),"oleksja01")</f>
        <v>oleksja01</v>
      </c>
      <c r="D410" s="1" t="s">
        <v>66</v>
      </c>
      <c r="E410" s="1">
        <f t="shared" si="1"/>
        <v>145.15</v>
      </c>
      <c r="F410" s="1">
        <f t="shared" si="2"/>
        <v>2.13</v>
      </c>
      <c r="G410" s="1">
        <v>68.0</v>
      </c>
      <c r="H410" s="1">
        <v>5.0</v>
      </c>
      <c r="I410" s="1">
        <v>12.0</v>
      </c>
      <c r="J410" s="1">
        <v>17.0</v>
      </c>
      <c r="K410" s="1">
        <v>81.0</v>
      </c>
      <c r="L410" s="1">
        <v>174.0</v>
      </c>
      <c r="M410" s="1">
        <v>76.0</v>
      </c>
      <c r="N410" s="1">
        <v>1.0</v>
      </c>
      <c r="O410" s="1">
        <v>0.0</v>
      </c>
      <c r="P410" s="1">
        <v>0.0</v>
      </c>
      <c r="Q410" s="1">
        <v>0.0</v>
      </c>
      <c r="R410" s="1">
        <v>7.0</v>
      </c>
      <c r="S410" s="1">
        <v>87.0</v>
      </c>
      <c r="T410" s="1">
        <v>1.0</v>
      </c>
    </row>
    <row r="411" ht="12.75" customHeight="1">
      <c r="A411" s="1" t="s">
        <v>442</v>
      </c>
      <c r="B411" s="1" t="str">
        <f>IFERROR(__xludf.DUMMYFUNCTION("split(A411, ""\"")"),"Travis Zajac")</f>
        <v>Travis Zajac</v>
      </c>
      <c r="C411" s="1" t="str">
        <f>IFERROR(__xludf.DUMMYFUNCTION("""COMPUTED_VALUE"""),"zajactr01")</f>
        <v>zajactr01</v>
      </c>
      <c r="D411" s="1" t="s">
        <v>31</v>
      </c>
      <c r="E411" s="1">
        <f t="shared" si="1"/>
        <v>144.95</v>
      </c>
      <c r="F411" s="1">
        <f t="shared" si="2"/>
        <v>2.3</v>
      </c>
      <c r="G411" s="1">
        <v>63.0</v>
      </c>
      <c r="H411" s="1">
        <v>12.0</v>
      </c>
      <c r="I411" s="1">
        <v>14.0</v>
      </c>
      <c r="J411" s="1">
        <v>26.0</v>
      </c>
      <c r="K411" s="1">
        <v>91.0</v>
      </c>
      <c r="L411" s="1">
        <v>64.0</v>
      </c>
      <c r="M411" s="1">
        <v>38.0</v>
      </c>
      <c r="N411" s="1">
        <v>2.0</v>
      </c>
      <c r="O411" s="1">
        <v>4.0</v>
      </c>
      <c r="P411" s="1">
        <v>1.0</v>
      </c>
      <c r="Q411" s="1">
        <v>1.0</v>
      </c>
      <c r="R411" s="1">
        <v>-8.0</v>
      </c>
      <c r="S411" s="1">
        <v>25.0</v>
      </c>
      <c r="T411" s="1">
        <v>0.0</v>
      </c>
    </row>
    <row r="412" ht="12.75" customHeight="1">
      <c r="A412" s="1" t="s">
        <v>443</v>
      </c>
      <c r="B412" s="1" t="str">
        <f>IFERROR(__xludf.DUMMYFUNCTION("split(A412, ""\"")"),"Kevan Miller")</f>
        <v>Kevan Miller</v>
      </c>
      <c r="C412" s="1" t="str">
        <f>IFERROR(__xludf.DUMMYFUNCTION("""COMPUTED_VALUE"""),"milleke03")</f>
        <v>milleke03</v>
      </c>
      <c r="D412" s="1" t="s">
        <v>66</v>
      </c>
      <c r="E412" s="1">
        <f t="shared" si="1"/>
        <v>144.9</v>
      </c>
      <c r="F412" s="1">
        <f t="shared" si="2"/>
        <v>2.13</v>
      </c>
      <c r="G412" s="1">
        <v>68.0</v>
      </c>
      <c r="H412" s="1">
        <v>1.0</v>
      </c>
      <c r="I412" s="1">
        <v>15.0</v>
      </c>
      <c r="J412" s="1">
        <v>16.0</v>
      </c>
      <c r="K412" s="1">
        <v>64.0</v>
      </c>
      <c r="L412" s="1">
        <v>164.0</v>
      </c>
      <c r="M412" s="1">
        <v>111.0</v>
      </c>
      <c r="N412" s="1">
        <v>0.0</v>
      </c>
      <c r="O412" s="1">
        <v>0.0</v>
      </c>
      <c r="P412" s="1">
        <v>0.0</v>
      </c>
      <c r="Q412" s="1">
        <v>2.0</v>
      </c>
      <c r="R412" s="1">
        <v>16.0</v>
      </c>
      <c r="S412" s="1">
        <v>70.0</v>
      </c>
      <c r="T412" s="1">
        <v>0.0</v>
      </c>
    </row>
    <row r="413" ht="12.75" customHeight="1">
      <c r="A413" s="1" t="s">
        <v>444</v>
      </c>
      <c r="B413" s="1" t="str">
        <f>IFERROR(__xludf.DUMMYFUNCTION("split(A413, ""\"")"),"Jared McCann")</f>
        <v>Jared McCann</v>
      </c>
      <c r="C413" s="1" t="str">
        <f>IFERROR(__xludf.DUMMYFUNCTION("""COMPUTED_VALUE"""),"mccanja01")</f>
        <v>mccanja01</v>
      </c>
      <c r="D413" s="1" t="s">
        <v>31</v>
      </c>
      <c r="E413" s="1">
        <f t="shared" si="1"/>
        <v>144.8</v>
      </c>
      <c r="F413" s="1">
        <f t="shared" si="2"/>
        <v>2.13</v>
      </c>
      <c r="G413" s="1">
        <v>68.0</v>
      </c>
      <c r="H413" s="1">
        <v>9.0</v>
      </c>
      <c r="I413" s="1">
        <v>19.0</v>
      </c>
      <c r="J413" s="1">
        <v>28.0</v>
      </c>
      <c r="K413" s="1">
        <v>143.0</v>
      </c>
      <c r="L413" s="1">
        <v>43.0</v>
      </c>
      <c r="M413" s="1">
        <v>32.0</v>
      </c>
      <c r="N413" s="1">
        <v>1.0</v>
      </c>
      <c r="O413" s="1">
        <v>0.0</v>
      </c>
      <c r="P413" s="1">
        <v>0.0</v>
      </c>
      <c r="Q413" s="1">
        <v>1.0</v>
      </c>
      <c r="R413" s="1">
        <v>11.0</v>
      </c>
      <c r="S413" s="1">
        <v>30.0</v>
      </c>
      <c r="T413" s="1">
        <v>4.0</v>
      </c>
    </row>
    <row r="414" ht="12.75" customHeight="1">
      <c r="A414" s="1" t="s">
        <v>445</v>
      </c>
      <c r="B414" s="1" t="str">
        <f>IFERROR(__xludf.DUMMYFUNCTION("split(A414, ""\"")"),"Michael Stone")</f>
        <v>Michael Stone</v>
      </c>
      <c r="C414" s="1" t="str">
        <f>IFERROR(__xludf.DUMMYFUNCTION("""COMPUTED_VALUE"""),"stonemi01")</f>
        <v>stonemi01</v>
      </c>
      <c r="D414" s="1" t="s">
        <v>66</v>
      </c>
      <c r="E414" s="1">
        <f t="shared" si="1"/>
        <v>144.7</v>
      </c>
      <c r="F414" s="1">
        <f t="shared" si="2"/>
        <v>1.76</v>
      </c>
      <c r="G414" s="1">
        <v>82.0</v>
      </c>
      <c r="H414" s="1">
        <v>3.0</v>
      </c>
      <c r="I414" s="1">
        <v>7.0</v>
      </c>
      <c r="J414" s="1">
        <v>10.0</v>
      </c>
      <c r="K414" s="1">
        <v>98.0</v>
      </c>
      <c r="L414" s="1">
        <v>106.0</v>
      </c>
      <c r="M414" s="1">
        <v>158.0</v>
      </c>
      <c r="N414" s="1">
        <v>0.0</v>
      </c>
      <c r="O414" s="1">
        <v>1.0</v>
      </c>
      <c r="P414" s="1">
        <v>0.0</v>
      </c>
      <c r="Q414" s="1">
        <v>0.0</v>
      </c>
      <c r="R414" s="1">
        <v>-11.0</v>
      </c>
      <c r="S414" s="1">
        <v>28.0</v>
      </c>
      <c r="T414" s="1">
        <v>0.0</v>
      </c>
    </row>
    <row r="415" ht="12.75" customHeight="1">
      <c r="A415" s="1" t="s">
        <v>446</v>
      </c>
      <c r="B415" s="1" t="str">
        <f>IFERROR(__xludf.DUMMYFUNCTION("split(A415, ""\"")"),"Andrew MacDonald")</f>
        <v>Andrew MacDonald</v>
      </c>
      <c r="C415" s="1" t="str">
        <f>IFERROR(__xludf.DUMMYFUNCTION("""COMPUTED_VALUE"""),"macdoan01")</f>
        <v>macdoan01</v>
      </c>
      <c r="D415" s="1" t="s">
        <v>66</v>
      </c>
      <c r="E415" s="1">
        <f t="shared" si="1"/>
        <v>144.4</v>
      </c>
      <c r="F415" s="1">
        <f t="shared" si="2"/>
        <v>2.19</v>
      </c>
      <c r="G415" s="1">
        <v>66.0</v>
      </c>
      <c r="H415" s="1">
        <v>6.0</v>
      </c>
      <c r="I415" s="1">
        <v>15.0</v>
      </c>
      <c r="J415" s="1">
        <v>21.0</v>
      </c>
      <c r="K415" s="1">
        <v>82.0</v>
      </c>
      <c r="L415" s="1">
        <v>36.0</v>
      </c>
      <c r="M415" s="1">
        <v>131.0</v>
      </c>
      <c r="N415" s="1">
        <v>0.0</v>
      </c>
      <c r="O415" s="1">
        <v>0.0</v>
      </c>
      <c r="P415" s="1">
        <v>0.0</v>
      </c>
      <c r="Q415" s="1">
        <v>1.0</v>
      </c>
      <c r="R415" s="1">
        <v>8.0</v>
      </c>
      <c r="S415" s="1">
        <v>30.0</v>
      </c>
      <c r="T415" s="1">
        <v>2.0</v>
      </c>
    </row>
    <row r="416" ht="12.75" customHeight="1">
      <c r="A416" s="1" t="s">
        <v>447</v>
      </c>
      <c r="B416" s="1" t="str">
        <f>IFERROR(__xludf.DUMMYFUNCTION("split(A416, ""\"")"),"Tom Pyatt")</f>
        <v>Tom Pyatt</v>
      </c>
      <c r="C416" s="1" t="str">
        <f>IFERROR(__xludf.DUMMYFUNCTION("""COMPUTED_VALUE"""),"pyattto01")</f>
        <v>pyattto01</v>
      </c>
      <c r="D416" s="1" t="s">
        <v>31</v>
      </c>
      <c r="E416" s="1">
        <f t="shared" si="1"/>
        <v>144.2</v>
      </c>
      <c r="F416" s="1">
        <f t="shared" si="2"/>
        <v>1.78</v>
      </c>
      <c r="G416" s="1">
        <v>81.0</v>
      </c>
      <c r="H416" s="1">
        <v>7.0</v>
      </c>
      <c r="I416" s="1">
        <v>15.0</v>
      </c>
      <c r="J416" s="1">
        <v>22.0</v>
      </c>
      <c r="K416" s="1">
        <v>103.0</v>
      </c>
      <c r="L416" s="1">
        <v>55.0</v>
      </c>
      <c r="M416" s="1">
        <v>93.0</v>
      </c>
      <c r="N416" s="1">
        <v>0.0</v>
      </c>
      <c r="O416" s="1">
        <v>0.0</v>
      </c>
      <c r="P416" s="1">
        <v>1.0</v>
      </c>
      <c r="Q416" s="1">
        <v>1.0</v>
      </c>
      <c r="R416" s="1">
        <v>-12.0</v>
      </c>
      <c r="S416" s="1">
        <v>10.0</v>
      </c>
      <c r="T416" s="1">
        <v>2.0</v>
      </c>
    </row>
    <row r="417" ht="12.75" customHeight="1">
      <c r="A417" s="1" t="s">
        <v>448</v>
      </c>
      <c r="B417" s="1" t="str">
        <f>IFERROR(__xludf.DUMMYFUNCTION("split(A417, ""\"")"),"Thomas Chabot")</f>
        <v>Thomas Chabot</v>
      </c>
      <c r="C417" s="1" t="str">
        <f>IFERROR(__xludf.DUMMYFUNCTION("""COMPUTED_VALUE"""),"chaboth01")</f>
        <v>chaboth01</v>
      </c>
      <c r="D417" s="1" t="s">
        <v>66</v>
      </c>
      <c r="E417" s="1">
        <f t="shared" si="1"/>
        <v>144.1</v>
      </c>
      <c r="F417" s="1">
        <f t="shared" si="2"/>
        <v>2.29</v>
      </c>
      <c r="G417" s="1">
        <v>63.0</v>
      </c>
      <c r="H417" s="1">
        <v>9.0</v>
      </c>
      <c r="I417" s="1">
        <v>16.0</v>
      </c>
      <c r="J417" s="1">
        <v>25.0</v>
      </c>
      <c r="K417" s="1">
        <v>94.0</v>
      </c>
      <c r="L417" s="1">
        <v>44.0</v>
      </c>
      <c r="M417" s="1">
        <v>64.0</v>
      </c>
      <c r="N417" s="1">
        <v>0.0</v>
      </c>
      <c r="O417" s="1">
        <v>8.0</v>
      </c>
      <c r="P417" s="1">
        <v>0.0</v>
      </c>
      <c r="Q417" s="1">
        <v>0.0</v>
      </c>
      <c r="R417" s="1">
        <v>-12.0</v>
      </c>
      <c r="S417" s="1">
        <v>14.0</v>
      </c>
      <c r="T417" s="1">
        <v>0.0</v>
      </c>
    </row>
    <row r="418" ht="12.75" customHeight="1">
      <c r="A418" s="1" t="s">
        <v>449</v>
      </c>
      <c r="B418" s="1" t="str">
        <f>IFERROR(__xludf.DUMMYFUNCTION("split(A418, ""\"")"),"Artturi Lehkonen")</f>
        <v>Artturi Lehkonen</v>
      </c>
      <c r="C418" s="1" t="str">
        <f>IFERROR(__xludf.DUMMYFUNCTION("""COMPUTED_VALUE"""),"lehkoar01")</f>
        <v>lehkoar01</v>
      </c>
      <c r="D418" s="1" t="s">
        <v>28</v>
      </c>
      <c r="E418" s="1">
        <f t="shared" si="1"/>
        <v>143.45</v>
      </c>
      <c r="F418" s="1">
        <f t="shared" si="2"/>
        <v>2.17</v>
      </c>
      <c r="G418" s="1">
        <v>66.0</v>
      </c>
      <c r="H418" s="1">
        <v>12.0</v>
      </c>
      <c r="I418" s="1">
        <v>9.0</v>
      </c>
      <c r="J418" s="1">
        <v>21.0</v>
      </c>
      <c r="K418" s="1">
        <v>164.0</v>
      </c>
      <c r="L418" s="1">
        <v>71.0</v>
      </c>
      <c r="M418" s="1">
        <v>23.0</v>
      </c>
      <c r="N418" s="1">
        <v>3.0</v>
      </c>
      <c r="O418" s="1">
        <v>1.0</v>
      </c>
      <c r="P418" s="1">
        <v>1.0</v>
      </c>
      <c r="Q418" s="1">
        <v>0.0</v>
      </c>
      <c r="R418" s="1">
        <v>-11.0</v>
      </c>
      <c r="S418" s="1">
        <v>20.0</v>
      </c>
      <c r="T418" s="1">
        <v>3.0</v>
      </c>
    </row>
    <row r="419" ht="12.75" customHeight="1">
      <c r="A419" s="1" t="s">
        <v>450</v>
      </c>
      <c r="B419" s="1" t="str">
        <f>IFERROR(__xludf.DUMMYFUNCTION("split(A419, ""\"")"),"Mike Cammalleri")</f>
        <v>Mike Cammalleri</v>
      </c>
      <c r="C419" s="1" t="str">
        <f>IFERROR(__xludf.DUMMYFUNCTION("""COMPUTED_VALUE"""),"cammami01")</f>
        <v>cammami01</v>
      </c>
      <c r="D419" s="1" t="s">
        <v>451</v>
      </c>
      <c r="E419" s="1">
        <f t="shared" si="1"/>
        <v>142.55</v>
      </c>
      <c r="F419" s="1">
        <f t="shared" si="2"/>
        <v>2.16</v>
      </c>
      <c r="G419" s="1">
        <v>66.0</v>
      </c>
      <c r="H419" s="1">
        <v>7.0</v>
      </c>
      <c r="I419" s="1">
        <v>22.0</v>
      </c>
      <c r="J419" s="1">
        <v>29.0</v>
      </c>
      <c r="K419" s="1">
        <v>128.0</v>
      </c>
      <c r="L419" s="1">
        <v>43.0</v>
      </c>
      <c r="M419" s="1">
        <v>32.0</v>
      </c>
      <c r="N419" s="1">
        <v>3.0</v>
      </c>
      <c r="O419" s="1">
        <v>1.0</v>
      </c>
      <c r="P419" s="1">
        <v>0.0</v>
      </c>
      <c r="Q419" s="1">
        <v>0.0</v>
      </c>
      <c r="R419" s="1">
        <v>-3.0</v>
      </c>
      <c r="S419" s="1">
        <v>18.0</v>
      </c>
      <c r="T419" s="1">
        <v>0.0</v>
      </c>
    </row>
    <row r="420" ht="12.75" customHeight="1">
      <c r="A420" s="1" t="s">
        <v>452</v>
      </c>
      <c r="B420" s="1" t="str">
        <f>IFERROR(__xludf.DUMMYFUNCTION("split(A420, ""\"")"),"Michael Raffl")</f>
        <v>Michael Raffl</v>
      </c>
      <c r="C420" s="1" t="str">
        <f>IFERROR(__xludf.DUMMYFUNCTION("""COMPUTED_VALUE"""),"rafflmi01")</f>
        <v>rafflmi01</v>
      </c>
      <c r="D420" s="1" t="s">
        <v>28</v>
      </c>
      <c r="E420" s="1">
        <f t="shared" si="1"/>
        <v>142</v>
      </c>
      <c r="F420" s="1">
        <f t="shared" si="2"/>
        <v>1.87</v>
      </c>
      <c r="G420" s="1">
        <v>76.0</v>
      </c>
      <c r="H420" s="1">
        <v>13.0</v>
      </c>
      <c r="I420" s="1">
        <v>9.0</v>
      </c>
      <c r="J420" s="1">
        <v>22.0</v>
      </c>
      <c r="K420" s="1">
        <v>96.0</v>
      </c>
      <c r="L420" s="1">
        <v>90.0</v>
      </c>
      <c r="M420" s="1">
        <v>50.0</v>
      </c>
      <c r="N420" s="1">
        <v>1.0</v>
      </c>
      <c r="O420" s="1">
        <v>0.0</v>
      </c>
      <c r="P420" s="1">
        <v>0.0</v>
      </c>
      <c r="Q420" s="1">
        <v>0.0</v>
      </c>
      <c r="R420" s="1">
        <v>9.0</v>
      </c>
      <c r="S420" s="1">
        <v>28.0</v>
      </c>
      <c r="T420" s="1">
        <v>3.0</v>
      </c>
    </row>
    <row r="421" ht="12.75" customHeight="1">
      <c r="A421" s="1" t="s">
        <v>453</v>
      </c>
      <c r="B421" s="1" t="str">
        <f>IFERROR(__xludf.DUMMYFUNCTION("split(A421, ""\"")"),"Vince Dunn")</f>
        <v>Vince Dunn</v>
      </c>
      <c r="C421" s="1" t="str">
        <f>IFERROR(__xludf.DUMMYFUNCTION("""COMPUTED_VALUE"""),"dunnvi02")</f>
        <v>dunnvi02</v>
      </c>
      <c r="D421" s="1" t="s">
        <v>66</v>
      </c>
      <c r="E421" s="1">
        <f t="shared" si="1"/>
        <v>141.85</v>
      </c>
      <c r="F421" s="1">
        <f t="shared" si="2"/>
        <v>1.89</v>
      </c>
      <c r="G421" s="1">
        <v>75.0</v>
      </c>
      <c r="H421" s="1">
        <v>5.0</v>
      </c>
      <c r="I421" s="1">
        <v>19.0</v>
      </c>
      <c r="J421" s="1">
        <v>24.0</v>
      </c>
      <c r="K421" s="1">
        <v>138.0</v>
      </c>
      <c r="L421" s="1">
        <v>29.0</v>
      </c>
      <c r="M421" s="1">
        <v>59.0</v>
      </c>
      <c r="N421" s="1">
        <v>2.0</v>
      </c>
      <c r="O421" s="1">
        <v>7.0</v>
      </c>
      <c r="P421" s="1">
        <v>0.0</v>
      </c>
      <c r="Q421" s="1">
        <v>0.0</v>
      </c>
      <c r="R421" s="1">
        <v>1.0</v>
      </c>
      <c r="S421" s="1">
        <v>20.0</v>
      </c>
      <c r="T421" s="1">
        <v>1.0</v>
      </c>
    </row>
    <row r="422" ht="12.75" customHeight="1">
      <c r="A422" s="1" t="s">
        <v>454</v>
      </c>
      <c r="B422" s="1" t="str">
        <f>IFERROR(__xludf.DUMMYFUNCTION("split(A422, ""\"")"),"Nicolas Deslauriers")</f>
        <v>Nicolas Deslauriers</v>
      </c>
      <c r="C422" s="1" t="str">
        <f>IFERROR(__xludf.DUMMYFUNCTION("""COMPUTED_VALUE"""),"deslani01")</f>
        <v>deslani01</v>
      </c>
      <c r="D422" s="1" t="s">
        <v>28</v>
      </c>
      <c r="E422" s="1">
        <f t="shared" si="1"/>
        <v>141.75</v>
      </c>
      <c r="F422" s="1">
        <f t="shared" si="2"/>
        <v>2.44</v>
      </c>
      <c r="G422" s="1">
        <v>58.0</v>
      </c>
      <c r="H422" s="1">
        <v>10.0</v>
      </c>
      <c r="I422" s="1">
        <v>4.0</v>
      </c>
      <c r="J422" s="1">
        <v>14.0</v>
      </c>
      <c r="K422" s="1">
        <v>77.0</v>
      </c>
      <c r="L422" s="1">
        <v>238.0</v>
      </c>
      <c r="M422" s="1">
        <v>30.0</v>
      </c>
      <c r="N422" s="1">
        <v>0.0</v>
      </c>
      <c r="O422" s="1">
        <v>0.0</v>
      </c>
      <c r="P422" s="1">
        <v>0.0</v>
      </c>
      <c r="Q422" s="1">
        <v>1.0</v>
      </c>
      <c r="R422" s="1">
        <v>7.0</v>
      </c>
      <c r="S422" s="1">
        <v>55.0</v>
      </c>
      <c r="T422" s="1">
        <v>1.0</v>
      </c>
    </row>
    <row r="423" ht="12.75" customHeight="1">
      <c r="A423" s="1" t="s">
        <v>455</v>
      </c>
      <c r="B423" s="1" t="str">
        <f>IFERROR(__xludf.DUMMYFUNCTION("split(A423, ""\"")"),"Tommy Wingels")</f>
        <v>Tommy Wingels</v>
      </c>
      <c r="C423" s="1" t="str">
        <f>IFERROR(__xludf.DUMMYFUNCTION("""COMPUTED_VALUE"""),"wingeto01")</f>
        <v>wingeto01</v>
      </c>
      <c r="D423" s="1" t="s">
        <v>31</v>
      </c>
      <c r="E423" s="1">
        <f t="shared" si="1"/>
        <v>141.65</v>
      </c>
      <c r="F423" s="1">
        <f t="shared" si="2"/>
        <v>1.89</v>
      </c>
      <c r="G423" s="1">
        <v>75.0</v>
      </c>
      <c r="H423" s="1">
        <v>9.0</v>
      </c>
      <c r="I423" s="1">
        <v>8.0</v>
      </c>
      <c r="J423" s="1">
        <v>17.0</v>
      </c>
      <c r="K423" s="1">
        <v>86.0</v>
      </c>
      <c r="L423" s="1">
        <v>179.0</v>
      </c>
      <c r="M423" s="1">
        <v>41.0</v>
      </c>
      <c r="N423" s="1">
        <v>1.0</v>
      </c>
      <c r="O423" s="1">
        <v>0.0</v>
      </c>
      <c r="P423" s="1">
        <v>2.0</v>
      </c>
      <c r="Q423" s="1">
        <v>0.0</v>
      </c>
      <c r="R423" s="1">
        <v>-11.0</v>
      </c>
      <c r="S423" s="1">
        <v>45.0</v>
      </c>
      <c r="T423" s="1">
        <v>1.0</v>
      </c>
    </row>
    <row r="424" ht="12.75" customHeight="1">
      <c r="A424" s="1" t="s">
        <v>456</v>
      </c>
      <c r="B424" s="1" t="str">
        <f>IFERROR(__xludf.DUMMYFUNCTION("split(A424, ""\"")"),"Tomas Plekanec")</f>
        <v>Tomas Plekanec</v>
      </c>
      <c r="C424" s="1" t="str">
        <f>IFERROR(__xludf.DUMMYFUNCTION("""COMPUTED_VALUE"""),"plekato01")</f>
        <v>plekato01</v>
      </c>
      <c r="D424" s="1" t="s">
        <v>31</v>
      </c>
      <c r="E424" s="1">
        <f t="shared" si="1"/>
        <v>141.65</v>
      </c>
      <c r="F424" s="1">
        <f t="shared" si="2"/>
        <v>1.84</v>
      </c>
      <c r="G424" s="1">
        <v>77.0</v>
      </c>
      <c r="H424" s="1">
        <v>6.0</v>
      </c>
      <c r="I424" s="1">
        <v>20.0</v>
      </c>
      <c r="J424" s="1">
        <v>26.0</v>
      </c>
      <c r="K424" s="1">
        <v>144.0</v>
      </c>
      <c r="L424" s="1">
        <v>61.0</v>
      </c>
      <c r="M424" s="1">
        <v>41.0</v>
      </c>
      <c r="N424" s="1">
        <v>0.0</v>
      </c>
      <c r="O424" s="1">
        <v>0.0</v>
      </c>
      <c r="P424" s="1">
        <v>0.0</v>
      </c>
      <c r="Q424" s="1">
        <v>0.0</v>
      </c>
      <c r="R424" s="1">
        <v>1.0</v>
      </c>
      <c r="S424" s="1">
        <v>45.0</v>
      </c>
      <c r="T424" s="1">
        <v>1.0</v>
      </c>
    </row>
    <row r="425" ht="12.75" customHeight="1">
      <c r="A425" s="1" t="s">
        <v>457</v>
      </c>
      <c r="B425" s="1" t="str">
        <f>IFERROR(__xludf.DUMMYFUNCTION("split(A425, ""\"")"),"Nick Cousins")</f>
        <v>Nick Cousins</v>
      </c>
      <c r="C425" s="1" t="str">
        <f>IFERROR(__xludf.DUMMYFUNCTION("""COMPUTED_VALUE"""),"cousini01")</f>
        <v>cousini01</v>
      </c>
      <c r="D425" s="1" t="s">
        <v>31</v>
      </c>
      <c r="E425" s="1">
        <f t="shared" si="1"/>
        <v>141.1</v>
      </c>
      <c r="F425" s="1">
        <f t="shared" si="2"/>
        <v>1.99</v>
      </c>
      <c r="G425" s="1">
        <v>71.0</v>
      </c>
      <c r="H425" s="1">
        <v>12.0</v>
      </c>
      <c r="I425" s="1">
        <v>7.0</v>
      </c>
      <c r="J425" s="1">
        <v>19.0</v>
      </c>
      <c r="K425" s="1">
        <v>119.0</v>
      </c>
      <c r="L425" s="1">
        <v>117.0</v>
      </c>
      <c r="M425" s="1">
        <v>39.0</v>
      </c>
      <c r="N425" s="1">
        <v>1.0</v>
      </c>
      <c r="O425" s="1">
        <v>0.0</v>
      </c>
      <c r="P425" s="1">
        <v>0.0</v>
      </c>
      <c r="Q425" s="1">
        <v>0.0</v>
      </c>
      <c r="R425" s="1">
        <v>-7.0</v>
      </c>
      <c r="S425" s="1">
        <v>31.0</v>
      </c>
      <c r="T425" s="1">
        <v>1.0</v>
      </c>
    </row>
    <row r="426" ht="12.75" customHeight="1">
      <c r="A426" s="1" t="s">
        <v>458</v>
      </c>
      <c r="B426" s="1" t="str">
        <f>IFERROR(__xludf.DUMMYFUNCTION("split(A426, ""\"")"),"Thomas Greiss")</f>
        <v>Thomas Greiss</v>
      </c>
      <c r="C426" s="2" t="str">
        <f>IFERROR(__xludf.DUMMYFUNCTION("""COMPUTED_VALUE"""),"greisth01")</f>
        <v>greisth01</v>
      </c>
      <c r="D426" s="1" t="s">
        <v>5</v>
      </c>
      <c r="E426" s="1">
        <f t="shared" si="1"/>
        <v>141</v>
      </c>
      <c r="F426" s="1">
        <f t="shared" si="2"/>
        <v>5.22</v>
      </c>
      <c r="G426" s="1">
        <v>27.0</v>
      </c>
      <c r="U426" s="1">
        <v>25.0</v>
      </c>
      <c r="V426" s="1">
        <v>13.0</v>
      </c>
      <c r="W426" s="1">
        <v>8.0</v>
      </c>
      <c r="X426" s="1">
        <v>95.0</v>
      </c>
      <c r="Y426" s="1">
        <v>879.0</v>
      </c>
      <c r="Z426" s="1">
        <v>784.0</v>
      </c>
      <c r="AA426" s="1">
        <v>1.0</v>
      </c>
    </row>
    <row r="427" ht="12.75" customHeight="1">
      <c r="A427" s="1" t="s">
        <v>459</v>
      </c>
      <c r="B427" s="1" t="str">
        <f>IFERROR(__xludf.DUMMYFUNCTION("split(A427, ""\"")"),"Connor Brown")</f>
        <v>Connor Brown</v>
      </c>
      <c r="C427" s="1" t="str">
        <f>IFERROR(__xludf.DUMMYFUNCTION("""COMPUTED_VALUE"""),"brownco02")</f>
        <v>brownco02</v>
      </c>
      <c r="D427" s="1" t="s">
        <v>36</v>
      </c>
      <c r="E427" s="1">
        <f t="shared" si="1"/>
        <v>140.7</v>
      </c>
      <c r="F427" s="1">
        <f t="shared" si="2"/>
        <v>1.72</v>
      </c>
      <c r="G427" s="1">
        <v>82.0</v>
      </c>
      <c r="H427" s="1">
        <v>14.0</v>
      </c>
      <c r="I427" s="1">
        <v>14.0</v>
      </c>
      <c r="J427" s="1">
        <v>28.0</v>
      </c>
      <c r="K427" s="1">
        <v>119.0</v>
      </c>
      <c r="L427" s="1">
        <v>23.0</v>
      </c>
      <c r="M427" s="1">
        <v>28.0</v>
      </c>
      <c r="N427" s="1">
        <v>1.0</v>
      </c>
      <c r="O427" s="1">
        <v>1.0</v>
      </c>
      <c r="P427" s="1">
        <v>1.0</v>
      </c>
      <c r="Q427" s="1">
        <v>0.0</v>
      </c>
      <c r="R427" s="1">
        <v>0.0</v>
      </c>
      <c r="S427" s="1">
        <v>18.0</v>
      </c>
      <c r="T427" s="1">
        <v>2.0</v>
      </c>
    </row>
    <row r="428" ht="12.75" customHeight="1">
      <c r="A428" s="1" t="s">
        <v>460</v>
      </c>
      <c r="B428" s="1" t="str">
        <f>IFERROR(__xludf.DUMMYFUNCTION("split(A428, ""\"")"),"Connor Murphy")</f>
        <v>Connor Murphy</v>
      </c>
      <c r="C428" s="1" t="str">
        <f>IFERROR(__xludf.DUMMYFUNCTION("""COMPUTED_VALUE"""),"murphco02")</f>
        <v>murphco02</v>
      </c>
      <c r="D428" s="1" t="s">
        <v>66</v>
      </c>
      <c r="E428" s="1">
        <f t="shared" si="1"/>
        <v>140.15</v>
      </c>
      <c r="F428" s="1">
        <f t="shared" si="2"/>
        <v>1.84</v>
      </c>
      <c r="G428" s="1">
        <v>76.0</v>
      </c>
      <c r="H428" s="1">
        <v>2.0</v>
      </c>
      <c r="I428" s="1">
        <v>12.0</v>
      </c>
      <c r="J428" s="1">
        <v>14.0</v>
      </c>
      <c r="K428" s="1">
        <v>109.0</v>
      </c>
      <c r="L428" s="1">
        <v>138.0</v>
      </c>
      <c r="M428" s="1">
        <v>101.0</v>
      </c>
      <c r="N428" s="1">
        <v>0.0</v>
      </c>
      <c r="O428" s="1">
        <v>0.0</v>
      </c>
      <c r="P428" s="1">
        <v>0.0</v>
      </c>
      <c r="Q428" s="1">
        <v>0.0</v>
      </c>
      <c r="R428" s="1">
        <v>-3.0</v>
      </c>
      <c r="S428" s="1">
        <v>34.0</v>
      </c>
      <c r="T428" s="1">
        <v>0.0</v>
      </c>
    </row>
    <row r="429" ht="12.75" customHeight="1">
      <c r="A429" s="1" t="s">
        <v>461</v>
      </c>
      <c r="B429" s="1" t="str">
        <f>IFERROR(__xludf.DUMMYFUNCTION("split(A429, ""\"")"),"Sven Baertschi")</f>
        <v>Sven Baertschi</v>
      </c>
      <c r="C429" s="1" t="str">
        <f>IFERROR(__xludf.DUMMYFUNCTION("""COMPUTED_VALUE"""),"baertsv01")</f>
        <v>baertsv01</v>
      </c>
      <c r="D429" s="1" t="s">
        <v>28</v>
      </c>
      <c r="E429" s="1">
        <f t="shared" si="1"/>
        <v>139.35</v>
      </c>
      <c r="F429" s="1">
        <f t="shared" si="2"/>
        <v>2.63</v>
      </c>
      <c r="G429" s="1">
        <v>53.0</v>
      </c>
      <c r="H429" s="1">
        <v>14.0</v>
      </c>
      <c r="I429" s="1">
        <v>15.0</v>
      </c>
      <c r="J429" s="1">
        <v>29.0</v>
      </c>
      <c r="K429" s="1">
        <v>82.0</v>
      </c>
      <c r="L429" s="1">
        <v>19.0</v>
      </c>
      <c r="M429" s="1">
        <v>29.0</v>
      </c>
      <c r="N429" s="1">
        <v>7.0</v>
      </c>
      <c r="O429" s="1">
        <v>2.0</v>
      </c>
      <c r="P429" s="1">
        <v>0.0</v>
      </c>
      <c r="Q429" s="1">
        <v>0.0</v>
      </c>
      <c r="R429" s="1">
        <v>3.0</v>
      </c>
      <c r="S429" s="1">
        <v>20.0</v>
      </c>
      <c r="T429" s="1">
        <v>2.0</v>
      </c>
    </row>
    <row r="430" ht="12.75" customHeight="1">
      <c r="A430" s="1" t="s">
        <v>462</v>
      </c>
      <c r="B430" s="1" t="str">
        <f>IFERROR(__xludf.DUMMYFUNCTION("split(A430, ""\"")"),"Brett Connolly")</f>
        <v>Brett Connolly</v>
      </c>
      <c r="C430" s="1" t="str">
        <f>IFERROR(__xludf.DUMMYFUNCTION("""COMPUTED_VALUE"""),"connobr01")</f>
        <v>connobr01</v>
      </c>
      <c r="D430" s="1" t="s">
        <v>36</v>
      </c>
      <c r="E430" s="1">
        <f t="shared" si="1"/>
        <v>139.35</v>
      </c>
      <c r="F430" s="1">
        <f t="shared" si="2"/>
        <v>1.99</v>
      </c>
      <c r="G430" s="1">
        <v>70.0</v>
      </c>
      <c r="H430" s="1">
        <v>15.0</v>
      </c>
      <c r="I430" s="1">
        <v>12.0</v>
      </c>
      <c r="J430" s="1">
        <v>27.0</v>
      </c>
      <c r="K430" s="1">
        <v>67.0</v>
      </c>
      <c r="L430" s="1">
        <v>72.0</v>
      </c>
      <c r="M430" s="1">
        <v>24.0</v>
      </c>
      <c r="N430" s="1">
        <v>4.0</v>
      </c>
      <c r="O430" s="1">
        <v>1.0</v>
      </c>
      <c r="P430" s="1">
        <v>0.0</v>
      </c>
      <c r="Q430" s="1">
        <v>0.0</v>
      </c>
      <c r="R430" s="1">
        <v>-6.0</v>
      </c>
      <c r="S430" s="1">
        <v>30.0</v>
      </c>
      <c r="T430" s="1">
        <v>2.0</v>
      </c>
    </row>
    <row r="431" ht="12.75" customHeight="1">
      <c r="A431" s="1" t="s">
        <v>463</v>
      </c>
      <c r="B431" s="1" t="str">
        <f>IFERROR(__xludf.DUMMYFUNCTION("split(A431, ""\"")"),"Chad Johnson")</f>
        <v>Chad Johnson</v>
      </c>
      <c r="C431" s="2" t="str">
        <f>IFERROR(__xludf.DUMMYFUNCTION("""COMPUTED_VALUE"""),"johnsch02")</f>
        <v>johnsch02</v>
      </c>
      <c r="D431" s="1" t="s">
        <v>5</v>
      </c>
      <c r="E431" s="1">
        <f t="shared" si="1"/>
        <v>139.25</v>
      </c>
      <c r="F431" s="1">
        <f t="shared" si="2"/>
        <v>3.87</v>
      </c>
      <c r="G431" s="1">
        <v>36.0</v>
      </c>
      <c r="U431" s="1">
        <v>29.0</v>
      </c>
      <c r="V431" s="1">
        <v>10.0</v>
      </c>
      <c r="W431" s="1">
        <v>16.0</v>
      </c>
      <c r="X431" s="1">
        <v>105.0</v>
      </c>
      <c r="Y431" s="1">
        <v>962.0</v>
      </c>
      <c r="Z431" s="1">
        <v>857.0</v>
      </c>
      <c r="AA431" s="1">
        <v>0.0</v>
      </c>
    </row>
    <row r="432" ht="12.75" customHeight="1">
      <c r="A432" s="1" t="s">
        <v>464</v>
      </c>
      <c r="B432" s="1" t="str">
        <f>IFERROR(__xludf.DUMMYFUNCTION("split(A432, ""\"")"),"Alex Stalock")</f>
        <v>Alex Stalock</v>
      </c>
      <c r="C432" s="2" t="str">
        <f>IFERROR(__xludf.DUMMYFUNCTION("""COMPUTED_VALUE"""),"staloal01")</f>
        <v>staloal01</v>
      </c>
      <c r="D432" s="1" t="s">
        <v>5</v>
      </c>
      <c r="E432" s="1">
        <f t="shared" si="1"/>
        <v>139</v>
      </c>
      <c r="F432" s="1">
        <f t="shared" si="2"/>
        <v>4.96</v>
      </c>
      <c r="G432" s="1">
        <v>28.0</v>
      </c>
      <c r="U432" s="1">
        <v>23.0</v>
      </c>
      <c r="V432" s="1">
        <v>10.0</v>
      </c>
      <c r="W432" s="1">
        <v>10.0</v>
      </c>
      <c r="X432" s="1">
        <v>71.0</v>
      </c>
      <c r="Y432" s="1">
        <v>787.0</v>
      </c>
      <c r="Z432" s="1">
        <v>716.0</v>
      </c>
      <c r="AA432" s="1">
        <v>1.0</v>
      </c>
    </row>
    <row r="433" ht="12.75" customHeight="1">
      <c r="A433" s="1" t="s">
        <v>465</v>
      </c>
      <c r="B433" s="1" t="str">
        <f>IFERROR(__xludf.DUMMYFUNCTION("split(A433, ""\"")"),"Devante Smith-Pelly")</f>
        <v>Devante Smith-Pelly</v>
      </c>
      <c r="C433" s="1" t="str">
        <f>IFERROR(__xludf.DUMMYFUNCTION("""COMPUTED_VALUE"""),"smithde06")</f>
        <v>smithde06</v>
      </c>
      <c r="D433" s="1" t="s">
        <v>36</v>
      </c>
      <c r="E433" s="1">
        <f t="shared" si="1"/>
        <v>138.8</v>
      </c>
      <c r="F433" s="1">
        <f t="shared" si="2"/>
        <v>1.85</v>
      </c>
      <c r="G433" s="1">
        <v>75.0</v>
      </c>
      <c r="H433" s="1">
        <v>7.0</v>
      </c>
      <c r="I433" s="1">
        <v>9.0</v>
      </c>
      <c r="J433" s="1">
        <v>16.0</v>
      </c>
      <c r="K433" s="1">
        <v>103.0</v>
      </c>
      <c r="L433" s="1">
        <v>151.0</v>
      </c>
      <c r="M433" s="1">
        <v>62.0</v>
      </c>
      <c r="N433" s="1">
        <v>0.0</v>
      </c>
      <c r="O433" s="1">
        <v>0.0</v>
      </c>
      <c r="P433" s="1">
        <v>0.0</v>
      </c>
      <c r="Q433" s="1">
        <v>0.0</v>
      </c>
      <c r="R433" s="1">
        <v>-6.0</v>
      </c>
      <c r="S433" s="1">
        <v>38.0</v>
      </c>
      <c r="T433" s="1">
        <v>1.0</v>
      </c>
    </row>
    <row r="434" ht="12.75" customHeight="1">
      <c r="A434" s="1" t="s">
        <v>466</v>
      </c>
      <c r="B434" s="1" t="str">
        <f>IFERROR(__xludf.DUMMYFUNCTION("split(A434, ""\"")"),"Nick Holden")</f>
        <v>Nick Holden</v>
      </c>
      <c r="C434" s="1" t="str">
        <f>IFERROR(__xludf.DUMMYFUNCTION("""COMPUTED_VALUE"""),"holdeni01")</f>
        <v>holdeni01</v>
      </c>
      <c r="D434" s="1" t="s">
        <v>66</v>
      </c>
      <c r="E434" s="1">
        <f t="shared" si="1"/>
        <v>138.7</v>
      </c>
      <c r="F434" s="1">
        <f t="shared" si="2"/>
        <v>1.9</v>
      </c>
      <c r="G434" s="1">
        <v>73.0</v>
      </c>
      <c r="H434" s="1">
        <v>4.0</v>
      </c>
      <c r="I434" s="1">
        <v>13.0</v>
      </c>
      <c r="J434" s="1">
        <v>17.0</v>
      </c>
      <c r="K434" s="1">
        <v>80.0</v>
      </c>
      <c r="L434" s="1">
        <v>136.0</v>
      </c>
      <c r="M434" s="1">
        <v>83.0</v>
      </c>
      <c r="N434" s="1">
        <v>0.0</v>
      </c>
      <c r="O434" s="1">
        <v>3.0</v>
      </c>
      <c r="P434" s="1">
        <v>0.0</v>
      </c>
      <c r="Q434" s="1">
        <v>0.0</v>
      </c>
      <c r="R434" s="1">
        <v>-5.0</v>
      </c>
      <c r="S434" s="1">
        <v>14.0</v>
      </c>
      <c r="T434" s="1">
        <v>0.0</v>
      </c>
    </row>
    <row r="435" ht="12.75" customHeight="1">
      <c r="A435" s="1" t="s">
        <v>467</v>
      </c>
      <c r="B435" s="1" t="str">
        <f>IFERROR(__xludf.DUMMYFUNCTION("split(A435, ""\"")"),"Matthew Nieto")</f>
        <v>Matthew Nieto</v>
      </c>
      <c r="C435" s="1" t="str">
        <f>IFERROR(__xludf.DUMMYFUNCTION("""COMPUTED_VALUE"""),"nietoma01")</f>
        <v>nietoma01</v>
      </c>
      <c r="D435" s="1" t="s">
        <v>28</v>
      </c>
      <c r="E435" s="1">
        <f t="shared" si="1"/>
        <v>138.65</v>
      </c>
      <c r="F435" s="1">
        <f t="shared" si="2"/>
        <v>1.87</v>
      </c>
      <c r="G435" s="1">
        <v>74.0</v>
      </c>
      <c r="H435" s="1">
        <v>15.0</v>
      </c>
      <c r="I435" s="1">
        <v>11.0</v>
      </c>
      <c r="J435" s="1">
        <v>26.0</v>
      </c>
      <c r="K435" s="1">
        <v>84.0</v>
      </c>
      <c r="L435" s="1">
        <v>27.0</v>
      </c>
      <c r="M435" s="1">
        <v>56.0</v>
      </c>
      <c r="N435" s="1">
        <v>0.0</v>
      </c>
      <c r="O435" s="1">
        <v>0.0</v>
      </c>
      <c r="P435" s="1">
        <v>1.0</v>
      </c>
      <c r="Q435" s="1">
        <v>0.0</v>
      </c>
      <c r="R435" s="1">
        <v>6.0</v>
      </c>
      <c r="S435" s="1">
        <v>14.0</v>
      </c>
      <c r="T435" s="1">
        <v>1.0</v>
      </c>
    </row>
    <row r="436" ht="12.75" customHeight="1">
      <c r="A436" s="1" t="s">
        <v>468</v>
      </c>
      <c r="B436" s="1" t="str">
        <f>IFERROR(__xludf.DUMMYFUNCTION("split(A436, ""\"")"),"Brandon Sutter")</f>
        <v>Brandon Sutter</v>
      </c>
      <c r="C436" s="1" t="str">
        <f>IFERROR(__xludf.DUMMYFUNCTION("""COMPUTED_VALUE"""),"suttebr03")</f>
        <v>suttebr03</v>
      </c>
      <c r="D436" s="1" t="s">
        <v>42</v>
      </c>
      <c r="E436" s="1">
        <f t="shared" si="1"/>
        <v>138.55</v>
      </c>
      <c r="F436" s="1">
        <f t="shared" si="2"/>
        <v>2.27</v>
      </c>
      <c r="G436" s="1">
        <v>61.0</v>
      </c>
      <c r="H436" s="1">
        <v>11.0</v>
      </c>
      <c r="I436" s="1">
        <v>15.0</v>
      </c>
      <c r="J436" s="1">
        <v>26.0</v>
      </c>
      <c r="K436" s="1">
        <v>106.0</v>
      </c>
      <c r="L436" s="1">
        <v>55.0</v>
      </c>
      <c r="M436" s="1">
        <v>32.0</v>
      </c>
      <c r="N436" s="1">
        <v>0.0</v>
      </c>
      <c r="O436" s="1">
        <v>0.0</v>
      </c>
      <c r="P436" s="1">
        <v>0.0</v>
      </c>
      <c r="Q436" s="1">
        <v>4.0</v>
      </c>
      <c r="R436" s="1">
        <v>8.0</v>
      </c>
      <c r="S436" s="1">
        <v>8.0</v>
      </c>
      <c r="T436" s="1">
        <v>1.0</v>
      </c>
    </row>
    <row r="437" ht="12.75" customHeight="1">
      <c r="A437" s="1" t="s">
        <v>469</v>
      </c>
      <c r="B437" s="1" t="str">
        <f>IFERROR(__xludf.DUMMYFUNCTION("split(A437, ""\"")"),"Trevor Daley")</f>
        <v>Trevor Daley</v>
      </c>
      <c r="C437" s="1" t="str">
        <f>IFERROR(__xludf.DUMMYFUNCTION("""COMPUTED_VALUE"""),"daleytr01")</f>
        <v>daleytr01</v>
      </c>
      <c r="D437" s="1" t="s">
        <v>66</v>
      </c>
      <c r="E437" s="1">
        <f t="shared" si="1"/>
        <v>138.25</v>
      </c>
      <c r="F437" s="1">
        <f t="shared" si="2"/>
        <v>1.8</v>
      </c>
      <c r="G437" s="1">
        <v>77.0</v>
      </c>
      <c r="H437" s="1">
        <v>9.0</v>
      </c>
      <c r="I437" s="1">
        <v>7.0</v>
      </c>
      <c r="J437" s="1">
        <v>16.0</v>
      </c>
      <c r="K437" s="1">
        <v>103.0</v>
      </c>
      <c r="L437" s="1">
        <v>24.0</v>
      </c>
      <c r="M437" s="1">
        <v>125.0</v>
      </c>
      <c r="N437" s="1">
        <v>0.0</v>
      </c>
      <c r="O437" s="1">
        <v>0.0</v>
      </c>
      <c r="P437" s="1">
        <v>1.0</v>
      </c>
      <c r="Q437" s="1">
        <v>2.0</v>
      </c>
      <c r="R437" s="1">
        <v>-5.0</v>
      </c>
      <c r="S437" s="1">
        <v>36.0</v>
      </c>
      <c r="T437" s="1">
        <v>4.0</v>
      </c>
    </row>
    <row r="438" ht="12.75" customHeight="1">
      <c r="A438" s="1" t="s">
        <v>470</v>
      </c>
      <c r="B438" s="1" t="str">
        <f>IFERROR(__xludf.DUMMYFUNCTION("split(A438, ""\"")"),"Brian Gibbons")</f>
        <v>Brian Gibbons</v>
      </c>
      <c r="C438" s="1" t="str">
        <f>IFERROR(__xludf.DUMMYFUNCTION("""COMPUTED_VALUE"""),"gibbobr02")</f>
        <v>gibbobr02</v>
      </c>
      <c r="D438" s="1" t="s">
        <v>31</v>
      </c>
      <c r="E438" s="1">
        <f t="shared" si="1"/>
        <v>137.95</v>
      </c>
      <c r="F438" s="1">
        <f t="shared" si="2"/>
        <v>2.34</v>
      </c>
      <c r="G438" s="1">
        <v>59.0</v>
      </c>
      <c r="H438" s="1">
        <v>12.0</v>
      </c>
      <c r="I438" s="1">
        <v>14.0</v>
      </c>
      <c r="J438" s="1">
        <v>26.0</v>
      </c>
      <c r="K438" s="1">
        <v>72.0</v>
      </c>
      <c r="L438" s="1">
        <v>35.0</v>
      </c>
      <c r="M438" s="1">
        <v>58.0</v>
      </c>
      <c r="N438" s="1">
        <v>0.0</v>
      </c>
      <c r="O438" s="1">
        <v>0.0</v>
      </c>
      <c r="P438" s="1">
        <v>3.0</v>
      </c>
      <c r="Q438" s="1">
        <v>2.0</v>
      </c>
      <c r="R438" s="1">
        <v>10.0</v>
      </c>
      <c r="S438" s="1">
        <v>20.0</v>
      </c>
      <c r="T438" s="1">
        <v>3.0</v>
      </c>
    </row>
    <row r="439" ht="12.75" customHeight="1">
      <c r="A439" s="1" t="s">
        <v>471</v>
      </c>
      <c r="B439" s="1" t="str">
        <f>IFERROR(__xludf.DUMMYFUNCTION("split(A439, ""\"")"),"Jujhar Khaira")</f>
        <v>Jujhar Khaira</v>
      </c>
      <c r="C439" s="1" t="str">
        <f>IFERROR(__xludf.DUMMYFUNCTION("""COMPUTED_VALUE"""),"khairju01")</f>
        <v>khairju01</v>
      </c>
      <c r="D439" s="1" t="s">
        <v>28</v>
      </c>
      <c r="E439" s="1">
        <f t="shared" si="1"/>
        <v>137.85</v>
      </c>
      <c r="F439" s="1">
        <f t="shared" si="2"/>
        <v>2</v>
      </c>
      <c r="G439" s="1">
        <v>69.0</v>
      </c>
      <c r="H439" s="1">
        <v>11.0</v>
      </c>
      <c r="I439" s="1">
        <v>10.0</v>
      </c>
      <c r="J439" s="1">
        <v>21.0</v>
      </c>
      <c r="K439" s="1">
        <v>73.0</v>
      </c>
      <c r="L439" s="1">
        <v>128.0</v>
      </c>
      <c r="M439" s="1">
        <v>39.0</v>
      </c>
      <c r="N439" s="1">
        <v>0.0</v>
      </c>
      <c r="O439" s="1">
        <v>1.0</v>
      </c>
      <c r="P439" s="1">
        <v>1.0</v>
      </c>
      <c r="Q439" s="1">
        <v>1.0</v>
      </c>
      <c r="R439" s="1">
        <v>-7.0</v>
      </c>
      <c r="S439" s="1">
        <v>47.0</v>
      </c>
      <c r="T439" s="1">
        <v>2.0</v>
      </c>
    </row>
    <row r="440" ht="12.75" customHeight="1">
      <c r="A440" s="1" t="s">
        <v>472</v>
      </c>
      <c r="B440" s="1" t="str">
        <f>IFERROR(__xludf.DUMMYFUNCTION("split(A440, ""\"")"),"Troy Brouwer")</f>
        <v>Troy Brouwer</v>
      </c>
      <c r="C440" s="1" t="str">
        <f>IFERROR(__xludf.DUMMYFUNCTION("""COMPUTED_VALUE"""),"brouwtr01")</f>
        <v>brouwtr01</v>
      </c>
      <c r="D440" s="1" t="s">
        <v>36</v>
      </c>
      <c r="E440" s="1">
        <f t="shared" si="1"/>
        <v>137.8</v>
      </c>
      <c r="F440" s="1">
        <f t="shared" si="2"/>
        <v>1.81</v>
      </c>
      <c r="G440" s="1">
        <v>76.0</v>
      </c>
      <c r="H440" s="1">
        <v>6.0</v>
      </c>
      <c r="I440" s="1">
        <v>16.0</v>
      </c>
      <c r="J440" s="1">
        <v>22.0</v>
      </c>
      <c r="K440" s="1">
        <v>79.0</v>
      </c>
      <c r="L440" s="1">
        <v>125.0</v>
      </c>
      <c r="M440" s="1">
        <v>42.0</v>
      </c>
      <c r="N440" s="1">
        <v>0.0</v>
      </c>
      <c r="O440" s="1">
        <v>5.0</v>
      </c>
      <c r="P440" s="1">
        <v>0.0</v>
      </c>
      <c r="Q440" s="1">
        <v>1.0</v>
      </c>
      <c r="R440" s="1">
        <v>-7.0</v>
      </c>
      <c r="S440" s="1">
        <v>53.0</v>
      </c>
      <c r="T440" s="1">
        <v>0.0</v>
      </c>
    </row>
    <row r="441" ht="12.75" customHeight="1">
      <c r="A441" s="1" t="s">
        <v>473</v>
      </c>
      <c r="B441" s="1" t="str">
        <f>IFERROR(__xludf.DUMMYFUNCTION("split(A441, ""\"")"),"Kevin Shattenkirk")</f>
        <v>Kevin Shattenkirk</v>
      </c>
      <c r="C441" s="1" t="str">
        <f>IFERROR(__xludf.DUMMYFUNCTION("""COMPUTED_VALUE"""),"shattke01")</f>
        <v>shattke01</v>
      </c>
      <c r="D441" s="1" t="s">
        <v>66</v>
      </c>
      <c r="E441" s="1">
        <f t="shared" si="1"/>
        <v>137.5</v>
      </c>
      <c r="F441" s="1">
        <f t="shared" si="2"/>
        <v>2.99</v>
      </c>
      <c r="G441" s="1">
        <v>46.0</v>
      </c>
      <c r="H441" s="1">
        <v>5.0</v>
      </c>
      <c r="I441" s="1">
        <v>18.0</v>
      </c>
      <c r="J441" s="1">
        <v>23.0</v>
      </c>
      <c r="K441" s="1">
        <v>94.0</v>
      </c>
      <c r="L441" s="1">
        <v>44.0</v>
      </c>
      <c r="M441" s="1">
        <v>65.0</v>
      </c>
      <c r="N441" s="1">
        <v>2.0</v>
      </c>
      <c r="O441" s="1">
        <v>10.0</v>
      </c>
      <c r="P441" s="1">
        <v>0.0</v>
      </c>
      <c r="Q441" s="1">
        <v>0.0</v>
      </c>
      <c r="R441" s="1">
        <v>-14.0</v>
      </c>
      <c r="S441" s="1">
        <v>44.0</v>
      </c>
      <c r="T441" s="1">
        <v>1.0</v>
      </c>
    </row>
    <row r="442" ht="12.75" customHeight="1">
      <c r="A442" s="1" t="s">
        <v>474</v>
      </c>
      <c r="B442" s="1" t="str">
        <f>IFERROR(__xludf.DUMMYFUNCTION("split(A442, ""\"")"),"Mark Borowiecki")</f>
        <v>Mark Borowiecki</v>
      </c>
      <c r="C442" s="1" t="str">
        <f>IFERROR(__xludf.DUMMYFUNCTION("""COMPUTED_VALUE"""),"borowma01")</f>
        <v>borowma01</v>
      </c>
      <c r="D442" s="1" t="s">
        <v>66</v>
      </c>
      <c r="E442" s="1">
        <f t="shared" si="1"/>
        <v>137.4</v>
      </c>
      <c r="F442" s="1">
        <f t="shared" si="2"/>
        <v>2.64</v>
      </c>
      <c r="G442" s="1">
        <v>52.0</v>
      </c>
      <c r="H442" s="1">
        <v>3.0</v>
      </c>
      <c r="I442" s="1">
        <v>8.0</v>
      </c>
      <c r="J442" s="1">
        <v>11.0</v>
      </c>
      <c r="K442" s="1">
        <v>66.0</v>
      </c>
      <c r="L442" s="1">
        <v>226.0</v>
      </c>
      <c r="M442" s="1">
        <v>81.0</v>
      </c>
      <c r="N442" s="1">
        <v>0.0</v>
      </c>
      <c r="O442" s="1">
        <v>0.0</v>
      </c>
      <c r="P442" s="1">
        <v>0.0</v>
      </c>
      <c r="Q442" s="1">
        <v>0.0</v>
      </c>
      <c r="R442" s="1">
        <v>-6.0</v>
      </c>
      <c r="S442" s="1">
        <v>64.0</v>
      </c>
      <c r="T442" s="1">
        <v>0.0</v>
      </c>
    </row>
    <row r="443" ht="12.75" customHeight="1">
      <c r="A443" s="1" t="s">
        <v>475</v>
      </c>
      <c r="B443" s="1" t="str">
        <f>IFERROR(__xludf.DUMMYFUNCTION("split(A443, ""\"")"),"Jakub Vrana")</f>
        <v>Jakub Vrana</v>
      </c>
      <c r="C443" s="1" t="str">
        <f>IFERROR(__xludf.DUMMYFUNCTION("""COMPUTED_VALUE"""),"vranaja01")</f>
        <v>vranaja01</v>
      </c>
      <c r="D443" s="1" t="s">
        <v>28</v>
      </c>
      <c r="E443" s="1">
        <f t="shared" si="1"/>
        <v>137.4</v>
      </c>
      <c r="F443" s="1">
        <f t="shared" si="2"/>
        <v>1.88</v>
      </c>
      <c r="G443" s="1">
        <v>73.0</v>
      </c>
      <c r="H443" s="1">
        <v>13.0</v>
      </c>
      <c r="I443" s="1">
        <v>14.0</v>
      </c>
      <c r="J443" s="1">
        <v>27.0</v>
      </c>
      <c r="K443" s="1">
        <v>133.0</v>
      </c>
      <c r="L443" s="1">
        <v>31.0</v>
      </c>
      <c r="M443" s="1">
        <v>16.0</v>
      </c>
      <c r="N443" s="1">
        <v>1.0</v>
      </c>
      <c r="O443" s="1">
        <v>2.0</v>
      </c>
      <c r="P443" s="1">
        <v>0.0</v>
      </c>
      <c r="Q443" s="1">
        <v>0.0</v>
      </c>
      <c r="R443" s="1">
        <v>2.0</v>
      </c>
      <c r="S443" s="1">
        <v>12.0</v>
      </c>
      <c r="T443" s="1">
        <v>2.0</v>
      </c>
    </row>
    <row r="444" ht="12.75" customHeight="1">
      <c r="A444" s="1" t="s">
        <v>476</v>
      </c>
      <c r="B444" s="1" t="str">
        <f>IFERROR(__xludf.DUMMYFUNCTION("split(A444, ""\"")"),"Tristan Jarry")</f>
        <v>Tristan Jarry</v>
      </c>
      <c r="C444" s="2" t="str">
        <f>IFERROR(__xludf.DUMMYFUNCTION("""COMPUTED_VALUE"""),"jarrytr01")</f>
        <v>jarrytr01</v>
      </c>
      <c r="D444" s="1" t="s">
        <v>5</v>
      </c>
      <c r="E444" s="1">
        <f t="shared" si="1"/>
        <v>137</v>
      </c>
      <c r="F444" s="1">
        <f t="shared" si="2"/>
        <v>5.27</v>
      </c>
      <c r="G444" s="1">
        <v>26.0</v>
      </c>
      <c r="U444" s="1">
        <v>23.0</v>
      </c>
      <c r="V444" s="1">
        <v>14.0</v>
      </c>
      <c r="W444" s="1">
        <v>6.0</v>
      </c>
      <c r="X444" s="1">
        <v>63.0</v>
      </c>
      <c r="Y444" s="1">
        <v>687.0</v>
      </c>
      <c r="Z444" s="1">
        <v>624.0</v>
      </c>
      <c r="AA444" s="1">
        <v>2.0</v>
      </c>
    </row>
    <row r="445" ht="12.75" customHeight="1">
      <c r="A445" s="1" t="s">
        <v>477</v>
      </c>
      <c r="B445" s="1" t="str">
        <f>IFERROR(__xludf.DUMMYFUNCTION("split(A445, ""\"")"),"Jason Spezza")</f>
        <v>Jason Spezza</v>
      </c>
      <c r="C445" s="1" t="str">
        <f>IFERROR(__xludf.DUMMYFUNCTION("""COMPUTED_VALUE"""),"spezzja01")</f>
        <v>spezzja01</v>
      </c>
      <c r="D445" s="1" t="s">
        <v>31</v>
      </c>
      <c r="E445" s="1">
        <f t="shared" si="1"/>
        <v>136.9</v>
      </c>
      <c r="F445" s="1">
        <f t="shared" si="2"/>
        <v>1.76</v>
      </c>
      <c r="G445" s="1">
        <v>78.0</v>
      </c>
      <c r="H445" s="1">
        <v>8.0</v>
      </c>
      <c r="I445" s="1">
        <v>18.0</v>
      </c>
      <c r="J445" s="1">
        <v>26.0</v>
      </c>
      <c r="K445" s="1">
        <v>138.0</v>
      </c>
      <c r="L445" s="1">
        <v>16.0</v>
      </c>
      <c r="M445" s="1">
        <v>26.0</v>
      </c>
      <c r="N445" s="1">
        <v>4.0</v>
      </c>
      <c r="O445" s="1">
        <v>7.0</v>
      </c>
      <c r="P445" s="1">
        <v>0.0</v>
      </c>
      <c r="Q445" s="1">
        <v>0.0</v>
      </c>
      <c r="R445" s="1">
        <v>-12.0</v>
      </c>
      <c r="S445" s="1">
        <v>12.0</v>
      </c>
      <c r="T445" s="1">
        <v>3.0</v>
      </c>
    </row>
    <row r="446" ht="12.75" customHeight="1">
      <c r="A446" s="1" t="s">
        <v>478</v>
      </c>
      <c r="B446" s="1" t="str">
        <f>IFERROR(__xludf.DUMMYFUNCTION("split(A446, ""\"")"),"Alex Iafallo")</f>
        <v>Alex Iafallo</v>
      </c>
      <c r="C446" s="1" t="str">
        <f>IFERROR(__xludf.DUMMYFUNCTION("""COMPUTED_VALUE"""),"iafalal01")</f>
        <v>iafalal01</v>
      </c>
      <c r="D446" s="1" t="s">
        <v>31</v>
      </c>
      <c r="E446" s="1">
        <f t="shared" si="1"/>
        <v>136.7</v>
      </c>
      <c r="F446" s="1">
        <f t="shared" si="2"/>
        <v>1.82</v>
      </c>
      <c r="G446" s="1">
        <v>75.0</v>
      </c>
      <c r="H446" s="1">
        <v>9.0</v>
      </c>
      <c r="I446" s="1">
        <v>16.0</v>
      </c>
      <c r="J446" s="1">
        <v>25.0</v>
      </c>
      <c r="K446" s="1">
        <v>129.0</v>
      </c>
      <c r="L446" s="1">
        <v>53.0</v>
      </c>
      <c r="M446" s="1">
        <v>33.0</v>
      </c>
      <c r="N446" s="1">
        <v>0.0</v>
      </c>
      <c r="O446" s="1">
        <v>2.0</v>
      </c>
      <c r="P446" s="1">
        <v>0.0</v>
      </c>
      <c r="Q446" s="1">
        <v>0.0</v>
      </c>
      <c r="R446" s="1">
        <v>10.0</v>
      </c>
      <c r="S446" s="1">
        <v>12.0</v>
      </c>
      <c r="T446" s="1">
        <v>1.0</v>
      </c>
    </row>
    <row r="447" ht="12.75" customHeight="1">
      <c r="A447" s="1" t="s">
        <v>479</v>
      </c>
      <c r="B447" s="1" t="str">
        <f>IFERROR(__xludf.DUMMYFUNCTION("split(A447, ""\"")"),"Christian Folin")</f>
        <v>Christian Folin</v>
      </c>
      <c r="C447" s="1" t="str">
        <f>IFERROR(__xludf.DUMMYFUNCTION("""COMPUTED_VALUE"""),"folinch01")</f>
        <v>folinch01</v>
      </c>
      <c r="D447" s="1" t="s">
        <v>66</v>
      </c>
      <c r="E447" s="1">
        <f t="shared" si="1"/>
        <v>136.65</v>
      </c>
      <c r="F447" s="1">
        <f t="shared" si="2"/>
        <v>2.1</v>
      </c>
      <c r="G447" s="1">
        <v>65.0</v>
      </c>
      <c r="H447" s="1">
        <v>3.0</v>
      </c>
      <c r="I447" s="1">
        <v>10.0</v>
      </c>
      <c r="J447" s="1">
        <v>13.0</v>
      </c>
      <c r="K447" s="1">
        <v>58.0</v>
      </c>
      <c r="L447" s="1">
        <v>167.0</v>
      </c>
      <c r="M447" s="1">
        <v>106.0</v>
      </c>
      <c r="N447" s="1">
        <v>0.0</v>
      </c>
      <c r="O447" s="1">
        <v>0.0</v>
      </c>
      <c r="P447" s="1">
        <v>0.0</v>
      </c>
      <c r="Q447" s="1">
        <v>1.0</v>
      </c>
      <c r="R447" s="1">
        <v>1.0</v>
      </c>
      <c r="S447" s="1">
        <v>30.0</v>
      </c>
      <c r="T447" s="1">
        <v>0.0</v>
      </c>
    </row>
    <row r="448" ht="12.75" customHeight="1">
      <c r="A448" s="1" t="s">
        <v>480</v>
      </c>
      <c r="B448" s="1" t="str">
        <f>IFERROR(__xludf.DUMMYFUNCTION("split(A448, ""\"")"),"Samuel Girard")</f>
        <v>Samuel Girard</v>
      </c>
      <c r="C448" s="1" t="str">
        <f>IFERROR(__xludf.DUMMYFUNCTION("""COMPUTED_VALUE"""),"girarsa01")</f>
        <v>girarsa01</v>
      </c>
      <c r="D448" s="1" t="s">
        <v>66</v>
      </c>
      <c r="E448" s="1">
        <f t="shared" si="1"/>
        <v>136.6</v>
      </c>
      <c r="F448" s="1">
        <f t="shared" si="2"/>
        <v>1.87</v>
      </c>
      <c r="G448" s="1">
        <v>73.0</v>
      </c>
      <c r="H448" s="1">
        <v>4.0</v>
      </c>
      <c r="I448" s="1">
        <v>19.0</v>
      </c>
      <c r="J448" s="1">
        <v>23.0</v>
      </c>
      <c r="K448" s="1">
        <v>84.0</v>
      </c>
      <c r="L448" s="1">
        <v>46.0</v>
      </c>
      <c r="M448" s="1">
        <v>69.0</v>
      </c>
      <c r="N448" s="1">
        <v>1.0</v>
      </c>
      <c r="O448" s="1">
        <v>12.0</v>
      </c>
      <c r="P448" s="1">
        <v>0.0</v>
      </c>
      <c r="Q448" s="1">
        <v>0.0</v>
      </c>
      <c r="R448" s="1">
        <v>-11.0</v>
      </c>
      <c r="S448" s="1">
        <v>8.0</v>
      </c>
      <c r="T448" s="1">
        <v>0.0</v>
      </c>
    </row>
    <row r="449" ht="12.75" customHeight="1">
      <c r="A449" s="1" t="s">
        <v>481</v>
      </c>
      <c r="B449" s="1" t="str">
        <f>IFERROR(__xludf.DUMMYFUNCTION("split(A449, ""\"")"),"Zach Parise")</f>
        <v>Zach Parise</v>
      </c>
      <c r="C449" s="1" t="str">
        <f>IFERROR(__xludf.DUMMYFUNCTION("""COMPUTED_VALUE"""),"parisza01")</f>
        <v>parisza01</v>
      </c>
      <c r="D449" s="1" t="s">
        <v>28</v>
      </c>
      <c r="E449" s="1">
        <f t="shared" si="1"/>
        <v>136.55</v>
      </c>
      <c r="F449" s="1">
        <f t="shared" si="2"/>
        <v>3.25</v>
      </c>
      <c r="G449" s="1">
        <v>42.0</v>
      </c>
      <c r="H449" s="1">
        <v>15.0</v>
      </c>
      <c r="I449" s="1">
        <v>9.0</v>
      </c>
      <c r="J449" s="1">
        <v>24.0</v>
      </c>
      <c r="K449" s="1">
        <v>119.0</v>
      </c>
      <c r="L449" s="1">
        <v>26.0</v>
      </c>
      <c r="M449" s="1">
        <v>37.0</v>
      </c>
      <c r="N449" s="1">
        <v>2.0</v>
      </c>
      <c r="O449" s="1">
        <v>1.0</v>
      </c>
      <c r="P449" s="1">
        <v>0.0</v>
      </c>
      <c r="Q449" s="1">
        <v>0.0</v>
      </c>
      <c r="R449" s="1">
        <v>0.0</v>
      </c>
      <c r="S449" s="1">
        <v>14.0</v>
      </c>
      <c r="T449" s="1">
        <v>4.0</v>
      </c>
    </row>
    <row r="450" ht="12.75" customHeight="1">
      <c r="A450" s="1" t="s">
        <v>482</v>
      </c>
      <c r="B450" s="1" t="str">
        <f>IFERROR(__xludf.DUMMYFUNCTION("split(A450, ""\"")"),"Mark Letestu")</f>
        <v>Mark Letestu</v>
      </c>
      <c r="C450" s="1" t="str">
        <f>IFERROR(__xludf.DUMMYFUNCTION("""COMPUTED_VALUE"""),"letesma01")</f>
        <v>letesma01</v>
      </c>
      <c r="D450" s="1" t="s">
        <v>31</v>
      </c>
      <c r="E450" s="1">
        <f t="shared" si="1"/>
        <v>136.05</v>
      </c>
      <c r="F450" s="1">
        <f t="shared" si="2"/>
        <v>1.7</v>
      </c>
      <c r="G450" s="1">
        <v>80.0</v>
      </c>
      <c r="H450" s="1">
        <v>9.0</v>
      </c>
      <c r="I450" s="1">
        <v>14.0</v>
      </c>
      <c r="J450" s="1">
        <v>23.0</v>
      </c>
      <c r="K450" s="1">
        <v>111.0</v>
      </c>
      <c r="L450" s="1">
        <v>62.0</v>
      </c>
      <c r="M450" s="1">
        <v>32.0</v>
      </c>
      <c r="N450" s="1">
        <v>3.0</v>
      </c>
      <c r="O450" s="1">
        <v>3.0</v>
      </c>
      <c r="P450" s="1">
        <v>2.0</v>
      </c>
      <c r="Q450" s="1">
        <v>1.0</v>
      </c>
      <c r="R450" s="1">
        <v>-17.0</v>
      </c>
      <c r="S450" s="1">
        <v>10.0</v>
      </c>
      <c r="T450" s="1">
        <v>1.0</v>
      </c>
    </row>
    <row r="451" ht="12.75" customHeight="1">
      <c r="A451" s="1" t="s">
        <v>483</v>
      </c>
      <c r="B451" s="1" t="str">
        <f>IFERROR(__xludf.DUMMYFUNCTION("split(A451, ""\"")"),"Martin Frk")</f>
        <v>Martin Frk</v>
      </c>
      <c r="C451" s="1" t="str">
        <f>IFERROR(__xludf.DUMMYFUNCTION("""COMPUTED_VALUE"""),"frkma01")</f>
        <v>frkma01</v>
      </c>
      <c r="D451" s="1" t="s">
        <v>36</v>
      </c>
      <c r="E451" s="1">
        <f t="shared" si="1"/>
        <v>136</v>
      </c>
      <c r="F451" s="1">
        <f t="shared" si="2"/>
        <v>2</v>
      </c>
      <c r="G451" s="1">
        <v>68.0</v>
      </c>
      <c r="H451" s="1">
        <v>11.0</v>
      </c>
      <c r="I451" s="1">
        <v>14.0</v>
      </c>
      <c r="J451" s="1">
        <v>25.0</v>
      </c>
      <c r="K451" s="1">
        <v>99.0</v>
      </c>
      <c r="L451" s="1">
        <v>77.0</v>
      </c>
      <c r="M451" s="1">
        <v>10.0</v>
      </c>
      <c r="N451" s="1">
        <v>5.0</v>
      </c>
      <c r="O451" s="1">
        <v>4.0</v>
      </c>
      <c r="P451" s="1">
        <v>0.0</v>
      </c>
      <c r="Q451" s="1">
        <v>0.0</v>
      </c>
      <c r="R451" s="1">
        <v>-14.0</v>
      </c>
      <c r="S451" s="1">
        <v>14.0</v>
      </c>
      <c r="T451" s="1">
        <v>0.0</v>
      </c>
    </row>
    <row r="452" ht="12.75" customHeight="1">
      <c r="A452" s="1" t="s">
        <v>484</v>
      </c>
      <c r="B452" s="1" t="str">
        <f>IFERROR(__xludf.DUMMYFUNCTION("split(A452, ""\"")"),"Scott Hartnell")</f>
        <v>Scott Hartnell</v>
      </c>
      <c r="C452" s="1" t="str">
        <f>IFERROR(__xludf.DUMMYFUNCTION("""COMPUTED_VALUE"""),"hartnsc01")</f>
        <v>hartnsc01</v>
      </c>
      <c r="D452" s="1" t="s">
        <v>28</v>
      </c>
      <c r="E452" s="1">
        <f t="shared" si="1"/>
        <v>135.5</v>
      </c>
      <c r="F452" s="1">
        <f t="shared" si="2"/>
        <v>2.19</v>
      </c>
      <c r="G452" s="1">
        <v>62.0</v>
      </c>
      <c r="H452" s="1">
        <v>13.0</v>
      </c>
      <c r="I452" s="1">
        <v>11.0</v>
      </c>
      <c r="J452" s="1">
        <v>24.0</v>
      </c>
      <c r="K452" s="1">
        <v>82.0</v>
      </c>
      <c r="L452" s="1">
        <v>82.0</v>
      </c>
      <c r="M452" s="1">
        <v>25.0</v>
      </c>
      <c r="N452" s="1">
        <v>2.0</v>
      </c>
      <c r="O452" s="1">
        <v>3.0</v>
      </c>
      <c r="P452" s="1">
        <v>0.0</v>
      </c>
      <c r="Q452" s="1">
        <v>0.0</v>
      </c>
      <c r="R452" s="1">
        <v>-3.0</v>
      </c>
      <c r="S452" s="1">
        <v>82.0</v>
      </c>
      <c r="T452" s="1">
        <v>2.0</v>
      </c>
    </row>
    <row r="453" ht="12.75" customHeight="1">
      <c r="A453" s="1" t="s">
        <v>485</v>
      </c>
      <c r="B453" s="1" t="str">
        <f>IFERROR(__xludf.DUMMYFUNCTION("split(A453, ""\"")"),"Nikita Zaitsev")</f>
        <v>Nikita Zaitsev</v>
      </c>
      <c r="C453" s="1" t="str">
        <f>IFERROR(__xludf.DUMMYFUNCTION("""COMPUTED_VALUE"""),"zaitsni01")</f>
        <v>zaitsni01</v>
      </c>
      <c r="D453" s="1" t="s">
        <v>66</v>
      </c>
      <c r="E453" s="1">
        <f t="shared" si="1"/>
        <v>135.35</v>
      </c>
      <c r="F453" s="1">
        <f t="shared" si="2"/>
        <v>2.26</v>
      </c>
      <c r="G453" s="1">
        <v>60.0</v>
      </c>
      <c r="H453" s="1">
        <v>5.0</v>
      </c>
      <c r="I453" s="1">
        <v>8.0</v>
      </c>
      <c r="J453" s="1">
        <v>13.0</v>
      </c>
      <c r="K453" s="1">
        <v>54.0</v>
      </c>
      <c r="L453" s="1">
        <v>113.0</v>
      </c>
      <c r="M453" s="1">
        <v>134.0</v>
      </c>
      <c r="N453" s="1">
        <v>0.0</v>
      </c>
      <c r="O453" s="1">
        <v>0.0</v>
      </c>
      <c r="P453" s="1">
        <v>0.0</v>
      </c>
      <c r="Q453" s="1">
        <v>0.0</v>
      </c>
      <c r="R453" s="1">
        <v>8.0</v>
      </c>
      <c r="S453" s="1">
        <v>31.0</v>
      </c>
      <c r="T453" s="1">
        <v>1.0</v>
      </c>
    </row>
    <row r="454" ht="12.75" customHeight="1">
      <c r="A454" s="1" t="s">
        <v>486</v>
      </c>
      <c r="B454" s="1" t="str">
        <f>IFERROR(__xludf.DUMMYFUNCTION("split(A454, ""\"")"),"Scott Laughton")</f>
        <v>Scott Laughton</v>
      </c>
      <c r="C454" s="1" t="str">
        <f>IFERROR(__xludf.DUMMYFUNCTION("""COMPUTED_VALUE"""),"laughsc01")</f>
        <v>laughsc01</v>
      </c>
      <c r="D454" s="1" t="s">
        <v>31</v>
      </c>
      <c r="E454" s="1">
        <f t="shared" si="1"/>
        <v>135.3</v>
      </c>
      <c r="F454" s="1">
        <f t="shared" si="2"/>
        <v>1.67</v>
      </c>
      <c r="G454" s="1">
        <v>81.0</v>
      </c>
      <c r="H454" s="1">
        <v>10.0</v>
      </c>
      <c r="I454" s="1">
        <v>10.0</v>
      </c>
      <c r="J454" s="1">
        <v>20.0</v>
      </c>
      <c r="K454" s="1">
        <v>108.0</v>
      </c>
      <c r="L454" s="1">
        <v>126.0</v>
      </c>
      <c r="M454" s="1">
        <v>27.0</v>
      </c>
      <c r="N454" s="1">
        <v>0.0</v>
      </c>
      <c r="O454" s="1">
        <v>0.0</v>
      </c>
      <c r="P454" s="1">
        <v>1.0</v>
      </c>
      <c r="Q454" s="1">
        <v>0.0</v>
      </c>
      <c r="R454" s="1">
        <v>-10.0</v>
      </c>
      <c r="S454" s="1">
        <v>42.0</v>
      </c>
      <c r="T454" s="1">
        <v>0.0</v>
      </c>
    </row>
    <row r="455" ht="12.75" customHeight="1">
      <c r="A455" s="1" t="s">
        <v>487</v>
      </c>
      <c r="B455" s="1" t="str">
        <f>IFERROR(__xludf.DUMMYFUNCTION("split(A455, ""\"")"),"Pavel Zacha")</f>
        <v>Pavel Zacha</v>
      </c>
      <c r="C455" s="1" t="str">
        <f>IFERROR(__xludf.DUMMYFUNCTION("""COMPUTED_VALUE"""),"zachapa01")</f>
        <v>zachapa01</v>
      </c>
      <c r="D455" s="1" t="s">
        <v>31</v>
      </c>
      <c r="E455" s="1">
        <f t="shared" si="1"/>
        <v>134.8</v>
      </c>
      <c r="F455" s="1">
        <f t="shared" si="2"/>
        <v>1.95</v>
      </c>
      <c r="G455" s="1">
        <v>69.0</v>
      </c>
      <c r="H455" s="1">
        <v>8.0</v>
      </c>
      <c r="I455" s="1">
        <v>17.0</v>
      </c>
      <c r="J455" s="1">
        <v>25.0</v>
      </c>
      <c r="K455" s="1">
        <v>112.0</v>
      </c>
      <c r="L455" s="1">
        <v>70.0</v>
      </c>
      <c r="M455" s="1">
        <v>22.0</v>
      </c>
      <c r="N455" s="1">
        <v>2.0</v>
      </c>
      <c r="O455" s="1">
        <v>3.0</v>
      </c>
      <c r="P455" s="1">
        <v>1.0</v>
      </c>
      <c r="Q455" s="1">
        <v>0.0</v>
      </c>
      <c r="R455" s="1">
        <v>-3.0</v>
      </c>
      <c r="S455" s="1">
        <v>30.0</v>
      </c>
      <c r="T455" s="1">
        <v>0.0</v>
      </c>
    </row>
    <row r="456" ht="12.75" customHeight="1">
      <c r="A456" s="1" t="s">
        <v>488</v>
      </c>
      <c r="B456" s="1" t="str">
        <f>IFERROR(__xludf.DUMMYFUNCTION("split(A456, ""\"")"),"Nick Bonino")</f>
        <v>Nick Bonino</v>
      </c>
      <c r="C456" s="1" t="str">
        <f>IFERROR(__xludf.DUMMYFUNCTION("""COMPUTED_VALUE"""),"boninni01")</f>
        <v>boninni01</v>
      </c>
      <c r="D456" s="1" t="s">
        <v>31</v>
      </c>
      <c r="E456" s="1">
        <f t="shared" si="1"/>
        <v>134.55</v>
      </c>
      <c r="F456" s="1">
        <f t="shared" si="2"/>
        <v>1.9</v>
      </c>
      <c r="G456" s="1">
        <v>71.0</v>
      </c>
      <c r="H456" s="1">
        <v>12.0</v>
      </c>
      <c r="I456" s="1">
        <v>13.0</v>
      </c>
      <c r="J456" s="1">
        <v>25.0</v>
      </c>
      <c r="K456" s="1">
        <v>83.0</v>
      </c>
      <c r="L456" s="1">
        <v>18.0</v>
      </c>
      <c r="M456" s="1">
        <v>72.0</v>
      </c>
      <c r="N456" s="1">
        <v>0.0</v>
      </c>
      <c r="O456" s="1">
        <v>0.0</v>
      </c>
      <c r="P456" s="1">
        <v>0.0</v>
      </c>
      <c r="Q456" s="1">
        <v>0.0</v>
      </c>
      <c r="R456" s="1">
        <v>4.0</v>
      </c>
      <c r="S456" s="1">
        <v>20.0</v>
      </c>
      <c r="T456" s="1">
        <v>0.0</v>
      </c>
    </row>
    <row r="457" ht="12.75" customHeight="1">
      <c r="A457" s="1" t="s">
        <v>489</v>
      </c>
      <c r="B457" s="1" t="str">
        <f>IFERROR(__xludf.DUMMYFUNCTION("split(A457, ""\"")"),"Jason Demers")</f>
        <v>Jason Demers</v>
      </c>
      <c r="C457" s="1" t="str">
        <f>IFERROR(__xludf.DUMMYFUNCTION("""COMPUTED_VALUE"""),"demerja01")</f>
        <v>demerja01</v>
      </c>
      <c r="D457" s="1" t="s">
        <v>66</v>
      </c>
      <c r="E457" s="1">
        <f t="shared" si="1"/>
        <v>133.85</v>
      </c>
      <c r="F457" s="1">
        <f t="shared" si="2"/>
        <v>1.94</v>
      </c>
      <c r="G457" s="1">
        <v>69.0</v>
      </c>
      <c r="H457" s="1">
        <v>6.0</v>
      </c>
      <c r="I457" s="1">
        <v>14.0</v>
      </c>
      <c r="J457" s="1">
        <v>20.0</v>
      </c>
      <c r="K457" s="1">
        <v>95.0</v>
      </c>
      <c r="L457" s="1">
        <v>66.0</v>
      </c>
      <c r="M457" s="1">
        <v>79.0</v>
      </c>
      <c r="N457" s="1">
        <v>0.0</v>
      </c>
      <c r="O457" s="1">
        <v>3.0</v>
      </c>
      <c r="P457" s="1">
        <v>0.0</v>
      </c>
      <c r="Q457" s="1">
        <v>0.0</v>
      </c>
      <c r="R457" s="1">
        <v>-4.0</v>
      </c>
      <c r="S457" s="1">
        <v>37.0</v>
      </c>
      <c r="T457" s="1">
        <v>2.0</v>
      </c>
    </row>
    <row r="458" ht="12.75" customHeight="1">
      <c r="A458" s="1" t="s">
        <v>490</v>
      </c>
      <c r="B458" s="1" t="str">
        <f>IFERROR(__xludf.DUMMYFUNCTION("split(A458, ""\"")"),"Jack Johnson")</f>
        <v>Jack Johnson</v>
      </c>
      <c r="C458" s="1" t="str">
        <f>IFERROR(__xludf.DUMMYFUNCTION("""COMPUTED_VALUE"""),"johnsja02")</f>
        <v>johnsja02</v>
      </c>
      <c r="D458" s="1" t="s">
        <v>66</v>
      </c>
      <c r="E458" s="1">
        <f t="shared" si="1"/>
        <v>133.25</v>
      </c>
      <c r="F458" s="1">
        <f t="shared" si="2"/>
        <v>1.73</v>
      </c>
      <c r="G458" s="1">
        <v>77.0</v>
      </c>
      <c r="H458" s="1">
        <v>3.0</v>
      </c>
      <c r="I458" s="1">
        <v>8.0</v>
      </c>
      <c r="J458" s="1">
        <v>11.0</v>
      </c>
      <c r="K458" s="1">
        <v>88.0</v>
      </c>
      <c r="L458" s="1">
        <v>101.0</v>
      </c>
      <c r="M458" s="1">
        <v>135.0</v>
      </c>
      <c r="N458" s="1">
        <v>0.0</v>
      </c>
      <c r="O458" s="1">
        <v>0.0</v>
      </c>
      <c r="P458" s="1">
        <v>0.0</v>
      </c>
      <c r="Q458" s="1">
        <v>0.0</v>
      </c>
      <c r="R458" s="1">
        <v>-6.0</v>
      </c>
      <c r="S458" s="1">
        <v>22.0</v>
      </c>
      <c r="T458" s="1">
        <v>1.0</v>
      </c>
    </row>
    <row r="459" ht="12.75" customHeight="1">
      <c r="A459" s="1" t="s">
        <v>491</v>
      </c>
      <c r="B459" s="1" t="str">
        <f>IFERROR(__xludf.DUMMYFUNCTION("split(A459, ""\"")"),"Ryan Callahan")</f>
        <v>Ryan Callahan</v>
      </c>
      <c r="C459" s="1" t="str">
        <f>IFERROR(__xludf.DUMMYFUNCTION("""COMPUTED_VALUE"""),"callary01")</f>
        <v>callary01</v>
      </c>
      <c r="D459" s="1" t="s">
        <v>36</v>
      </c>
      <c r="E459" s="1">
        <f t="shared" si="1"/>
        <v>133</v>
      </c>
      <c r="F459" s="1">
        <f t="shared" si="2"/>
        <v>1.99</v>
      </c>
      <c r="G459" s="1">
        <v>67.0</v>
      </c>
      <c r="H459" s="1">
        <v>5.0</v>
      </c>
      <c r="I459" s="1">
        <v>13.0</v>
      </c>
      <c r="J459" s="1">
        <v>18.0</v>
      </c>
      <c r="K459" s="1">
        <v>104.0</v>
      </c>
      <c r="L459" s="1">
        <v>138.0</v>
      </c>
      <c r="M459" s="1">
        <v>40.0</v>
      </c>
      <c r="N459" s="1">
        <v>1.0</v>
      </c>
      <c r="O459" s="1">
        <v>1.0</v>
      </c>
      <c r="P459" s="1">
        <v>1.0</v>
      </c>
      <c r="Q459" s="1">
        <v>1.0</v>
      </c>
      <c r="R459" s="1">
        <v>-4.0</v>
      </c>
      <c r="S459" s="1">
        <v>29.0</v>
      </c>
      <c r="T459" s="1">
        <v>0.0</v>
      </c>
    </row>
    <row r="460" ht="12.75" customHeight="1">
      <c r="A460" s="1" t="s">
        <v>492</v>
      </c>
      <c r="B460" s="1" t="str">
        <f>IFERROR(__xludf.DUMMYFUNCTION("split(A460, ""\"")"),"Matt Calvert")</f>
        <v>Matt Calvert</v>
      </c>
      <c r="C460" s="1" t="str">
        <f>IFERROR(__xludf.DUMMYFUNCTION("""COMPUTED_VALUE"""),"calvema01")</f>
        <v>calvema01</v>
      </c>
      <c r="D460" s="1" t="s">
        <v>28</v>
      </c>
      <c r="E460" s="1">
        <f t="shared" si="1"/>
        <v>132.75</v>
      </c>
      <c r="F460" s="1">
        <f t="shared" si="2"/>
        <v>1.92</v>
      </c>
      <c r="G460" s="1">
        <v>69.0</v>
      </c>
      <c r="H460" s="1">
        <v>9.0</v>
      </c>
      <c r="I460" s="1">
        <v>15.0</v>
      </c>
      <c r="J460" s="1">
        <v>24.0</v>
      </c>
      <c r="K460" s="1">
        <v>108.0</v>
      </c>
      <c r="L460" s="1">
        <v>61.0</v>
      </c>
      <c r="M460" s="1">
        <v>35.0</v>
      </c>
      <c r="N460" s="1">
        <v>1.0</v>
      </c>
      <c r="O460" s="1">
        <v>0.0</v>
      </c>
      <c r="P460" s="1">
        <v>2.0</v>
      </c>
      <c r="Q460" s="1">
        <v>0.0</v>
      </c>
      <c r="R460" s="1">
        <v>-10.0</v>
      </c>
      <c r="S460" s="1">
        <v>33.0</v>
      </c>
      <c r="T460" s="1">
        <v>0.0</v>
      </c>
    </row>
    <row r="461" ht="12.75" customHeight="1">
      <c r="A461" s="1" t="s">
        <v>493</v>
      </c>
      <c r="B461" s="1" t="str">
        <f>IFERROR(__xludf.DUMMYFUNCTION("split(A461, ""\"")"),"Joel Eriksson Ek")</f>
        <v>Joel Eriksson Ek</v>
      </c>
      <c r="C461" s="1" t="str">
        <f>IFERROR(__xludf.DUMMYFUNCTION("""COMPUTED_VALUE"""),"eriksjo02")</f>
        <v>eriksjo02</v>
      </c>
      <c r="D461" s="1" t="s">
        <v>31</v>
      </c>
      <c r="E461" s="1">
        <f t="shared" si="1"/>
        <v>131.9</v>
      </c>
      <c r="F461" s="1">
        <f t="shared" si="2"/>
        <v>1.76</v>
      </c>
      <c r="G461" s="1">
        <v>75.0</v>
      </c>
      <c r="H461" s="1">
        <v>6.0</v>
      </c>
      <c r="I461" s="1">
        <v>10.0</v>
      </c>
      <c r="J461" s="1">
        <v>16.0</v>
      </c>
      <c r="K461" s="1">
        <v>124.0</v>
      </c>
      <c r="L461" s="1">
        <v>134.0</v>
      </c>
      <c r="M461" s="1">
        <v>46.0</v>
      </c>
      <c r="N461" s="1">
        <v>0.0</v>
      </c>
      <c r="O461" s="1">
        <v>0.0</v>
      </c>
      <c r="P461" s="1">
        <v>0.0</v>
      </c>
      <c r="Q461" s="1">
        <v>0.0</v>
      </c>
      <c r="R461" s="1">
        <v>2.0</v>
      </c>
      <c r="S461" s="1">
        <v>22.0</v>
      </c>
      <c r="T461" s="1">
        <v>0.0</v>
      </c>
    </row>
    <row r="462" ht="12.75" customHeight="1">
      <c r="A462" s="1" t="s">
        <v>494</v>
      </c>
      <c r="B462" s="1" t="str">
        <f>IFERROR(__xludf.DUMMYFUNCTION("split(A462, ""\"")"),"Phillip Danault")</f>
        <v>Phillip Danault</v>
      </c>
      <c r="C462" s="1" t="str">
        <f>IFERROR(__xludf.DUMMYFUNCTION("""COMPUTED_VALUE"""),"danauph01")</f>
        <v>danauph01</v>
      </c>
      <c r="D462" s="1" t="s">
        <v>28</v>
      </c>
      <c r="E462" s="1">
        <f t="shared" si="1"/>
        <v>130.95</v>
      </c>
      <c r="F462" s="1">
        <f t="shared" si="2"/>
        <v>2.52</v>
      </c>
      <c r="G462" s="1">
        <v>52.0</v>
      </c>
      <c r="H462" s="1">
        <v>8.0</v>
      </c>
      <c r="I462" s="1">
        <v>17.0</v>
      </c>
      <c r="J462" s="1">
        <v>25.0</v>
      </c>
      <c r="K462" s="1">
        <v>94.0</v>
      </c>
      <c r="L462" s="1">
        <v>59.0</v>
      </c>
      <c r="M462" s="1">
        <v>38.0</v>
      </c>
      <c r="N462" s="1">
        <v>0.0</v>
      </c>
      <c r="O462" s="1">
        <v>2.0</v>
      </c>
      <c r="P462" s="1">
        <v>1.0</v>
      </c>
      <c r="Q462" s="1">
        <v>0.0</v>
      </c>
      <c r="R462" s="1">
        <v>0.0</v>
      </c>
      <c r="S462" s="1">
        <v>34.0</v>
      </c>
      <c r="T462" s="1">
        <v>2.0</v>
      </c>
    </row>
    <row r="463" ht="12.75" customHeight="1">
      <c r="A463" s="1" t="s">
        <v>495</v>
      </c>
      <c r="B463" s="1" t="str">
        <f>IFERROR(__xludf.DUMMYFUNCTION("split(A463, ""\"")"),"Robert Bortuzzo")</f>
        <v>Robert Bortuzzo</v>
      </c>
      <c r="C463" s="1" t="str">
        <f>IFERROR(__xludf.DUMMYFUNCTION("""COMPUTED_VALUE"""),"borturo01")</f>
        <v>borturo01</v>
      </c>
      <c r="D463" s="1" t="s">
        <v>66</v>
      </c>
      <c r="E463" s="1">
        <f t="shared" si="1"/>
        <v>130.95</v>
      </c>
      <c r="F463" s="1">
        <f t="shared" si="2"/>
        <v>1.82</v>
      </c>
      <c r="G463" s="1">
        <v>72.0</v>
      </c>
      <c r="H463" s="1">
        <v>4.0</v>
      </c>
      <c r="I463" s="1">
        <v>9.0</v>
      </c>
      <c r="J463" s="1">
        <v>13.0</v>
      </c>
      <c r="K463" s="1">
        <v>76.0</v>
      </c>
      <c r="L463" s="1">
        <v>121.0</v>
      </c>
      <c r="M463" s="1">
        <v>108.0</v>
      </c>
      <c r="N463" s="1">
        <v>0.0</v>
      </c>
      <c r="O463" s="1">
        <v>0.0</v>
      </c>
      <c r="P463" s="1">
        <v>0.0</v>
      </c>
      <c r="Q463" s="1">
        <v>0.0</v>
      </c>
      <c r="R463" s="1">
        <v>11.0</v>
      </c>
      <c r="S463" s="1">
        <v>41.0</v>
      </c>
      <c r="T463" s="1">
        <v>1.0</v>
      </c>
    </row>
    <row r="464" ht="12.75" customHeight="1">
      <c r="A464" s="1" t="s">
        <v>496</v>
      </c>
      <c r="B464" s="1" t="str">
        <f>IFERROR(__xludf.DUMMYFUNCTION("split(A464, ""\"")"),"Anders Nilsson")</f>
        <v>Anders Nilsson</v>
      </c>
      <c r="C464" s="2" t="str">
        <f>IFERROR(__xludf.DUMMYFUNCTION("""COMPUTED_VALUE"""),"nilssan01")</f>
        <v>nilssan01</v>
      </c>
      <c r="D464" s="1" t="s">
        <v>5</v>
      </c>
      <c r="E464" s="1">
        <f t="shared" si="1"/>
        <v>130.5</v>
      </c>
      <c r="F464" s="1">
        <f t="shared" si="2"/>
        <v>4.83</v>
      </c>
      <c r="G464" s="1">
        <v>27.0</v>
      </c>
      <c r="U464" s="1">
        <v>24.0</v>
      </c>
      <c r="V464" s="1">
        <v>7.0</v>
      </c>
      <c r="W464" s="1">
        <v>14.0</v>
      </c>
      <c r="X464" s="1">
        <v>84.0</v>
      </c>
      <c r="Y464" s="1">
        <v>850.0</v>
      </c>
      <c r="Z464" s="1">
        <v>766.0</v>
      </c>
      <c r="AA464" s="1">
        <v>2.0</v>
      </c>
    </row>
    <row r="465" ht="12.75" customHeight="1">
      <c r="A465" s="1" t="s">
        <v>497</v>
      </c>
      <c r="B465" s="1" t="str">
        <f>IFERROR(__xludf.DUMMYFUNCTION("split(A465, ""\"")"),"Luke Schenn")</f>
        <v>Luke Schenn</v>
      </c>
      <c r="C465" s="1" t="str">
        <f>IFERROR(__xludf.DUMMYFUNCTION("""COMPUTED_VALUE"""),"schenlu01")</f>
        <v>schenlu01</v>
      </c>
      <c r="D465" s="1" t="s">
        <v>66</v>
      </c>
      <c r="E465" s="1">
        <f t="shared" si="1"/>
        <v>130.5</v>
      </c>
      <c r="F465" s="1">
        <f t="shared" si="2"/>
        <v>2.04</v>
      </c>
      <c r="G465" s="1">
        <v>64.0</v>
      </c>
      <c r="H465" s="1">
        <v>1.0</v>
      </c>
      <c r="I465" s="1">
        <v>6.0</v>
      </c>
      <c r="J465" s="1">
        <v>7.0</v>
      </c>
      <c r="K465" s="1">
        <v>59.0</v>
      </c>
      <c r="L465" s="1">
        <v>219.0</v>
      </c>
      <c r="M465" s="1">
        <v>105.0</v>
      </c>
      <c r="N465" s="1">
        <v>0.0</v>
      </c>
      <c r="O465" s="1">
        <v>0.0</v>
      </c>
      <c r="P465" s="1">
        <v>0.0</v>
      </c>
      <c r="Q465" s="1">
        <v>0.0</v>
      </c>
      <c r="R465" s="1">
        <v>-12.0</v>
      </c>
      <c r="S465" s="1">
        <v>35.0</v>
      </c>
      <c r="T465" s="1">
        <v>1.0</v>
      </c>
    </row>
    <row r="466" ht="12.75" customHeight="1">
      <c r="A466" s="1" t="s">
        <v>498</v>
      </c>
      <c r="B466" s="1" t="str">
        <f>IFERROR(__xludf.DUMMYFUNCTION("split(A466, ""\"")"),"Jesse Puljujarvi")</f>
        <v>Jesse Puljujarvi</v>
      </c>
      <c r="C466" s="1" t="str">
        <f>IFERROR(__xludf.DUMMYFUNCTION("""COMPUTED_VALUE"""),"puljuje01")</f>
        <v>puljuje01</v>
      </c>
      <c r="D466" s="1" t="s">
        <v>36</v>
      </c>
      <c r="E466" s="1">
        <f t="shared" si="1"/>
        <v>129.95</v>
      </c>
      <c r="F466" s="1">
        <f t="shared" si="2"/>
        <v>2</v>
      </c>
      <c r="G466" s="1">
        <v>65.0</v>
      </c>
      <c r="H466" s="1">
        <v>12.0</v>
      </c>
      <c r="I466" s="1">
        <v>8.0</v>
      </c>
      <c r="J466" s="1">
        <v>20.0</v>
      </c>
      <c r="K466" s="1">
        <v>136.0</v>
      </c>
      <c r="L466" s="1">
        <v>67.0</v>
      </c>
      <c r="M466" s="1">
        <v>23.0</v>
      </c>
      <c r="N466" s="1">
        <v>2.0</v>
      </c>
      <c r="O466" s="1">
        <v>0.0</v>
      </c>
      <c r="P466" s="1">
        <v>0.0</v>
      </c>
      <c r="Q466" s="1">
        <v>0.0</v>
      </c>
      <c r="R466" s="1">
        <v>-1.0</v>
      </c>
      <c r="S466" s="1">
        <v>14.0</v>
      </c>
      <c r="T466" s="1">
        <v>2.0</v>
      </c>
    </row>
    <row r="467" ht="12.75" customHeight="1">
      <c r="A467" s="1" t="s">
        <v>499</v>
      </c>
      <c r="B467" s="1" t="str">
        <f>IFERROR(__xludf.DUMMYFUNCTION("split(A467, ""\"")"),"Derek Grant")</f>
        <v>Derek Grant</v>
      </c>
      <c r="C467" s="1" t="str">
        <f>IFERROR(__xludf.DUMMYFUNCTION("""COMPUTED_VALUE"""),"grantde01")</f>
        <v>grantde01</v>
      </c>
      <c r="D467" s="1" t="s">
        <v>31</v>
      </c>
      <c r="E467" s="1">
        <f t="shared" si="1"/>
        <v>129.6</v>
      </c>
      <c r="F467" s="1">
        <f t="shared" si="2"/>
        <v>1.96</v>
      </c>
      <c r="G467" s="1">
        <v>66.0</v>
      </c>
      <c r="H467" s="1">
        <v>12.0</v>
      </c>
      <c r="I467" s="1">
        <v>12.0</v>
      </c>
      <c r="J467" s="1">
        <v>24.0</v>
      </c>
      <c r="K467" s="1">
        <v>65.0</v>
      </c>
      <c r="L467" s="1">
        <v>63.0</v>
      </c>
      <c r="M467" s="1">
        <v>39.0</v>
      </c>
      <c r="N467" s="1">
        <v>3.0</v>
      </c>
      <c r="O467" s="1">
        <v>0.0</v>
      </c>
      <c r="P467" s="1">
        <v>0.0</v>
      </c>
      <c r="Q467" s="1">
        <v>1.0</v>
      </c>
      <c r="R467" s="1">
        <v>3.0</v>
      </c>
      <c r="S467" s="1">
        <v>11.0</v>
      </c>
      <c r="T467" s="1">
        <v>0.0</v>
      </c>
    </row>
    <row r="468" ht="12.75" customHeight="1">
      <c r="A468" s="1" t="s">
        <v>500</v>
      </c>
      <c r="B468" s="1" t="str">
        <f>IFERROR(__xludf.DUMMYFUNCTION("split(A468, ""\"")"),"Mike Condon")</f>
        <v>Mike Condon</v>
      </c>
      <c r="C468" s="2" t="str">
        <f>IFERROR(__xludf.DUMMYFUNCTION("""COMPUTED_VALUE"""),"condomi01")</f>
        <v>condomi01</v>
      </c>
      <c r="D468" s="1" t="s">
        <v>5</v>
      </c>
      <c r="E468" s="1">
        <f t="shared" si="1"/>
        <v>129.5</v>
      </c>
      <c r="F468" s="1">
        <f t="shared" si="2"/>
        <v>4.18</v>
      </c>
      <c r="G468" s="1">
        <v>31.0</v>
      </c>
      <c r="U468" s="1">
        <v>26.0</v>
      </c>
      <c r="V468" s="1">
        <v>5.0</v>
      </c>
      <c r="W468" s="1">
        <v>17.0</v>
      </c>
      <c r="X468" s="1">
        <v>88.0</v>
      </c>
      <c r="Y468" s="1">
        <v>898.0</v>
      </c>
      <c r="Z468" s="1">
        <v>810.0</v>
      </c>
      <c r="AA468" s="1">
        <v>0.0</v>
      </c>
    </row>
    <row r="469" ht="12.75" customHeight="1">
      <c r="A469" s="1" t="s">
        <v>501</v>
      </c>
      <c r="B469" s="1" t="str">
        <f>IFERROR(__xludf.DUMMYFUNCTION("split(A469, ""\"")"),"Brandon Dubinsky")</f>
        <v>Brandon Dubinsky</v>
      </c>
      <c r="C469" s="1" t="str">
        <f>IFERROR(__xludf.DUMMYFUNCTION("""COMPUTED_VALUE"""),"dubinbr01")</f>
        <v>dubinbr01</v>
      </c>
      <c r="D469" s="1" t="s">
        <v>31</v>
      </c>
      <c r="E469" s="1">
        <f t="shared" si="1"/>
        <v>129.3</v>
      </c>
      <c r="F469" s="1">
        <f t="shared" si="2"/>
        <v>2.09</v>
      </c>
      <c r="G469" s="1">
        <v>62.0</v>
      </c>
      <c r="H469" s="1">
        <v>6.0</v>
      </c>
      <c r="I469" s="1">
        <v>10.0</v>
      </c>
      <c r="J469" s="1">
        <v>16.0</v>
      </c>
      <c r="K469" s="1">
        <v>89.0</v>
      </c>
      <c r="L469" s="1">
        <v>145.0</v>
      </c>
      <c r="M469" s="1">
        <v>47.0</v>
      </c>
      <c r="N469" s="1">
        <v>0.0</v>
      </c>
      <c r="O469" s="1">
        <v>1.0</v>
      </c>
      <c r="P469" s="1">
        <v>1.0</v>
      </c>
      <c r="Q469" s="1">
        <v>1.0</v>
      </c>
      <c r="R469" s="1">
        <v>-2.0</v>
      </c>
      <c r="S469" s="1">
        <v>33.0</v>
      </c>
      <c r="T469" s="1">
        <v>0.0</v>
      </c>
    </row>
    <row r="470" ht="12.75" customHeight="1">
      <c r="A470" s="1" t="s">
        <v>502</v>
      </c>
      <c r="B470" s="1" t="str">
        <f>IFERROR(__xludf.DUMMYFUNCTION("split(A470, ""\"")"),"Patrick Sharp")</f>
        <v>Patrick Sharp</v>
      </c>
      <c r="C470" s="1" t="str">
        <f>IFERROR(__xludf.DUMMYFUNCTION("""COMPUTED_VALUE"""),"sharppa01")</f>
        <v>sharppa01</v>
      </c>
      <c r="D470" s="1" t="s">
        <v>28</v>
      </c>
      <c r="E470" s="1">
        <f t="shared" si="1"/>
        <v>128.75</v>
      </c>
      <c r="F470" s="1">
        <f t="shared" si="2"/>
        <v>1.84</v>
      </c>
      <c r="G470" s="1">
        <v>70.0</v>
      </c>
      <c r="H470" s="1">
        <v>10.0</v>
      </c>
      <c r="I470" s="1">
        <v>11.0</v>
      </c>
      <c r="J470" s="1">
        <v>21.0</v>
      </c>
      <c r="K470" s="1">
        <v>143.0</v>
      </c>
      <c r="L470" s="1">
        <v>46.0</v>
      </c>
      <c r="M470" s="1">
        <v>25.0</v>
      </c>
      <c r="N470" s="1">
        <v>0.0</v>
      </c>
      <c r="O470" s="1">
        <v>4.0</v>
      </c>
      <c r="P470" s="1">
        <v>0.0</v>
      </c>
      <c r="Q470" s="1">
        <v>0.0</v>
      </c>
      <c r="R470" s="1">
        <v>-16.0</v>
      </c>
      <c r="S470" s="1">
        <v>14.0</v>
      </c>
      <c r="T470" s="1">
        <v>1.0</v>
      </c>
    </row>
    <row r="471" ht="12.75" customHeight="1">
      <c r="A471" s="1" t="s">
        <v>503</v>
      </c>
      <c r="B471" s="1" t="str">
        <f>IFERROR(__xludf.DUMMYFUNCTION("split(A471, ""\"")"),"Brett Pesce")</f>
        <v>Brett Pesce</v>
      </c>
      <c r="C471" s="1" t="str">
        <f>IFERROR(__xludf.DUMMYFUNCTION("""COMPUTED_VALUE"""),"pescebr01")</f>
        <v>pescebr01</v>
      </c>
      <c r="D471" s="1" t="s">
        <v>66</v>
      </c>
      <c r="E471" s="1">
        <f t="shared" si="1"/>
        <v>128.65</v>
      </c>
      <c r="F471" s="1">
        <f t="shared" si="2"/>
        <v>1.98</v>
      </c>
      <c r="G471" s="1">
        <v>65.0</v>
      </c>
      <c r="H471" s="1">
        <v>3.0</v>
      </c>
      <c r="I471" s="1">
        <v>16.0</v>
      </c>
      <c r="J471" s="1">
        <v>19.0</v>
      </c>
      <c r="K471" s="1">
        <v>88.0</v>
      </c>
      <c r="L471" s="1">
        <v>57.0</v>
      </c>
      <c r="M471" s="1">
        <v>101.0</v>
      </c>
      <c r="N471" s="1">
        <v>0.0</v>
      </c>
      <c r="O471" s="1">
        <v>0.0</v>
      </c>
      <c r="P471" s="1">
        <v>0.0</v>
      </c>
      <c r="Q471" s="1">
        <v>0.0</v>
      </c>
      <c r="R471" s="1">
        <v>-6.0</v>
      </c>
      <c r="S471" s="1">
        <v>18.0</v>
      </c>
      <c r="T471" s="1">
        <v>1.0</v>
      </c>
    </row>
    <row r="472" ht="12.75" customHeight="1">
      <c r="A472" s="1" t="s">
        <v>504</v>
      </c>
      <c r="B472" s="1" t="str">
        <f>IFERROR(__xludf.DUMMYFUNCTION("split(A472, ""\"")"),"Tyson Jost")</f>
        <v>Tyson Jost</v>
      </c>
      <c r="C472" s="1" t="str">
        <f>IFERROR(__xludf.DUMMYFUNCTION("""COMPUTED_VALUE"""),"jostty01")</f>
        <v>jostty01</v>
      </c>
      <c r="D472" s="1" t="s">
        <v>31</v>
      </c>
      <c r="E472" s="1">
        <f t="shared" si="1"/>
        <v>127.9</v>
      </c>
      <c r="F472" s="1">
        <f t="shared" si="2"/>
        <v>1.97</v>
      </c>
      <c r="G472" s="1">
        <v>65.0</v>
      </c>
      <c r="H472" s="1">
        <v>12.0</v>
      </c>
      <c r="I472" s="1">
        <v>10.0</v>
      </c>
      <c r="J472" s="1">
        <v>22.0</v>
      </c>
      <c r="K472" s="1">
        <v>113.0</v>
      </c>
      <c r="L472" s="1">
        <v>33.0</v>
      </c>
      <c r="M472" s="1">
        <v>26.0</v>
      </c>
      <c r="N472" s="1">
        <v>5.0</v>
      </c>
      <c r="O472" s="1">
        <v>3.0</v>
      </c>
      <c r="P472" s="1">
        <v>0.0</v>
      </c>
      <c r="Q472" s="1">
        <v>0.0</v>
      </c>
      <c r="R472" s="1">
        <v>-10.0</v>
      </c>
      <c r="S472" s="1">
        <v>26.0</v>
      </c>
      <c r="T472" s="1">
        <v>1.0</v>
      </c>
    </row>
    <row r="473" ht="12.75" customHeight="1">
      <c r="A473" s="1" t="s">
        <v>505</v>
      </c>
      <c r="B473" s="1" t="str">
        <f>IFERROR(__xludf.DUMMYFUNCTION("split(A473, ""\"")"),"Alexei Emelin")</f>
        <v>Alexei Emelin</v>
      </c>
      <c r="C473" s="1" t="str">
        <f>IFERROR(__xludf.DUMMYFUNCTION("""COMPUTED_VALUE"""),"emelial01")</f>
        <v>emelial01</v>
      </c>
      <c r="D473" s="1" t="s">
        <v>66</v>
      </c>
      <c r="E473" s="1">
        <f t="shared" si="1"/>
        <v>127.6</v>
      </c>
      <c r="F473" s="1">
        <f t="shared" si="2"/>
        <v>1.68</v>
      </c>
      <c r="G473" s="1">
        <v>76.0</v>
      </c>
      <c r="H473" s="1">
        <v>1.0</v>
      </c>
      <c r="I473" s="1">
        <v>8.0</v>
      </c>
      <c r="J473" s="1">
        <v>9.0</v>
      </c>
      <c r="K473" s="1">
        <v>59.0</v>
      </c>
      <c r="L473" s="1">
        <v>181.0</v>
      </c>
      <c r="M473" s="1">
        <v>109.0</v>
      </c>
      <c r="N473" s="1">
        <v>0.0</v>
      </c>
      <c r="O473" s="1">
        <v>0.0</v>
      </c>
      <c r="P473" s="1">
        <v>0.0</v>
      </c>
      <c r="Q473" s="1">
        <v>0.0</v>
      </c>
      <c r="R473" s="1">
        <v>9.0</v>
      </c>
      <c r="S473" s="1">
        <v>40.0</v>
      </c>
      <c r="T473" s="1">
        <v>0.0</v>
      </c>
    </row>
    <row r="474" ht="12.75" customHeight="1">
      <c r="A474" s="1" t="s">
        <v>506</v>
      </c>
      <c r="B474" s="1" t="str">
        <f>IFERROR(__xludf.DUMMYFUNCTION("split(A474, ""\"")"),"Melker Karlsson")</f>
        <v>Melker Karlsson</v>
      </c>
      <c r="C474" s="1" t="str">
        <f>IFERROR(__xludf.DUMMYFUNCTION("""COMPUTED_VALUE"""),"karlsme01")</f>
        <v>karlsme01</v>
      </c>
      <c r="D474" s="1" t="s">
        <v>31</v>
      </c>
      <c r="E474" s="1">
        <f t="shared" si="1"/>
        <v>127.35</v>
      </c>
      <c r="F474" s="1">
        <f t="shared" si="2"/>
        <v>1.79</v>
      </c>
      <c r="G474" s="1">
        <v>71.0</v>
      </c>
      <c r="H474" s="1">
        <v>8.0</v>
      </c>
      <c r="I474" s="1">
        <v>11.0</v>
      </c>
      <c r="J474" s="1">
        <v>19.0</v>
      </c>
      <c r="K474" s="1">
        <v>76.0</v>
      </c>
      <c r="L474" s="1">
        <v>81.0</v>
      </c>
      <c r="M474" s="1">
        <v>69.0</v>
      </c>
      <c r="N474" s="1">
        <v>0.0</v>
      </c>
      <c r="O474" s="1">
        <v>0.0</v>
      </c>
      <c r="P474" s="1">
        <v>1.0</v>
      </c>
      <c r="Q474" s="1">
        <v>0.0</v>
      </c>
      <c r="R474" s="1">
        <v>-5.0</v>
      </c>
      <c r="S474" s="1">
        <v>26.0</v>
      </c>
      <c r="T474" s="1">
        <v>1.0</v>
      </c>
    </row>
    <row r="475" ht="12.75" customHeight="1">
      <c r="A475" s="1" t="s">
        <v>507</v>
      </c>
      <c r="B475" s="1" t="str">
        <f>IFERROR(__xludf.DUMMYFUNCTION("split(A475, ""\"")"),"Jordan Oesterle")</f>
        <v>Jordan Oesterle</v>
      </c>
      <c r="C475" s="1" t="str">
        <f>IFERROR(__xludf.DUMMYFUNCTION("""COMPUTED_VALUE"""),"oestejo01")</f>
        <v>oestejo01</v>
      </c>
      <c r="D475" s="1" t="s">
        <v>66</v>
      </c>
      <c r="E475" s="1">
        <f t="shared" si="1"/>
        <v>127.05</v>
      </c>
      <c r="F475" s="1">
        <f t="shared" si="2"/>
        <v>2.31</v>
      </c>
      <c r="G475" s="1">
        <v>55.0</v>
      </c>
      <c r="H475" s="1">
        <v>5.0</v>
      </c>
      <c r="I475" s="1">
        <v>10.0</v>
      </c>
      <c r="J475" s="1">
        <v>15.0</v>
      </c>
      <c r="K475" s="1">
        <v>99.0</v>
      </c>
      <c r="L475" s="1">
        <v>62.0</v>
      </c>
      <c r="M475" s="1">
        <v>97.0</v>
      </c>
      <c r="N475" s="1">
        <v>1.0</v>
      </c>
      <c r="O475" s="1">
        <v>2.0</v>
      </c>
      <c r="P475" s="1">
        <v>0.0</v>
      </c>
      <c r="Q475" s="1">
        <v>0.0</v>
      </c>
      <c r="R475" s="1">
        <v>-11.0</v>
      </c>
      <c r="S475" s="1">
        <v>8.0</v>
      </c>
      <c r="T475" s="1">
        <v>0.0</v>
      </c>
    </row>
    <row r="476" ht="12.75" customHeight="1">
      <c r="A476" s="1" t="s">
        <v>508</v>
      </c>
      <c r="B476" s="1" t="str">
        <f>IFERROR(__xludf.DUMMYFUNCTION("split(A476, ""\"")"),"Jonathan Ericsson")</f>
        <v>Jonathan Ericsson</v>
      </c>
      <c r="C476" s="1" t="str">
        <f>IFERROR(__xludf.DUMMYFUNCTION("""COMPUTED_VALUE"""),"ericsjo01")</f>
        <v>ericsjo01</v>
      </c>
      <c r="D476" s="1" t="s">
        <v>66</v>
      </c>
      <c r="E476" s="1">
        <f t="shared" si="1"/>
        <v>126.35</v>
      </c>
      <c r="F476" s="1">
        <f t="shared" si="2"/>
        <v>1.56</v>
      </c>
      <c r="G476" s="1">
        <v>81.0</v>
      </c>
      <c r="H476" s="1">
        <v>3.0</v>
      </c>
      <c r="I476" s="1">
        <v>10.0</v>
      </c>
      <c r="J476" s="1">
        <v>13.0</v>
      </c>
      <c r="K476" s="1">
        <v>86.0</v>
      </c>
      <c r="L476" s="1">
        <v>133.0</v>
      </c>
      <c r="M476" s="1">
        <v>84.0</v>
      </c>
      <c r="N476" s="1">
        <v>0.0</v>
      </c>
      <c r="O476" s="1">
        <v>0.0</v>
      </c>
      <c r="P476" s="1">
        <v>0.0</v>
      </c>
      <c r="Q476" s="1">
        <v>1.0</v>
      </c>
      <c r="R476" s="1">
        <v>-7.0</v>
      </c>
      <c r="S476" s="1">
        <v>47.0</v>
      </c>
      <c r="T476" s="1">
        <v>0.0</v>
      </c>
    </row>
    <row r="477" ht="12.75" customHeight="1">
      <c r="A477" s="1" t="s">
        <v>509</v>
      </c>
      <c r="B477" s="1" t="str">
        <f>IFERROR(__xludf.DUMMYFUNCTION("split(A477, ""\"")"),"Adam Lowry")</f>
        <v>Adam Lowry</v>
      </c>
      <c r="C477" s="1" t="str">
        <f>IFERROR(__xludf.DUMMYFUNCTION("""COMPUTED_VALUE"""),"lowryad01")</f>
        <v>lowryad01</v>
      </c>
      <c r="D477" s="1" t="s">
        <v>28</v>
      </c>
      <c r="E477" s="1">
        <f t="shared" si="1"/>
        <v>126.2</v>
      </c>
      <c r="F477" s="1">
        <f t="shared" si="2"/>
        <v>2.8</v>
      </c>
      <c r="G477" s="1">
        <v>45.0</v>
      </c>
      <c r="H477" s="1">
        <v>8.0</v>
      </c>
      <c r="I477" s="1">
        <v>13.0</v>
      </c>
      <c r="J477" s="1">
        <v>21.0</v>
      </c>
      <c r="K477" s="1">
        <v>70.0</v>
      </c>
      <c r="L477" s="1">
        <v>124.0</v>
      </c>
      <c r="M477" s="1">
        <v>28.0</v>
      </c>
      <c r="N477" s="1">
        <v>1.0</v>
      </c>
      <c r="O477" s="1">
        <v>1.0</v>
      </c>
      <c r="P477" s="1">
        <v>0.0</v>
      </c>
      <c r="Q477" s="1">
        <v>0.0</v>
      </c>
      <c r="R477" s="1">
        <v>9.0</v>
      </c>
      <c r="S477" s="1">
        <v>8.0</v>
      </c>
      <c r="T477" s="1">
        <v>1.0</v>
      </c>
    </row>
    <row r="478" ht="12.75" customHeight="1">
      <c r="A478" s="1" t="s">
        <v>510</v>
      </c>
      <c r="B478" s="1" t="str">
        <f>IFERROR(__xludf.DUMMYFUNCTION("split(A478, ""\"")"),"Travis Hamonic")</f>
        <v>Travis Hamonic</v>
      </c>
      <c r="C478" s="1" t="str">
        <f>IFERROR(__xludf.DUMMYFUNCTION("""COMPUTED_VALUE"""),"hamontr01")</f>
        <v>hamontr01</v>
      </c>
      <c r="D478" s="1" t="s">
        <v>66</v>
      </c>
      <c r="E478" s="1">
        <f t="shared" si="1"/>
        <v>126.1</v>
      </c>
      <c r="F478" s="1">
        <f t="shared" si="2"/>
        <v>1.7</v>
      </c>
      <c r="G478" s="1">
        <v>74.0</v>
      </c>
      <c r="H478" s="1">
        <v>1.0</v>
      </c>
      <c r="I478" s="1">
        <v>10.0</v>
      </c>
      <c r="J478" s="1">
        <v>11.0</v>
      </c>
      <c r="K478" s="1">
        <v>107.0</v>
      </c>
      <c r="L478" s="1">
        <v>83.0</v>
      </c>
      <c r="M478" s="1">
        <v>124.0</v>
      </c>
      <c r="N478" s="1">
        <v>0.0</v>
      </c>
      <c r="O478" s="1">
        <v>0.0</v>
      </c>
      <c r="P478" s="1">
        <v>0.0</v>
      </c>
      <c r="Q478" s="1">
        <v>0.0</v>
      </c>
      <c r="R478" s="1">
        <v>-9.0</v>
      </c>
      <c r="S478" s="1">
        <v>79.0</v>
      </c>
      <c r="T478" s="1">
        <v>0.0</v>
      </c>
    </row>
    <row r="479" ht="12.75" customHeight="1">
      <c r="A479" s="1" t="s">
        <v>511</v>
      </c>
      <c r="B479" s="1" t="str">
        <f>IFERROR(__xludf.DUMMYFUNCTION("split(A479, ""\"")"),"Andrew Shaw")</f>
        <v>Andrew Shaw</v>
      </c>
      <c r="C479" s="1" t="str">
        <f>IFERROR(__xludf.DUMMYFUNCTION("""COMPUTED_VALUE"""),"shawan01")</f>
        <v>shawan01</v>
      </c>
      <c r="D479" s="1" t="s">
        <v>31</v>
      </c>
      <c r="E479" s="1">
        <f t="shared" si="1"/>
        <v>125.9</v>
      </c>
      <c r="F479" s="1">
        <f t="shared" si="2"/>
        <v>2.47</v>
      </c>
      <c r="G479" s="1">
        <v>51.0</v>
      </c>
      <c r="H479" s="1">
        <v>10.0</v>
      </c>
      <c r="I479" s="1">
        <v>10.0</v>
      </c>
      <c r="J479" s="1">
        <v>20.0</v>
      </c>
      <c r="K479" s="1">
        <v>94.0</v>
      </c>
      <c r="L479" s="1">
        <v>80.0</v>
      </c>
      <c r="M479" s="1">
        <v>26.0</v>
      </c>
      <c r="N479" s="1">
        <v>5.0</v>
      </c>
      <c r="O479" s="1">
        <v>2.0</v>
      </c>
      <c r="P479" s="1">
        <v>0.0</v>
      </c>
      <c r="Q479" s="1">
        <v>0.0</v>
      </c>
      <c r="R479" s="1">
        <v>-8.0</v>
      </c>
      <c r="S479" s="1">
        <v>53.0</v>
      </c>
      <c r="T479" s="1">
        <v>0.0</v>
      </c>
    </row>
    <row r="480" ht="12.75" customHeight="1">
      <c r="A480" s="1" t="s">
        <v>512</v>
      </c>
      <c r="B480" s="1" t="str">
        <f>IFERROR(__xludf.DUMMYFUNCTION("split(A480, ""\"")"),"Andre Burakovsky")</f>
        <v>Andre Burakovsky</v>
      </c>
      <c r="C480" s="1" t="str">
        <f>IFERROR(__xludf.DUMMYFUNCTION("""COMPUTED_VALUE"""),"burakan01")</f>
        <v>burakan01</v>
      </c>
      <c r="D480" s="1" t="s">
        <v>28</v>
      </c>
      <c r="E480" s="1">
        <f t="shared" si="1"/>
        <v>125.9</v>
      </c>
      <c r="F480" s="1">
        <f t="shared" si="2"/>
        <v>2.25</v>
      </c>
      <c r="G480" s="1">
        <v>56.0</v>
      </c>
      <c r="H480" s="1">
        <v>12.0</v>
      </c>
      <c r="I480" s="1">
        <v>13.0</v>
      </c>
      <c r="J480" s="1">
        <v>25.0</v>
      </c>
      <c r="K480" s="1">
        <v>84.0</v>
      </c>
      <c r="L480" s="1">
        <v>40.0</v>
      </c>
      <c r="M480" s="1">
        <v>26.0</v>
      </c>
      <c r="N480" s="1">
        <v>2.0</v>
      </c>
      <c r="O480" s="1">
        <v>2.0</v>
      </c>
      <c r="P480" s="1">
        <v>0.0</v>
      </c>
      <c r="Q480" s="1">
        <v>0.0</v>
      </c>
      <c r="R480" s="1">
        <v>3.0</v>
      </c>
      <c r="S480" s="1">
        <v>27.0</v>
      </c>
      <c r="T480" s="1">
        <v>5.0</v>
      </c>
    </row>
    <row r="481" ht="12.75" customHeight="1">
      <c r="A481" s="1" t="s">
        <v>513</v>
      </c>
      <c r="B481" s="1" t="str">
        <f>IFERROR(__xludf.DUMMYFUNCTION("split(A481, ""\"")"),"Casey Cizikas")</f>
        <v>Casey Cizikas</v>
      </c>
      <c r="C481" s="1" t="str">
        <f>IFERROR(__xludf.DUMMYFUNCTION("""COMPUTED_VALUE"""),"cizikca01")</f>
        <v>cizikca01</v>
      </c>
      <c r="D481" s="1" t="s">
        <v>31</v>
      </c>
      <c r="E481" s="1">
        <f t="shared" si="1"/>
        <v>125.7</v>
      </c>
      <c r="F481" s="1">
        <f t="shared" si="2"/>
        <v>1.96</v>
      </c>
      <c r="G481" s="1">
        <v>64.0</v>
      </c>
      <c r="H481" s="1">
        <v>7.0</v>
      </c>
      <c r="I481" s="1">
        <v>10.0</v>
      </c>
      <c r="J481" s="1">
        <v>17.0</v>
      </c>
      <c r="K481" s="1">
        <v>74.0</v>
      </c>
      <c r="L481" s="1">
        <v>128.0</v>
      </c>
      <c r="M481" s="1">
        <v>53.0</v>
      </c>
      <c r="N481" s="1">
        <v>0.0</v>
      </c>
      <c r="O481" s="1">
        <v>0.0</v>
      </c>
      <c r="P481" s="1">
        <v>1.0</v>
      </c>
      <c r="Q481" s="1">
        <v>0.0</v>
      </c>
      <c r="R481" s="1">
        <v>-12.0</v>
      </c>
      <c r="S481" s="1">
        <v>23.0</v>
      </c>
      <c r="T481" s="1">
        <v>0.0</v>
      </c>
    </row>
    <row r="482" ht="12.75" customHeight="1">
      <c r="A482" s="1" t="s">
        <v>514</v>
      </c>
      <c r="B482" s="1" t="str">
        <f>IFERROR(__xludf.DUMMYFUNCTION("split(A482, ""\"")"),"Brett Ritchie")</f>
        <v>Brett Ritchie</v>
      </c>
      <c r="C482" s="1" t="str">
        <f>IFERROR(__xludf.DUMMYFUNCTION("""COMPUTED_VALUE"""),"ritchbr01")</f>
        <v>ritchbr01</v>
      </c>
      <c r="D482" s="1" t="s">
        <v>36</v>
      </c>
      <c r="E482" s="1">
        <f t="shared" si="1"/>
        <v>124.75</v>
      </c>
      <c r="F482" s="1">
        <f t="shared" si="2"/>
        <v>1.76</v>
      </c>
      <c r="G482" s="1">
        <v>71.0</v>
      </c>
      <c r="H482" s="1">
        <v>7.0</v>
      </c>
      <c r="I482" s="1">
        <v>7.0</v>
      </c>
      <c r="J482" s="1">
        <v>14.0</v>
      </c>
      <c r="K482" s="1">
        <v>117.0</v>
      </c>
      <c r="L482" s="1">
        <v>172.0</v>
      </c>
      <c r="M482" s="1">
        <v>10.0</v>
      </c>
      <c r="N482" s="1">
        <v>2.0</v>
      </c>
      <c r="O482" s="1">
        <v>1.0</v>
      </c>
      <c r="P482" s="1">
        <v>0.0</v>
      </c>
      <c r="Q482" s="1">
        <v>0.0</v>
      </c>
      <c r="R482" s="1">
        <v>1.0</v>
      </c>
      <c r="S482" s="1">
        <v>42.0</v>
      </c>
      <c r="T482" s="1">
        <v>0.0</v>
      </c>
    </row>
    <row r="483" ht="12.75" customHeight="1">
      <c r="A483" s="1" t="s">
        <v>515</v>
      </c>
      <c r="B483" s="1" t="str">
        <f>IFERROR(__xludf.DUMMYFUNCTION("split(A483, ""\"")"),"Tyler Ennis")</f>
        <v>Tyler Ennis</v>
      </c>
      <c r="C483" s="1" t="str">
        <f>IFERROR(__xludf.DUMMYFUNCTION("""COMPUTED_VALUE"""),"ennisty01")</f>
        <v>ennisty01</v>
      </c>
      <c r="D483" s="1" t="s">
        <v>31</v>
      </c>
      <c r="E483" s="1">
        <f t="shared" si="1"/>
        <v>124.7</v>
      </c>
      <c r="F483" s="1">
        <f t="shared" si="2"/>
        <v>1.71</v>
      </c>
      <c r="G483" s="1">
        <v>73.0</v>
      </c>
      <c r="H483" s="1">
        <v>8.0</v>
      </c>
      <c r="I483" s="1">
        <v>14.0</v>
      </c>
      <c r="J483" s="1">
        <v>22.0</v>
      </c>
      <c r="K483" s="1">
        <v>115.0</v>
      </c>
      <c r="L483" s="1">
        <v>51.0</v>
      </c>
      <c r="M483" s="1">
        <v>33.0</v>
      </c>
      <c r="N483" s="1">
        <v>2.0</v>
      </c>
      <c r="O483" s="1">
        <v>1.0</v>
      </c>
      <c r="P483" s="1">
        <v>0.0</v>
      </c>
      <c r="Q483" s="1">
        <v>0.0</v>
      </c>
      <c r="R483" s="1">
        <v>-1.0</v>
      </c>
      <c r="S483" s="1">
        <v>12.0</v>
      </c>
      <c r="T483" s="1">
        <v>3.0</v>
      </c>
    </row>
    <row r="484" ht="12.75" customHeight="1">
      <c r="A484" s="1" t="s">
        <v>516</v>
      </c>
      <c r="B484" s="1" t="str">
        <f>IFERROR(__xludf.DUMMYFUNCTION("split(A484, ""\"")"),"Zemgus Girgensons")</f>
        <v>Zemgus Girgensons</v>
      </c>
      <c r="C484" s="1" t="str">
        <f>IFERROR(__xludf.DUMMYFUNCTION("""COMPUTED_VALUE"""),"girgeze01")</f>
        <v>girgeze01</v>
      </c>
      <c r="D484" s="1" t="s">
        <v>31</v>
      </c>
      <c r="E484" s="1">
        <f t="shared" si="1"/>
        <v>124.55</v>
      </c>
      <c r="F484" s="1">
        <f t="shared" si="2"/>
        <v>1.75</v>
      </c>
      <c r="G484" s="1">
        <v>71.0</v>
      </c>
      <c r="H484" s="1">
        <v>7.0</v>
      </c>
      <c r="I484" s="1">
        <v>8.0</v>
      </c>
      <c r="J484" s="1">
        <v>15.0</v>
      </c>
      <c r="K484" s="1">
        <v>113.0</v>
      </c>
      <c r="L484" s="1">
        <v>134.0</v>
      </c>
      <c r="M484" s="1">
        <v>32.0</v>
      </c>
      <c r="N484" s="1">
        <v>0.0</v>
      </c>
      <c r="O484" s="1">
        <v>0.0</v>
      </c>
      <c r="P484" s="1">
        <v>2.0</v>
      </c>
      <c r="Q484" s="1">
        <v>0.0</v>
      </c>
      <c r="R484" s="1">
        <v>-12.0</v>
      </c>
      <c r="S484" s="1">
        <v>26.0</v>
      </c>
      <c r="T484" s="1">
        <v>0.0</v>
      </c>
    </row>
    <row r="485" ht="12.75" customHeight="1">
      <c r="A485" s="1" t="s">
        <v>517</v>
      </c>
      <c r="B485" s="1" t="str">
        <f>IFERROR(__xludf.DUMMYFUNCTION("split(A485, ""\"")"),"Jordan Martinook")</f>
        <v>Jordan Martinook</v>
      </c>
      <c r="C485" s="1" t="str">
        <f>IFERROR(__xludf.DUMMYFUNCTION("""COMPUTED_VALUE"""),"martijo01")</f>
        <v>martijo01</v>
      </c>
      <c r="D485" s="1" t="s">
        <v>28</v>
      </c>
      <c r="E485" s="1">
        <f t="shared" si="1"/>
        <v>124.3</v>
      </c>
      <c r="F485" s="1">
        <f t="shared" si="2"/>
        <v>1.53</v>
      </c>
      <c r="G485" s="1">
        <v>81.0</v>
      </c>
      <c r="H485" s="1">
        <v>6.0</v>
      </c>
      <c r="I485" s="1">
        <v>9.0</v>
      </c>
      <c r="J485" s="1">
        <v>15.0</v>
      </c>
      <c r="K485" s="1">
        <v>112.0</v>
      </c>
      <c r="L485" s="1">
        <v>128.0</v>
      </c>
      <c r="M485" s="1">
        <v>42.0</v>
      </c>
      <c r="N485" s="1">
        <v>0.0</v>
      </c>
      <c r="O485" s="1">
        <v>0.0</v>
      </c>
      <c r="P485" s="1">
        <v>0.0</v>
      </c>
      <c r="Q485" s="1">
        <v>1.0</v>
      </c>
      <c r="R485" s="1">
        <v>-24.0</v>
      </c>
      <c r="S485" s="1">
        <v>45.0</v>
      </c>
      <c r="T485" s="1">
        <v>1.0</v>
      </c>
    </row>
    <row r="486" ht="12.75" customHeight="1">
      <c r="A486" s="1" t="s">
        <v>518</v>
      </c>
      <c r="B486" s="1" t="str">
        <f>IFERROR(__xludf.DUMMYFUNCTION("split(A486, ""\"")"),"Curtis McElhinney")</f>
        <v>Curtis McElhinney</v>
      </c>
      <c r="C486" s="2" t="str">
        <f>IFERROR(__xludf.DUMMYFUNCTION("""COMPUTED_VALUE"""),"mcelhcu01")</f>
        <v>mcelhcu01</v>
      </c>
      <c r="D486" s="1" t="s">
        <v>5</v>
      </c>
      <c r="E486" s="1">
        <f t="shared" si="1"/>
        <v>124.25</v>
      </c>
      <c r="F486" s="1">
        <f t="shared" si="2"/>
        <v>6.9</v>
      </c>
      <c r="G486" s="1">
        <v>18.0</v>
      </c>
      <c r="U486" s="1">
        <v>15.0</v>
      </c>
      <c r="V486" s="1">
        <v>11.0</v>
      </c>
      <c r="W486" s="1">
        <v>5.0</v>
      </c>
      <c r="X486" s="1">
        <v>35.0</v>
      </c>
      <c r="Y486" s="1">
        <v>528.0</v>
      </c>
      <c r="Z486" s="1">
        <v>493.0</v>
      </c>
      <c r="AA486" s="1">
        <v>3.0</v>
      </c>
    </row>
    <row r="487" ht="12.75" customHeight="1">
      <c r="A487" s="1" t="s">
        <v>519</v>
      </c>
      <c r="B487" s="1" t="str">
        <f>IFERROR(__xludf.DUMMYFUNCTION("split(A487, ""\"")"),"Danny DeKeyser")</f>
        <v>Danny DeKeyser</v>
      </c>
      <c r="C487" s="1" t="str">
        <f>IFERROR(__xludf.DUMMYFUNCTION("""COMPUTED_VALUE"""),"dekeyda01")</f>
        <v>dekeyda01</v>
      </c>
      <c r="D487" s="1" t="s">
        <v>66</v>
      </c>
      <c r="E487" s="1">
        <f t="shared" si="1"/>
        <v>124.25</v>
      </c>
      <c r="F487" s="1">
        <f t="shared" si="2"/>
        <v>1.91</v>
      </c>
      <c r="G487" s="1">
        <v>65.0</v>
      </c>
      <c r="H487" s="1">
        <v>6.0</v>
      </c>
      <c r="I487" s="1">
        <v>6.0</v>
      </c>
      <c r="J487" s="1">
        <v>12.0</v>
      </c>
      <c r="K487" s="1">
        <v>65.0</v>
      </c>
      <c r="L487" s="1">
        <v>76.0</v>
      </c>
      <c r="M487" s="1">
        <v>125.0</v>
      </c>
      <c r="N487" s="1">
        <v>0.0</v>
      </c>
      <c r="O487" s="1">
        <v>0.0</v>
      </c>
      <c r="P487" s="1">
        <v>0.0</v>
      </c>
      <c r="Q487" s="1">
        <v>0.0</v>
      </c>
      <c r="R487" s="1">
        <v>2.0</v>
      </c>
      <c r="S487" s="1">
        <v>28.0</v>
      </c>
      <c r="T487" s="1">
        <v>0.0</v>
      </c>
    </row>
    <row r="488" ht="12.75" customHeight="1">
      <c r="A488" s="1" t="s">
        <v>520</v>
      </c>
      <c r="B488" s="1" t="str">
        <f>IFERROR(__xludf.DUMMYFUNCTION("split(A488, ""\"")"),"Zack Smith")</f>
        <v>Zack Smith</v>
      </c>
      <c r="C488" s="1" t="str">
        <f>IFERROR(__xludf.DUMMYFUNCTION("""COMPUTED_VALUE"""),"smithza01")</f>
        <v>smithza01</v>
      </c>
      <c r="D488" s="1" t="s">
        <v>31</v>
      </c>
      <c r="E488" s="1">
        <f t="shared" si="1"/>
        <v>124.1</v>
      </c>
      <c r="F488" s="1">
        <f t="shared" si="2"/>
        <v>1.83</v>
      </c>
      <c r="G488" s="1">
        <v>68.0</v>
      </c>
      <c r="H488" s="1">
        <v>5.0</v>
      </c>
      <c r="I488" s="1">
        <v>14.0</v>
      </c>
      <c r="J488" s="1">
        <v>19.0</v>
      </c>
      <c r="K488" s="1">
        <v>124.0</v>
      </c>
      <c r="L488" s="1">
        <v>90.0</v>
      </c>
      <c r="M488" s="1">
        <v>29.0</v>
      </c>
      <c r="N488" s="1">
        <v>0.0</v>
      </c>
      <c r="O488" s="1">
        <v>3.0</v>
      </c>
      <c r="P488" s="1">
        <v>0.0</v>
      </c>
      <c r="Q488" s="1">
        <v>1.0</v>
      </c>
      <c r="R488" s="1">
        <v>-32.0</v>
      </c>
      <c r="S488" s="1">
        <v>54.0</v>
      </c>
      <c r="T488" s="1">
        <v>1.0</v>
      </c>
    </row>
    <row r="489" ht="12.75" customHeight="1">
      <c r="A489" s="1" t="s">
        <v>521</v>
      </c>
      <c r="B489" s="1" t="str">
        <f>IFERROR(__xludf.DUMMYFUNCTION("split(A489, ""\"")"),"Malcolm Subban")</f>
        <v>Malcolm Subban</v>
      </c>
      <c r="C489" s="2" t="str">
        <f>IFERROR(__xludf.DUMMYFUNCTION("""COMPUTED_VALUE"""),"subbama01")</f>
        <v>subbama01</v>
      </c>
      <c r="D489" s="1" t="s">
        <v>5</v>
      </c>
      <c r="E489" s="1">
        <f t="shared" si="1"/>
        <v>123.75</v>
      </c>
      <c r="F489" s="1">
        <f t="shared" si="2"/>
        <v>5.63</v>
      </c>
      <c r="G489" s="1">
        <v>22.0</v>
      </c>
      <c r="U489" s="1">
        <v>19.0</v>
      </c>
      <c r="V489" s="1">
        <v>13.0</v>
      </c>
      <c r="W489" s="1">
        <v>4.0</v>
      </c>
      <c r="X489" s="1">
        <v>55.0</v>
      </c>
      <c r="Y489" s="1">
        <v>614.0</v>
      </c>
      <c r="Z489" s="1">
        <v>559.0</v>
      </c>
      <c r="AA489" s="1">
        <v>0.0</v>
      </c>
    </row>
    <row r="490" ht="12.75" customHeight="1">
      <c r="A490" s="1" t="s">
        <v>522</v>
      </c>
      <c r="B490" s="1" t="str">
        <f>IFERROR(__xludf.DUMMYFUNCTION("split(A490, ""\"")"),"Trevor van Riemsdyk")</f>
        <v>Trevor van Riemsdyk</v>
      </c>
      <c r="C490" s="1" t="str">
        <f>IFERROR(__xludf.DUMMYFUNCTION("""COMPUTED_VALUE"""),"vanritr01")</f>
        <v>vanritr01</v>
      </c>
      <c r="D490" s="1" t="s">
        <v>66</v>
      </c>
      <c r="E490" s="1">
        <f t="shared" si="1"/>
        <v>123.7</v>
      </c>
      <c r="F490" s="1">
        <f t="shared" si="2"/>
        <v>1.57</v>
      </c>
      <c r="G490" s="1">
        <v>79.0</v>
      </c>
      <c r="H490" s="1">
        <v>3.0</v>
      </c>
      <c r="I490" s="1">
        <v>13.0</v>
      </c>
      <c r="J490" s="1">
        <v>16.0</v>
      </c>
      <c r="K490" s="1">
        <v>111.0</v>
      </c>
      <c r="L490" s="1">
        <v>25.0</v>
      </c>
      <c r="M490" s="1">
        <v>113.0</v>
      </c>
      <c r="N490" s="1">
        <v>0.0</v>
      </c>
      <c r="O490" s="1">
        <v>0.0</v>
      </c>
      <c r="P490" s="1">
        <v>0.0</v>
      </c>
      <c r="Q490" s="1">
        <v>0.0</v>
      </c>
      <c r="R490" s="1">
        <v>9.0</v>
      </c>
      <c r="S490" s="1">
        <v>20.0</v>
      </c>
      <c r="T490" s="1">
        <v>1.0</v>
      </c>
    </row>
    <row r="491" ht="12.75" customHeight="1">
      <c r="A491" s="1" t="s">
        <v>523</v>
      </c>
      <c r="B491" s="1" t="str">
        <f>IFERROR(__xludf.DUMMYFUNCTION("split(A491, ""\"")"),"Anthony Duclair")</f>
        <v>Anthony Duclair</v>
      </c>
      <c r="C491" s="1" t="str">
        <f>IFERROR(__xludf.DUMMYFUNCTION("""COMPUTED_VALUE"""),"duclaan01")</f>
        <v>duclaan01</v>
      </c>
      <c r="D491" s="1" t="s">
        <v>28</v>
      </c>
      <c r="E491" s="1">
        <f t="shared" si="1"/>
        <v>123.15</v>
      </c>
      <c r="F491" s="1">
        <f t="shared" si="2"/>
        <v>2.2</v>
      </c>
      <c r="G491" s="1">
        <v>56.0</v>
      </c>
      <c r="H491" s="1">
        <v>11.0</v>
      </c>
      <c r="I491" s="1">
        <v>12.0</v>
      </c>
      <c r="J491" s="1">
        <v>23.0</v>
      </c>
      <c r="K491" s="1">
        <v>97.0</v>
      </c>
      <c r="L491" s="1">
        <v>46.0</v>
      </c>
      <c r="M491" s="1">
        <v>26.0</v>
      </c>
      <c r="N491" s="1">
        <v>3.0</v>
      </c>
      <c r="O491" s="1">
        <v>0.0</v>
      </c>
      <c r="P491" s="1">
        <v>0.0</v>
      </c>
      <c r="Q491" s="1">
        <v>0.0</v>
      </c>
      <c r="R491" s="1">
        <v>-5.0</v>
      </c>
      <c r="S491" s="1">
        <v>16.0</v>
      </c>
      <c r="T491" s="1">
        <v>2.0</v>
      </c>
    </row>
    <row r="492" ht="12.75" customHeight="1">
      <c r="A492" s="1" t="s">
        <v>524</v>
      </c>
      <c r="B492" s="1" t="str">
        <f>IFERROR(__xludf.DUMMYFUNCTION("split(A492, ""\"")"),"Sean Kuraly")</f>
        <v>Sean Kuraly</v>
      </c>
      <c r="C492" s="1" t="str">
        <f>IFERROR(__xludf.DUMMYFUNCTION("""COMPUTED_VALUE"""),"kuralse01")</f>
        <v>kuralse01</v>
      </c>
      <c r="D492" s="1" t="s">
        <v>31</v>
      </c>
      <c r="E492" s="1">
        <f t="shared" si="1"/>
        <v>123.05</v>
      </c>
      <c r="F492" s="1">
        <f t="shared" si="2"/>
        <v>1.64</v>
      </c>
      <c r="G492" s="1">
        <v>75.0</v>
      </c>
      <c r="H492" s="1">
        <v>6.0</v>
      </c>
      <c r="I492" s="1">
        <v>8.0</v>
      </c>
      <c r="J492" s="1">
        <v>14.0</v>
      </c>
      <c r="K492" s="1">
        <v>134.0</v>
      </c>
      <c r="L492" s="1">
        <v>143.0</v>
      </c>
      <c r="M492" s="1">
        <v>22.0</v>
      </c>
      <c r="N492" s="1">
        <v>0.0</v>
      </c>
      <c r="O492" s="1">
        <v>0.0</v>
      </c>
      <c r="P492" s="1">
        <v>0.0</v>
      </c>
      <c r="Q492" s="1">
        <v>1.0</v>
      </c>
      <c r="R492" s="1">
        <v>-5.0</v>
      </c>
      <c r="S492" s="1">
        <v>40.0</v>
      </c>
      <c r="T492" s="1">
        <v>1.0</v>
      </c>
    </row>
    <row r="493" ht="12.75" customHeight="1">
      <c r="A493" s="1" t="s">
        <v>525</v>
      </c>
      <c r="B493" s="1" t="str">
        <f>IFERROR(__xludf.DUMMYFUNCTION("split(A493, ""\"")"),"Tyler Bertuzzi")</f>
        <v>Tyler Bertuzzi</v>
      </c>
      <c r="C493" s="1" t="str">
        <f>IFERROR(__xludf.DUMMYFUNCTION("""COMPUTED_VALUE"""),"bertuty01")</f>
        <v>bertuty01</v>
      </c>
      <c r="D493" s="1" t="s">
        <v>28</v>
      </c>
      <c r="E493" s="1">
        <f t="shared" si="1"/>
        <v>121.7</v>
      </c>
      <c r="F493" s="1">
        <f t="shared" si="2"/>
        <v>2.54</v>
      </c>
      <c r="G493" s="1">
        <v>48.0</v>
      </c>
      <c r="H493" s="1">
        <v>7.0</v>
      </c>
      <c r="I493" s="1">
        <v>17.0</v>
      </c>
      <c r="J493" s="1">
        <v>24.0</v>
      </c>
      <c r="K493" s="1">
        <v>83.0</v>
      </c>
      <c r="L493" s="1">
        <v>53.0</v>
      </c>
      <c r="M493" s="1">
        <v>38.0</v>
      </c>
      <c r="N493" s="1">
        <v>1.0</v>
      </c>
      <c r="O493" s="1">
        <v>1.0</v>
      </c>
      <c r="P493" s="1">
        <v>0.0</v>
      </c>
      <c r="Q493" s="1">
        <v>0.0</v>
      </c>
      <c r="R493" s="1">
        <v>-7.0</v>
      </c>
      <c r="S493" s="1">
        <v>39.0</v>
      </c>
      <c r="T493" s="1">
        <v>1.0</v>
      </c>
    </row>
    <row r="494" ht="12.75" customHeight="1">
      <c r="A494" s="1" t="s">
        <v>526</v>
      </c>
      <c r="B494" s="1" t="str">
        <f>IFERROR(__xludf.DUMMYFUNCTION("split(A494, ""\"")"),"Benoit Pouliot")</f>
        <v>Benoit Pouliot</v>
      </c>
      <c r="C494" s="1" t="str">
        <f>IFERROR(__xludf.DUMMYFUNCTION("""COMPUTED_VALUE"""),"poulibe01")</f>
        <v>poulibe01</v>
      </c>
      <c r="D494" s="1" t="s">
        <v>28</v>
      </c>
      <c r="E494" s="1">
        <f t="shared" si="1"/>
        <v>121.6</v>
      </c>
      <c r="F494" s="1">
        <f t="shared" si="2"/>
        <v>1.64</v>
      </c>
      <c r="G494" s="1">
        <v>74.0</v>
      </c>
      <c r="H494" s="1">
        <v>13.0</v>
      </c>
      <c r="I494" s="1">
        <v>6.0</v>
      </c>
      <c r="J494" s="1">
        <v>19.0</v>
      </c>
      <c r="K494" s="1">
        <v>83.0</v>
      </c>
      <c r="L494" s="1">
        <v>69.0</v>
      </c>
      <c r="M494" s="1">
        <v>34.0</v>
      </c>
      <c r="N494" s="1">
        <v>1.0</v>
      </c>
      <c r="O494" s="1">
        <v>0.0</v>
      </c>
      <c r="P494" s="1">
        <v>2.0</v>
      </c>
      <c r="Q494" s="1">
        <v>0.0</v>
      </c>
      <c r="R494" s="1">
        <v>-8.0</v>
      </c>
      <c r="S494" s="1">
        <v>22.0</v>
      </c>
      <c r="T494" s="1">
        <v>4.0</v>
      </c>
    </row>
    <row r="495" ht="12.75" customHeight="1">
      <c r="A495" s="1" t="s">
        <v>527</v>
      </c>
      <c r="B495" s="1" t="str">
        <f>IFERROR(__xludf.DUMMYFUNCTION("split(A495, ""\"")"),"Joseph Morrow")</f>
        <v>Joseph Morrow</v>
      </c>
      <c r="C495" s="1" t="str">
        <f>IFERROR(__xludf.DUMMYFUNCTION("""COMPUTED_VALUE"""),"morrojo02")</f>
        <v>morrojo02</v>
      </c>
      <c r="D495" s="1" t="s">
        <v>66</v>
      </c>
      <c r="E495" s="1">
        <f t="shared" si="1"/>
        <v>121.3</v>
      </c>
      <c r="F495" s="1">
        <f t="shared" si="2"/>
        <v>2.17</v>
      </c>
      <c r="G495" s="1">
        <v>56.0</v>
      </c>
      <c r="H495" s="1">
        <v>6.0</v>
      </c>
      <c r="I495" s="1">
        <v>10.0</v>
      </c>
      <c r="J495" s="1">
        <v>16.0</v>
      </c>
      <c r="K495" s="1">
        <v>83.0</v>
      </c>
      <c r="L495" s="1">
        <v>79.0</v>
      </c>
      <c r="M495" s="1">
        <v>67.0</v>
      </c>
      <c r="N495" s="1">
        <v>1.0</v>
      </c>
      <c r="O495" s="1">
        <v>4.0</v>
      </c>
      <c r="P495" s="1">
        <v>0.0</v>
      </c>
      <c r="Q495" s="1">
        <v>0.0</v>
      </c>
      <c r="R495" s="1">
        <v>-4.0</v>
      </c>
      <c r="S495" s="1">
        <v>26.0</v>
      </c>
      <c r="T495" s="1">
        <v>0.0</v>
      </c>
    </row>
    <row r="496" ht="12.75" customHeight="1">
      <c r="A496" s="1" t="s">
        <v>528</v>
      </c>
      <c r="B496" s="1" t="str">
        <f>IFERROR(__xludf.DUMMYFUNCTION("split(A496, ""\"")"),"Antti Niemi")</f>
        <v>Antti Niemi</v>
      </c>
      <c r="C496" s="2" t="str">
        <f>IFERROR(__xludf.DUMMYFUNCTION("""COMPUTED_VALUE"""),"niemian02")</f>
        <v>niemian02</v>
      </c>
      <c r="D496" s="1" t="s">
        <v>5</v>
      </c>
      <c r="E496" s="1">
        <f t="shared" si="1"/>
        <v>120.75</v>
      </c>
      <c r="F496" s="1">
        <f t="shared" si="2"/>
        <v>5.03</v>
      </c>
      <c r="G496" s="1">
        <v>24.0</v>
      </c>
      <c r="U496" s="1">
        <v>20.0</v>
      </c>
      <c r="V496" s="1">
        <v>7.0</v>
      </c>
      <c r="W496" s="1">
        <v>9.0</v>
      </c>
      <c r="X496" s="1">
        <v>63.0</v>
      </c>
      <c r="Y496" s="1">
        <v>710.0</v>
      </c>
      <c r="Z496" s="1">
        <v>647.0</v>
      </c>
      <c r="AA496" s="1">
        <v>1.0</v>
      </c>
    </row>
    <row r="497" ht="12.75" customHeight="1">
      <c r="A497" s="1" t="s">
        <v>529</v>
      </c>
      <c r="B497" s="1" t="str">
        <f>IFERROR(__xludf.DUMMYFUNCTION("split(A497, ""\"")"),"Sven Andrighetto")</f>
        <v>Sven Andrighetto</v>
      </c>
      <c r="C497" s="1" t="str">
        <f>IFERROR(__xludf.DUMMYFUNCTION("""COMPUTED_VALUE"""),"andrisv01")</f>
        <v>andrisv01</v>
      </c>
      <c r="D497" s="1" t="s">
        <v>36</v>
      </c>
      <c r="E497" s="1">
        <f t="shared" si="1"/>
        <v>120.45</v>
      </c>
      <c r="F497" s="1">
        <f t="shared" si="2"/>
        <v>2.41</v>
      </c>
      <c r="G497" s="1">
        <v>50.0</v>
      </c>
      <c r="H497" s="1">
        <v>8.0</v>
      </c>
      <c r="I497" s="1">
        <v>14.0</v>
      </c>
      <c r="J497" s="1">
        <v>22.0</v>
      </c>
      <c r="K497" s="1">
        <v>111.0</v>
      </c>
      <c r="L497" s="1">
        <v>38.0</v>
      </c>
      <c r="M497" s="1">
        <v>18.0</v>
      </c>
      <c r="N497" s="1">
        <v>3.0</v>
      </c>
      <c r="O497" s="1">
        <v>6.0</v>
      </c>
      <c r="P497" s="1">
        <v>0.0</v>
      </c>
      <c r="Q497" s="1">
        <v>0.0</v>
      </c>
      <c r="R497" s="1">
        <v>-15.0</v>
      </c>
      <c r="S497" s="1">
        <v>10.0</v>
      </c>
      <c r="T497" s="1">
        <v>2.0</v>
      </c>
    </row>
    <row r="498" ht="12.75" customHeight="1">
      <c r="A498" s="1" t="s">
        <v>530</v>
      </c>
      <c r="B498" s="1" t="str">
        <f>IFERROR(__xludf.DUMMYFUNCTION("split(A498, ""\"")"),"Johan Larsson")</f>
        <v>Johan Larsson</v>
      </c>
      <c r="C498" s="1" t="str">
        <f>IFERROR(__xludf.DUMMYFUNCTION("""COMPUTED_VALUE"""),"larssjo02")</f>
        <v>larssjo02</v>
      </c>
      <c r="D498" s="1" t="s">
        <v>321</v>
      </c>
      <c r="E498" s="1">
        <f t="shared" si="1"/>
        <v>120.05</v>
      </c>
      <c r="F498" s="1">
        <f t="shared" si="2"/>
        <v>1.5</v>
      </c>
      <c r="G498" s="1">
        <v>80.0</v>
      </c>
      <c r="H498" s="1">
        <v>4.0</v>
      </c>
      <c r="I498" s="1">
        <v>13.0</v>
      </c>
      <c r="J498" s="1">
        <v>17.0</v>
      </c>
      <c r="K498" s="1">
        <v>86.0</v>
      </c>
      <c r="L498" s="1">
        <v>117.0</v>
      </c>
      <c r="M498" s="1">
        <v>47.0</v>
      </c>
      <c r="N498" s="1">
        <v>0.0</v>
      </c>
      <c r="O498" s="1">
        <v>0.0</v>
      </c>
      <c r="P498" s="1">
        <v>1.0</v>
      </c>
      <c r="Q498" s="1">
        <v>1.0</v>
      </c>
      <c r="R498" s="1">
        <v>-30.0</v>
      </c>
      <c r="S498" s="1">
        <v>49.0</v>
      </c>
      <c r="T498" s="1">
        <v>0.0</v>
      </c>
    </row>
    <row r="499" ht="12.75" customHeight="1">
      <c r="A499" s="1" t="s">
        <v>531</v>
      </c>
      <c r="B499" s="1" t="str">
        <f>IFERROR(__xludf.DUMMYFUNCTION("split(A499, ""\"")"),"David Desharnais")</f>
        <v>David Desharnais</v>
      </c>
      <c r="C499" s="1" t="str">
        <f>IFERROR(__xludf.DUMMYFUNCTION("""COMPUTED_VALUE"""),"deshada01")</f>
        <v>deshada01</v>
      </c>
      <c r="D499" s="1" t="s">
        <v>31</v>
      </c>
      <c r="E499" s="1">
        <f t="shared" si="1"/>
        <v>119.65</v>
      </c>
      <c r="F499" s="1">
        <f t="shared" si="2"/>
        <v>1.69</v>
      </c>
      <c r="G499" s="1">
        <v>71.0</v>
      </c>
      <c r="H499" s="1">
        <v>6.0</v>
      </c>
      <c r="I499" s="1">
        <v>22.0</v>
      </c>
      <c r="J499" s="1">
        <v>28.0</v>
      </c>
      <c r="K499" s="1">
        <v>55.0</v>
      </c>
      <c r="L499" s="1">
        <v>22.0</v>
      </c>
      <c r="M499" s="1">
        <v>36.0</v>
      </c>
      <c r="N499" s="1">
        <v>2.0</v>
      </c>
      <c r="O499" s="1">
        <v>5.0</v>
      </c>
      <c r="P499" s="1">
        <v>0.0</v>
      </c>
      <c r="Q499" s="1">
        <v>0.0</v>
      </c>
      <c r="R499" s="1">
        <v>-22.0</v>
      </c>
      <c r="S499" s="1">
        <v>18.0</v>
      </c>
      <c r="T499" s="1">
        <v>0.0</v>
      </c>
    </row>
    <row r="500" ht="12.75" customHeight="1">
      <c r="A500" s="1" t="s">
        <v>532</v>
      </c>
      <c r="B500" s="1" t="str">
        <f>IFERROR(__xludf.DUMMYFUNCTION("split(A500, ""\"")"),"Denis Malgin")</f>
        <v>Denis Malgin</v>
      </c>
      <c r="C500" s="1" t="str">
        <f>IFERROR(__xludf.DUMMYFUNCTION("""COMPUTED_VALUE"""),"malgide01")</f>
        <v>malgide01</v>
      </c>
      <c r="D500" s="1" t="s">
        <v>31</v>
      </c>
      <c r="E500" s="1">
        <f t="shared" si="1"/>
        <v>118.85</v>
      </c>
      <c r="F500" s="1">
        <f t="shared" si="2"/>
        <v>2.33</v>
      </c>
      <c r="G500" s="1">
        <v>51.0</v>
      </c>
      <c r="H500" s="1">
        <v>11.0</v>
      </c>
      <c r="I500" s="1">
        <v>11.0</v>
      </c>
      <c r="J500" s="1">
        <v>22.0</v>
      </c>
      <c r="K500" s="1">
        <v>79.0</v>
      </c>
      <c r="L500" s="1">
        <v>48.0</v>
      </c>
      <c r="M500" s="1">
        <v>24.0</v>
      </c>
      <c r="N500" s="1">
        <v>1.0</v>
      </c>
      <c r="O500" s="1">
        <v>5.0</v>
      </c>
      <c r="P500" s="1">
        <v>0.0</v>
      </c>
      <c r="Q500" s="1">
        <v>0.0</v>
      </c>
      <c r="R500" s="1">
        <v>4.0</v>
      </c>
      <c r="S500" s="1">
        <v>6.0</v>
      </c>
      <c r="T500" s="1">
        <v>3.0</v>
      </c>
    </row>
    <row r="501" ht="12.75" customHeight="1">
      <c r="A501" s="1" t="s">
        <v>533</v>
      </c>
      <c r="B501" s="1" t="str">
        <f>IFERROR(__xludf.DUMMYFUNCTION("split(A501, ""\"")"),"Matt Cullen")</f>
        <v>Matt Cullen</v>
      </c>
      <c r="C501" s="1" t="str">
        <f>IFERROR(__xludf.DUMMYFUNCTION("""COMPUTED_VALUE"""),"cullema01")</f>
        <v>cullema01</v>
      </c>
      <c r="D501" s="1" t="s">
        <v>31</v>
      </c>
      <c r="E501" s="1">
        <f t="shared" si="1"/>
        <v>118.8</v>
      </c>
      <c r="F501" s="1">
        <f t="shared" si="2"/>
        <v>1.5</v>
      </c>
      <c r="G501" s="1">
        <v>79.0</v>
      </c>
      <c r="H501" s="1">
        <v>11.0</v>
      </c>
      <c r="I501" s="1">
        <v>11.0</v>
      </c>
      <c r="J501" s="1">
        <v>22.0</v>
      </c>
      <c r="K501" s="1">
        <v>104.0</v>
      </c>
      <c r="L501" s="1">
        <v>14.0</v>
      </c>
      <c r="M501" s="1">
        <v>42.0</v>
      </c>
      <c r="N501" s="1">
        <v>0.0</v>
      </c>
      <c r="O501" s="1">
        <v>1.0</v>
      </c>
      <c r="P501" s="1">
        <v>0.0</v>
      </c>
      <c r="Q501" s="1">
        <v>0.0</v>
      </c>
      <c r="R501" s="1">
        <v>-1.0</v>
      </c>
      <c r="S501" s="1">
        <v>20.0</v>
      </c>
      <c r="T501" s="1">
        <v>1.0</v>
      </c>
    </row>
    <row r="502" ht="12.75" customHeight="1">
      <c r="A502" s="1" t="s">
        <v>534</v>
      </c>
      <c r="B502" s="1" t="str">
        <f>IFERROR(__xludf.DUMMYFUNCTION("split(A502, ""\"")"),"Zack Kassian")</f>
        <v>Zack Kassian</v>
      </c>
      <c r="C502" s="1" t="str">
        <f>IFERROR(__xludf.DUMMYFUNCTION("""COMPUTED_VALUE"""),"kassiza01")</f>
        <v>kassiza01</v>
      </c>
      <c r="D502" s="1" t="s">
        <v>36</v>
      </c>
      <c r="E502" s="1">
        <f t="shared" si="1"/>
        <v>118.35</v>
      </c>
      <c r="F502" s="1">
        <f t="shared" si="2"/>
        <v>1.6</v>
      </c>
      <c r="G502" s="1">
        <v>74.0</v>
      </c>
      <c r="H502" s="1">
        <v>7.0</v>
      </c>
      <c r="I502" s="1">
        <v>12.0</v>
      </c>
      <c r="J502" s="1">
        <v>19.0</v>
      </c>
      <c r="K502" s="1">
        <v>86.0</v>
      </c>
      <c r="L502" s="1">
        <v>129.0</v>
      </c>
      <c r="M502" s="1">
        <v>9.0</v>
      </c>
      <c r="N502" s="1">
        <v>0.0</v>
      </c>
      <c r="O502" s="1">
        <v>1.0</v>
      </c>
      <c r="P502" s="1">
        <v>0.0</v>
      </c>
      <c r="Q502" s="1">
        <v>2.0</v>
      </c>
      <c r="R502" s="1">
        <v>-8.0</v>
      </c>
      <c r="S502" s="1">
        <v>92.0</v>
      </c>
      <c r="T502" s="1">
        <v>0.0</v>
      </c>
    </row>
    <row r="503" ht="12.75" customHeight="1">
      <c r="A503" s="1" t="s">
        <v>535</v>
      </c>
      <c r="B503" s="1" t="str">
        <f>IFERROR(__xludf.DUMMYFUNCTION("split(A503, ""\"")"),"Nick Jensen")</f>
        <v>Nick Jensen</v>
      </c>
      <c r="C503" s="1" t="str">
        <f>IFERROR(__xludf.DUMMYFUNCTION("""COMPUTED_VALUE"""),"jenseni02")</f>
        <v>jenseni02</v>
      </c>
      <c r="D503" s="1" t="s">
        <v>66</v>
      </c>
      <c r="E503" s="1">
        <f t="shared" si="1"/>
        <v>118.2</v>
      </c>
      <c r="F503" s="1">
        <f t="shared" si="2"/>
        <v>1.46</v>
      </c>
      <c r="G503" s="1">
        <v>81.0</v>
      </c>
      <c r="H503" s="1">
        <v>0.0</v>
      </c>
      <c r="I503" s="1">
        <v>15.0</v>
      </c>
      <c r="J503" s="1">
        <v>15.0</v>
      </c>
      <c r="K503" s="1">
        <v>107.0</v>
      </c>
      <c r="L503" s="1">
        <v>71.0</v>
      </c>
      <c r="M503" s="1">
        <v>88.0</v>
      </c>
      <c r="N503" s="1">
        <v>0.0</v>
      </c>
      <c r="O503" s="1">
        <v>1.0</v>
      </c>
      <c r="P503" s="1">
        <v>0.0</v>
      </c>
      <c r="Q503" s="1">
        <v>0.0</v>
      </c>
      <c r="R503" s="1">
        <v>-8.0</v>
      </c>
      <c r="S503" s="1">
        <v>27.0</v>
      </c>
      <c r="T503" s="1">
        <v>0.0</v>
      </c>
    </row>
    <row r="504" ht="12.75" customHeight="1">
      <c r="A504" s="1" t="s">
        <v>536</v>
      </c>
      <c r="B504" s="1" t="str">
        <f>IFERROR(__xludf.DUMMYFUNCTION("split(A504, ""\"")"),"Jakob Chychrun")</f>
        <v>Jakob Chychrun</v>
      </c>
      <c r="C504" s="1" t="str">
        <f>IFERROR(__xludf.DUMMYFUNCTION("""COMPUTED_VALUE"""),"chychja01")</f>
        <v>chychja01</v>
      </c>
      <c r="D504" s="1" t="s">
        <v>66</v>
      </c>
      <c r="E504" s="1">
        <f t="shared" si="1"/>
        <v>117.8</v>
      </c>
      <c r="F504" s="1">
        <f t="shared" si="2"/>
        <v>2.36</v>
      </c>
      <c r="G504" s="1">
        <v>50.0</v>
      </c>
      <c r="H504" s="1">
        <v>4.0</v>
      </c>
      <c r="I504" s="1">
        <v>10.0</v>
      </c>
      <c r="J504" s="1">
        <v>14.0</v>
      </c>
      <c r="K504" s="1">
        <v>102.0</v>
      </c>
      <c r="L504" s="1">
        <v>74.0</v>
      </c>
      <c r="M504" s="1">
        <v>72.0</v>
      </c>
      <c r="N504" s="1">
        <v>2.0</v>
      </c>
      <c r="O504" s="1">
        <v>2.0</v>
      </c>
      <c r="P504" s="1">
        <v>0.0</v>
      </c>
      <c r="Q504" s="1">
        <v>0.0</v>
      </c>
      <c r="R504" s="1">
        <v>2.0</v>
      </c>
      <c r="S504" s="1">
        <v>16.0</v>
      </c>
      <c r="T504" s="1">
        <v>1.0</v>
      </c>
    </row>
    <row r="505" ht="12.75" customHeight="1">
      <c r="A505" s="1" t="s">
        <v>537</v>
      </c>
      <c r="B505" s="1" t="str">
        <f>IFERROR(__xludf.DUMMYFUNCTION("split(A505, ""\"")"),"Jay Beagle")</f>
        <v>Jay Beagle</v>
      </c>
      <c r="C505" s="1" t="str">
        <f>IFERROR(__xludf.DUMMYFUNCTION("""COMPUTED_VALUE"""),"beaglja01")</f>
        <v>beaglja01</v>
      </c>
      <c r="D505" s="1" t="s">
        <v>538</v>
      </c>
      <c r="E505" s="1">
        <f t="shared" si="1"/>
        <v>117.6</v>
      </c>
      <c r="F505" s="1">
        <f t="shared" si="2"/>
        <v>1.49</v>
      </c>
      <c r="G505" s="1">
        <v>79.0</v>
      </c>
      <c r="H505" s="1">
        <v>7.0</v>
      </c>
      <c r="I505" s="1">
        <v>15.0</v>
      </c>
      <c r="J505" s="1">
        <v>22.0</v>
      </c>
      <c r="K505" s="1">
        <v>65.0</v>
      </c>
      <c r="L505" s="1">
        <v>69.0</v>
      </c>
      <c r="M505" s="1">
        <v>44.0</v>
      </c>
      <c r="N505" s="1">
        <v>0.0</v>
      </c>
      <c r="O505" s="1">
        <v>0.0</v>
      </c>
      <c r="P505" s="1">
        <v>1.0</v>
      </c>
      <c r="Q505" s="1">
        <v>0.0</v>
      </c>
      <c r="R505" s="1">
        <v>3.0</v>
      </c>
      <c r="S505" s="1">
        <v>16.0</v>
      </c>
      <c r="T505" s="1">
        <v>2.0</v>
      </c>
    </row>
    <row r="506" ht="12.75" customHeight="1">
      <c r="A506" s="1" t="s">
        <v>539</v>
      </c>
      <c r="B506" s="1" t="str">
        <f>IFERROR(__xludf.DUMMYFUNCTION("split(A506, ""\"")"),"Jeff Carter")</f>
        <v>Jeff Carter</v>
      </c>
      <c r="C506" s="1" t="str">
        <f>IFERROR(__xludf.DUMMYFUNCTION("""COMPUTED_VALUE"""),"carteje01")</f>
        <v>carteje01</v>
      </c>
      <c r="D506" s="1" t="s">
        <v>31</v>
      </c>
      <c r="E506" s="1">
        <f t="shared" si="1"/>
        <v>116.9</v>
      </c>
      <c r="F506" s="1">
        <f t="shared" si="2"/>
        <v>4.33</v>
      </c>
      <c r="G506" s="1">
        <v>27.0</v>
      </c>
      <c r="H506" s="1">
        <v>13.0</v>
      </c>
      <c r="I506" s="1">
        <v>9.0</v>
      </c>
      <c r="J506" s="1">
        <v>22.0</v>
      </c>
      <c r="K506" s="1">
        <v>85.0</v>
      </c>
      <c r="L506" s="1">
        <v>27.0</v>
      </c>
      <c r="M506" s="1">
        <v>11.0</v>
      </c>
      <c r="N506" s="1">
        <v>6.0</v>
      </c>
      <c r="O506" s="1">
        <v>3.0</v>
      </c>
      <c r="P506" s="1">
        <v>1.0</v>
      </c>
      <c r="Q506" s="1">
        <v>0.0</v>
      </c>
      <c r="R506" s="1">
        <v>4.0</v>
      </c>
      <c r="S506" s="1">
        <v>2.0</v>
      </c>
      <c r="T506" s="1">
        <v>2.0</v>
      </c>
    </row>
    <row r="507" ht="12.75" customHeight="1">
      <c r="A507" s="1" t="s">
        <v>540</v>
      </c>
      <c r="B507" s="1" t="str">
        <f>IFERROR(__xludf.DUMMYFUNCTION("split(A507, ""\"")"),"Loui Eriksson")</f>
        <v>Loui Eriksson</v>
      </c>
      <c r="C507" s="1" t="str">
        <f>IFERROR(__xludf.DUMMYFUNCTION("""COMPUTED_VALUE"""),"erikslo01")</f>
        <v>erikslo01</v>
      </c>
      <c r="D507" s="1" t="s">
        <v>28</v>
      </c>
      <c r="E507" s="1">
        <f t="shared" si="1"/>
        <v>116.5</v>
      </c>
      <c r="F507" s="1">
        <f t="shared" si="2"/>
        <v>2.33</v>
      </c>
      <c r="G507" s="1">
        <v>50.0</v>
      </c>
      <c r="H507" s="1">
        <v>10.0</v>
      </c>
      <c r="I507" s="1">
        <v>13.0</v>
      </c>
      <c r="J507" s="1">
        <v>23.0</v>
      </c>
      <c r="K507" s="1">
        <v>101.0</v>
      </c>
      <c r="L507" s="1">
        <v>7.0</v>
      </c>
      <c r="M507" s="1">
        <v>30.0</v>
      </c>
      <c r="N507" s="1">
        <v>0.0</v>
      </c>
      <c r="O507" s="1">
        <v>3.0</v>
      </c>
      <c r="P507" s="1">
        <v>1.0</v>
      </c>
      <c r="Q507" s="1">
        <v>1.0</v>
      </c>
      <c r="R507" s="1">
        <v>0.0</v>
      </c>
      <c r="S507" s="1">
        <v>4.0</v>
      </c>
      <c r="T507" s="1">
        <v>0.0</v>
      </c>
    </row>
    <row r="508" ht="12.75" customHeight="1">
      <c r="A508" s="1" t="s">
        <v>541</v>
      </c>
      <c r="B508" s="1" t="str">
        <f>IFERROR(__xludf.DUMMYFUNCTION("split(A508, ""\"")"),"Dylan DeMelo")</f>
        <v>Dylan DeMelo</v>
      </c>
      <c r="C508" s="1" t="str">
        <f>IFERROR(__xludf.DUMMYFUNCTION("""COMPUTED_VALUE"""),"demeldy01")</f>
        <v>demeldy01</v>
      </c>
      <c r="D508" s="1" t="s">
        <v>66</v>
      </c>
      <c r="E508" s="1">
        <f t="shared" si="1"/>
        <v>116.5</v>
      </c>
      <c r="F508" s="1">
        <f t="shared" si="2"/>
        <v>1.85</v>
      </c>
      <c r="G508" s="1">
        <v>63.0</v>
      </c>
      <c r="H508" s="1">
        <v>0.0</v>
      </c>
      <c r="I508" s="1">
        <v>20.0</v>
      </c>
      <c r="J508" s="1">
        <v>20.0</v>
      </c>
      <c r="K508" s="1">
        <v>67.0</v>
      </c>
      <c r="L508" s="1">
        <v>75.0</v>
      </c>
      <c r="M508" s="1">
        <v>70.0</v>
      </c>
      <c r="N508" s="1">
        <v>0.0</v>
      </c>
      <c r="O508" s="1">
        <v>3.0</v>
      </c>
      <c r="P508" s="1">
        <v>0.0</v>
      </c>
      <c r="Q508" s="1">
        <v>0.0</v>
      </c>
      <c r="R508" s="1">
        <v>-1.0</v>
      </c>
      <c r="S508" s="1">
        <v>34.0</v>
      </c>
      <c r="T508" s="1">
        <v>0.0</v>
      </c>
    </row>
    <row r="509" ht="12.75" customHeight="1">
      <c r="A509" s="1" t="s">
        <v>542</v>
      </c>
      <c r="B509" s="1" t="str">
        <f>IFERROR(__xludf.DUMMYFUNCTION("split(A509, ""\"")"),"Magnus Paajarvi")</f>
        <v>Magnus Paajarvi</v>
      </c>
      <c r="C509" s="1" t="str">
        <f>IFERROR(__xludf.DUMMYFUNCTION("""COMPUTED_VALUE"""),"paajama01")</f>
        <v>paajama01</v>
      </c>
      <c r="D509" s="1" t="s">
        <v>28</v>
      </c>
      <c r="E509" s="1">
        <f t="shared" si="1"/>
        <v>116.3</v>
      </c>
      <c r="F509" s="1">
        <f t="shared" si="2"/>
        <v>1.47</v>
      </c>
      <c r="G509" s="1">
        <v>79.0</v>
      </c>
      <c r="H509" s="1">
        <v>8.0</v>
      </c>
      <c r="I509" s="1">
        <v>4.0</v>
      </c>
      <c r="J509" s="1">
        <v>12.0</v>
      </c>
      <c r="K509" s="1">
        <v>126.0</v>
      </c>
      <c r="L509" s="1">
        <v>104.0</v>
      </c>
      <c r="M509" s="1">
        <v>42.0</v>
      </c>
      <c r="N509" s="1">
        <v>0.0</v>
      </c>
      <c r="O509" s="1">
        <v>0.0</v>
      </c>
      <c r="P509" s="1">
        <v>0.0</v>
      </c>
      <c r="Q509" s="1">
        <v>0.0</v>
      </c>
      <c r="R509" s="1">
        <v>-11.0</v>
      </c>
      <c r="S509" s="1">
        <v>12.0</v>
      </c>
      <c r="T509" s="1">
        <v>0.0</v>
      </c>
    </row>
    <row r="510" ht="12.75" customHeight="1">
      <c r="A510" s="1" t="s">
        <v>543</v>
      </c>
      <c r="B510" s="1" t="str">
        <f>IFERROR(__xludf.DUMMYFUNCTION("split(A510, ""\"")"),"Markus Nutivaara")</f>
        <v>Markus Nutivaara</v>
      </c>
      <c r="C510" s="1" t="str">
        <f>IFERROR(__xludf.DUMMYFUNCTION("""COMPUTED_VALUE"""),"nutivma01")</f>
        <v>nutivma01</v>
      </c>
      <c r="D510" s="1" t="s">
        <v>66</v>
      </c>
      <c r="E510" s="1">
        <f t="shared" si="1"/>
        <v>116.25</v>
      </c>
      <c r="F510" s="1">
        <f t="shared" si="2"/>
        <v>1.91</v>
      </c>
      <c r="G510" s="1">
        <v>61.0</v>
      </c>
      <c r="H510" s="1">
        <v>7.0</v>
      </c>
      <c r="I510" s="1">
        <v>16.0</v>
      </c>
      <c r="J510" s="1">
        <v>23.0</v>
      </c>
      <c r="K510" s="1">
        <v>79.0</v>
      </c>
      <c r="L510" s="1">
        <v>42.0</v>
      </c>
      <c r="M510" s="1">
        <v>40.0</v>
      </c>
      <c r="N510" s="1">
        <v>1.0</v>
      </c>
      <c r="O510" s="1">
        <v>1.0</v>
      </c>
      <c r="P510" s="1">
        <v>0.0</v>
      </c>
      <c r="Q510" s="1">
        <v>0.0</v>
      </c>
      <c r="R510" s="1">
        <v>13.0</v>
      </c>
      <c r="S510" s="1">
        <v>14.0</v>
      </c>
      <c r="T510" s="1">
        <v>1.0</v>
      </c>
    </row>
    <row r="511" ht="12.75" customHeight="1">
      <c r="A511" s="1" t="s">
        <v>544</v>
      </c>
      <c r="B511" s="1" t="str">
        <f>IFERROR(__xludf.DUMMYFUNCTION("split(A511, ""\"")"),"Daniel Winnik")</f>
        <v>Daniel Winnik</v>
      </c>
      <c r="C511" s="1" t="str">
        <f>IFERROR(__xludf.DUMMYFUNCTION("""COMPUTED_VALUE"""),"winnida01")</f>
        <v>winnida01</v>
      </c>
      <c r="D511" s="1" t="s">
        <v>141</v>
      </c>
      <c r="E511" s="1">
        <f t="shared" si="1"/>
        <v>115.95</v>
      </c>
      <c r="F511" s="1">
        <f t="shared" si="2"/>
        <v>1.43</v>
      </c>
      <c r="G511" s="1">
        <v>81.0</v>
      </c>
      <c r="H511" s="1">
        <v>6.0</v>
      </c>
      <c r="I511" s="1">
        <v>17.0</v>
      </c>
      <c r="J511" s="1">
        <v>23.0</v>
      </c>
      <c r="K511" s="1">
        <v>82.0</v>
      </c>
      <c r="L511" s="1">
        <v>27.0</v>
      </c>
      <c r="M511" s="1">
        <v>53.0</v>
      </c>
      <c r="N511" s="1">
        <v>0.0</v>
      </c>
      <c r="O511" s="1">
        <v>1.0</v>
      </c>
      <c r="P511" s="1">
        <v>0.0</v>
      </c>
      <c r="Q511" s="1">
        <v>0.0</v>
      </c>
      <c r="R511" s="1">
        <v>5.0</v>
      </c>
      <c r="S511" s="1">
        <v>27.0</v>
      </c>
      <c r="T511" s="1">
        <v>0.0</v>
      </c>
    </row>
    <row r="512" ht="12.75" customHeight="1">
      <c r="A512" s="1" t="s">
        <v>545</v>
      </c>
      <c r="B512" s="1" t="str">
        <f>IFERROR(__xludf.DUMMYFUNCTION("split(A512, ""\"")"),"Evan Rodrigues")</f>
        <v>Evan Rodrigues</v>
      </c>
      <c r="C512" s="1" t="str">
        <f>IFERROR(__xludf.DUMMYFUNCTION("""COMPUTED_VALUE"""),"rodriev01")</f>
        <v>rodriev01</v>
      </c>
      <c r="D512" s="1" t="s">
        <v>31</v>
      </c>
      <c r="E512" s="1">
        <f t="shared" si="1"/>
        <v>115.7</v>
      </c>
      <c r="F512" s="1">
        <f t="shared" si="2"/>
        <v>2.41</v>
      </c>
      <c r="G512" s="1">
        <v>48.0</v>
      </c>
      <c r="H512" s="1">
        <v>7.0</v>
      </c>
      <c r="I512" s="1">
        <v>18.0</v>
      </c>
      <c r="J512" s="1">
        <v>25.0</v>
      </c>
      <c r="K512" s="1">
        <v>91.0</v>
      </c>
      <c r="L512" s="1">
        <v>19.0</v>
      </c>
      <c r="M512" s="1">
        <v>23.0</v>
      </c>
      <c r="N512" s="1">
        <v>1.0</v>
      </c>
      <c r="O512" s="1">
        <v>5.0</v>
      </c>
      <c r="P512" s="1">
        <v>0.0</v>
      </c>
      <c r="Q512" s="1">
        <v>0.0</v>
      </c>
      <c r="R512" s="1">
        <v>-10.0</v>
      </c>
      <c r="S512" s="1">
        <v>14.0</v>
      </c>
      <c r="T512" s="1">
        <v>0.0</v>
      </c>
    </row>
    <row r="513" ht="12.75" customHeight="1">
      <c r="A513" s="1" t="s">
        <v>546</v>
      </c>
      <c r="B513" s="1" t="str">
        <f>IFERROR(__xludf.DUMMYFUNCTION("split(A513, ""\"")"),"Alexander Petrovic")</f>
        <v>Alexander Petrovic</v>
      </c>
      <c r="C513" s="1" t="str">
        <f>IFERROR(__xludf.DUMMYFUNCTION("""COMPUTED_VALUE"""),"petroal01")</f>
        <v>petroal01</v>
      </c>
      <c r="D513" s="1" t="s">
        <v>66</v>
      </c>
      <c r="E513" s="1">
        <f t="shared" si="1"/>
        <v>115.6</v>
      </c>
      <c r="F513" s="1">
        <f t="shared" si="2"/>
        <v>1.73</v>
      </c>
      <c r="G513" s="1">
        <v>67.0</v>
      </c>
      <c r="H513" s="1">
        <v>2.0</v>
      </c>
      <c r="I513" s="1">
        <v>11.0</v>
      </c>
      <c r="J513" s="1">
        <v>13.0</v>
      </c>
      <c r="K513" s="1">
        <v>60.0</v>
      </c>
      <c r="L513" s="1">
        <v>142.0</v>
      </c>
      <c r="M513" s="1">
        <v>74.0</v>
      </c>
      <c r="N513" s="1">
        <v>0.0</v>
      </c>
      <c r="O513" s="1">
        <v>0.0</v>
      </c>
      <c r="P513" s="1">
        <v>0.0</v>
      </c>
      <c r="Q513" s="1">
        <v>0.0</v>
      </c>
      <c r="R513" s="1">
        <v>-2.0</v>
      </c>
      <c r="S513" s="1">
        <v>98.0</v>
      </c>
      <c r="T513" s="1">
        <v>1.0</v>
      </c>
    </row>
    <row r="514" ht="12.75" customHeight="1">
      <c r="A514" s="1" t="s">
        <v>547</v>
      </c>
      <c r="B514" s="1" t="str">
        <f>IFERROR(__xludf.DUMMYFUNCTION("split(A514, ""\"")"),"Scottie Upshall")</f>
        <v>Scottie Upshall</v>
      </c>
      <c r="C514" s="1" t="str">
        <f>IFERROR(__xludf.DUMMYFUNCTION("""COMPUTED_VALUE"""),"upshasc01")</f>
        <v>upshasc01</v>
      </c>
      <c r="D514" s="1" t="s">
        <v>28</v>
      </c>
      <c r="E514" s="1">
        <f t="shared" si="1"/>
        <v>115.1</v>
      </c>
      <c r="F514" s="1">
        <f t="shared" si="2"/>
        <v>1.83</v>
      </c>
      <c r="G514" s="1">
        <v>63.0</v>
      </c>
      <c r="H514" s="1">
        <v>7.0</v>
      </c>
      <c r="I514" s="1">
        <v>12.0</v>
      </c>
      <c r="J514" s="1">
        <v>19.0</v>
      </c>
      <c r="K514" s="1">
        <v>71.0</v>
      </c>
      <c r="L514" s="1">
        <v>119.0</v>
      </c>
      <c r="M514" s="1">
        <v>24.0</v>
      </c>
      <c r="N514" s="1">
        <v>0.0</v>
      </c>
      <c r="O514" s="1">
        <v>0.0</v>
      </c>
      <c r="P514" s="1">
        <v>0.0</v>
      </c>
      <c r="Q514" s="1">
        <v>0.0</v>
      </c>
      <c r="R514" s="1">
        <v>-1.0</v>
      </c>
      <c r="S514" s="1">
        <v>46.0</v>
      </c>
      <c r="T514" s="1">
        <v>2.0</v>
      </c>
    </row>
    <row r="515" ht="12.75" customHeight="1">
      <c r="A515" s="1" t="s">
        <v>548</v>
      </c>
      <c r="B515" s="1" t="str">
        <f>IFERROR(__xludf.DUMMYFUNCTION("split(A515, ""\"")"),"Scott Wilson")</f>
        <v>Scott Wilson</v>
      </c>
      <c r="C515" s="1" t="str">
        <f>IFERROR(__xludf.DUMMYFUNCTION("""COMPUTED_VALUE"""),"wilsosc01")</f>
        <v>wilsosc01</v>
      </c>
      <c r="D515" s="1" t="s">
        <v>141</v>
      </c>
      <c r="E515" s="1">
        <f t="shared" si="1"/>
        <v>114.7</v>
      </c>
      <c r="F515" s="1">
        <f t="shared" si="2"/>
        <v>1.66</v>
      </c>
      <c r="G515" s="1">
        <v>69.0</v>
      </c>
      <c r="H515" s="1">
        <v>6.0</v>
      </c>
      <c r="I515" s="1">
        <v>8.0</v>
      </c>
      <c r="J515" s="1">
        <v>14.0</v>
      </c>
      <c r="K515" s="1">
        <v>98.0</v>
      </c>
      <c r="L515" s="1">
        <v>128.0</v>
      </c>
      <c r="M515" s="1">
        <v>33.0</v>
      </c>
      <c r="N515" s="1">
        <v>0.0</v>
      </c>
      <c r="O515" s="1">
        <v>1.0</v>
      </c>
      <c r="P515" s="1">
        <v>0.0</v>
      </c>
      <c r="Q515" s="1">
        <v>0.0</v>
      </c>
      <c r="R515" s="1">
        <v>-20.0</v>
      </c>
      <c r="S515" s="1">
        <v>8.0</v>
      </c>
      <c r="T515" s="1">
        <v>0.0</v>
      </c>
    </row>
    <row r="516" ht="12.75" customHeight="1">
      <c r="A516" s="1" t="s">
        <v>549</v>
      </c>
      <c r="B516" s="1" t="str">
        <f>IFERROR(__xludf.DUMMYFUNCTION("split(A516, ""\"")"),"Noel Acciari")</f>
        <v>Noel Acciari</v>
      </c>
      <c r="C516" s="1" t="str">
        <f>IFERROR(__xludf.DUMMYFUNCTION("""COMPUTED_VALUE"""),"acciano01")</f>
        <v>acciano01</v>
      </c>
      <c r="D516" s="1" t="s">
        <v>31</v>
      </c>
      <c r="E516" s="1">
        <f t="shared" si="1"/>
        <v>114.4</v>
      </c>
      <c r="F516" s="1">
        <f t="shared" si="2"/>
        <v>1.91</v>
      </c>
      <c r="G516" s="1">
        <v>60.0</v>
      </c>
      <c r="H516" s="1">
        <v>10.0</v>
      </c>
      <c r="I516" s="1">
        <v>1.0</v>
      </c>
      <c r="J516" s="1">
        <v>11.0</v>
      </c>
      <c r="K516" s="1">
        <v>66.0</v>
      </c>
      <c r="L516" s="1">
        <v>152.0</v>
      </c>
      <c r="M516" s="1">
        <v>41.0</v>
      </c>
      <c r="N516" s="1">
        <v>0.0</v>
      </c>
      <c r="O516" s="1">
        <v>0.0</v>
      </c>
      <c r="P516" s="1">
        <v>1.0</v>
      </c>
      <c r="Q516" s="1">
        <v>0.0</v>
      </c>
      <c r="R516" s="1">
        <v>-6.0</v>
      </c>
      <c r="S516" s="1">
        <v>9.0</v>
      </c>
      <c r="T516" s="1">
        <v>0.0</v>
      </c>
    </row>
    <row r="517" ht="12.75" customHeight="1">
      <c r="A517" s="1" t="s">
        <v>550</v>
      </c>
      <c r="B517" s="1" t="str">
        <f>IFERROR(__xludf.DUMMYFUNCTION("split(A517, ""\"")"),"Logan Shaw")</f>
        <v>Logan Shaw</v>
      </c>
      <c r="C517" s="1" t="str">
        <f>IFERROR(__xludf.DUMMYFUNCTION("""COMPUTED_VALUE"""),"shawlo01")</f>
        <v>shawlo01</v>
      </c>
      <c r="D517" s="1" t="s">
        <v>36</v>
      </c>
      <c r="E517" s="1">
        <f t="shared" si="1"/>
        <v>114.15</v>
      </c>
      <c r="F517" s="1">
        <f t="shared" si="2"/>
        <v>1.59</v>
      </c>
      <c r="G517" s="1">
        <v>72.0</v>
      </c>
      <c r="H517" s="1">
        <v>4.0</v>
      </c>
      <c r="I517" s="1">
        <v>10.0</v>
      </c>
      <c r="J517" s="1">
        <v>14.0</v>
      </c>
      <c r="K517" s="1">
        <v>105.0</v>
      </c>
      <c r="L517" s="1">
        <v>110.0</v>
      </c>
      <c r="M517" s="1">
        <v>46.0</v>
      </c>
      <c r="N517" s="1">
        <v>0.0</v>
      </c>
      <c r="O517" s="1">
        <v>0.0</v>
      </c>
      <c r="P517" s="1">
        <v>0.0</v>
      </c>
      <c r="Q517" s="1">
        <v>1.0</v>
      </c>
      <c r="R517" s="1">
        <v>-6.0</v>
      </c>
      <c r="S517" s="1">
        <v>12.0</v>
      </c>
      <c r="T517" s="1">
        <v>1.0</v>
      </c>
    </row>
    <row r="518" ht="12.75" customHeight="1">
      <c r="A518" s="1" t="s">
        <v>551</v>
      </c>
      <c r="B518" s="1" t="str">
        <f>IFERROR(__xludf.DUMMYFUNCTION("split(A518, ""\"")"),"Antoine Roussel")</f>
        <v>Antoine Roussel</v>
      </c>
      <c r="C518" s="1" t="str">
        <f>IFERROR(__xludf.DUMMYFUNCTION("""COMPUTED_VALUE"""),"roussan01")</f>
        <v>roussan01</v>
      </c>
      <c r="D518" s="1" t="s">
        <v>28</v>
      </c>
      <c r="E518" s="1">
        <f t="shared" si="1"/>
        <v>114.05</v>
      </c>
      <c r="F518" s="1">
        <f t="shared" si="2"/>
        <v>1.56</v>
      </c>
      <c r="G518" s="1">
        <v>73.0</v>
      </c>
      <c r="H518" s="1">
        <v>5.0</v>
      </c>
      <c r="I518" s="1">
        <v>12.0</v>
      </c>
      <c r="J518" s="1">
        <v>17.0</v>
      </c>
      <c r="K518" s="1">
        <v>85.0</v>
      </c>
      <c r="L518" s="1">
        <v>104.0</v>
      </c>
      <c r="M518" s="1">
        <v>42.0</v>
      </c>
      <c r="N518" s="1">
        <v>0.0</v>
      </c>
      <c r="O518" s="1">
        <v>0.0</v>
      </c>
      <c r="P518" s="1">
        <v>0.0</v>
      </c>
      <c r="Q518" s="1">
        <v>0.0</v>
      </c>
      <c r="R518" s="1">
        <v>1.0</v>
      </c>
      <c r="S518" s="1">
        <v>126.0</v>
      </c>
      <c r="T518" s="1">
        <v>0.0</v>
      </c>
    </row>
    <row r="519" ht="12.75" customHeight="1">
      <c r="A519" s="1" t="s">
        <v>552</v>
      </c>
      <c r="B519" s="1" t="str">
        <f>IFERROR(__xludf.DUMMYFUNCTION("split(A519, ""\"")"),"Derek MacKenzie")</f>
        <v>Derek MacKenzie</v>
      </c>
      <c r="C519" s="1" t="str">
        <f>IFERROR(__xludf.DUMMYFUNCTION("""COMPUTED_VALUE"""),"mackede01")</f>
        <v>mackede01</v>
      </c>
      <c r="D519" s="1" t="s">
        <v>31</v>
      </c>
      <c r="E519" s="1">
        <f t="shared" si="1"/>
        <v>114</v>
      </c>
      <c r="F519" s="1">
        <f t="shared" si="2"/>
        <v>1.52</v>
      </c>
      <c r="G519" s="1">
        <v>75.0</v>
      </c>
      <c r="H519" s="1">
        <v>3.0</v>
      </c>
      <c r="I519" s="1">
        <v>11.0</v>
      </c>
      <c r="J519" s="1">
        <v>14.0</v>
      </c>
      <c r="K519" s="1">
        <v>86.0</v>
      </c>
      <c r="L519" s="1">
        <v>124.0</v>
      </c>
      <c r="M519" s="1">
        <v>45.0</v>
      </c>
      <c r="N519" s="1">
        <v>0.0</v>
      </c>
      <c r="O519" s="1">
        <v>0.0</v>
      </c>
      <c r="P519" s="1">
        <v>1.0</v>
      </c>
      <c r="Q519" s="1">
        <v>3.0</v>
      </c>
      <c r="R519" s="1">
        <v>-9.0</v>
      </c>
      <c r="S519" s="1">
        <v>31.0</v>
      </c>
      <c r="T519" s="1">
        <v>0.0</v>
      </c>
    </row>
    <row r="520" ht="12.75" customHeight="1">
      <c r="A520" s="1" t="s">
        <v>553</v>
      </c>
      <c r="B520" s="1" t="str">
        <f>IFERROR(__xludf.DUMMYFUNCTION("split(A520, ""\"")"),"Shea Weber")</f>
        <v>Shea Weber</v>
      </c>
      <c r="C520" s="1" t="str">
        <f>IFERROR(__xludf.DUMMYFUNCTION("""COMPUTED_VALUE"""),"webersh01")</f>
        <v>webersh01</v>
      </c>
      <c r="D520" s="1" t="s">
        <v>66</v>
      </c>
      <c r="E520" s="1">
        <f t="shared" si="1"/>
        <v>113.85</v>
      </c>
      <c r="F520" s="1">
        <f t="shared" si="2"/>
        <v>4.38</v>
      </c>
      <c r="G520" s="1">
        <v>26.0</v>
      </c>
      <c r="H520" s="1">
        <v>6.0</v>
      </c>
      <c r="I520" s="1">
        <v>10.0</v>
      </c>
      <c r="J520" s="1">
        <v>16.0</v>
      </c>
      <c r="K520" s="1">
        <v>75.0</v>
      </c>
      <c r="L520" s="1">
        <v>66.0</v>
      </c>
      <c r="M520" s="1">
        <v>59.0</v>
      </c>
      <c r="N520" s="1">
        <v>2.0</v>
      </c>
      <c r="O520" s="1">
        <v>3.0</v>
      </c>
      <c r="P520" s="1">
        <v>0.0</v>
      </c>
      <c r="Q520" s="1">
        <v>1.0</v>
      </c>
      <c r="R520" s="1">
        <v>-8.0</v>
      </c>
      <c r="S520" s="1">
        <v>14.0</v>
      </c>
      <c r="T520" s="1">
        <v>1.0</v>
      </c>
    </row>
    <row r="521" ht="12.75" customHeight="1">
      <c r="A521" s="1" t="s">
        <v>554</v>
      </c>
      <c r="B521" s="1" t="str">
        <f>IFERROR(__xludf.DUMMYFUNCTION("split(A521, ""\"")"),"Jan Rutta")</f>
        <v>Jan Rutta</v>
      </c>
      <c r="C521" s="1" t="str">
        <f>IFERROR(__xludf.DUMMYFUNCTION("""COMPUTED_VALUE"""),"ruttaja02")</f>
        <v>ruttaja02</v>
      </c>
      <c r="D521" s="1" t="s">
        <v>66</v>
      </c>
      <c r="E521" s="1">
        <f t="shared" si="1"/>
        <v>113.35</v>
      </c>
      <c r="F521" s="1">
        <f t="shared" si="2"/>
        <v>1.99</v>
      </c>
      <c r="G521" s="1">
        <v>57.0</v>
      </c>
      <c r="H521" s="1">
        <v>6.0</v>
      </c>
      <c r="I521" s="1">
        <v>14.0</v>
      </c>
      <c r="J521" s="1">
        <v>20.0</v>
      </c>
      <c r="K521" s="1">
        <v>71.0</v>
      </c>
      <c r="L521" s="1">
        <v>24.0</v>
      </c>
      <c r="M521" s="1">
        <v>64.0</v>
      </c>
      <c r="N521" s="1">
        <v>2.0</v>
      </c>
      <c r="O521" s="1">
        <v>2.0</v>
      </c>
      <c r="P521" s="1">
        <v>0.0</v>
      </c>
      <c r="Q521" s="1">
        <v>1.0</v>
      </c>
      <c r="R521" s="1">
        <v>-1.0</v>
      </c>
      <c r="S521" s="1">
        <v>24.0</v>
      </c>
      <c r="T521" s="1">
        <v>1.0</v>
      </c>
    </row>
    <row r="522" ht="12.75" customHeight="1">
      <c r="A522" s="1" t="s">
        <v>555</v>
      </c>
      <c r="B522" s="1" t="str">
        <f>IFERROR(__xludf.DUMMYFUNCTION("split(A522, ""\"")"),"Vinnie Hinostroza")</f>
        <v>Vinnie Hinostroza</v>
      </c>
      <c r="C522" s="1" t="str">
        <f>IFERROR(__xludf.DUMMYFUNCTION("""COMPUTED_VALUE"""),"hinosvi01")</f>
        <v>hinosvi01</v>
      </c>
      <c r="D522" s="1" t="s">
        <v>31</v>
      </c>
      <c r="E522" s="1">
        <f t="shared" si="1"/>
        <v>112.8</v>
      </c>
      <c r="F522" s="1">
        <f t="shared" si="2"/>
        <v>2.26</v>
      </c>
      <c r="G522" s="1">
        <v>50.0</v>
      </c>
      <c r="H522" s="1">
        <v>7.0</v>
      </c>
      <c r="I522" s="1">
        <v>18.0</v>
      </c>
      <c r="J522" s="1">
        <v>25.0</v>
      </c>
      <c r="K522" s="1">
        <v>86.0</v>
      </c>
      <c r="L522" s="1">
        <v>26.0</v>
      </c>
      <c r="M522" s="1">
        <v>17.0</v>
      </c>
      <c r="N522" s="1">
        <v>1.0</v>
      </c>
      <c r="O522" s="1">
        <v>4.0</v>
      </c>
      <c r="P522" s="1">
        <v>0.0</v>
      </c>
      <c r="Q522" s="1">
        <v>0.0</v>
      </c>
      <c r="R522" s="1">
        <v>5.0</v>
      </c>
      <c r="S522" s="1">
        <v>10.0</v>
      </c>
      <c r="T522" s="1">
        <v>1.0</v>
      </c>
    </row>
    <row r="523" ht="12.75" customHeight="1">
      <c r="A523" s="1" t="s">
        <v>556</v>
      </c>
      <c r="B523" s="1" t="str">
        <f>IFERROR(__xludf.DUMMYFUNCTION("split(A523, ""\"")"),"Troy Stecher")</f>
        <v>Troy Stecher</v>
      </c>
      <c r="C523" s="1" t="str">
        <f>IFERROR(__xludf.DUMMYFUNCTION("""COMPUTED_VALUE"""),"stechtr01")</f>
        <v>stechtr01</v>
      </c>
      <c r="D523" s="1" t="s">
        <v>66</v>
      </c>
      <c r="E523" s="1">
        <f t="shared" si="1"/>
        <v>112.25</v>
      </c>
      <c r="F523" s="1">
        <f t="shared" si="2"/>
        <v>1.65</v>
      </c>
      <c r="G523" s="1">
        <v>68.0</v>
      </c>
      <c r="H523" s="1">
        <v>1.0</v>
      </c>
      <c r="I523" s="1">
        <v>10.0</v>
      </c>
      <c r="J523" s="1">
        <v>11.0</v>
      </c>
      <c r="K523" s="1">
        <v>94.0</v>
      </c>
      <c r="L523" s="1">
        <v>111.0</v>
      </c>
      <c r="M523" s="1">
        <v>75.0</v>
      </c>
      <c r="N523" s="1">
        <v>0.0</v>
      </c>
      <c r="O523" s="1">
        <v>1.0</v>
      </c>
      <c r="P523" s="1">
        <v>0.0</v>
      </c>
      <c r="Q523" s="1">
        <v>1.0</v>
      </c>
      <c r="R523" s="1">
        <v>-7.0</v>
      </c>
      <c r="S523" s="1">
        <v>35.0</v>
      </c>
      <c r="T523" s="1">
        <v>0.0</v>
      </c>
    </row>
    <row r="524" ht="12.75" customHeight="1">
      <c r="A524" s="1" t="s">
        <v>557</v>
      </c>
      <c r="B524" s="1" t="str">
        <f>IFERROR(__xludf.DUMMYFUNCTION("split(A524, ""\"")"),"Ryan Reaves")</f>
        <v>Ryan Reaves</v>
      </c>
      <c r="C524" s="1" t="str">
        <f>IFERROR(__xludf.DUMMYFUNCTION("""COMPUTED_VALUE"""),"reavery01")</f>
        <v>reavery01</v>
      </c>
      <c r="D524" s="1" t="s">
        <v>36</v>
      </c>
      <c r="E524" s="1">
        <f t="shared" si="1"/>
        <v>111.3</v>
      </c>
      <c r="F524" s="1">
        <f t="shared" si="2"/>
        <v>1.41</v>
      </c>
      <c r="G524" s="1">
        <v>79.0</v>
      </c>
      <c r="H524" s="1">
        <v>4.0</v>
      </c>
      <c r="I524" s="1">
        <v>6.0</v>
      </c>
      <c r="J524" s="1">
        <v>10.0</v>
      </c>
      <c r="K524" s="1">
        <v>42.0</v>
      </c>
      <c r="L524" s="1">
        <v>236.0</v>
      </c>
      <c r="M524" s="1">
        <v>27.0</v>
      </c>
      <c r="N524" s="1">
        <v>0.0</v>
      </c>
      <c r="O524" s="1">
        <v>0.0</v>
      </c>
      <c r="P524" s="1">
        <v>0.0</v>
      </c>
      <c r="Q524" s="1">
        <v>0.0</v>
      </c>
      <c r="R524" s="1">
        <v>-7.0</v>
      </c>
      <c r="S524" s="1">
        <v>94.0</v>
      </c>
      <c r="T524" s="1">
        <v>1.0</v>
      </c>
    </row>
    <row r="525" ht="12.75" customHeight="1">
      <c r="A525" s="1" t="s">
        <v>558</v>
      </c>
      <c r="B525" s="1" t="str">
        <f>IFERROR(__xludf.DUMMYFUNCTION("split(A525, ""\"")"),"Roman Polak")</f>
        <v>Roman Polak</v>
      </c>
      <c r="C525" s="1" t="str">
        <f>IFERROR(__xludf.DUMMYFUNCTION("""COMPUTED_VALUE"""),"polakro01")</f>
        <v>polakro01</v>
      </c>
      <c r="D525" s="1" t="s">
        <v>66</v>
      </c>
      <c r="E525" s="1">
        <f t="shared" si="1"/>
        <v>111.1</v>
      </c>
      <c r="F525" s="1">
        <f t="shared" si="2"/>
        <v>2.06</v>
      </c>
      <c r="G525" s="1">
        <v>54.0</v>
      </c>
      <c r="H525" s="1">
        <v>2.0</v>
      </c>
      <c r="I525" s="1">
        <v>10.0</v>
      </c>
      <c r="J525" s="1">
        <v>12.0</v>
      </c>
      <c r="K525" s="1">
        <v>47.0</v>
      </c>
      <c r="L525" s="1">
        <v>131.0</v>
      </c>
      <c r="M525" s="1">
        <v>84.0</v>
      </c>
      <c r="N525" s="1">
        <v>0.0</v>
      </c>
      <c r="O525" s="1">
        <v>0.0</v>
      </c>
      <c r="P525" s="1">
        <v>0.0</v>
      </c>
      <c r="Q525" s="1">
        <v>0.0</v>
      </c>
      <c r="R525" s="1">
        <v>5.0</v>
      </c>
      <c r="S525" s="1">
        <v>46.0</v>
      </c>
      <c r="T525" s="1">
        <v>0.0</v>
      </c>
    </row>
    <row r="526" ht="12.75" customHeight="1">
      <c r="A526" s="1" t="s">
        <v>559</v>
      </c>
      <c r="B526" s="1" t="str">
        <f>IFERROR(__xludf.DUMMYFUNCTION("split(A526, ""\"")"),"Nate Thompson")</f>
        <v>Nate Thompson</v>
      </c>
      <c r="C526" s="1" t="str">
        <f>IFERROR(__xludf.DUMMYFUNCTION("""COMPUTED_VALUE"""),"thompna01")</f>
        <v>thompna01</v>
      </c>
      <c r="D526" s="1" t="s">
        <v>31</v>
      </c>
      <c r="E526" s="1">
        <f t="shared" si="1"/>
        <v>110.35</v>
      </c>
      <c r="F526" s="1">
        <f t="shared" si="2"/>
        <v>1.6</v>
      </c>
      <c r="G526" s="1">
        <v>69.0</v>
      </c>
      <c r="H526" s="1">
        <v>5.0</v>
      </c>
      <c r="I526" s="1">
        <v>12.0</v>
      </c>
      <c r="J526" s="1">
        <v>17.0</v>
      </c>
      <c r="K526" s="1">
        <v>53.0</v>
      </c>
      <c r="L526" s="1">
        <v>122.0</v>
      </c>
      <c r="M526" s="1">
        <v>39.0</v>
      </c>
      <c r="N526" s="1">
        <v>0.0</v>
      </c>
      <c r="O526" s="1">
        <v>0.0</v>
      </c>
      <c r="P526" s="1">
        <v>1.0</v>
      </c>
      <c r="Q526" s="1">
        <v>0.0</v>
      </c>
      <c r="R526" s="1">
        <v>-1.0</v>
      </c>
      <c r="S526" s="1">
        <v>20.0</v>
      </c>
      <c r="T526" s="1">
        <v>0.0</v>
      </c>
    </row>
    <row r="527" ht="12.75" customHeight="1">
      <c r="A527" s="1" t="s">
        <v>560</v>
      </c>
      <c r="B527" s="1" t="str">
        <f>IFERROR(__xludf.DUMMYFUNCTION("split(A527, ""\"")"),"Sonny Milano")</f>
        <v>Sonny Milano</v>
      </c>
      <c r="C527" s="1" t="str">
        <f>IFERROR(__xludf.DUMMYFUNCTION("""COMPUTED_VALUE"""),"milanso01")</f>
        <v>milanso01</v>
      </c>
      <c r="D527" s="1" t="s">
        <v>28</v>
      </c>
      <c r="E527" s="1">
        <f t="shared" si="1"/>
        <v>108.65</v>
      </c>
      <c r="F527" s="1">
        <f t="shared" si="2"/>
        <v>1.98</v>
      </c>
      <c r="G527" s="1">
        <v>55.0</v>
      </c>
      <c r="H527" s="1">
        <v>14.0</v>
      </c>
      <c r="I527" s="1">
        <v>8.0</v>
      </c>
      <c r="J527" s="1">
        <v>22.0</v>
      </c>
      <c r="K527" s="1">
        <v>69.0</v>
      </c>
      <c r="L527" s="1">
        <v>28.0</v>
      </c>
      <c r="M527" s="1">
        <v>11.0</v>
      </c>
      <c r="N527" s="1">
        <v>0.0</v>
      </c>
      <c r="O527" s="1">
        <v>4.0</v>
      </c>
      <c r="P527" s="1">
        <v>0.0</v>
      </c>
      <c r="Q527" s="1">
        <v>0.0</v>
      </c>
      <c r="R527" s="1">
        <v>-8.0</v>
      </c>
      <c r="S527" s="1">
        <v>10.0</v>
      </c>
      <c r="T527" s="1">
        <v>3.0</v>
      </c>
    </row>
    <row r="528" ht="12.75" customHeight="1">
      <c r="A528" s="1" t="s">
        <v>561</v>
      </c>
      <c r="B528" s="1" t="str">
        <f>IFERROR(__xludf.DUMMYFUNCTION("split(A528, ""\"")"),"Ben Chiarot")</f>
        <v>Ben Chiarot</v>
      </c>
      <c r="C528" s="1" t="str">
        <f>IFERROR(__xludf.DUMMYFUNCTION("""COMPUTED_VALUE"""),"chiarbe01")</f>
        <v>chiarbe01</v>
      </c>
      <c r="D528" s="1" t="s">
        <v>66</v>
      </c>
      <c r="E528" s="1">
        <f t="shared" si="1"/>
        <v>108.5</v>
      </c>
      <c r="F528" s="1">
        <f t="shared" si="2"/>
        <v>1.9</v>
      </c>
      <c r="G528" s="1">
        <v>57.0</v>
      </c>
      <c r="H528" s="1">
        <v>2.0</v>
      </c>
      <c r="I528" s="1">
        <v>12.0</v>
      </c>
      <c r="J528" s="1">
        <v>14.0</v>
      </c>
      <c r="K528" s="1">
        <v>57.0</v>
      </c>
      <c r="L528" s="1">
        <v>105.0</v>
      </c>
      <c r="M528" s="1">
        <v>75.0</v>
      </c>
      <c r="N528" s="1">
        <v>0.0</v>
      </c>
      <c r="O528" s="1">
        <v>0.0</v>
      </c>
      <c r="P528" s="1">
        <v>0.0</v>
      </c>
      <c r="Q528" s="1">
        <v>0.0</v>
      </c>
      <c r="R528" s="1">
        <v>15.0</v>
      </c>
      <c r="S528" s="1">
        <v>32.0</v>
      </c>
      <c r="T528" s="1">
        <v>0.0</v>
      </c>
    </row>
    <row r="529" ht="12.75" customHeight="1">
      <c r="A529" s="1" t="s">
        <v>562</v>
      </c>
      <c r="B529" s="1" t="str">
        <f>IFERROR(__xludf.DUMMYFUNCTION("split(A529, ""\"")"),"Jake McCabe")</f>
        <v>Jake McCabe</v>
      </c>
      <c r="C529" s="1" t="str">
        <f>IFERROR(__xludf.DUMMYFUNCTION("""COMPUTED_VALUE"""),"mccabja01")</f>
        <v>mccabja01</v>
      </c>
      <c r="D529" s="1" t="s">
        <v>66</v>
      </c>
      <c r="E529" s="1">
        <f t="shared" si="1"/>
        <v>107.85</v>
      </c>
      <c r="F529" s="1">
        <f t="shared" si="2"/>
        <v>2.03</v>
      </c>
      <c r="G529" s="1">
        <v>53.0</v>
      </c>
      <c r="H529" s="1">
        <v>3.0</v>
      </c>
      <c r="I529" s="1">
        <v>9.0</v>
      </c>
      <c r="J529" s="1">
        <v>12.0</v>
      </c>
      <c r="K529" s="1">
        <v>53.0</v>
      </c>
      <c r="L529" s="1">
        <v>110.0</v>
      </c>
      <c r="M529" s="1">
        <v>79.0</v>
      </c>
      <c r="N529" s="1">
        <v>1.0</v>
      </c>
      <c r="O529" s="1">
        <v>0.0</v>
      </c>
      <c r="P529" s="1">
        <v>0.0</v>
      </c>
      <c r="Q529" s="1">
        <v>0.0</v>
      </c>
      <c r="R529" s="1">
        <v>-11.0</v>
      </c>
      <c r="S529" s="1">
        <v>26.0</v>
      </c>
      <c r="T529" s="1">
        <v>0.0</v>
      </c>
    </row>
    <row r="530" ht="12.75" customHeight="1">
      <c r="A530" s="1" t="s">
        <v>563</v>
      </c>
      <c r="B530" s="1" t="str">
        <f>IFERROR(__xludf.DUMMYFUNCTION("split(A530, ""\"")"),"Garnet Hathaway")</f>
        <v>Garnet Hathaway</v>
      </c>
      <c r="C530" s="1" t="str">
        <f>IFERROR(__xludf.DUMMYFUNCTION("""COMPUTED_VALUE"""),"hathaga01")</f>
        <v>hathaga01</v>
      </c>
      <c r="D530" s="1" t="s">
        <v>36</v>
      </c>
      <c r="E530" s="1">
        <f t="shared" si="1"/>
        <v>107.8</v>
      </c>
      <c r="F530" s="1">
        <f t="shared" si="2"/>
        <v>1.83</v>
      </c>
      <c r="G530" s="1">
        <v>59.0</v>
      </c>
      <c r="H530" s="1">
        <v>4.0</v>
      </c>
      <c r="I530" s="1">
        <v>9.0</v>
      </c>
      <c r="J530" s="1">
        <v>13.0</v>
      </c>
      <c r="K530" s="1">
        <v>68.0</v>
      </c>
      <c r="L530" s="1">
        <v>154.0</v>
      </c>
      <c r="M530" s="1">
        <v>32.0</v>
      </c>
      <c r="N530" s="1">
        <v>0.0</v>
      </c>
      <c r="O530" s="1">
        <v>0.0</v>
      </c>
      <c r="P530" s="1">
        <v>1.0</v>
      </c>
      <c r="Q530" s="1">
        <v>0.0</v>
      </c>
      <c r="R530" s="1">
        <v>3.0</v>
      </c>
      <c r="S530" s="1">
        <v>88.0</v>
      </c>
      <c r="T530" s="1">
        <v>0.0</v>
      </c>
    </row>
    <row r="531" ht="12.75" customHeight="1">
      <c r="A531" s="1" t="s">
        <v>564</v>
      </c>
      <c r="B531" s="1" t="str">
        <f>IFERROR(__xludf.DUMMYFUNCTION("split(A531, ""\"")"),"Pierre-Edouard Bellemare")</f>
        <v>Pierre-Edouard Bellemare</v>
      </c>
      <c r="C531" s="1" t="str">
        <f>IFERROR(__xludf.DUMMYFUNCTION("""COMPUTED_VALUE"""),"bellepi01")</f>
        <v>bellepi01</v>
      </c>
      <c r="D531" s="1" t="s">
        <v>28</v>
      </c>
      <c r="E531" s="1">
        <f t="shared" si="1"/>
        <v>107.45</v>
      </c>
      <c r="F531" s="1">
        <f t="shared" si="2"/>
        <v>1.49</v>
      </c>
      <c r="G531" s="1">
        <v>72.0</v>
      </c>
      <c r="H531" s="1">
        <v>6.0</v>
      </c>
      <c r="I531" s="1">
        <v>10.0</v>
      </c>
      <c r="J531" s="1">
        <v>16.0</v>
      </c>
      <c r="K531" s="1">
        <v>92.0</v>
      </c>
      <c r="L531" s="1">
        <v>41.0</v>
      </c>
      <c r="M531" s="1">
        <v>63.0</v>
      </c>
      <c r="N531" s="1">
        <v>0.0</v>
      </c>
      <c r="O531" s="1">
        <v>0.0</v>
      </c>
      <c r="P531" s="1">
        <v>0.0</v>
      </c>
      <c r="Q531" s="1">
        <v>0.0</v>
      </c>
      <c r="R531" s="1">
        <v>5.0</v>
      </c>
      <c r="S531" s="1">
        <v>14.0</v>
      </c>
      <c r="T531" s="1">
        <v>1.0</v>
      </c>
    </row>
    <row r="532" ht="12.75" customHeight="1">
      <c r="A532" s="1" t="s">
        <v>565</v>
      </c>
      <c r="B532" s="1" t="str">
        <f>IFERROR(__xludf.DUMMYFUNCTION("split(A532, ""\"")"),"Jordan Weal")</f>
        <v>Jordan Weal</v>
      </c>
      <c r="C532" s="1" t="str">
        <f>IFERROR(__xludf.DUMMYFUNCTION("""COMPUTED_VALUE"""),"wealjo01")</f>
        <v>wealjo01</v>
      </c>
      <c r="D532" s="1" t="s">
        <v>31</v>
      </c>
      <c r="E532" s="1">
        <f t="shared" si="1"/>
        <v>107.25</v>
      </c>
      <c r="F532" s="1">
        <f t="shared" si="2"/>
        <v>1.55</v>
      </c>
      <c r="G532" s="1">
        <v>69.0</v>
      </c>
      <c r="H532" s="1">
        <v>8.0</v>
      </c>
      <c r="I532" s="1">
        <v>13.0</v>
      </c>
      <c r="J532" s="1">
        <v>21.0</v>
      </c>
      <c r="K532" s="1">
        <v>102.0</v>
      </c>
      <c r="L532" s="1">
        <v>17.0</v>
      </c>
      <c r="M532" s="1">
        <v>25.0</v>
      </c>
      <c r="N532" s="1">
        <v>3.0</v>
      </c>
      <c r="O532" s="1">
        <v>0.0</v>
      </c>
      <c r="P532" s="1">
        <v>0.0</v>
      </c>
      <c r="Q532" s="1">
        <v>0.0</v>
      </c>
      <c r="R532" s="1">
        <v>-10.0</v>
      </c>
      <c r="S532" s="1">
        <v>12.0</v>
      </c>
      <c r="T532" s="1">
        <v>1.0</v>
      </c>
    </row>
    <row r="533" ht="12.75" customHeight="1">
      <c r="A533" s="1" t="s">
        <v>566</v>
      </c>
      <c r="B533" s="1" t="str">
        <f>IFERROR(__xludf.DUMMYFUNCTION("split(A533, ""\"")"),"Fredrik Claesson")</f>
        <v>Fredrik Claesson</v>
      </c>
      <c r="C533" s="1" t="str">
        <f>IFERROR(__xludf.DUMMYFUNCTION("""COMPUTED_VALUE"""),"claesfr01")</f>
        <v>claesfr01</v>
      </c>
      <c r="D533" s="1" t="s">
        <v>66</v>
      </c>
      <c r="E533" s="1">
        <f t="shared" si="1"/>
        <v>107.1</v>
      </c>
      <c r="F533" s="1">
        <f t="shared" si="2"/>
        <v>1.67</v>
      </c>
      <c r="G533" s="1">
        <v>64.0</v>
      </c>
      <c r="H533" s="1">
        <v>1.0</v>
      </c>
      <c r="I533" s="1">
        <v>6.0</v>
      </c>
      <c r="J533" s="1">
        <v>7.0</v>
      </c>
      <c r="K533" s="1">
        <v>60.0</v>
      </c>
      <c r="L533" s="1">
        <v>158.0</v>
      </c>
      <c r="M533" s="1">
        <v>84.0</v>
      </c>
      <c r="N533" s="1">
        <v>0.0</v>
      </c>
      <c r="O533" s="1">
        <v>0.0</v>
      </c>
      <c r="P533" s="1">
        <v>0.0</v>
      </c>
      <c r="Q533" s="1">
        <v>0.0</v>
      </c>
      <c r="R533" s="1">
        <v>-7.0</v>
      </c>
      <c r="S533" s="1">
        <v>35.0</v>
      </c>
      <c r="T533" s="1">
        <v>0.0</v>
      </c>
    </row>
    <row r="534" ht="12.75" customHeight="1">
      <c r="A534" s="1" t="s">
        <v>567</v>
      </c>
      <c r="B534" s="1" t="str">
        <f>IFERROR(__xludf.DUMMYFUNCTION("split(A534, ""\"")"),"Brad Richardson")</f>
        <v>Brad Richardson</v>
      </c>
      <c r="C534" s="1" t="str">
        <f>IFERROR(__xludf.DUMMYFUNCTION("""COMPUTED_VALUE"""),"richabr02")</f>
        <v>richabr02</v>
      </c>
      <c r="D534" s="1" t="s">
        <v>31</v>
      </c>
      <c r="E534" s="1">
        <f t="shared" si="1"/>
        <v>107.05</v>
      </c>
      <c r="F534" s="1">
        <f t="shared" si="2"/>
        <v>1.41</v>
      </c>
      <c r="G534" s="1">
        <v>76.0</v>
      </c>
      <c r="H534" s="1">
        <v>3.0</v>
      </c>
      <c r="I534" s="1">
        <v>12.0</v>
      </c>
      <c r="J534" s="1">
        <v>15.0</v>
      </c>
      <c r="K534" s="1">
        <v>105.0</v>
      </c>
      <c r="L534" s="1">
        <v>72.0</v>
      </c>
      <c r="M534" s="1">
        <v>52.0</v>
      </c>
      <c r="N534" s="1">
        <v>0.0</v>
      </c>
      <c r="O534" s="1">
        <v>0.0</v>
      </c>
      <c r="P534" s="1">
        <v>0.0</v>
      </c>
      <c r="Q534" s="1">
        <v>0.0</v>
      </c>
      <c r="R534" s="1">
        <v>-24.0</v>
      </c>
      <c r="S534" s="1">
        <v>45.0</v>
      </c>
      <c r="T534" s="1">
        <v>0.0</v>
      </c>
    </row>
    <row r="535" ht="12.75" customHeight="1">
      <c r="A535" s="1" t="s">
        <v>568</v>
      </c>
      <c r="B535" s="1" t="str">
        <f>IFERROR(__xludf.DUMMYFUNCTION("split(A535, ""\"")"),"Braydon Coburn")</f>
        <v>Braydon Coburn</v>
      </c>
      <c r="C535" s="1" t="str">
        <f>IFERROR(__xludf.DUMMYFUNCTION("""COMPUTED_VALUE"""),"coburbr01")</f>
        <v>coburbr01</v>
      </c>
      <c r="D535" s="1" t="s">
        <v>66</v>
      </c>
      <c r="E535" s="1">
        <f t="shared" si="1"/>
        <v>106.5</v>
      </c>
      <c r="F535" s="1">
        <f t="shared" si="2"/>
        <v>1.48</v>
      </c>
      <c r="G535" s="1">
        <v>72.0</v>
      </c>
      <c r="H535" s="1">
        <v>1.0</v>
      </c>
      <c r="I535" s="1">
        <v>14.0</v>
      </c>
      <c r="J535" s="1">
        <v>15.0</v>
      </c>
      <c r="K535" s="1">
        <v>73.0</v>
      </c>
      <c r="L535" s="1">
        <v>77.0</v>
      </c>
      <c r="M535" s="1">
        <v>75.0</v>
      </c>
      <c r="N535" s="1">
        <v>0.0</v>
      </c>
      <c r="O535" s="1">
        <v>0.0</v>
      </c>
      <c r="P535" s="1">
        <v>0.0</v>
      </c>
      <c r="Q535" s="1">
        <v>0.0</v>
      </c>
      <c r="R535" s="1">
        <v>3.0</v>
      </c>
      <c r="S535" s="1">
        <v>40.0</v>
      </c>
      <c r="T535" s="1">
        <v>0.0</v>
      </c>
    </row>
    <row r="536" ht="12.75" customHeight="1">
      <c r="A536" s="1" t="s">
        <v>569</v>
      </c>
      <c r="B536" s="1" t="str">
        <f>IFERROR(__xludf.DUMMYFUNCTION("split(A536, ""\"")"),"Drew Stafford")</f>
        <v>Drew Stafford</v>
      </c>
      <c r="C536" s="1" t="str">
        <f>IFERROR(__xludf.DUMMYFUNCTION("""COMPUTED_VALUE"""),"staffdr01")</f>
        <v>staffdr01</v>
      </c>
      <c r="D536" s="1" t="s">
        <v>36</v>
      </c>
      <c r="E536" s="1">
        <f t="shared" si="1"/>
        <v>105.25</v>
      </c>
      <c r="F536" s="1">
        <f t="shared" si="2"/>
        <v>1.78</v>
      </c>
      <c r="G536" s="1">
        <v>59.0</v>
      </c>
      <c r="H536" s="1">
        <v>8.0</v>
      </c>
      <c r="I536" s="1">
        <v>7.0</v>
      </c>
      <c r="J536" s="1">
        <v>15.0</v>
      </c>
      <c r="K536" s="1">
        <v>102.0</v>
      </c>
      <c r="L536" s="1">
        <v>77.0</v>
      </c>
      <c r="M536" s="1">
        <v>15.0</v>
      </c>
      <c r="N536" s="1">
        <v>4.0</v>
      </c>
      <c r="O536" s="1">
        <v>1.0</v>
      </c>
      <c r="P536" s="1">
        <v>0.0</v>
      </c>
      <c r="Q536" s="1">
        <v>0.0</v>
      </c>
      <c r="R536" s="1">
        <v>-20.0</v>
      </c>
      <c r="S536" s="1">
        <v>10.0</v>
      </c>
      <c r="T536" s="1">
        <v>1.0</v>
      </c>
    </row>
    <row r="537" ht="12.75" customHeight="1">
      <c r="A537" s="1" t="s">
        <v>570</v>
      </c>
      <c r="B537" s="1" t="str">
        <f>IFERROR(__xludf.DUMMYFUNCTION("split(A537, ""\"")"),"Michal Neuvirth")</f>
        <v>Michal Neuvirth</v>
      </c>
      <c r="C537" s="2" t="str">
        <f>IFERROR(__xludf.DUMMYFUNCTION("""COMPUTED_VALUE"""),"neuvimi01")</f>
        <v>neuvimi01</v>
      </c>
      <c r="D537" s="1" t="s">
        <v>5</v>
      </c>
      <c r="E537" s="1">
        <f t="shared" si="1"/>
        <v>104.25</v>
      </c>
      <c r="F537" s="1">
        <f t="shared" si="2"/>
        <v>4.74</v>
      </c>
      <c r="G537" s="1">
        <v>22.0</v>
      </c>
      <c r="U537" s="1">
        <v>18.0</v>
      </c>
      <c r="V537" s="1">
        <v>9.0</v>
      </c>
      <c r="W537" s="1">
        <v>7.0</v>
      </c>
      <c r="X537" s="1">
        <v>45.0</v>
      </c>
      <c r="Y537" s="1">
        <v>530.0</v>
      </c>
      <c r="Z537" s="1">
        <v>485.0</v>
      </c>
      <c r="AA537" s="1">
        <v>1.0</v>
      </c>
    </row>
    <row r="538" ht="12.75" customHeight="1">
      <c r="A538" s="1" t="s">
        <v>571</v>
      </c>
      <c r="B538" s="1" t="str">
        <f>IFERROR(__xludf.DUMMYFUNCTION("split(A538, ""\"")"),"Antoine Vermette")</f>
        <v>Antoine Vermette</v>
      </c>
      <c r="C538" s="1" t="str">
        <f>IFERROR(__xludf.DUMMYFUNCTION("""COMPUTED_VALUE"""),"vermean01")</f>
        <v>vermean01</v>
      </c>
      <c r="D538" s="1" t="s">
        <v>31</v>
      </c>
      <c r="E538" s="1">
        <f t="shared" si="1"/>
        <v>103.25</v>
      </c>
      <c r="F538" s="1">
        <f t="shared" si="2"/>
        <v>1.61</v>
      </c>
      <c r="G538" s="1">
        <v>64.0</v>
      </c>
      <c r="H538" s="1">
        <v>8.0</v>
      </c>
      <c r="I538" s="1">
        <v>8.0</v>
      </c>
      <c r="J538" s="1">
        <v>16.0</v>
      </c>
      <c r="K538" s="1">
        <v>91.0</v>
      </c>
      <c r="L538" s="1">
        <v>38.0</v>
      </c>
      <c r="M538" s="1">
        <v>40.0</v>
      </c>
      <c r="N538" s="1">
        <v>2.0</v>
      </c>
      <c r="O538" s="1">
        <v>0.0</v>
      </c>
      <c r="P538" s="1">
        <v>0.0</v>
      </c>
      <c r="Q538" s="1">
        <v>1.0</v>
      </c>
      <c r="R538" s="1">
        <v>-5.0</v>
      </c>
      <c r="S538" s="1">
        <v>34.0</v>
      </c>
      <c r="T538" s="1">
        <v>2.0</v>
      </c>
    </row>
    <row r="539" ht="12.75" customHeight="1">
      <c r="A539" s="1" t="s">
        <v>572</v>
      </c>
      <c r="B539" s="1" t="str">
        <f>IFERROR(__xludf.DUMMYFUNCTION("split(A539, ""\"")"),"Alex Chiasson")</f>
        <v>Alex Chiasson</v>
      </c>
      <c r="C539" s="1" t="str">
        <f>IFERROR(__xludf.DUMMYFUNCTION("""COMPUTED_VALUE"""),"chiasal01")</f>
        <v>chiasal01</v>
      </c>
      <c r="D539" s="1" t="s">
        <v>36</v>
      </c>
      <c r="E539" s="1">
        <f t="shared" si="1"/>
        <v>103.1</v>
      </c>
      <c r="F539" s="1">
        <f t="shared" si="2"/>
        <v>1.69</v>
      </c>
      <c r="G539" s="1">
        <v>61.0</v>
      </c>
      <c r="H539" s="1">
        <v>9.0</v>
      </c>
      <c r="I539" s="1">
        <v>9.0</v>
      </c>
      <c r="J539" s="1">
        <v>18.0</v>
      </c>
      <c r="K539" s="1">
        <v>59.0</v>
      </c>
      <c r="L539" s="1">
        <v>57.0</v>
      </c>
      <c r="M539" s="1">
        <v>29.0</v>
      </c>
      <c r="N539" s="1">
        <v>1.0</v>
      </c>
      <c r="O539" s="1">
        <v>0.0</v>
      </c>
      <c r="P539" s="1">
        <v>1.0</v>
      </c>
      <c r="Q539" s="1">
        <v>2.0</v>
      </c>
      <c r="R539" s="1">
        <v>1.0</v>
      </c>
      <c r="S539" s="1">
        <v>26.0</v>
      </c>
      <c r="T539" s="1">
        <v>2.0</v>
      </c>
    </row>
    <row r="540" ht="12.75" customHeight="1">
      <c r="A540" s="1" t="s">
        <v>573</v>
      </c>
      <c r="B540" s="1" t="str">
        <f>IFERROR(__xludf.DUMMYFUNCTION("split(A540, ""\"")"),"Brendan Leipsic")</f>
        <v>Brendan Leipsic</v>
      </c>
      <c r="C540" s="1" t="str">
        <f>IFERROR(__xludf.DUMMYFUNCTION("""COMPUTED_VALUE"""),"leipsbr01")</f>
        <v>leipsbr01</v>
      </c>
      <c r="D540" s="1" t="s">
        <v>28</v>
      </c>
      <c r="E540" s="1">
        <f t="shared" si="1"/>
        <v>103.05</v>
      </c>
      <c r="F540" s="1">
        <f t="shared" si="2"/>
        <v>1.78</v>
      </c>
      <c r="G540" s="1">
        <v>58.0</v>
      </c>
      <c r="H540" s="1">
        <v>5.0</v>
      </c>
      <c r="I540" s="1">
        <v>17.0</v>
      </c>
      <c r="J540" s="1">
        <v>22.0</v>
      </c>
      <c r="K540" s="1">
        <v>95.0</v>
      </c>
      <c r="L540" s="1">
        <v>32.0</v>
      </c>
      <c r="M540" s="1">
        <v>22.0</v>
      </c>
      <c r="N540" s="1">
        <v>0.0</v>
      </c>
      <c r="O540" s="1">
        <v>0.0</v>
      </c>
      <c r="P540" s="1">
        <v>0.0</v>
      </c>
      <c r="Q540" s="1">
        <v>0.0</v>
      </c>
      <c r="R540" s="1">
        <v>-4.0</v>
      </c>
      <c r="S540" s="1">
        <v>14.0</v>
      </c>
      <c r="T540" s="1">
        <v>1.0</v>
      </c>
    </row>
    <row r="541" ht="12.75" customHeight="1">
      <c r="A541" s="1" t="s">
        <v>574</v>
      </c>
      <c r="B541" s="1" t="str">
        <f>IFERROR(__xludf.DUMMYFUNCTION("split(A541, ""\"")"),"Joakim Ryan")</f>
        <v>Joakim Ryan</v>
      </c>
      <c r="C541" s="1" t="str">
        <f>IFERROR(__xludf.DUMMYFUNCTION("""COMPUTED_VALUE"""),"ryanjo02")</f>
        <v>ryanjo02</v>
      </c>
      <c r="D541" s="1" t="s">
        <v>66</v>
      </c>
      <c r="E541" s="1">
        <f t="shared" si="1"/>
        <v>102.7</v>
      </c>
      <c r="F541" s="1">
        <f t="shared" si="2"/>
        <v>1.66</v>
      </c>
      <c r="G541" s="1">
        <v>62.0</v>
      </c>
      <c r="H541" s="1">
        <v>3.0</v>
      </c>
      <c r="I541" s="1">
        <v>9.0</v>
      </c>
      <c r="J541" s="1">
        <v>12.0</v>
      </c>
      <c r="K541" s="1">
        <v>79.0</v>
      </c>
      <c r="L541" s="1">
        <v>33.0</v>
      </c>
      <c r="M541" s="1">
        <v>98.0</v>
      </c>
      <c r="N541" s="1">
        <v>0.0</v>
      </c>
      <c r="O541" s="1">
        <v>0.0</v>
      </c>
      <c r="P541" s="1">
        <v>0.0</v>
      </c>
      <c r="Q541" s="1">
        <v>1.0</v>
      </c>
      <c r="R541" s="1">
        <v>13.0</v>
      </c>
      <c r="S541" s="1">
        <v>8.0</v>
      </c>
      <c r="T541" s="1">
        <v>1.0</v>
      </c>
    </row>
    <row r="542" ht="12.75" customHeight="1">
      <c r="A542" s="1" t="s">
        <v>575</v>
      </c>
      <c r="B542" s="1" t="str">
        <f>IFERROR(__xludf.DUMMYFUNCTION("split(A542, ""\"")"),"Brandon Davidson")</f>
        <v>Brandon Davidson</v>
      </c>
      <c r="C542" s="1" t="str">
        <f>IFERROR(__xludf.DUMMYFUNCTION("""COMPUTED_VALUE"""),"davidbr01")</f>
        <v>davidbr01</v>
      </c>
      <c r="D542" s="1" t="s">
        <v>66</v>
      </c>
      <c r="E542" s="1">
        <f t="shared" si="1"/>
        <v>102.1</v>
      </c>
      <c r="F542" s="1">
        <f t="shared" si="2"/>
        <v>2</v>
      </c>
      <c r="G542" s="1">
        <v>51.0</v>
      </c>
      <c r="H542" s="1">
        <v>4.0</v>
      </c>
      <c r="I542" s="1">
        <v>3.0</v>
      </c>
      <c r="J542" s="1">
        <v>7.0</v>
      </c>
      <c r="K542" s="1">
        <v>63.0</v>
      </c>
      <c r="L542" s="1">
        <v>105.0</v>
      </c>
      <c r="M542" s="1">
        <v>89.0</v>
      </c>
      <c r="N542" s="1">
        <v>0.0</v>
      </c>
      <c r="O542" s="1">
        <v>0.0</v>
      </c>
      <c r="P542" s="1">
        <v>0.0</v>
      </c>
      <c r="Q542" s="1">
        <v>1.0</v>
      </c>
      <c r="R542" s="1">
        <v>-13.0</v>
      </c>
      <c r="S542" s="1">
        <v>23.0</v>
      </c>
      <c r="T542" s="1">
        <v>0.0</v>
      </c>
    </row>
    <row r="543" ht="12.75" customHeight="1">
      <c r="A543" s="1" t="s">
        <v>576</v>
      </c>
      <c r="B543" s="1" t="str">
        <f>IFERROR(__xludf.DUMMYFUNCTION("split(A543, ""\"")"),"Marian Gaborik")</f>
        <v>Marian Gaborik</v>
      </c>
      <c r="C543" s="1" t="str">
        <f>IFERROR(__xludf.DUMMYFUNCTION("""COMPUTED_VALUE"""),"gaborma01")</f>
        <v>gaborma01</v>
      </c>
      <c r="D543" s="1" t="s">
        <v>36</v>
      </c>
      <c r="E543" s="1">
        <f t="shared" si="1"/>
        <v>101.6</v>
      </c>
      <c r="F543" s="1">
        <f t="shared" si="2"/>
        <v>2.21</v>
      </c>
      <c r="G543" s="1">
        <v>46.0</v>
      </c>
      <c r="H543" s="1">
        <v>11.0</v>
      </c>
      <c r="I543" s="1">
        <v>10.0</v>
      </c>
      <c r="J543" s="1">
        <v>21.0</v>
      </c>
      <c r="K543" s="1">
        <v>80.0</v>
      </c>
      <c r="L543" s="1">
        <v>12.0</v>
      </c>
      <c r="M543" s="1">
        <v>9.0</v>
      </c>
      <c r="N543" s="1">
        <v>3.0</v>
      </c>
      <c r="O543" s="1">
        <v>3.0</v>
      </c>
      <c r="P543" s="1">
        <v>0.0</v>
      </c>
      <c r="Q543" s="1">
        <v>0.0</v>
      </c>
      <c r="R543" s="1">
        <v>2.0</v>
      </c>
      <c r="S543" s="1">
        <v>24.0</v>
      </c>
      <c r="T543" s="1">
        <v>0.0</v>
      </c>
    </row>
    <row r="544" ht="12.75" customHeight="1">
      <c r="A544" s="1" t="s">
        <v>577</v>
      </c>
      <c r="B544" s="1" t="str">
        <f>IFERROR(__xludf.DUMMYFUNCTION("split(A544, ""\"")"),"Matt Hendricks")</f>
        <v>Matt Hendricks</v>
      </c>
      <c r="C544" s="1" t="str">
        <f>IFERROR(__xludf.DUMMYFUNCTION("""COMPUTED_VALUE"""),"hendrma01")</f>
        <v>hendrma01</v>
      </c>
      <c r="D544" s="1" t="s">
        <v>31</v>
      </c>
      <c r="E544" s="1">
        <f t="shared" si="1"/>
        <v>101.55</v>
      </c>
      <c r="F544" s="1">
        <f t="shared" si="2"/>
        <v>1.69</v>
      </c>
      <c r="G544" s="1">
        <v>60.0</v>
      </c>
      <c r="H544" s="1">
        <v>5.0</v>
      </c>
      <c r="I544" s="1">
        <v>8.0</v>
      </c>
      <c r="J544" s="1">
        <v>13.0</v>
      </c>
      <c r="K544" s="1">
        <v>56.0</v>
      </c>
      <c r="L544" s="1">
        <v>123.0</v>
      </c>
      <c r="M544" s="1">
        <v>42.0</v>
      </c>
      <c r="N544" s="1">
        <v>0.0</v>
      </c>
      <c r="O544" s="1">
        <v>0.0</v>
      </c>
      <c r="P544" s="1">
        <v>0.0</v>
      </c>
      <c r="Q544" s="1">
        <v>0.0</v>
      </c>
      <c r="R544" s="1">
        <v>-1.0</v>
      </c>
      <c r="S544" s="1">
        <v>39.0</v>
      </c>
      <c r="T544" s="1">
        <v>0.0</v>
      </c>
    </row>
    <row r="545" ht="12.75" customHeight="1">
      <c r="A545" s="1" t="s">
        <v>578</v>
      </c>
      <c r="B545" s="1" t="str">
        <f>IFERROR(__xludf.DUMMYFUNCTION("split(A545, ""\"")"),"Ryan Kesler")</f>
        <v>Ryan Kesler</v>
      </c>
      <c r="C545" s="1" t="str">
        <f>IFERROR(__xludf.DUMMYFUNCTION("""COMPUTED_VALUE"""),"keslery01")</f>
        <v>keslery01</v>
      </c>
      <c r="D545" s="1" t="s">
        <v>31</v>
      </c>
      <c r="E545" s="1">
        <f t="shared" si="1"/>
        <v>101.45</v>
      </c>
      <c r="F545" s="1">
        <f t="shared" si="2"/>
        <v>2.31</v>
      </c>
      <c r="G545" s="1">
        <v>44.0</v>
      </c>
      <c r="H545" s="1">
        <v>8.0</v>
      </c>
      <c r="I545" s="1">
        <v>6.0</v>
      </c>
      <c r="J545" s="1">
        <v>14.0</v>
      </c>
      <c r="K545" s="1">
        <v>78.0</v>
      </c>
      <c r="L545" s="1">
        <v>71.0</v>
      </c>
      <c r="M545" s="1">
        <v>38.0</v>
      </c>
      <c r="N545" s="1">
        <v>2.0</v>
      </c>
      <c r="O545" s="1">
        <v>0.0</v>
      </c>
      <c r="P545" s="1">
        <v>0.0</v>
      </c>
      <c r="Q545" s="1">
        <v>0.0</v>
      </c>
      <c r="R545" s="1">
        <v>-4.0</v>
      </c>
      <c r="S545" s="1">
        <v>46.0</v>
      </c>
      <c r="T545" s="1">
        <v>2.0</v>
      </c>
    </row>
    <row r="546" ht="12.75" customHeight="1">
      <c r="A546" s="1" t="s">
        <v>579</v>
      </c>
      <c r="B546" s="1" t="str">
        <f>IFERROR(__xludf.DUMMYFUNCTION("split(A546, ""\"")"),"Brad Hunt")</f>
        <v>Brad Hunt</v>
      </c>
      <c r="C546" s="1" t="str">
        <f>IFERROR(__xludf.DUMMYFUNCTION("""COMPUTED_VALUE"""),"huntbr01")</f>
        <v>huntbr01</v>
      </c>
      <c r="D546" s="1" t="s">
        <v>66</v>
      </c>
      <c r="E546" s="1">
        <f t="shared" si="1"/>
        <v>100.65</v>
      </c>
      <c r="F546" s="1">
        <f t="shared" si="2"/>
        <v>2.24</v>
      </c>
      <c r="G546" s="1">
        <v>45.0</v>
      </c>
      <c r="H546" s="1">
        <v>3.0</v>
      </c>
      <c r="I546" s="1">
        <v>15.0</v>
      </c>
      <c r="J546" s="1">
        <v>18.0</v>
      </c>
      <c r="K546" s="1">
        <v>80.0</v>
      </c>
      <c r="L546" s="1">
        <v>19.0</v>
      </c>
      <c r="M546" s="1">
        <v>36.0</v>
      </c>
      <c r="N546" s="1">
        <v>2.0</v>
      </c>
      <c r="O546" s="1">
        <v>10.0</v>
      </c>
      <c r="P546" s="1">
        <v>0.0</v>
      </c>
      <c r="Q546" s="1">
        <v>0.0</v>
      </c>
      <c r="R546" s="1">
        <v>-5.0</v>
      </c>
      <c r="S546" s="1">
        <v>6.0</v>
      </c>
      <c r="T546" s="1">
        <v>0.0</v>
      </c>
    </row>
    <row r="547" ht="12.75" customHeight="1">
      <c r="A547" s="1" t="s">
        <v>580</v>
      </c>
      <c r="B547" s="1" t="str">
        <f>IFERROR(__xludf.DUMMYFUNCTION("split(A547, ""\"")"),"Steven Santini")</f>
        <v>Steven Santini</v>
      </c>
      <c r="C547" s="1" t="str">
        <f>IFERROR(__xludf.DUMMYFUNCTION("""COMPUTED_VALUE"""),"santist01")</f>
        <v>santist01</v>
      </c>
      <c r="D547" s="1" t="s">
        <v>66</v>
      </c>
      <c r="E547" s="1">
        <f t="shared" si="1"/>
        <v>100.45</v>
      </c>
      <c r="F547" s="1">
        <f t="shared" si="2"/>
        <v>2.79</v>
      </c>
      <c r="G547" s="1">
        <v>36.0</v>
      </c>
      <c r="H547" s="1">
        <v>2.0</v>
      </c>
      <c r="I547" s="1">
        <v>8.0</v>
      </c>
      <c r="J547" s="1">
        <v>10.0</v>
      </c>
      <c r="K547" s="1">
        <v>56.0</v>
      </c>
      <c r="L547" s="1">
        <v>113.0</v>
      </c>
      <c r="M547" s="1">
        <v>73.0</v>
      </c>
      <c r="N547" s="1">
        <v>0.0</v>
      </c>
      <c r="O547" s="1">
        <v>0.0</v>
      </c>
      <c r="P547" s="1">
        <v>0.0</v>
      </c>
      <c r="Q547" s="1">
        <v>1.0</v>
      </c>
      <c r="R547" s="1">
        <v>0.0</v>
      </c>
      <c r="S547" s="1">
        <v>21.0</v>
      </c>
      <c r="T547" s="1">
        <v>0.0</v>
      </c>
    </row>
    <row r="548" ht="12.75" customHeight="1">
      <c r="A548" s="1" t="s">
        <v>581</v>
      </c>
      <c r="B548" s="1" t="str">
        <f>IFERROR(__xludf.DUMMYFUNCTION("split(A548, ""\"")"),"Gabriel Bourque")</f>
        <v>Gabriel Bourque</v>
      </c>
      <c r="C548" s="1" t="str">
        <f>IFERROR(__xludf.DUMMYFUNCTION("""COMPUTED_VALUE"""),"bourqga01")</f>
        <v>bourqga01</v>
      </c>
      <c r="D548" s="1" t="s">
        <v>28</v>
      </c>
      <c r="E548" s="1">
        <f t="shared" si="1"/>
        <v>100.35</v>
      </c>
      <c r="F548" s="1">
        <f t="shared" si="2"/>
        <v>1.73</v>
      </c>
      <c r="G548" s="1">
        <v>58.0</v>
      </c>
      <c r="H548" s="1">
        <v>5.0</v>
      </c>
      <c r="I548" s="1">
        <v>6.0</v>
      </c>
      <c r="J548" s="1">
        <v>11.0</v>
      </c>
      <c r="K548" s="1">
        <v>44.0</v>
      </c>
      <c r="L548" s="1">
        <v>123.0</v>
      </c>
      <c r="M548" s="1">
        <v>59.0</v>
      </c>
      <c r="N548" s="1">
        <v>0.0</v>
      </c>
      <c r="O548" s="1">
        <v>0.0</v>
      </c>
      <c r="P548" s="1">
        <v>0.0</v>
      </c>
      <c r="Q548" s="1">
        <v>0.0</v>
      </c>
      <c r="R548" s="1">
        <v>-6.0</v>
      </c>
      <c r="S548" s="1">
        <v>12.0</v>
      </c>
      <c r="T548" s="1">
        <v>1.0</v>
      </c>
    </row>
    <row r="549" ht="12.75" customHeight="1">
      <c r="A549" s="1" t="s">
        <v>582</v>
      </c>
      <c r="B549" s="1" t="str">
        <f>IFERROR(__xludf.DUMMYFUNCTION("split(A549, ""\"")"),"Haydn Fleury")</f>
        <v>Haydn Fleury</v>
      </c>
      <c r="C549" s="1" t="str">
        <f>IFERROR(__xludf.DUMMYFUNCTION("""COMPUTED_VALUE"""),"fleurha01")</f>
        <v>fleurha01</v>
      </c>
      <c r="D549" s="1" t="s">
        <v>66</v>
      </c>
      <c r="E549" s="1">
        <f t="shared" si="1"/>
        <v>100.35</v>
      </c>
      <c r="F549" s="1">
        <f t="shared" si="2"/>
        <v>1.5</v>
      </c>
      <c r="G549" s="1">
        <v>67.0</v>
      </c>
      <c r="H549" s="1">
        <v>0.0</v>
      </c>
      <c r="I549" s="1">
        <v>8.0</v>
      </c>
      <c r="J549" s="1">
        <v>8.0</v>
      </c>
      <c r="K549" s="1">
        <v>86.0</v>
      </c>
      <c r="L549" s="1">
        <v>85.0</v>
      </c>
      <c r="M549" s="1">
        <v>94.0</v>
      </c>
      <c r="N549" s="1">
        <v>0.0</v>
      </c>
      <c r="O549" s="1">
        <v>0.0</v>
      </c>
      <c r="P549" s="1">
        <v>0.0</v>
      </c>
      <c r="Q549" s="1">
        <v>0.0</v>
      </c>
      <c r="R549" s="1">
        <v>-2.0</v>
      </c>
      <c r="S549" s="1">
        <v>14.0</v>
      </c>
      <c r="T549" s="1">
        <v>0.0</v>
      </c>
    </row>
    <row r="550" ht="12.75" customHeight="1">
      <c r="A550" s="1" t="s">
        <v>583</v>
      </c>
      <c r="B550" s="1" t="str">
        <f>IFERROR(__xludf.DUMMYFUNCTION("split(A550, ""\"")"),"Kevin Bieksa")</f>
        <v>Kevin Bieksa</v>
      </c>
      <c r="C550" s="1" t="str">
        <f>IFERROR(__xludf.DUMMYFUNCTION("""COMPUTED_VALUE"""),"biekske01")</f>
        <v>biekske01</v>
      </c>
      <c r="D550" s="1" t="s">
        <v>66</v>
      </c>
      <c r="E550" s="1">
        <f t="shared" si="1"/>
        <v>99.9</v>
      </c>
      <c r="F550" s="1">
        <f t="shared" si="2"/>
        <v>1.69</v>
      </c>
      <c r="G550" s="1">
        <v>59.0</v>
      </c>
      <c r="H550" s="1">
        <v>0.0</v>
      </c>
      <c r="I550" s="1">
        <v>8.0</v>
      </c>
      <c r="J550" s="1">
        <v>8.0</v>
      </c>
      <c r="K550" s="1">
        <v>66.0</v>
      </c>
      <c r="L550" s="1">
        <v>116.0</v>
      </c>
      <c r="M550" s="1">
        <v>81.0</v>
      </c>
      <c r="N550" s="1">
        <v>0.0</v>
      </c>
      <c r="O550" s="1">
        <v>2.0</v>
      </c>
      <c r="P550" s="1">
        <v>0.0</v>
      </c>
      <c r="Q550" s="1">
        <v>0.0</v>
      </c>
      <c r="R550" s="1">
        <v>-13.0</v>
      </c>
      <c r="S550" s="1">
        <v>83.0</v>
      </c>
      <c r="T550" s="1">
        <v>0.0</v>
      </c>
    </row>
    <row r="551" ht="12.75" customHeight="1">
      <c r="A551" s="1" t="s">
        <v>584</v>
      </c>
      <c r="B551" s="1" t="str">
        <f>IFERROR(__xludf.DUMMYFUNCTION("split(A551, ""\"")"),"Nail Yakupov")</f>
        <v>Nail Yakupov</v>
      </c>
      <c r="C551" s="1" t="str">
        <f>IFERROR(__xludf.DUMMYFUNCTION("""COMPUTED_VALUE"""),"yakupna01")</f>
        <v>yakupna01</v>
      </c>
      <c r="D551" s="1" t="s">
        <v>36</v>
      </c>
      <c r="E551" s="1">
        <f t="shared" si="1"/>
        <v>99.6</v>
      </c>
      <c r="F551" s="1">
        <f t="shared" si="2"/>
        <v>1.72</v>
      </c>
      <c r="G551" s="1">
        <v>58.0</v>
      </c>
      <c r="H551" s="1">
        <v>9.0</v>
      </c>
      <c r="I551" s="1">
        <v>7.0</v>
      </c>
      <c r="J551" s="1">
        <v>16.0</v>
      </c>
      <c r="K551" s="1">
        <v>94.0</v>
      </c>
      <c r="L551" s="1">
        <v>60.0</v>
      </c>
      <c r="M551" s="1">
        <v>9.0</v>
      </c>
      <c r="N551" s="1">
        <v>3.0</v>
      </c>
      <c r="O551" s="1">
        <v>1.0</v>
      </c>
      <c r="P551" s="1">
        <v>0.0</v>
      </c>
      <c r="Q551" s="1">
        <v>0.0</v>
      </c>
      <c r="R551" s="1">
        <v>2.0</v>
      </c>
      <c r="S551" s="1">
        <v>26.0</v>
      </c>
      <c r="T551" s="1">
        <v>1.0</v>
      </c>
    </row>
    <row r="552" ht="12.75" customHeight="1">
      <c r="A552" s="1" t="s">
        <v>585</v>
      </c>
      <c r="B552" s="1" t="str">
        <f>IFERROR(__xludf.DUMMYFUNCTION("split(A552, ""\"")"),"Ryan Carpenter")</f>
        <v>Ryan Carpenter</v>
      </c>
      <c r="C552" s="1" t="str">
        <f>IFERROR(__xludf.DUMMYFUNCTION("""COMPUTED_VALUE"""),"carpery01")</f>
        <v>carpery01</v>
      </c>
      <c r="D552" s="1" t="s">
        <v>31</v>
      </c>
      <c r="E552" s="1">
        <f t="shared" si="1"/>
        <v>99.05</v>
      </c>
      <c r="F552" s="1">
        <f t="shared" si="2"/>
        <v>1.9</v>
      </c>
      <c r="G552" s="1">
        <v>52.0</v>
      </c>
      <c r="H552" s="1">
        <v>9.0</v>
      </c>
      <c r="I552" s="1">
        <v>6.0</v>
      </c>
      <c r="J552" s="1">
        <v>15.0</v>
      </c>
      <c r="K552" s="1">
        <v>85.0</v>
      </c>
      <c r="L552" s="1">
        <v>76.0</v>
      </c>
      <c r="M552" s="1">
        <v>17.0</v>
      </c>
      <c r="N552" s="1">
        <v>0.0</v>
      </c>
      <c r="O552" s="1">
        <v>0.0</v>
      </c>
      <c r="P552" s="1">
        <v>1.0</v>
      </c>
      <c r="Q552" s="1">
        <v>0.0</v>
      </c>
      <c r="R552" s="1">
        <v>1.0</v>
      </c>
      <c r="S552" s="1">
        <v>11.0</v>
      </c>
      <c r="T552" s="1">
        <v>2.0</v>
      </c>
    </row>
    <row r="553" ht="12.75" customHeight="1">
      <c r="A553" s="1" t="s">
        <v>586</v>
      </c>
      <c r="B553" s="1" t="str">
        <f>IFERROR(__xludf.DUMMYFUNCTION("split(A553, ""\"")"),"Alexandre Burrows")</f>
        <v>Alexandre Burrows</v>
      </c>
      <c r="C553" s="1" t="str">
        <f>IFERROR(__xludf.DUMMYFUNCTION("""COMPUTED_VALUE"""),"burroal01")</f>
        <v>burroal01</v>
      </c>
      <c r="D553" s="1" t="s">
        <v>28</v>
      </c>
      <c r="E553" s="1">
        <f t="shared" si="1"/>
        <v>98.55</v>
      </c>
      <c r="F553" s="1">
        <f t="shared" si="2"/>
        <v>1.39</v>
      </c>
      <c r="G553" s="1">
        <v>71.0</v>
      </c>
      <c r="H553" s="1">
        <v>6.0</v>
      </c>
      <c r="I553" s="1">
        <v>8.0</v>
      </c>
      <c r="J553" s="1">
        <v>14.0</v>
      </c>
      <c r="K553" s="1">
        <v>90.0</v>
      </c>
      <c r="L553" s="1">
        <v>65.0</v>
      </c>
      <c r="M553" s="1">
        <v>32.0</v>
      </c>
      <c r="N553" s="1">
        <v>2.0</v>
      </c>
      <c r="O553" s="1">
        <v>1.0</v>
      </c>
      <c r="P553" s="1">
        <v>0.0</v>
      </c>
      <c r="Q553" s="1">
        <v>0.0</v>
      </c>
      <c r="R553" s="1">
        <v>-8.0</v>
      </c>
      <c r="S553" s="1">
        <v>59.0</v>
      </c>
      <c r="T553" s="1">
        <v>2.0</v>
      </c>
    </row>
    <row r="554" ht="12.75" customHeight="1">
      <c r="A554" s="1" t="s">
        <v>587</v>
      </c>
      <c r="B554" s="1" t="str">
        <f>IFERROR(__xludf.DUMMYFUNCTION("split(A554, ""\"")"),"Ben Lovejoy")</f>
        <v>Ben Lovejoy</v>
      </c>
      <c r="C554" s="1" t="str">
        <f>IFERROR(__xludf.DUMMYFUNCTION("""COMPUTED_VALUE"""),"lovejbe01")</f>
        <v>lovejbe01</v>
      </c>
      <c r="D554" s="1" t="s">
        <v>66</v>
      </c>
      <c r="E554" s="1">
        <f t="shared" si="1"/>
        <v>97.9</v>
      </c>
      <c r="F554" s="1">
        <f t="shared" si="2"/>
        <v>1.72</v>
      </c>
      <c r="G554" s="1">
        <v>57.0</v>
      </c>
      <c r="H554" s="1">
        <v>2.0</v>
      </c>
      <c r="I554" s="1">
        <v>6.0</v>
      </c>
      <c r="J554" s="1">
        <v>8.0</v>
      </c>
      <c r="K554" s="1">
        <v>74.0</v>
      </c>
      <c r="L554" s="1">
        <v>84.0</v>
      </c>
      <c r="M554" s="1">
        <v>86.0</v>
      </c>
      <c r="N554" s="1">
        <v>0.0</v>
      </c>
      <c r="O554" s="1">
        <v>0.0</v>
      </c>
      <c r="P554" s="1">
        <v>0.0</v>
      </c>
      <c r="Q554" s="1">
        <v>1.0</v>
      </c>
      <c r="R554" s="1">
        <v>7.0</v>
      </c>
      <c r="S554" s="1">
        <v>25.0</v>
      </c>
      <c r="T554" s="1">
        <v>0.0</v>
      </c>
    </row>
    <row r="555" ht="12.75" customHeight="1">
      <c r="A555" s="1" t="s">
        <v>588</v>
      </c>
      <c r="B555" s="1" t="str">
        <f>IFERROR(__xludf.DUMMYFUNCTION("split(A555, ""\"")"),"Alex Biega")</f>
        <v>Alex Biega</v>
      </c>
      <c r="C555" s="1" t="str">
        <f>IFERROR(__xludf.DUMMYFUNCTION("""COMPUTED_VALUE"""),"biegaal01")</f>
        <v>biegaal01</v>
      </c>
      <c r="D555" s="1" t="s">
        <v>66</v>
      </c>
      <c r="E555" s="1">
        <f t="shared" si="1"/>
        <v>97.45</v>
      </c>
      <c r="F555" s="1">
        <f t="shared" si="2"/>
        <v>2.21</v>
      </c>
      <c r="G555" s="1">
        <v>44.0</v>
      </c>
      <c r="H555" s="1">
        <v>1.0</v>
      </c>
      <c r="I555" s="1">
        <v>8.0</v>
      </c>
      <c r="J555" s="1">
        <v>9.0</v>
      </c>
      <c r="K555" s="1">
        <v>79.0</v>
      </c>
      <c r="L555" s="1">
        <v>126.0</v>
      </c>
      <c r="M555" s="1">
        <v>53.0</v>
      </c>
      <c r="N555" s="1">
        <v>0.0</v>
      </c>
      <c r="O555" s="1">
        <v>0.0</v>
      </c>
      <c r="P555" s="1">
        <v>0.0</v>
      </c>
      <c r="Q555" s="1">
        <v>1.0</v>
      </c>
      <c r="R555" s="1">
        <v>3.0</v>
      </c>
      <c r="S555" s="1">
        <v>32.0</v>
      </c>
      <c r="T555" s="1">
        <v>1.0</v>
      </c>
    </row>
    <row r="556" ht="12.75" customHeight="1">
      <c r="A556" s="1" t="s">
        <v>589</v>
      </c>
      <c r="B556" s="1" t="str">
        <f>IFERROR(__xludf.DUMMYFUNCTION("split(A556, ""\"")"),"Colin Wilson")</f>
        <v>Colin Wilson</v>
      </c>
      <c r="C556" s="1" t="str">
        <f>IFERROR(__xludf.DUMMYFUNCTION("""COMPUTED_VALUE"""),"wilsoco01")</f>
        <v>wilsoco01</v>
      </c>
      <c r="D556" s="1" t="s">
        <v>31</v>
      </c>
      <c r="E556" s="1">
        <f t="shared" si="1"/>
        <v>97.45</v>
      </c>
      <c r="F556" s="1">
        <f t="shared" si="2"/>
        <v>1.74</v>
      </c>
      <c r="G556" s="1">
        <v>56.0</v>
      </c>
      <c r="H556" s="1">
        <v>6.0</v>
      </c>
      <c r="I556" s="1">
        <v>12.0</v>
      </c>
      <c r="J556" s="1">
        <v>18.0</v>
      </c>
      <c r="K556" s="1">
        <v>75.0</v>
      </c>
      <c r="L556" s="1">
        <v>38.0</v>
      </c>
      <c r="M556" s="1">
        <v>23.0</v>
      </c>
      <c r="N556" s="1">
        <v>1.0</v>
      </c>
      <c r="O556" s="1">
        <v>5.0</v>
      </c>
      <c r="P556" s="1">
        <v>0.0</v>
      </c>
      <c r="Q556" s="1">
        <v>0.0</v>
      </c>
      <c r="R556" s="1">
        <v>-5.0</v>
      </c>
      <c r="S556" s="1">
        <v>6.0</v>
      </c>
      <c r="T556" s="1">
        <v>1.0</v>
      </c>
    </row>
    <row r="557" ht="12.75" customHeight="1">
      <c r="A557" s="1" t="s">
        <v>590</v>
      </c>
      <c r="B557" s="1" t="str">
        <f>IFERROR(__xludf.DUMMYFUNCTION("split(A557, ""\"")"),"Michal Kempny")</f>
        <v>Michal Kempny</v>
      </c>
      <c r="C557" s="1" t="str">
        <f>IFERROR(__xludf.DUMMYFUNCTION("""COMPUTED_VALUE"""),"kempnmi01")</f>
        <v>kempnmi01</v>
      </c>
      <c r="D557" s="1" t="s">
        <v>66</v>
      </c>
      <c r="E557" s="1">
        <f t="shared" si="1"/>
        <v>97.05</v>
      </c>
      <c r="F557" s="1">
        <f t="shared" si="2"/>
        <v>1.83</v>
      </c>
      <c r="G557" s="1">
        <v>53.0</v>
      </c>
      <c r="H557" s="1">
        <v>3.0</v>
      </c>
      <c r="I557" s="1">
        <v>7.0</v>
      </c>
      <c r="J557" s="1">
        <v>10.0</v>
      </c>
      <c r="K557" s="1">
        <v>82.0</v>
      </c>
      <c r="L557" s="1">
        <v>57.0</v>
      </c>
      <c r="M557" s="1">
        <v>82.0</v>
      </c>
      <c r="N557" s="1">
        <v>0.0</v>
      </c>
      <c r="O557" s="1">
        <v>0.0</v>
      </c>
      <c r="P557" s="1">
        <v>0.0</v>
      </c>
      <c r="Q557" s="1">
        <v>0.0</v>
      </c>
      <c r="R557" s="1">
        <v>14.0</v>
      </c>
      <c r="S557" s="1">
        <v>26.0</v>
      </c>
      <c r="T557" s="1">
        <v>0.0</v>
      </c>
    </row>
    <row r="558" ht="12.75" customHeight="1">
      <c r="A558" s="1" t="s">
        <v>591</v>
      </c>
      <c r="B558" s="1" t="str">
        <f>IFERROR(__xludf.DUMMYFUNCTION("split(A558, ""\"")"),"Jason Chimera")</f>
        <v>Jason Chimera</v>
      </c>
      <c r="C558" s="1" t="str">
        <f>IFERROR(__xludf.DUMMYFUNCTION("""COMPUTED_VALUE"""),"chimeja01")</f>
        <v>chimeja01</v>
      </c>
      <c r="D558" s="1" t="s">
        <v>28</v>
      </c>
      <c r="E558" s="1">
        <f t="shared" si="1"/>
        <v>96.55</v>
      </c>
      <c r="F558" s="1">
        <f t="shared" si="2"/>
        <v>1.3</v>
      </c>
      <c r="G558" s="1">
        <v>74.0</v>
      </c>
      <c r="H558" s="1">
        <v>3.0</v>
      </c>
      <c r="I558" s="1">
        <v>10.0</v>
      </c>
      <c r="J558" s="1">
        <v>13.0</v>
      </c>
      <c r="K558" s="1">
        <v>79.0</v>
      </c>
      <c r="L558" s="1">
        <v>132.0</v>
      </c>
      <c r="M558" s="1">
        <v>17.0</v>
      </c>
      <c r="N558" s="1">
        <v>0.0</v>
      </c>
      <c r="O558" s="1">
        <v>0.0</v>
      </c>
      <c r="P558" s="1">
        <v>0.0</v>
      </c>
      <c r="Q558" s="1">
        <v>0.0</v>
      </c>
      <c r="R558" s="1">
        <v>-12.0</v>
      </c>
      <c r="S558" s="1">
        <v>37.0</v>
      </c>
      <c r="T558" s="1">
        <v>0.0</v>
      </c>
    </row>
    <row r="559" ht="12.75" customHeight="1">
      <c r="A559" s="1" t="s">
        <v>592</v>
      </c>
      <c r="B559" s="1" t="str">
        <f>IFERROR(__xludf.DUMMYFUNCTION("split(A559, ""\"")"),"Jacob de La Rose")</f>
        <v>Jacob de La Rose</v>
      </c>
      <c r="C559" s="1" t="str">
        <f>IFERROR(__xludf.DUMMYFUNCTION("""COMPUTED_VALUE"""),"delarja01")</f>
        <v>delarja01</v>
      </c>
      <c r="D559" s="1" t="s">
        <v>28</v>
      </c>
      <c r="E559" s="1">
        <f t="shared" si="1"/>
        <v>96.4</v>
      </c>
      <c r="F559" s="1">
        <f t="shared" si="2"/>
        <v>1.75</v>
      </c>
      <c r="G559" s="1">
        <v>55.0</v>
      </c>
      <c r="H559" s="1">
        <v>4.0</v>
      </c>
      <c r="I559" s="1">
        <v>8.0</v>
      </c>
      <c r="J559" s="1">
        <v>12.0</v>
      </c>
      <c r="K559" s="1">
        <v>53.0</v>
      </c>
      <c r="L559" s="1">
        <v>127.0</v>
      </c>
      <c r="M559" s="1">
        <v>36.0</v>
      </c>
      <c r="N559" s="1">
        <v>0.0</v>
      </c>
      <c r="O559" s="1">
        <v>0.0</v>
      </c>
      <c r="P559" s="1">
        <v>1.0</v>
      </c>
      <c r="Q559" s="1">
        <v>0.0</v>
      </c>
      <c r="R559" s="1">
        <v>-2.0</v>
      </c>
      <c r="S559" s="1">
        <v>29.0</v>
      </c>
      <c r="T559" s="1">
        <v>0.0</v>
      </c>
    </row>
    <row r="560" ht="12.75" customHeight="1">
      <c r="A560" s="1" t="s">
        <v>593</v>
      </c>
      <c r="B560" s="1" t="str">
        <f>IFERROR(__xludf.DUMMYFUNCTION("split(A560, ""\"")"),"Nick Shore")</f>
        <v>Nick Shore</v>
      </c>
      <c r="C560" s="1" t="str">
        <f>IFERROR(__xludf.DUMMYFUNCTION("""COMPUTED_VALUE"""),"shoreni01")</f>
        <v>shoreni01</v>
      </c>
      <c r="D560" s="1" t="s">
        <v>31</v>
      </c>
      <c r="E560" s="1">
        <f t="shared" si="1"/>
        <v>96.25</v>
      </c>
      <c r="F560" s="1">
        <f t="shared" si="2"/>
        <v>1.5</v>
      </c>
      <c r="G560" s="1">
        <v>64.0</v>
      </c>
      <c r="H560" s="1">
        <v>5.0</v>
      </c>
      <c r="I560" s="1">
        <v>14.0</v>
      </c>
      <c r="J560" s="1">
        <v>19.0</v>
      </c>
      <c r="K560" s="1">
        <v>74.0</v>
      </c>
      <c r="L560" s="1">
        <v>55.0</v>
      </c>
      <c r="M560" s="1">
        <v>20.0</v>
      </c>
      <c r="N560" s="1">
        <v>0.0</v>
      </c>
      <c r="O560" s="1">
        <v>1.0</v>
      </c>
      <c r="P560" s="1">
        <v>0.0</v>
      </c>
      <c r="Q560" s="1">
        <v>0.0</v>
      </c>
      <c r="R560" s="1">
        <v>-3.0</v>
      </c>
      <c r="S560" s="1">
        <v>16.0</v>
      </c>
      <c r="T560" s="1">
        <v>1.0</v>
      </c>
    </row>
    <row r="561" ht="12.75" customHeight="1">
      <c r="A561" s="1" t="s">
        <v>594</v>
      </c>
      <c r="B561" s="1" t="str">
        <f>IFERROR(__xludf.DUMMYFUNCTION("split(A561, ""\"")"),"Scott Mayfield")</f>
        <v>Scott Mayfield</v>
      </c>
      <c r="C561" s="1" t="str">
        <f>IFERROR(__xludf.DUMMYFUNCTION("""COMPUTED_VALUE"""),"mayfisc01")</f>
        <v>mayfisc01</v>
      </c>
      <c r="D561" s="1" t="s">
        <v>66</v>
      </c>
      <c r="E561" s="1">
        <f t="shared" si="1"/>
        <v>95.95</v>
      </c>
      <c r="F561" s="1">
        <f t="shared" si="2"/>
        <v>2.04</v>
      </c>
      <c r="G561" s="1">
        <v>47.0</v>
      </c>
      <c r="H561" s="1">
        <v>2.0</v>
      </c>
      <c r="I561" s="1">
        <v>10.0</v>
      </c>
      <c r="J561" s="1">
        <v>12.0</v>
      </c>
      <c r="K561" s="1">
        <v>58.0</v>
      </c>
      <c r="L561" s="1">
        <v>77.0</v>
      </c>
      <c r="M561" s="1">
        <v>73.0</v>
      </c>
      <c r="N561" s="1">
        <v>0.0</v>
      </c>
      <c r="O561" s="1">
        <v>0.0</v>
      </c>
      <c r="P561" s="1">
        <v>0.0</v>
      </c>
      <c r="Q561" s="1">
        <v>0.0</v>
      </c>
      <c r="R561" s="1">
        <v>-6.0</v>
      </c>
      <c r="S561" s="1">
        <v>45.0</v>
      </c>
      <c r="T561" s="1">
        <v>0.0</v>
      </c>
    </row>
    <row r="562" ht="12.75" customHeight="1">
      <c r="A562" s="1" t="s">
        <v>595</v>
      </c>
      <c r="B562" s="1" t="str">
        <f>IFERROR(__xludf.DUMMYFUNCTION("split(A562, ""\"")"),"Marc Staal")</f>
        <v>Marc Staal</v>
      </c>
      <c r="C562" s="1" t="str">
        <f>IFERROR(__xludf.DUMMYFUNCTION("""COMPUTED_VALUE"""),"staalma01")</f>
        <v>staalma01</v>
      </c>
      <c r="D562" s="1" t="s">
        <v>66</v>
      </c>
      <c r="E562" s="1">
        <f t="shared" si="1"/>
        <v>95.9</v>
      </c>
      <c r="F562" s="1">
        <f t="shared" si="2"/>
        <v>1.33</v>
      </c>
      <c r="G562" s="1">
        <v>72.0</v>
      </c>
      <c r="H562" s="1">
        <v>1.0</v>
      </c>
      <c r="I562" s="1">
        <v>7.0</v>
      </c>
      <c r="J562" s="1">
        <v>8.0</v>
      </c>
      <c r="K562" s="1">
        <v>68.0</v>
      </c>
      <c r="L562" s="1">
        <v>76.0</v>
      </c>
      <c r="M562" s="1">
        <v>96.0</v>
      </c>
      <c r="N562" s="1">
        <v>0.0</v>
      </c>
      <c r="O562" s="1">
        <v>0.0</v>
      </c>
      <c r="P562" s="1">
        <v>0.0</v>
      </c>
      <c r="Q562" s="1">
        <v>0.0</v>
      </c>
      <c r="R562" s="1">
        <v>11.0</v>
      </c>
      <c r="S562" s="1">
        <v>18.0</v>
      </c>
      <c r="T562" s="1">
        <v>0.0</v>
      </c>
    </row>
    <row r="563" ht="12.75" customHeight="1">
      <c r="A563" s="1" t="s">
        <v>596</v>
      </c>
      <c r="B563" s="1" t="str">
        <f>IFERROR(__xludf.DUMMYFUNCTION("split(A563, ""\"")"),"Tomas Nosek")</f>
        <v>Tomas Nosek</v>
      </c>
      <c r="C563" s="1" t="str">
        <f>IFERROR(__xludf.DUMMYFUNCTION("""COMPUTED_VALUE"""),"nosekto01")</f>
        <v>nosekto01</v>
      </c>
      <c r="D563" s="1" t="s">
        <v>31</v>
      </c>
      <c r="E563" s="1">
        <f t="shared" si="1"/>
        <v>95.85</v>
      </c>
      <c r="F563" s="1">
        <f t="shared" si="2"/>
        <v>1.43</v>
      </c>
      <c r="G563" s="1">
        <v>67.0</v>
      </c>
      <c r="H563" s="1">
        <v>7.0</v>
      </c>
      <c r="I563" s="1">
        <v>8.0</v>
      </c>
      <c r="J563" s="1">
        <v>15.0</v>
      </c>
      <c r="K563" s="1">
        <v>92.0</v>
      </c>
      <c r="L563" s="1">
        <v>53.0</v>
      </c>
      <c r="M563" s="1">
        <v>24.0</v>
      </c>
      <c r="N563" s="1">
        <v>0.0</v>
      </c>
      <c r="O563" s="1">
        <v>0.0</v>
      </c>
      <c r="P563" s="1">
        <v>1.0</v>
      </c>
      <c r="Q563" s="1">
        <v>1.0</v>
      </c>
      <c r="R563" s="1">
        <v>6.0</v>
      </c>
      <c r="S563" s="1">
        <v>14.0</v>
      </c>
      <c r="T563" s="1">
        <v>0.0</v>
      </c>
    </row>
    <row r="564" ht="12.75" customHeight="1">
      <c r="A564" s="1" t="s">
        <v>597</v>
      </c>
      <c r="B564" s="1" t="str">
        <f>IFERROR(__xludf.DUMMYFUNCTION("split(A564, ""\"")"),"Tom Kuhnhackl")</f>
        <v>Tom Kuhnhackl</v>
      </c>
      <c r="C564" s="1" t="str">
        <f>IFERROR(__xludf.DUMMYFUNCTION("""COMPUTED_VALUE"""),"kuhnhto01")</f>
        <v>kuhnhto01</v>
      </c>
      <c r="D564" s="1" t="s">
        <v>36</v>
      </c>
      <c r="E564" s="1">
        <f t="shared" si="1"/>
        <v>95.5</v>
      </c>
      <c r="F564" s="1">
        <f t="shared" si="2"/>
        <v>1.38</v>
      </c>
      <c r="G564" s="1">
        <v>69.0</v>
      </c>
      <c r="H564" s="1">
        <v>2.0</v>
      </c>
      <c r="I564" s="1">
        <v>6.0</v>
      </c>
      <c r="J564" s="1">
        <v>8.0</v>
      </c>
      <c r="K564" s="1">
        <v>63.0</v>
      </c>
      <c r="L564" s="1">
        <v>139.0</v>
      </c>
      <c r="M564" s="1">
        <v>50.0</v>
      </c>
      <c r="N564" s="1">
        <v>0.0</v>
      </c>
      <c r="O564" s="1">
        <v>1.0</v>
      </c>
      <c r="P564" s="1">
        <v>0.0</v>
      </c>
      <c r="Q564" s="1">
        <v>1.0</v>
      </c>
      <c r="R564" s="1">
        <v>-6.0</v>
      </c>
      <c r="S564" s="1">
        <v>6.0</v>
      </c>
      <c r="T564" s="1">
        <v>1.0</v>
      </c>
    </row>
    <row r="565" ht="12.75" customHeight="1">
      <c r="A565" s="1" t="s">
        <v>598</v>
      </c>
      <c r="B565" s="1" t="str">
        <f>IFERROR(__xludf.DUMMYFUNCTION("split(A565, ""\"")"),"Mike Reilly")</f>
        <v>Mike Reilly</v>
      </c>
      <c r="C565" s="1" t="str">
        <f>IFERROR(__xludf.DUMMYFUNCTION("""COMPUTED_VALUE"""),"reillmi01")</f>
        <v>reillmi01</v>
      </c>
      <c r="D565" s="1" t="s">
        <v>66</v>
      </c>
      <c r="E565" s="1">
        <f t="shared" si="1"/>
        <v>95.3</v>
      </c>
      <c r="F565" s="1">
        <f t="shared" si="2"/>
        <v>1.67</v>
      </c>
      <c r="G565" s="1">
        <v>57.0</v>
      </c>
      <c r="H565" s="1">
        <v>2.0</v>
      </c>
      <c r="I565" s="1">
        <v>16.0</v>
      </c>
      <c r="J565" s="1">
        <v>18.0</v>
      </c>
      <c r="K565" s="1">
        <v>65.0</v>
      </c>
      <c r="L565" s="1">
        <v>41.0</v>
      </c>
      <c r="M565" s="1">
        <v>37.0</v>
      </c>
      <c r="N565" s="1">
        <v>0.0</v>
      </c>
      <c r="O565" s="1">
        <v>6.0</v>
      </c>
      <c r="P565" s="1">
        <v>0.0</v>
      </c>
      <c r="Q565" s="1">
        <v>0.0</v>
      </c>
      <c r="R565" s="1">
        <v>-5.0</v>
      </c>
      <c r="S565" s="1">
        <v>26.0</v>
      </c>
      <c r="T565" s="1">
        <v>0.0</v>
      </c>
    </row>
    <row r="566" ht="12.75" customHeight="1">
      <c r="A566" s="1" t="s">
        <v>599</v>
      </c>
      <c r="B566" s="1" t="str">
        <f>IFERROR(__xludf.DUMMYFUNCTION("split(A566, ""\"")"),"Zac Rinaldo")</f>
        <v>Zac Rinaldo</v>
      </c>
      <c r="C566" s="1" t="str">
        <f>IFERROR(__xludf.DUMMYFUNCTION("""COMPUTED_VALUE"""),"rinalza01")</f>
        <v>rinalza01</v>
      </c>
      <c r="D566" s="1" t="s">
        <v>31</v>
      </c>
      <c r="E566" s="1">
        <f t="shared" si="1"/>
        <v>95.2</v>
      </c>
      <c r="F566" s="1">
        <f t="shared" si="2"/>
        <v>1.8</v>
      </c>
      <c r="G566" s="1">
        <v>53.0</v>
      </c>
      <c r="H566" s="1">
        <v>5.0</v>
      </c>
      <c r="I566" s="1">
        <v>2.0</v>
      </c>
      <c r="J566" s="1">
        <v>7.0</v>
      </c>
      <c r="K566" s="1">
        <v>56.0</v>
      </c>
      <c r="L566" s="1">
        <v>188.0</v>
      </c>
      <c r="M566" s="1">
        <v>23.0</v>
      </c>
      <c r="N566" s="1">
        <v>0.0</v>
      </c>
      <c r="O566" s="1">
        <v>0.0</v>
      </c>
      <c r="P566" s="1">
        <v>0.0</v>
      </c>
      <c r="Q566" s="1">
        <v>0.0</v>
      </c>
      <c r="R566" s="1">
        <v>-7.0</v>
      </c>
      <c r="S566" s="1">
        <v>44.0</v>
      </c>
      <c r="T566" s="1">
        <v>0.0</v>
      </c>
    </row>
    <row r="567" ht="12.75" customHeight="1">
      <c r="A567" s="1" t="s">
        <v>600</v>
      </c>
      <c r="B567" s="1" t="str">
        <f>IFERROR(__xludf.DUMMYFUNCTION("split(A567, ""\"")"),"Erik Gustafsson")</f>
        <v>Erik Gustafsson</v>
      </c>
      <c r="C567" s="1" t="str">
        <f>IFERROR(__xludf.DUMMYFUNCTION("""COMPUTED_VALUE"""),"gustaer02")</f>
        <v>gustaer02</v>
      </c>
      <c r="D567" s="1" t="s">
        <v>66</v>
      </c>
      <c r="E567" s="1">
        <f t="shared" si="1"/>
        <v>94.75</v>
      </c>
      <c r="F567" s="1">
        <f t="shared" si="2"/>
        <v>2.71</v>
      </c>
      <c r="G567" s="1">
        <v>35.0</v>
      </c>
      <c r="H567" s="1">
        <v>5.0</v>
      </c>
      <c r="I567" s="1">
        <v>11.0</v>
      </c>
      <c r="J567" s="1">
        <v>16.0</v>
      </c>
      <c r="K567" s="1">
        <v>71.0</v>
      </c>
      <c r="L567" s="1">
        <v>30.0</v>
      </c>
      <c r="M567" s="1">
        <v>45.0</v>
      </c>
      <c r="N567" s="1">
        <v>0.0</v>
      </c>
      <c r="O567" s="1">
        <v>4.0</v>
      </c>
      <c r="P567" s="1">
        <v>0.0</v>
      </c>
      <c r="Q567" s="1">
        <v>0.0</v>
      </c>
      <c r="R567" s="1">
        <v>1.0</v>
      </c>
      <c r="S567" s="1">
        <v>6.0</v>
      </c>
      <c r="T567" s="1">
        <v>0.0</v>
      </c>
    </row>
    <row r="568" ht="12.75" customHeight="1">
      <c r="A568" s="1" t="s">
        <v>601</v>
      </c>
      <c r="B568" s="1" t="str">
        <f>IFERROR(__xludf.DUMMYFUNCTION("split(A568, ""\"")"),"Remi Elie")</f>
        <v>Remi Elie</v>
      </c>
      <c r="C568" s="1" t="str">
        <f>IFERROR(__xludf.DUMMYFUNCTION("""COMPUTED_VALUE"""),"eliere01")</f>
        <v>eliere01</v>
      </c>
      <c r="D568" s="1" t="s">
        <v>28</v>
      </c>
      <c r="E568" s="1">
        <f t="shared" si="1"/>
        <v>94.75</v>
      </c>
      <c r="F568" s="1">
        <f t="shared" si="2"/>
        <v>1.32</v>
      </c>
      <c r="G568" s="1">
        <v>72.0</v>
      </c>
      <c r="H568" s="1">
        <v>6.0</v>
      </c>
      <c r="I568" s="1">
        <v>8.0</v>
      </c>
      <c r="J568" s="1">
        <v>14.0</v>
      </c>
      <c r="K568" s="1">
        <v>70.0</v>
      </c>
      <c r="L568" s="1">
        <v>101.0</v>
      </c>
      <c r="M568" s="1">
        <v>20.0</v>
      </c>
      <c r="N568" s="1">
        <v>0.0</v>
      </c>
      <c r="O568" s="1">
        <v>0.0</v>
      </c>
      <c r="P568" s="1">
        <v>0.0</v>
      </c>
      <c r="Q568" s="1">
        <v>0.0</v>
      </c>
      <c r="R568" s="1">
        <v>5.0</v>
      </c>
      <c r="S568" s="1">
        <v>18.0</v>
      </c>
      <c r="T568" s="1">
        <v>1.0</v>
      </c>
    </row>
    <row r="569" ht="12.75" customHeight="1">
      <c r="A569" s="1" t="s">
        <v>602</v>
      </c>
      <c r="B569" s="1" t="str">
        <f>IFERROR(__xludf.DUMMYFUNCTION("split(A569, ""\"")"),"Carl Gunnarsson")</f>
        <v>Carl Gunnarsson</v>
      </c>
      <c r="C569" s="1" t="str">
        <f>IFERROR(__xludf.DUMMYFUNCTION("""COMPUTED_VALUE"""),"gunnaca01")</f>
        <v>gunnaca01</v>
      </c>
      <c r="D569" s="1" t="s">
        <v>66</v>
      </c>
      <c r="E569" s="1">
        <f t="shared" si="1"/>
        <v>94.3</v>
      </c>
      <c r="F569" s="1">
        <f t="shared" si="2"/>
        <v>1.5</v>
      </c>
      <c r="G569" s="1">
        <v>63.0</v>
      </c>
      <c r="H569" s="1">
        <v>5.0</v>
      </c>
      <c r="I569" s="1">
        <v>4.0</v>
      </c>
      <c r="J569" s="1">
        <v>9.0</v>
      </c>
      <c r="K569" s="1">
        <v>59.0</v>
      </c>
      <c r="L569" s="1">
        <v>35.0</v>
      </c>
      <c r="M569" s="1">
        <v>102.0</v>
      </c>
      <c r="N569" s="1">
        <v>0.0</v>
      </c>
      <c r="O569" s="1">
        <v>0.0</v>
      </c>
      <c r="P569" s="1">
        <v>0.0</v>
      </c>
      <c r="Q569" s="1">
        <v>0.0</v>
      </c>
      <c r="R569" s="1">
        <v>15.0</v>
      </c>
      <c r="S569" s="1">
        <v>22.0</v>
      </c>
      <c r="T569" s="1">
        <v>2.0</v>
      </c>
    </row>
    <row r="570" ht="12.75" customHeight="1">
      <c r="A570" s="1" t="s">
        <v>603</v>
      </c>
      <c r="B570" s="1" t="str">
        <f>IFERROR(__xludf.DUMMYFUNCTION("split(A570, ""\"")"),"Jake Dotchin")</f>
        <v>Jake Dotchin</v>
      </c>
      <c r="C570" s="1" t="str">
        <f>IFERROR(__xludf.DUMMYFUNCTION("""COMPUTED_VALUE"""),"dotchja01")</f>
        <v>dotchja01</v>
      </c>
      <c r="D570" s="1" t="s">
        <v>66</v>
      </c>
      <c r="E570" s="1">
        <f t="shared" si="1"/>
        <v>93.15</v>
      </c>
      <c r="F570" s="1">
        <f t="shared" si="2"/>
        <v>1.94</v>
      </c>
      <c r="G570" s="1">
        <v>48.0</v>
      </c>
      <c r="H570" s="1">
        <v>3.0</v>
      </c>
      <c r="I570" s="1">
        <v>8.0</v>
      </c>
      <c r="J570" s="1">
        <v>11.0</v>
      </c>
      <c r="K570" s="1">
        <v>48.0</v>
      </c>
      <c r="L570" s="1">
        <v>95.0</v>
      </c>
      <c r="M570" s="1">
        <v>61.0</v>
      </c>
      <c r="N570" s="1">
        <v>0.0</v>
      </c>
      <c r="O570" s="1">
        <v>0.0</v>
      </c>
      <c r="P570" s="1">
        <v>0.0</v>
      </c>
      <c r="Q570" s="1">
        <v>1.0</v>
      </c>
      <c r="R570" s="1">
        <v>17.0</v>
      </c>
      <c r="S570" s="1">
        <v>38.0</v>
      </c>
      <c r="T570" s="1">
        <v>0.0</v>
      </c>
    </row>
    <row r="571" ht="12.75" customHeight="1">
      <c r="A571" s="1" t="s">
        <v>604</v>
      </c>
      <c r="B571" s="1" t="str">
        <f>IFERROR(__xludf.DUMMYFUNCTION("split(A571, ""\"")"),"Erik Gudbranson")</f>
        <v>Erik Gudbranson</v>
      </c>
      <c r="C571" s="1" t="str">
        <f>IFERROR(__xludf.DUMMYFUNCTION("""COMPUTED_VALUE"""),"gudbrer01")</f>
        <v>gudbrer01</v>
      </c>
      <c r="D571" s="1" t="s">
        <v>66</v>
      </c>
      <c r="E571" s="1">
        <f t="shared" si="1"/>
        <v>92.65</v>
      </c>
      <c r="F571" s="1">
        <f t="shared" si="2"/>
        <v>1.78</v>
      </c>
      <c r="G571" s="1">
        <v>52.0</v>
      </c>
      <c r="H571" s="1">
        <v>2.0</v>
      </c>
      <c r="I571" s="1">
        <v>3.0</v>
      </c>
      <c r="J571" s="1">
        <v>5.0</v>
      </c>
      <c r="K571" s="1">
        <v>53.0</v>
      </c>
      <c r="L571" s="1">
        <v>126.0</v>
      </c>
      <c r="M571" s="1">
        <v>81.0</v>
      </c>
      <c r="N571" s="1">
        <v>0.0</v>
      </c>
      <c r="O571" s="1">
        <v>0.0</v>
      </c>
      <c r="P571" s="1">
        <v>0.0</v>
      </c>
      <c r="Q571" s="1">
        <v>0.0</v>
      </c>
      <c r="R571" s="1">
        <v>-7.0</v>
      </c>
      <c r="S571" s="1">
        <v>35.0</v>
      </c>
      <c r="T571" s="1">
        <v>0.0</v>
      </c>
    </row>
    <row r="572" ht="12.75" customHeight="1">
      <c r="A572" s="1" t="s">
        <v>605</v>
      </c>
      <c r="B572" s="1" t="str">
        <f>IFERROR(__xludf.DUMMYFUNCTION("split(A572, ""\"")"),"Matt Grzelcyk")</f>
        <v>Matt Grzelcyk</v>
      </c>
      <c r="C572" s="1" t="str">
        <f>IFERROR(__xludf.DUMMYFUNCTION("""COMPUTED_VALUE"""),"grzelma01")</f>
        <v>grzelma01</v>
      </c>
      <c r="D572" s="1" t="s">
        <v>66</v>
      </c>
      <c r="E572" s="1">
        <f t="shared" si="1"/>
        <v>92.55</v>
      </c>
      <c r="F572" s="1">
        <f t="shared" si="2"/>
        <v>1.52</v>
      </c>
      <c r="G572" s="1">
        <v>61.0</v>
      </c>
      <c r="H572" s="1">
        <v>3.0</v>
      </c>
      <c r="I572" s="1">
        <v>12.0</v>
      </c>
      <c r="J572" s="1">
        <v>15.0</v>
      </c>
      <c r="K572" s="1">
        <v>82.0</v>
      </c>
      <c r="L572" s="1">
        <v>45.0</v>
      </c>
      <c r="M572" s="1">
        <v>42.0</v>
      </c>
      <c r="N572" s="1">
        <v>0.0</v>
      </c>
      <c r="O572" s="1">
        <v>2.0</v>
      </c>
      <c r="P572" s="1">
        <v>0.0</v>
      </c>
      <c r="Q572" s="1">
        <v>0.0</v>
      </c>
      <c r="R572" s="1">
        <v>21.0</v>
      </c>
      <c r="S572" s="1">
        <v>22.0</v>
      </c>
      <c r="T572" s="1">
        <v>0.0</v>
      </c>
    </row>
    <row r="573" ht="12.75" customHeight="1">
      <c r="A573" s="1" t="s">
        <v>606</v>
      </c>
      <c r="B573" s="1" t="str">
        <f>IFERROR(__xludf.DUMMYFUNCTION("split(A573, ""\"")"),"Joonas Korpisalo")</f>
        <v>Joonas Korpisalo</v>
      </c>
      <c r="C573" s="2" t="str">
        <f>IFERROR(__xludf.DUMMYFUNCTION("""COMPUTED_VALUE"""),"korpijo01")</f>
        <v>korpijo01</v>
      </c>
      <c r="D573" s="1" t="s">
        <v>5</v>
      </c>
      <c r="E573" s="1">
        <f t="shared" si="1"/>
        <v>92.5</v>
      </c>
      <c r="F573" s="1">
        <f t="shared" si="2"/>
        <v>5.14</v>
      </c>
      <c r="G573" s="1">
        <v>18.0</v>
      </c>
      <c r="U573" s="1">
        <v>17.0</v>
      </c>
      <c r="V573" s="1">
        <v>8.0</v>
      </c>
      <c r="W573" s="1">
        <v>8.0</v>
      </c>
      <c r="X573" s="1">
        <v>58.0</v>
      </c>
      <c r="Y573" s="1">
        <v>564.0</v>
      </c>
      <c r="Z573" s="1">
        <v>506.0</v>
      </c>
      <c r="AA573" s="1">
        <v>0.0</v>
      </c>
    </row>
    <row r="574" ht="12.75" customHeight="1">
      <c r="A574" s="1" t="s">
        <v>607</v>
      </c>
      <c r="B574" s="1" t="str">
        <f>IFERROR(__xludf.DUMMYFUNCTION("split(A574, ""\"")"),"Dmitry Kulikov")</f>
        <v>Dmitry Kulikov</v>
      </c>
      <c r="C574" s="1" t="str">
        <f>IFERROR(__xludf.DUMMYFUNCTION("""COMPUTED_VALUE"""),"kulikdm01")</f>
        <v>kulikdm01</v>
      </c>
      <c r="D574" s="1" t="s">
        <v>66</v>
      </c>
      <c r="E574" s="1">
        <f t="shared" si="1"/>
        <v>92.45</v>
      </c>
      <c r="F574" s="1">
        <f t="shared" si="2"/>
        <v>1.49</v>
      </c>
      <c r="G574" s="1">
        <v>62.0</v>
      </c>
      <c r="H574" s="1">
        <v>3.0</v>
      </c>
      <c r="I574" s="1">
        <v>8.0</v>
      </c>
      <c r="J574" s="1">
        <v>11.0</v>
      </c>
      <c r="K574" s="1">
        <v>48.0</v>
      </c>
      <c r="L574" s="1">
        <v>69.0</v>
      </c>
      <c r="M574" s="1">
        <v>78.0</v>
      </c>
      <c r="N574" s="1">
        <v>0.0</v>
      </c>
      <c r="O574" s="1">
        <v>0.0</v>
      </c>
      <c r="P574" s="1">
        <v>0.0</v>
      </c>
      <c r="Q574" s="1">
        <v>0.0</v>
      </c>
      <c r="R574" s="1">
        <v>6.0</v>
      </c>
      <c r="S574" s="1">
        <v>22.0</v>
      </c>
      <c r="T574" s="1">
        <v>1.0</v>
      </c>
    </row>
    <row r="575" ht="12.75" customHeight="1">
      <c r="A575" s="1" t="s">
        <v>608</v>
      </c>
      <c r="B575" s="1" t="str">
        <f>IFERROR(__xludf.DUMMYFUNCTION("split(A575, ""\"")"),"John Hayden")</f>
        <v>John Hayden</v>
      </c>
      <c r="C575" s="1" t="str">
        <f>IFERROR(__xludf.DUMMYFUNCTION("""COMPUTED_VALUE"""),"haydejo01")</f>
        <v>haydejo01</v>
      </c>
      <c r="D575" s="1" t="s">
        <v>31</v>
      </c>
      <c r="E575" s="1">
        <f t="shared" si="1"/>
        <v>92.2</v>
      </c>
      <c r="F575" s="1">
        <f t="shared" si="2"/>
        <v>1.96</v>
      </c>
      <c r="G575" s="1">
        <v>47.0</v>
      </c>
      <c r="H575" s="1">
        <v>4.0</v>
      </c>
      <c r="I575" s="1">
        <v>9.0</v>
      </c>
      <c r="J575" s="1">
        <v>13.0</v>
      </c>
      <c r="K575" s="1">
        <v>56.0</v>
      </c>
      <c r="L575" s="1">
        <v>118.0</v>
      </c>
      <c r="M575" s="1">
        <v>23.0</v>
      </c>
      <c r="N575" s="1">
        <v>0.0</v>
      </c>
      <c r="O575" s="1">
        <v>0.0</v>
      </c>
      <c r="P575" s="1">
        <v>1.0</v>
      </c>
      <c r="Q575" s="1">
        <v>0.0</v>
      </c>
      <c r="R575" s="1">
        <v>-4.0</v>
      </c>
      <c r="S575" s="1">
        <v>54.0</v>
      </c>
      <c r="T575" s="1">
        <v>0.0</v>
      </c>
    </row>
    <row r="576" ht="12.75" customHeight="1">
      <c r="A576" s="1" t="s">
        <v>609</v>
      </c>
      <c r="B576" s="1" t="str">
        <f>IFERROR(__xludf.DUMMYFUNCTION("split(A576, ""\"")"),"Curtis Lazar")</f>
        <v>Curtis Lazar</v>
      </c>
      <c r="C576" s="1" t="str">
        <f>IFERROR(__xludf.DUMMYFUNCTION("""COMPUTED_VALUE"""),"lazarcu01")</f>
        <v>lazarcu01</v>
      </c>
      <c r="D576" s="1" t="s">
        <v>42</v>
      </c>
      <c r="E576" s="1">
        <f t="shared" si="1"/>
        <v>92.15</v>
      </c>
      <c r="F576" s="1">
        <f t="shared" si="2"/>
        <v>1.42</v>
      </c>
      <c r="G576" s="1">
        <v>65.0</v>
      </c>
      <c r="H576" s="1">
        <v>2.0</v>
      </c>
      <c r="I576" s="1">
        <v>10.0</v>
      </c>
      <c r="J576" s="1">
        <v>12.0</v>
      </c>
      <c r="K576" s="1">
        <v>65.0</v>
      </c>
      <c r="L576" s="1">
        <v>130.0</v>
      </c>
      <c r="M576" s="1">
        <v>26.0</v>
      </c>
      <c r="N576" s="1">
        <v>0.0</v>
      </c>
      <c r="O576" s="1">
        <v>0.0</v>
      </c>
      <c r="P576" s="1">
        <v>0.0</v>
      </c>
      <c r="Q576" s="1">
        <v>0.0</v>
      </c>
      <c r="R576" s="1">
        <v>-8.0</v>
      </c>
      <c r="S576" s="1">
        <v>23.0</v>
      </c>
      <c r="T576" s="1">
        <v>1.0</v>
      </c>
    </row>
    <row r="577" ht="12.75" customHeight="1">
      <c r="A577" s="1" t="s">
        <v>610</v>
      </c>
      <c r="B577" s="1" t="str">
        <f>IFERROR(__xludf.DUMMYFUNCTION("split(A577, ""\"")"),"MacKenzie Weegar")</f>
        <v>MacKenzie Weegar</v>
      </c>
      <c r="C577" s="1" t="str">
        <f>IFERROR(__xludf.DUMMYFUNCTION("""COMPUTED_VALUE"""),"weegama01")</f>
        <v>weegama01</v>
      </c>
      <c r="D577" s="1" t="s">
        <v>66</v>
      </c>
      <c r="E577" s="1">
        <f t="shared" si="1"/>
        <v>92.1</v>
      </c>
      <c r="F577" s="1">
        <f t="shared" si="2"/>
        <v>1.54</v>
      </c>
      <c r="G577" s="1">
        <v>60.0</v>
      </c>
      <c r="H577" s="1">
        <v>2.0</v>
      </c>
      <c r="I577" s="1">
        <v>6.0</v>
      </c>
      <c r="J577" s="1">
        <v>8.0</v>
      </c>
      <c r="K577" s="1">
        <v>58.0</v>
      </c>
      <c r="L577" s="1">
        <v>108.0</v>
      </c>
      <c r="M577" s="1">
        <v>69.0</v>
      </c>
      <c r="N577" s="1">
        <v>0.0</v>
      </c>
      <c r="O577" s="1">
        <v>0.0</v>
      </c>
      <c r="P577" s="1">
        <v>0.0</v>
      </c>
      <c r="Q577" s="1">
        <v>0.0</v>
      </c>
      <c r="R577" s="1">
        <v>5.0</v>
      </c>
      <c r="S577" s="1">
        <v>32.0</v>
      </c>
      <c r="T577" s="1">
        <v>0.0</v>
      </c>
    </row>
    <row r="578" ht="12.75" customHeight="1">
      <c r="A578" s="1" t="s">
        <v>611</v>
      </c>
      <c r="B578" s="1" t="str">
        <f>IFERROR(__xludf.DUMMYFUNCTION("split(A578, ""\"")"),"Gustav Forsling")</f>
        <v>Gustav Forsling</v>
      </c>
      <c r="C578" s="1" t="str">
        <f>IFERROR(__xludf.DUMMYFUNCTION("""COMPUTED_VALUE"""),"forslgu02")</f>
        <v>forslgu02</v>
      </c>
      <c r="D578" s="1" t="s">
        <v>66</v>
      </c>
      <c r="E578" s="1">
        <f t="shared" si="1"/>
        <v>91.4</v>
      </c>
      <c r="F578" s="1">
        <f t="shared" si="2"/>
        <v>2.23</v>
      </c>
      <c r="G578" s="1">
        <v>41.0</v>
      </c>
      <c r="H578" s="1">
        <v>3.0</v>
      </c>
      <c r="I578" s="1">
        <v>10.0</v>
      </c>
      <c r="J578" s="1">
        <v>13.0</v>
      </c>
      <c r="K578" s="1">
        <v>82.0</v>
      </c>
      <c r="L578" s="1">
        <v>26.0</v>
      </c>
      <c r="M578" s="1">
        <v>56.0</v>
      </c>
      <c r="N578" s="1">
        <v>1.0</v>
      </c>
      <c r="O578" s="1">
        <v>3.0</v>
      </c>
      <c r="P578" s="1">
        <v>0.0</v>
      </c>
      <c r="Q578" s="1">
        <v>1.0</v>
      </c>
      <c r="R578" s="1">
        <v>-2.0</v>
      </c>
      <c r="S578" s="1">
        <v>8.0</v>
      </c>
      <c r="T578" s="1">
        <v>1.0</v>
      </c>
    </row>
    <row r="579" ht="12.75" customHeight="1">
      <c r="A579" s="1" t="s">
        <v>612</v>
      </c>
      <c r="B579" s="1" t="str">
        <f>IFERROR(__xludf.DUMMYFUNCTION("split(A579, ""\"")"),"Brandon Carlo")</f>
        <v>Brandon Carlo</v>
      </c>
      <c r="C579" s="1" t="str">
        <f>IFERROR(__xludf.DUMMYFUNCTION("""COMPUTED_VALUE"""),"carlobr01")</f>
        <v>carlobr01</v>
      </c>
      <c r="D579" s="1" t="s">
        <v>66</v>
      </c>
      <c r="E579" s="1">
        <f t="shared" si="1"/>
        <v>90.85</v>
      </c>
      <c r="F579" s="1">
        <f t="shared" si="2"/>
        <v>1.2</v>
      </c>
      <c r="G579" s="1">
        <v>76.0</v>
      </c>
      <c r="H579" s="1">
        <v>0.0</v>
      </c>
      <c r="I579" s="1">
        <v>6.0</v>
      </c>
      <c r="J579" s="1">
        <v>6.0</v>
      </c>
      <c r="K579" s="1">
        <v>76.0</v>
      </c>
      <c r="L579" s="1">
        <v>89.0</v>
      </c>
      <c r="M579" s="1">
        <v>84.0</v>
      </c>
      <c r="N579" s="1">
        <v>0.0</v>
      </c>
      <c r="O579" s="1">
        <v>0.0</v>
      </c>
      <c r="P579" s="1">
        <v>0.0</v>
      </c>
      <c r="Q579" s="1">
        <v>1.0</v>
      </c>
      <c r="R579" s="1">
        <v>10.0</v>
      </c>
      <c r="S579" s="1">
        <v>45.0</v>
      </c>
      <c r="T579" s="1">
        <v>0.0</v>
      </c>
    </row>
    <row r="580" ht="12.75" customHeight="1">
      <c r="A580" s="1" t="s">
        <v>613</v>
      </c>
      <c r="B580" s="1" t="str">
        <f>IFERROR(__xludf.DUMMYFUNCTION("split(A580, ""\"")"),"David Rittich")</f>
        <v>David Rittich</v>
      </c>
      <c r="C580" s="2" t="str">
        <f>IFERROR(__xludf.DUMMYFUNCTION("""COMPUTED_VALUE"""),"rittida01")</f>
        <v>rittida01</v>
      </c>
      <c r="D580" s="1" t="s">
        <v>5</v>
      </c>
      <c r="E580" s="1">
        <f t="shared" si="1"/>
        <v>90.75</v>
      </c>
      <c r="F580" s="1">
        <f t="shared" si="2"/>
        <v>4.32</v>
      </c>
      <c r="G580" s="1">
        <v>21.0</v>
      </c>
      <c r="U580" s="1">
        <v>16.0</v>
      </c>
      <c r="V580" s="1">
        <v>8.0</v>
      </c>
      <c r="W580" s="1">
        <v>6.0</v>
      </c>
      <c r="X580" s="1">
        <v>49.0</v>
      </c>
      <c r="Y580" s="1">
        <v>512.0</v>
      </c>
      <c r="Z580" s="1">
        <v>463.0</v>
      </c>
      <c r="AA580" s="1">
        <v>0.0</v>
      </c>
    </row>
    <row r="581" ht="12.75" customHeight="1">
      <c r="A581" s="1" t="s">
        <v>614</v>
      </c>
      <c r="B581" s="1" t="str">
        <f>IFERROR(__xludf.DUMMYFUNCTION("split(A581, ""\"")"),"Chris Stewart")</f>
        <v>Chris Stewart</v>
      </c>
      <c r="C581" s="1" t="str">
        <f>IFERROR(__xludf.DUMMYFUNCTION("""COMPUTED_VALUE"""),"stewach02")</f>
        <v>stewach02</v>
      </c>
      <c r="D581" s="1" t="s">
        <v>36</v>
      </c>
      <c r="E581" s="1">
        <f t="shared" si="1"/>
        <v>90.6</v>
      </c>
      <c r="F581" s="1">
        <f t="shared" si="2"/>
        <v>1.68</v>
      </c>
      <c r="G581" s="1">
        <v>54.0</v>
      </c>
      <c r="H581" s="1">
        <v>10.0</v>
      </c>
      <c r="I581" s="1">
        <v>6.0</v>
      </c>
      <c r="J581" s="1">
        <v>16.0</v>
      </c>
      <c r="K581" s="1">
        <v>68.0</v>
      </c>
      <c r="L581" s="1">
        <v>48.0</v>
      </c>
      <c r="M581" s="1">
        <v>14.0</v>
      </c>
      <c r="N581" s="1">
        <v>1.0</v>
      </c>
      <c r="O581" s="1">
        <v>0.0</v>
      </c>
      <c r="P581" s="1">
        <v>0.0</v>
      </c>
      <c r="Q581" s="1">
        <v>0.0</v>
      </c>
      <c r="R581" s="1">
        <v>-5.0</v>
      </c>
      <c r="S581" s="1">
        <v>27.0</v>
      </c>
      <c r="T581" s="1">
        <v>1.0</v>
      </c>
    </row>
    <row r="582" ht="12.75" customHeight="1">
      <c r="A582" s="1" t="s">
        <v>615</v>
      </c>
      <c r="B582" s="1" t="str">
        <f>IFERROR(__xludf.DUMMYFUNCTION("split(A582, ""\"")"),"Oscar Lindberg")</f>
        <v>Oscar Lindberg</v>
      </c>
      <c r="C582" s="1" t="str">
        <f>IFERROR(__xludf.DUMMYFUNCTION("""COMPUTED_VALUE"""),"lindbos02")</f>
        <v>lindbos02</v>
      </c>
      <c r="D582" s="1" t="s">
        <v>31</v>
      </c>
      <c r="E582" s="1">
        <f t="shared" si="1"/>
        <v>90.05</v>
      </c>
      <c r="F582" s="1">
        <f t="shared" si="2"/>
        <v>1.43</v>
      </c>
      <c r="G582" s="1">
        <v>63.0</v>
      </c>
      <c r="H582" s="1">
        <v>9.0</v>
      </c>
      <c r="I582" s="1">
        <v>2.0</v>
      </c>
      <c r="J582" s="1">
        <v>11.0</v>
      </c>
      <c r="K582" s="1">
        <v>81.0</v>
      </c>
      <c r="L582" s="1">
        <v>72.0</v>
      </c>
      <c r="M582" s="1">
        <v>27.0</v>
      </c>
      <c r="N582" s="1">
        <v>0.0</v>
      </c>
      <c r="O582" s="1">
        <v>0.0</v>
      </c>
      <c r="P582" s="1">
        <v>0.0</v>
      </c>
      <c r="Q582" s="1">
        <v>0.0</v>
      </c>
      <c r="R582" s="1">
        <v>-11.0</v>
      </c>
      <c r="S582" s="1">
        <v>14.0</v>
      </c>
      <c r="T582" s="1">
        <v>0.0</v>
      </c>
    </row>
    <row r="583" ht="12.75" customHeight="1">
      <c r="A583" s="1" t="s">
        <v>616</v>
      </c>
      <c r="B583" s="1" t="str">
        <f>IFERROR(__xludf.DUMMYFUNCTION("split(A583, ""\"")"),"Barclay Goodrow")</f>
        <v>Barclay Goodrow</v>
      </c>
      <c r="C583" s="1" t="str">
        <f>IFERROR(__xludf.DUMMYFUNCTION("""COMPUTED_VALUE"""),"goodrba01")</f>
        <v>goodrba01</v>
      </c>
      <c r="D583" s="1" t="s">
        <v>36</v>
      </c>
      <c r="E583" s="1">
        <f t="shared" si="1"/>
        <v>89.75</v>
      </c>
      <c r="F583" s="1">
        <f t="shared" si="2"/>
        <v>1.91</v>
      </c>
      <c r="G583" s="1">
        <v>47.0</v>
      </c>
      <c r="H583" s="1">
        <v>7.0</v>
      </c>
      <c r="I583" s="1">
        <v>7.0</v>
      </c>
      <c r="J583" s="1">
        <v>14.0</v>
      </c>
      <c r="K583" s="1">
        <v>57.0</v>
      </c>
      <c r="L583" s="1">
        <v>68.0</v>
      </c>
      <c r="M583" s="1">
        <v>30.0</v>
      </c>
      <c r="N583" s="1">
        <v>0.0</v>
      </c>
      <c r="O583" s="1">
        <v>0.0</v>
      </c>
      <c r="P583" s="1">
        <v>1.0</v>
      </c>
      <c r="Q583" s="1">
        <v>0.0</v>
      </c>
      <c r="R583" s="1">
        <v>1.0</v>
      </c>
      <c r="S583" s="1">
        <v>28.0</v>
      </c>
      <c r="T583" s="1">
        <v>1.0</v>
      </c>
    </row>
    <row r="584" ht="12.75" customHeight="1">
      <c r="A584" s="1" t="s">
        <v>617</v>
      </c>
      <c r="B584" s="1" t="str">
        <f>IFERROR(__xludf.DUMMYFUNCTION("split(A584, ""\"")"),"Louis Domingue")</f>
        <v>Louis Domingue</v>
      </c>
      <c r="C584" s="2" t="str">
        <f>IFERROR(__xludf.DUMMYFUNCTION("""COMPUTED_VALUE"""),"dominlo01")</f>
        <v>dominlo01</v>
      </c>
      <c r="D584" s="1" t="s">
        <v>5</v>
      </c>
      <c r="E584" s="1">
        <f t="shared" si="1"/>
        <v>89.25</v>
      </c>
      <c r="F584" s="1">
        <f t="shared" si="2"/>
        <v>4.7</v>
      </c>
      <c r="G584" s="1">
        <v>19.0</v>
      </c>
      <c r="U584" s="1">
        <v>16.0</v>
      </c>
      <c r="V584" s="1">
        <v>7.0</v>
      </c>
      <c r="W584" s="1">
        <v>9.0</v>
      </c>
      <c r="X584" s="1">
        <v>61.0</v>
      </c>
      <c r="Y584" s="1">
        <v>578.0</v>
      </c>
      <c r="Z584" s="1">
        <v>517.0</v>
      </c>
      <c r="AA584" s="1">
        <v>0.0</v>
      </c>
    </row>
    <row r="585" ht="12.75" customHeight="1">
      <c r="A585" s="1" t="s">
        <v>618</v>
      </c>
      <c r="B585" s="1" t="str">
        <f>IFERROR(__xludf.DUMMYFUNCTION("split(A585, ""\"")"),"Kyle Clifford")</f>
        <v>Kyle Clifford</v>
      </c>
      <c r="C585" s="1" t="str">
        <f>IFERROR(__xludf.DUMMYFUNCTION("""COMPUTED_VALUE"""),"cliffky01")</f>
        <v>cliffky01</v>
      </c>
      <c r="D585" s="1" t="s">
        <v>28</v>
      </c>
      <c r="E585" s="1">
        <f t="shared" si="1"/>
        <v>89.2</v>
      </c>
      <c r="F585" s="1">
        <f t="shared" si="2"/>
        <v>1.78</v>
      </c>
      <c r="G585" s="1">
        <v>50.0</v>
      </c>
      <c r="H585" s="1">
        <v>6.0</v>
      </c>
      <c r="I585" s="1">
        <v>4.0</v>
      </c>
      <c r="J585" s="1">
        <v>10.0</v>
      </c>
      <c r="K585" s="1">
        <v>81.0</v>
      </c>
      <c r="L585" s="1">
        <v>127.0</v>
      </c>
      <c r="M585" s="1">
        <v>8.0</v>
      </c>
      <c r="N585" s="1">
        <v>0.0</v>
      </c>
      <c r="O585" s="1">
        <v>0.0</v>
      </c>
      <c r="P585" s="1">
        <v>0.0</v>
      </c>
      <c r="Q585" s="1">
        <v>0.0</v>
      </c>
      <c r="R585" s="1">
        <v>-4.0</v>
      </c>
      <c r="S585" s="1">
        <v>48.0</v>
      </c>
      <c r="T585" s="1">
        <v>0.0</v>
      </c>
    </row>
    <row r="586" ht="12.75" customHeight="1">
      <c r="A586" s="1" t="s">
        <v>619</v>
      </c>
      <c r="B586" s="1" t="str">
        <f>IFERROR(__xludf.DUMMYFUNCTION("split(A586, ""\"")"),"Andreas Borgman")</f>
        <v>Andreas Borgman</v>
      </c>
      <c r="C586" s="1" t="str">
        <f>IFERROR(__xludf.DUMMYFUNCTION("""COMPUTED_VALUE"""),"borgman01")</f>
        <v>borgman01</v>
      </c>
      <c r="D586" s="1" t="s">
        <v>66</v>
      </c>
      <c r="E586" s="1">
        <f t="shared" si="1"/>
        <v>88.15</v>
      </c>
      <c r="F586" s="1">
        <f t="shared" si="2"/>
        <v>1.84</v>
      </c>
      <c r="G586" s="1">
        <v>48.0</v>
      </c>
      <c r="H586" s="1">
        <v>3.0</v>
      </c>
      <c r="I586" s="1">
        <v>8.0</v>
      </c>
      <c r="J586" s="1">
        <v>11.0</v>
      </c>
      <c r="K586" s="1">
        <v>46.0</v>
      </c>
      <c r="L586" s="1">
        <v>121.0</v>
      </c>
      <c r="M586" s="1">
        <v>36.0</v>
      </c>
      <c r="N586" s="1">
        <v>0.0</v>
      </c>
      <c r="O586" s="1">
        <v>0.0</v>
      </c>
      <c r="P586" s="1">
        <v>0.0</v>
      </c>
      <c r="Q586" s="1">
        <v>0.0</v>
      </c>
      <c r="R586" s="1">
        <v>4.0</v>
      </c>
      <c r="S586" s="1">
        <v>28.0</v>
      </c>
      <c r="T586" s="1">
        <v>0.0</v>
      </c>
    </row>
    <row r="587" ht="12.75" customHeight="1">
      <c r="A587" s="1" t="s">
        <v>620</v>
      </c>
      <c r="B587" s="1" t="str">
        <f>IFERROR(__xludf.DUMMYFUNCTION("split(A587, ""\"")"),"Joakim Nordstrom")</f>
        <v>Joakim Nordstrom</v>
      </c>
      <c r="C587" s="1" t="str">
        <f>IFERROR(__xludf.DUMMYFUNCTION("""COMPUTED_VALUE"""),"nordsjo02")</f>
        <v>nordsjo02</v>
      </c>
      <c r="D587" s="1" t="s">
        <v>31</v>
      </c>
      <c r="E587" s="1">
        <f t="shared" si="1"/>
        <v>87.9</v>
      </c>
      <c r="F587" s="1">
        <f t="shared" si="2"/>
        <v>1.17</v>
      </c>
      <c r="G587" s="1">
        <v>75.0</v>
      </c>
      <c r="H587" s="1">
        <v>2.0</v>
      </c>
      <c r="I587" s="1">
        <v>5.0</v>
      </c>
      <c r="J587" s="1">
        <v>7.0</v>
      </c>
      <c r="K587" s="1">
        <v>97.0</v>
      </c>
      <c r="L587" s="1">
        <v>107.0</v>
      </c>
      <c r="M587" s="1">
        <v>41.0</v>
      </c>
      <c r="N587" s="1">
        <v>0.0</v>
      </c>
      <c r="O587" s="1">
        <v>0.0</v>
      </c>
      <c r="P587" s="1">
        <v>0.0</v>
      </c>
      <c r="Q587" s="1">
        <v>0.0</v>
      </c>
      <c r="R587" s="1">
        <v>-11.0</v>
      </c>
      <c r="S587" s="1">
        <v>6.0</v>
      </c>
      <c r="T587" s="1">
        <v>0.0</v>
      </c>
    </row>
    <row r="588" ht="12.75" customHeight="1">
      <c r="A588" s="1" t="s">
        <v>621</v>
      </c>
      <c r="B588" s="1" t="str">
        <f>IFERROR(__xludf.DUMMYFUNCTION("split(A588, ""\"")"),"Cedric Paquette")</f>
        <v>Cedric Paquette</v>
      </c>
      <c r="C588" s="1" t="str">
        <f>IFERROR(__xludf.DUMMYFUNCTION("""COMPUTED_VALUE"""),"paquece01")</f>
        <v>paquece01</v>
      </c>
      <c r="D588" s="1" t="s">
        <v>31</v>
      </c>
      <c r="E588" s="1">
        <f t="shared" si="1"/>
        <v>87.8</v>
      </c>
      <c r="F588" s="1">
        <f t="shared" si="2"/>
        <v>1.57</v>
      </c>
      <c r="G588" s="1">
        <v>56.0</v>
      </c>
      <c r="H588" s="1">
        <v>5.0</v>
      </c>
      <c r="I588" s="1">
        <v>4.0</v>
      </c>
      <c r="J588" s="1">
        <v>9.0</v>
      </c>
      <c r="K588" s="1">
        <v>64.0</v>
      </c>
      <c r="L588" s="1">
        <v>112.0</v>
      </c>
      <c r="M588" s="1">
        <v>32.0</v>
      </c>
      <c r="N588" s="1">
        <v>0.0</v>
      </c>
      <c r="O588" s="1">
        <v>1.0</v>
      </c>
      <c r="P588" s="1">
        <v>0.0</v>
      </c>
      <c r="Q588" s="1">
        <v>0.0</v>
      </c>
      <c r="R588" s="1">
        <v>-5.0</v>
      </c>
      <c r="S588" s="1">
        <v>41.0</v>
      </c>
      <c r="T588" s="1">
        <v>2.0</v>
      </c>
    </row>
    <row r="589" ht="12.75" customHeight="1">
      <c r="A589" s="1" t="s">
        <v>622</v>
      </c>
      <c r="B589" s="1" t="str">
        <f>IFERROR(__xludf.DUMMYFUNCTION("split(A589, ""\"")"),"Jussi Jokinen")</f>
        <v>Jussi Jokinen</v>
      </c>
      <c r="C589" s="1" t="str">
        <f>IFERROR(__xludf.DUMMYFUNCTION("""COMPUTED_VALUE"""),"jokinju01")</f>
        <v>jokinju01</v>
      </c>
      <c r="D589" s="1" t="s">
        <v>31</v>
      </c>
      <c r="E589" s="1">
        <f t="shared" si="1"/>
        <v>87.3</v>
      </c>
      <c r="F589" s="1">
        <f t="shared" si="2"/>
        <v>1.46</v>
      </c>
      <c r="G589" s="1">
        <v>60.0</v>
      </c>
      <c r="H589" s="1">
        <v>5.0</v>
      </c>
      <c r="I589" s="1">
        <v>12.0</v>
      </c>
      <c r="J589" s="1">
        <v>17.0</v>
      </c>
      <c r="K589" s="1">
        <v>73.0</v>
      </c>
      <c r="L589" s="1">
        <v>21.0</v>
      </c>
      <c r="M589" s="1">
        <v>22.0</v>
      </c>
      <c r="N589" s="1">
        <v>0.0</v>
      </c>
      <c r="O589" s="1">
        <v>5.0</v>
      </c>
      <c r="P589" s="1">
        <v>0.0</v>
      </c>
      <c r="Q589" s="1">
        <v>0.0</v>
      </c>
      <c r="R589" s="1">
        <v>2.0</v>
      </c>
      <c r="S589" s="1">
        <v>12.0</v>
      </c>
      <c r="T589" s="1">
        <v>1.0</v>
      </c>
    </row>
    <row r="590" ht="12.75" customHeight="1">
      <c r="A590" s="1" t="s">
        <v>623</v>
      </c>
      <c r="B590" s="1" t="str">
        <f>IFERROR(__xludf.DUMMYFUNCTION("split(A590, ""\"")"),"Markus Granlund")</f>
        <v>Markus Granlund</v>
      </c>
      <c r="C590" s="1" t="str">
        <f>IFERROR(__xludf.DUMMYFUNCTION("""COMPUTED_VALUE"""),"granlma01")</f>
        <v>granlma01</v>
      </c>
      <c r="D590" s="1" t="s">
        <v>31</v>
      </c>
      <c r="E590" s="1">
        <f t="shared" si="1"/>
        <v>86.8</v>
      </c>
      <c r="F590" s="1">
        <f t="shared" si="2"/>
        <v>1.64</v>
      </c>
      <c r="G590" s="1">
        <v>53.0</v>
      </c>
      <c r="H590" s="1">
        <v>8.0</v>
      </c>
      <c r="I590" s="1">
        <v>4.0</v>
      </c>
      <c r="J590" s="1">
        <v>12.0</v>
      </c>
      <c r="K590" s="1">
        <v>93.0</v>
      </c>
      <c r="L590" s="1">
        <v>47.0</v>
      </c>
      <c r="M590" s="1">
        <v>12.0</v>
      </c>
      <c r="N590" s="1">
        <v>2.0</v>
      </c>
      <c r="O590" s="1">
        <v>1.0</v>
      </c>
      <c r="P590" s="1">
        <v>2.0</v>
      </c>
      <c r="Q590" s="1">
        <v>0.0</v>
      </c>
      <c r="R590" s="1">
        <v>-10.0</v>
      </c>
      <c r="S590" s="1">
        <v>8.0</v>
      </c>
      <c r="T590" s="1">
        <v>1.0</v>
      </c>
    </row>
    <row r="591" ht="12.75" customHeight="1">
      <c r="A591" s="1" t="s">
        <v>624</v>
      </c>
      <c r="B591" s="1" t="str">
        <f>IFERROR(__xludf.DUMMYFUNCTION("split(A591, ""\"")"),"Matt Martin")</f>
        <v>Matt Martin</v>
      </c>
      <c r="C591" s="1" t="str">
        <f>IFERROR(__xludf.DUMMYFUNCTION("""COMPUTED_VALUE"""),"martima02")</f>
        <v>martima02</v>
      </c>
      <c r="D591" s="1" t="s">
        <v>28</v>
      </c>
      <c r="E591" s="1">
        <f t="shared" si="1"/>
        <v>86.35</v>
      </c>
      <c r="F591" s="1">
        <f t="shared" si="2"/>
        <v>1.73</v>
      </c>
      <c r="G591" s="1">
        <v>50.0</v>
      </c>
      <c r="H591" s="1">
        <v>3.0</v>
      </c>
      <c r="I591" s="1">
        <v>9.0</v>
      </c>
      <c r="J591" s="1">
        <v>12.0</v>
      </c>
      <c r="K591" s="1">
        <v>46.0</v>
      </c>
      <c r="L591" s="1">
        <v>147.0</v>
      </c>
      <c r="M591" s="1">
        <v>9.0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50.0</v>
      </c>
      <c r="T591" s="1">
        <v>0.0</v>
      </c>
    </row>
    <row r="592" ht="12.75" customHeight="1">
      <c r="A592" s="1" t="s">
        <v>625</v>
      </c>
      <c r="B592" s="1" t="str">
        <f>IFERROR(__xludf.DUMMYFUNCTION("split(A592, ""\"")"),"Lance Bouma")</f>
        <v>Lance Bouma</v>
      </c>
      <c r="C592" s="1" t="str">
        <f>IFERROR(__xludf.DUMMYFUNCTION("""COMPUTED_VALUE"""),"boumala01")</f>
        <v>boumala01</v>
      </c>
      <c r="D592" s="1" t="s">
        <v>31</v>
      </c>
      <c r="E592" s="1">
        <f t="shared" si="1"/>
        <v>85.8</v>
      </c>
      <c r="F592" s="1">
        <f t="shared" si="2"/>
        <v>1.62</v>
      </c>
      <c r="G592" s="1">
        <v>53.0</v>
      </c>
      <c r="H592" s="1">
        <v>3.0</v>
      </c>
      <c r="I592" s="1">
        <v>6.0</v>
      </c>
      <c r="J592" s="1">
        <v>9.0</v>
      </c>
      <c r="K592" s="1">
        <v>56.0</v>
      </c>
      <c r="L592" s="1">
        <v>132.0</v>
      </c>
      <c r="M592" s="1">
        <v>27.0</v>
      </c>
      <c r="N592" s="1">
        <v>0.0</v>
      </c>
      <c r="O592" s="1">
        <v>1.0</v>
      </c>
      <c r="P592" s="1">
        <v>0.0</v>
      </c>
      <c r="Q592" s="1">
        <v>0.0</v>
      </c>
      <c r="R592" s="1">
        <v>1.0</v>
      </c>
      <c r="S592" s="1">
        <v>36.0</v>
      </c>
      <c r="T592" s="1">
        <v>1.0</v>
      </c>
    </row>
    <row r="593" ht="12.75" customHeight="1">
      <c r="A593" s="1" t="s">
        <v>626</v>
      </c>
      <c r="B593" s="1" t="str">
        <f>IFERROR(__xludf.DUMMYFUNCTION("split(A593, ""\"")"),"Paul Carey")</f>
        <v>Paul Carey</v>
      </c>
      <c r="C593" s="1" t="str">
        <f>IFERROR(__xludf.DUMMYFUNCTION("""COMPUTED_VALUE"""),"careypa01")</f>
        <v>careypa01</v>
      </c>
      <c r="D593" s="1" t="s">
        <v>31</v>
      </c>
      <c r="E593" s="1">
        <f t="shared" si="1"/>
        <v>85.8</v>
      </c>
      <c r="F593" s="1">
        <f t="shared" si="2"/>
        <v>1.43</v>
      </c>
      <c r="G593" s="1">
        <v>60.0</v>
      </c>
      <c r="H593" s="1">
        <v>7.0</v>
      </c>
      <c r="I593" s="1">
        <v>7.0</v>
      </c>
      <c r="J593" s="1">
        <v>14.0</v>
      </c>
      <c r="K593" s="1">
        <v>51.0</v>
      </c>
      <c r="L593" s="1">
        <v>67.0</v>
      </c>
      <c r="M593" s="1">
        <v>22.0</v>
      </c>
      <c r="N593" s="1">
        <v>1.0</v>
      </c>
      <c r="O593" s="1">
        <v>0.0</v>
      </c>
      <c r="P593" s="1">
        <v>1.0</v>
      </c>
      <c r="Q593" s="1">
        <v>0.0</v>
      </c>
      <c r="R593" s="1">
        <v>-13.0</v>
      </c>
      <c r="S593" s="1">
        <v>20.0</v>
      </c>
      <c r="T593" s="1">
        <v>1.0</v>
      </c>
    </row>
    <row r="594" ht="12.75" customHeight="1">
      <c r="A594" s="1" t="s">
        <v>627</v>
      </c>
      <c r="B594" s="1" t="str">
        <f>IFERROR(__xludf.DUMMYFUNCTION("split(A594, ""\"")"),"Mark Barberio")</f>
        <v>Mark Barberio</v>
      </c>
      <c r="C594" s="1" t="str">
        <f>IFERROR(__xludf.DUMMYFUNCTION("""COMPUTED_VALUE"""),"barbema01")</f>
        <v>barbema01</v>
      </c>
      <c r="D594" s="1" t="s">
        <v>66</v>
      </c>
      <c r="E594" s="1">
        <f t="shared" si="1"/>
        <v>84.3</v>
      </c>
      <c r="F594" s="1">
        <f t="shared" si="2"/>
        <v>1.83</v>
      </c>
      <c r="G594" s="1">
        <v>46.0</v>
      </c>
      <c r="H594" s="1">
        <v>3.0</v>
      </c>
      <c r="I594" s="1">
        <v>10.0</v>
      </c>
      <c r="J594" s="1">
        <v>13.0</v>
      </c>
      <c r="K594" s="1">
        <v>52.0</v>
      </c>
      <c r="L594" s="1">
        <v>26.0</v>
      </c>
      <c r="M594" s="1">
        <v>62.0</v>
      </c>
      <c r="N594" s="1">
        <v>0.0</v>
      </c>
      <c r="O594" s="1">
        <v>1.0</v>
      </c>
      <c r="P594" s="1">
        <v>1.0</v>
      </c>
      <c r="Q594" s="1">
        <v>1.0</v>
      </c>
      <c r="R594" s="1">
        <v>6.0</v>
      </c>
      <c r="S594" s="1">
        <v>31.0</v>
      </c>
      <c r="T594" s="1">
        <v>1.0</v>
      </c>
    </row>
    <row r="595" ht="12.75" customHeight="1">
      <c r="A595" s="1" t="s">
        <v>628</v>
      </c>
      <c r="B595" s="1" t="str">
        <f>IFERROR(__xludf.DUMMYFUNCTION("split(A595, ""\"")"),"Niklas Hjalmarsson")</f>
        <v>Niklas Hjalmarsson</v>
      </c>
      <c r="C595" s="1" t="str">
        <f>IFERROR(__xludf.DUMMYFUNCTION("""COMPUTED_VALUE"""),"hjalmni01")</f>
        <v>hjalmni01</v>
      </c>
      <c r="D595" s="1" t="s">
        <v>66</v>
      </c>
      <c r="E595" s="1">
        <f t="shared" si="1"/>
        <v>84.2</v>
      </c>
      <c r="F595" s="1">
        <f t="shared" si="2"/>
        <v>1.75</v>
      </c>
      <c r="G595" s="1">
        <v>48.0</v>
      </c>
      <c r="H595" s="1">
        <v>1.0</v>
      </c>
      <c r="I595" s="1">
        <v>8.0</v>
      </c>
      <c r="J595" s="1">
        <v>9.0</v>
      </c>
      <c r="K595" s="1">
        <v>32.0</v>
      </c>
      <c r="L595" s="1">
        <v>16.0</v>
      </c>
      <c r="M595" s="1">
        <v>118.0</v>
      </c>
      <c r="N595" s="1">
        <v>0.0</v>
      </c>
      <c r="O595" s="1">
        <v>1.0</v>
      </c>
      <c r="P595" s="1">
        <v>0.0</v>
      </c>
      <c r="Q595" s="1">
        <v>0.0</v>
      </c>
      <c r="R595" s="1">
        <v>-3.0</v>
      </c>
      <c r="S595" s="1">
        <v>18.0</v>
      </c>
      <c r="T595" s="1">
        <v>0.0</v>
      </c>
    </row>
    <row r="596" ht="12.75" customHeight="1">
      <c r="A596" s="1" t="s">
        <v>629</v>
      </c>
      <c r="B596" s="1" t="str">
        <f>IFERROR(__xludf.DUMMYFUNCTION("split(A596, ""\"")"),"Scott Wedgewood")</f>
        <v>Scott Wedgewood</v>
      </c>
      <c r="C596" s="2" t="str">
        <f>IFERROR(__xludf.DUMMYFUNCTION("""COMPUTED_VALUE"""),"wedgesc01")</f>
        <v>wedgesc01</v>
      </c>
      <c r="D596" s="1" t="s">
        <v>5</v>
      </c>
      <c r="E596" s="1">
        <f t="shared" si="1"/>
        <v>84</v>
      </c>
      <c r="F596" s="1">
        <f t="shared" si="2"/>
        <v>4.2</v>
      </c>
      <c r="G596" s="1">
        <v>20.0</v>
      </c>
      <c r="U596" s="1">
        <v>17.0</v>
      </c>
      <c r="V596" s="1">
        <v>5.0</v>
      </c>
      <c r="W596" s="1">
        <v>9.0</v>
      </c>
      <c r="X596" s="1">
        <v>63.0</v>
      </c>
      <c r="Y596" s="1">
        <v>587.0</v>
      </c>
      <c r="Z596" s="1">
        <v>524.0</v>
      </c>
      <c r="AA596" s="1">
        <v>1.0</v>
      </c>
    </row>
    <row r="597" ht="12.75" customHeight="1">
      <c r="A597" s="1" t="s">
        <v>630</v>
      </c>
      <c r="B597" s="1" t="str">
        <f>IFERROR(__xludf.DUMMYFUNCTION("split(A597, ""\"")"),"Neal Pionk")</f>
        <v>Neal Pionk</v>
      </c>
      <c r="C597" s="1" t="str">
        <f>IFERROR(__xludf.DUMMYFUNCTION("""COMPUTED_VALUE"""),"pionkne01")</f>
        <v>pionkne01</v>
      </c>
      <c r="D597" s="1" t="s">
        <v>66</v>
      </c>
      <c r="E597" s="1">
        <f t="shared" si="1"/>
        <v>83.65</v>
      </c>
      <c r="F597" s="1">
        <f t="shared" si="2"/>
        <v>2.99</v>
      </c>
      <c r="G597" s="1">
        <v>28.0</v>
      </c>
      <c r="H597" s="1">
        <v>1.0</v>
      </c>
      <c r="I597" s="1">
        <v>13.0</v>
      </c>
      <c r="J597" s="1">
        <v>14.0</v>
      </c>
      <c r="K597" s="1">
        <v>54.0</v>
      </c>
      <c r="L597" s="1">
        <v>49.0</v>
      </c>
      <c r="M597" s="1">
        <v>41.0</v>
      </c>
      <c r="N597" s="1">
        <v>0.0</v>
      </c>
      <c r="O597" s="1">
        <v>5.0</v>
      </c>
      <c r="P597" s="1">
        <v>0.0</v>
      </c>
      <c r="Q597" s="1">
        <v>0.0</v>
      </c>
      <c r="R597" s="1">
        <v>-1.0</v>
      </c>
      <c r="S597" s="1">
        <v>12.0</v>
      </c>
      <c r="T597" s="1">
        <v>0.0</v>
      </c>
    </row>
    <row r="598" ht="12.75" customHeight="1">
      <c r="A598" s="1" t="s">
        <v>631</v>
      </c>
      <c r="B598" s="1" t="str">
        <f>IFERROR(__xludf.DUMMYFUNCTION("split(A598, ""\"")"),"Johnny Oduya")</f>
        <v>Johnny Oduya</v>
      </c>
      <c r="C598" s="1" t="str">
        <f>IFERROR(__xludf.DUMMYFUNCTION("""COMPUTED_VALUE"""),"oduyajo01")</f>
        <v>oduyajo01</v>
      </c>
      <c r="D598" s="1" t="s">
        <v>66</v>
      </c>
      <c r="E598" s="1">
        <f t="shared" si="1"/>
        <v>83.65</v>
      </c>
      <c r="F598" s="1">
        <f t="shared" si="2"/>
        <v>1.61</v>
      </c>
      <c r="G598" s="1">
        <v>52.0</v>
      </c>
      <c r="H598" s="1">
        <v>4.0</v>
      </c>
      <c r="I598" s="1">
        <v>4.0</v>
      </c>
      <c r="J598" s="1">
        <v>8.0</v>
      </c>
      <c r="K598" s="1">
        <v>59.0</v>
      </c>
      <c r="L598" s="1">
        <v>50.0</v>
      </c>
      <c r="M598" s="1">
        <v>76.0</v>
      </c>
      <c r="N598" s="1">
        <v>0.0</v>
      </c>
      <c r="O598" s="1">
        <v>0.0</v>
      </c>
      <c r="P598" s="1">
        <v>0.0</v>
      </c>
      <c r="Q598" s="1">
        <v>0.0</v>
      </c>
      <c r="R598" s="1">
        <v>1.0</v>
      </c>
      <c r="S598" s="1">
        <v>32.0</v>
      </c>
      <c r="T598" s="1">
        <v>0.0</v>
      </c>
    </row>
    <row r="599" ht="12.75" customHeight="1">
      <c r="A599" s="1" t="s">
        <v>632</v>
      </c>
      <c r="B599" s="1" t="str">
        <f>IFERROR(__xludf.DUMMYFUNCTION("split(A599, ""\"")"),"Phillip Di Giuseppe")</f>
        <v>Phillip Di Giuseppe</v>
      </c>
      <c r="C599" s="1" t="str">
        <f>IFERROR(__xludf.DUMMYFUNCTION("""COMPUTED_VALUE"""),"digiuph01")</f>
        <v>digiuph01</v>
      </c>
      <c r="D599" s="1" t="s">
        <v>28</v>
      </c>
      <c r="E599" s="1">
        <f t="shared" si="1"/>
        <v>83.6</v>
      </c>
      <c r="F599" s="1">
        <f t="shared" si="2"/>
        <v>1.71</v>
      </c>
      <c r="G599" s="1">
        <v>49.0</v>
      </c>
      <c r="H599" s="1">
        <v>5.0</v>
      </c>
      <c r="I599" s="1">
        <v>8.0</v>
      </c>
      <c r="J599" s="1">
        <v>13.0</v>
      </c>
      <c r="K599" s="1">
        <v>64.0</v>
      </c>
      <c r="L599" s="1">
        <v>88.0</v>
      </c>
      <c r="M599" s="1">
        <v>14.0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17.0</v>
      </c>
      <c r="T599" s="1">
        <v>1.0</v>
      </c>
    </row>
    <row r="600" ht="12.75" customHeight="1">
      <c r="A600" s="1" t="s">
        <v>633</v>
      </c>
      <c r="B600" s="1" t="str">
        <f>IFERROR(__xludf.DUMMYFUNCTION("split(A600, ""\"")"),"Connor Carrick")</f>
        <v>Connor Carrick</v>
      </c>
      <c r="C600" s="1" t="str">
        <f>IFERROR(__xludf.DUMMYFUNCTION("""COMPUTED_VALUE"""),"carrico01")</f>
        <v>carrico01</v>
      </c>
      <c r="D600" s="1" t="s">
        <v>66</v>
      </c>
      <c r="E600" s="1">
        <f t="shared" si="1"/>
        <v>83.45</v>
      </c>
      <c r="F600" s="1">
        <f t="shared" si="2"/>
        <v>1.78</v>
      </c>
      <c r="G600" s="1">
        <v>47.0</v>
      </c>
      <c r="H600" s="1">
        <v>4.0</v>
      </c>
      <c r="I600" s="1">
        <v>8.0</v>
      </c>
      <c r="J600" s="1">
        <v>12.0</v>
      </c>
      <c r="K600" s="1">
        <v>55.0</v>
      </c>
      <c r="L600" s="1">
        <v>42.0</v>
      </c>
      <c r="M600" s="1">
        <v>53.0</v>
      </c>
      <c r="N600" s="1">
        <v>1.0</v>
      </c>
      <c r="O600" s="1">
        <v>1.0</v>
      </c>
      <c r="P600" s="1">
        <v>0.0</v>
      </c>
      <c r="Q600" s="1">
        <v>0.0</v>
      </c>
      <c r="R600" s="1">
        <v>5.0</v>
      </c>
      <c r="S600" s="1">
        <v>27.0</v>
      </c>
      <c r="T600" s="1">
        <v>3.0</v>
      </c>
    </row>
    <row r="601" ht="12.75" customHeight="1">
      <c r="A601" s="1" t="s">
        <v>634</v>
      </c>
      <c r="B601" s="1" t="str">
        <f>IFERROR(__xludf.DUMMYFUNCTION("split(A601, ""\"")"),"Nate Prosser")</f>
        <v>Nate Prosser</v>
      </c>
      <c r="C601" s="1" t="str">
        <f>IFERROR(__xludf.DUMMYFUNCTION("""COMPUTED_VALUE"""),"prossna01")</f>
        <v>prossna01</v>
      </c>
      <c r="D601" s="1" t="s">
        <v>66</v>
      </c>
      <c r="E601" s="1">
        <f t="shared" si="1"/>
        <v>83.35</v>
      </c>
      <c r="F601" s="1">
        <f t="shared" si="2"/>
        <v>1.46</v>
      </c>
      <c r="G601" s="1">
        <v>57.0</v>
      </c>
      <c r="H601" s="1">
        <v>3.0</v>
      </c>
      <c r="I601" s="1">
        <v>6.0</v>
      </c>
      <c r="J601" s="1">
        <v>9.0</v>
      </c>
      <c r="K601" s="1">
        <v>27.0</v>
      </c>
      <c r="L601" s="1">
        <v>60.0</v>
      </c>
      <c r="M601" s="1">
        <v>84.0</v>
      </c>
      <c r="N601" s="1">
        <v>0.0</v>
      </c>
      <c r="O601" s="1">
        <v>0.0</v>
      </c>
      <c r="P601" s="1">
        <v>1.0</v>
      </c>
      <c r="Q601" s="1">
        <v>0.0</v>
      </c>
      <c r="R601" s="1">
        <v>8.0</v>
      </c>
      <c r="S601" s="1">
        <v>19.0</v>
      </c>
      <c r="T601" s="1">
        <v>1.0</v>
      </c>
    </row>
    <row r="602" ht="12.75" customHeight="1">
      <c r="A602" s="1" t="s">
        <v>635</v>
      </c>
      <c r="B602" s="1" t="str">
        <f>IFERROR(__xludf.DUMMYFUNCTION("split(A602, ""\"")"),"Connor Brickley")</f>
        <v>Connor Brickley</v>
      </c>
      <c r="C602" s="1" t="str">
        <f>IFERROR(__xludf.DUMMYFUNCTION("""COMPUTED_VALUE"""),"brickco01")</f>
        <v>brickco01</v>
      </c>
      <c r="D602" s="1" t="s">
        <v>31</v>
      </c>
      <c r="E602" s="1">
        <f t="shared" si="1"/>
        <v>83.2</v>
      </c>
      <c r="F602" s="1">
        <f t="shared" si="2"/>
        <v>1.89</v>
      </c>
      <c r="G602" s="1">
        <v>44.0</v>
      </c>
      <c r="H602" s="1">
        <v>4.0</v>
      </c>
      <c r="I602" s="1">
        <v>8.0</v>
      </c>
      <c r="J602" s="1">
        <v>12.0</v>
      </c>
      <c r="K602" s="1">
        <v>62.0</v>
      </c>
      <c r="L602" s="1">
        <v>82.0</v>
      </c>
      <c r="M602" s="1">
        <v>28.0</v>
      </c>
      <c r="N602" s="1">
        <v>0.0</v>
      </c>
      <c r="O602" s="1">
        <v>0.0</v>
      </c>
      <c r="P602" s="1">
        <v>0.0</v>
      </c>
      <c r="Q602" s="1">
        <v>0.0</v>
      </c>
      <c r="R602" s="1">
        <v>-6.0</v>
      </c>
      <c r="S602" s="1">
        <v>19.0</v>
      </c>
      <c r="T602" s="1">
        <v>2.0</v>
      </c>
    </row>
    <row r="603" ht="12.75" customHeight="1">
      <c r="A603" s="1" t="s">
        <v>636</v>
      </c>
      <c r="B603" s="1" t="str">
        <f>IFERROR(__xludf.DUMMYFUNCTION("split(A603, ""\"")"),"Matt Stajan")</f>
        <v>Matt Stajan</v>
      </c>
      <c r="C603" s="1" t="str">
        <f>IFERROR(__xludf.DUMMYFUNCTION("""COMPUTED_VALUE"""),"stajama01")</f>
        <v>stajama01</v>
      </c>
      <c r="D603" s="1" t="s">
        <v>31</v>
      </c>
      <c r="E603" s="1">
        <f t="shared" si="1"/>
        <v>83.15</v>
      </c>
      <c r="F603" s="1">
        <f t="shared" si="2"/>
        <v>1.22</v>
      </c>
      <c r="G603" s="1">
        <v>68.0</v>
      </c>
      <c r="H603" s="1">
        <v>4.0</v>
      </c>
      <c r="I603" s="1">
        <v>8.0</v>
      </c>
      <c r="J603" s="1">
        <v>12.0</v>
      </c>
      <c r="K603" s="1">
        <v>65.0</v>
      </c>
      <c r="L603" s="1">
        <v>74.0</v>
      </c>
      <c r="M603" s="1">
        <v>31.0</v>
      </c>
      <c r="N603" s="1">
        <v>0.0</v>
      </c>
      <c r="O603" s="1">
        <v>0.0</v>
      </c>
      <c r="P603" s="1">
        <v>0.0</v>
      </c>
      <c r="Q603" s="1">
        <v>0.0</v>
      </c>
      <c r="R603" s="1">
        <v>4.0</v>
      </c>
      <c r="S603" s="1">
        <v>28.0</v>
      </c>
      <c r="T603" s="1">
        <v>1.0</v>
      </c>
    </row>
    <row r="604" ht="12.75" customHeight="1">
      <c r="A604" s="1" t="s">
        <v>637</v>
      </c>
      <c r="B604" s="1" t="str">
        <f>IFERROR(__xludf.DUMMYFUNCTION("split(A604, ""\"")"),"Ondrej Pavelec")</f>
        <v>Ondrej Pavelec</v>
      </c>
      <c r="C604" s="2" t="str">
        <f>IFERROR(__xludf.DUMMYFUNCTION("""COMPUTED_VALUE"""),"pavelon01")</f>
        <v>pavelon01</v>
      </c>
      <c r="D604" s="1" t="s">
        <v>5</v>
      </c>
      <c r="E604" s="1">
        <f t="shared" si="1"/>
        <v>83</v>
      </c>
      <c r="F604" s="1">
        <f t="shared" si="2"/>
        <v>4.37</v>
      </c>
      <c r="G604" s="1">
        <v>19.0</v>
      </c>
      <c r="U604" s="1">
        <v>12.0</v>
      </c>
      <c r="V604" s="1">
        <v>4.0</v>
      </c>
      <c r="W604" s="1">
        <v>9.0</v>
      </c>
      <c r="X604" s="1">
        <v>46.0</v>
      </c>
      <c r="Y604" s="1">
        <v>510.0</v>
      </c>
      <c r="Z604" s="1">
        <v>464.0</v>
      </c>
      <c r="AA604" s="1">
        <v>1.0</v>
      </c>
    </row>
    <row r="605" ht="12.75" customHeight="1">
      <c r="A605" s="1" t="s">
        <v>638</v>
      </c>
      <c r="B605" s="1" t="str">
        <f>IFERROR(__xludf.DUMMYFUNCTION("split(A605, ""\"")"),"Chandler Stephenson")</f>
        <v>Chandler Stephenson</v>
      </c>
      <c r="C605" s="1" t="str">
        <f>IFERROR(__xludf.DUMMYFUNCTION("""COMPUTED_VALUE"""),"stephch02")</f>
        <v>stephch02</v>
      </c>
      <c r="D605" s="1" t="s">
        <v>31</v>
      </c>
      <c r="E605" s="1">
        <f t="shared" si="1"/>
        <v>82.7</v>
      </c>
      <c r="F605" s="1">
        <f t="shared" si="2"/>
        <v>1.23</v>
      </c>
      <c r="G605" s="1">
        <v>67.0</v>
      </c>
      <c r="H605" s="1">
        <v>6.0</v>
      </c>
      <c r="I605" s="1">
        <v>12.0</v>
      </c>
      <c r="J605" s="1">
        <v>18.0</v>
      </c>
      <c r="K605" s="1">
        <v>36.0</v>
      </c>
      <c r="L605" s="1">
        <v>26.0</v>
      </c>
      <c r="M605" s="1">
        <v>33.0</v>
      </c>
      <c r="N605" s="1">
        <v>0.0</v>
      </c>
      <c r="O605" s="1">
        <v>0.0</v>
      </c>
      <c r="P605" s="1">
        <v>0.0</v>
      </c>
      <c r="Q605" s="1">
        <v>0.0</v>
      </c>
      <c r="R605" s="1">
        <v>13.0</v>
      </c>
      <c r="S605" s="1">
        <v>8.0</v>
      </c>
      <c r="T605" s="1">
        <v>0.0</v>
      </c>
    </row>
    <row r="606" ht="12.75" customHeight="1">
      <c r="A606" s="1" t="s">
        <v>639</v>
      </c>
      <c r="B606" s="1" t="str">
        <f>IFERROR(__xludf.DUMMYFUNCTION("split(A606, ""\"")"),"Christian Djoos")</f>
        <v>Christian Djoos</v>
      </c>
      <c r="C606" s="1" t="str">
        <f>IFERROR(__xludf.DUMMYFUNCTION("""COMPUTED_VALUE"""),"djoosch01")</f>
        <v>djoosch01</v>
      </c>
      <c r="D606" s="1" t="s">
        <v>66</v>
      </c>
      <c r="E606" s="1">
        <f t="shared" si="1"/>
        <v>82</v>
      </c>
      <c r="F606" s="1">
        <f t="shared" si="2"/>
        <v>1.3</v>
      </c>
      <c r="G606" s="1">
        <v>63.0</v>
      </c>
      <c r="H606" s="1">
        <v>3.0</v>
      </c>
      <c r="I606" s="1">
        <v>11.0</v>
      </c>
      <c r="J606" s="1">
        <v>14.0</v>
      </c>
      <c r="K606" s="1">
        <v>60.0</v>
      </c>
      <c r="L606" s="1">
        <v>22.0</v>
      </c>
      <c r="M606" s="1">
        <v>55.0</v>
      </c>
      <c r="N606" s="1">
        <v>0.0</v>
      </c>
      <c r="O606" s="1">
        <v>0.0</v>
      </c>
      <c r="P606" s="1">
        <v>0.0</v>
      </c>
      <c r="Q606" s="1">
        <v>0.0</v>
      </c>
      <c r="R606" s="1">
        <v>13.0</v>
      </c>
      <c r="S606" s="1">
        <v>10.0</v>
      </c>
      <c r="T606" s="1">
        <v>0.0</v>
      </c>
    </row>
    <row r="607" ht="12.75" customHeight="1">
      <c r="A607" s="1" t="s">
        <v>640</v>
      </c>
      <c r="B607" s="1" t="str">
        <f>IFERROR(__xludf.DUMMYFUNCTION("split(A607, ""\"")"),"Ivan Barbashev")</f>
        <v>Ivan Barbashev</v>
      </c>
      <c r="C607" s="1" t="str">
        <f>IFERROR(__xludf.DUMMYFUNCTION("""COMPUTED_VALUE"""),"barbaiv01")</f>
        <v>barbaiv01</v>
      </c>
      <c r="D607" s="1" t="s">
        <v>31</v>
      </c>
      <c r="E607" s="1">
        <f t="shared" si="1"/>
        <v>81.75</v>
      </c>
      <c r="F607" s="1">
        <f t="shared" si="2"/>
        <v>1.54</v>
      </c>
      <c r="G607" s="1">
        <v>53.0</v>
      </c>
      <c r="H607" s="1">
        <v>7.0</v>
      </c>
      <c r="I607" s="1">
        <v>6.0</v>
      </c>
      <c r="J607" s="1">
        <v>13.0</v>
      </c>
      <c r="K607" s="1">
        <v>45.0</v>
      </c>
      <c r="L607" s="1">
        <v>70.0</v>
      </c>
      <c r="M607" s="1">
        <v>25.0</v>
      </c>
      <c r="N607" s="1">
        <v>0.0</v>
      </c>
      <c r="O607" s="1">
        <v>0.0</v>
      </c>
      <c r="P607" s="1">
        <v>0.0</v>
      </c>
      <c r="Q607" s="1">
        <v>0.0</v>
      </c>
      <c r="R607" s="1">
        <v>-1.0</v>
      </c>
      <c r="S607" s="1">
        <v>4.0</v>
      </c>
      <c r="T607" s="1">
        <v>1.0</v>
      </c>
    </row>
    <row r="608" ht="12.75" customHeight="1">
      <c r="A608" s="1" t="s">
        <v>641</v>
      </c>
      <c r="B608" s="1" t="str">
        <f>IFERROR(__xludf.DUMMYFUNCTION("split(A608, ""\"")"),"Ben Hutton")</f>
        <v>Ben Hutton</v>
      </c>
      <c r="C608" s="1" t="str">
        <f>IFERROR(__xludf.DUMMYFUNCTION("""COMPUTED_VALUE"""),"huttobe01")</f>
        <v>huttobe01</v>
      </c>
      <c r="D608" s="1" t="s">
        <v>66</v>
      </c>
      <c r="E608" s="1">
        <f t="shared" si="1"/>
        <v>80.95</v>
      </c>
      <c r="F608" s="1">
        <f t="shared" si="2"/>
        <v>1.33</v>
      </c>
      <c r="G608" s="1">
        <v>61.0</v>
      </c>
      <c r="H608" s="1">
        <v>0.0</v>
      </c>
      <c r="I608" s="1">
        <v>6.0</v>
      </c>
      <c r="J608" s="1">
        <v>6.0</v>
      </c>
      <c r="K608" s="1">
        <v>103.0</v>
      </c>
      <c r="L608" s="1">
        <v>40.0</v>
      </c>
      <c r="M608" s="1">
        <v>68.0</v>
      </c>
      <c r="N608" s="1">
        <v>0.0</v>
      </c>
      <c r="O608" s="1">
        <v>2.0</v>
      </c>
      <c r="P608" s="1">
        <v>0.0</v>
      </c>
      <c r="Q608" s="1">
        <v>1.0</v>
      </c>
      <c r="R608" s="1">
        <v>-9.0</v>
      </c>
      <c r="S608" s="1">
        <v>23.0</v>
      </c>
      <c r="T608" s="1">
        <v>0.0</v>
      </c>
    </row>
    <row r="609" ht="12.75" customHeight="1">
      <c r="A609" s="1" t="s">
        <v>642</v>
      </c>
      <c r="B609" s="1" t="str">
        <f>IFERROR(__xludf.DUMMYFUNCTION("split(A609, ""\"")"),"Micheal Haley")</f>
        <v>Micheal Haley</v>
      </c>
      <c r="C609" s="1" t="str">
        <f>IFERROR(__xludf.DUMMYFUNCTION("""COMPUTED_VALUE"""),"haleymi01")</f>
        <v>haleymi01</v>
      </c>
      <c r="D609" s="1" t="s">
        <v>31</v>
      </c>
      <c r="E609" s="1">
        <f t="shared" si="1"/>
        <v>80.95</v>
      </c>
      <c r="F609" s="1">
        <f t="shared" si="2"/>
        <v>1.08</v>
      </c>
      <c r="G609" s="1">
        <v>75.0</v>
      </c>
      <c r="H609" s="1">
        <v>3.0</v>
      </c>
      <c r="I609" s="1">
        <v>6.0</v>
      </c>
      <c r="J609" s="1">
        <v>9.0</v>
      </c>
      <c r="K609" s="1">
        <v>55.0</v>
      </c>
      <c r="L609" s="1">
        <v>124.0</v>
      </c>
      <c r="M609" s="1">
        <v>23.0</v>
      </c>
      <c r="N609" s="1">
        <v>0.0</v>
      </c>
      <c r="O609" s="1">
        <v>0.0</v>
      </c>
      <c r="P609" s="1">
        <v>0.0</v>
      </c>
      <c r="Q609" s="1">
        <v>0.0</v>
      </c>
      <c r="R609" s="1">
        <v>-13.0</v>
      </c>
      <c r="S609" s="1">
        <v>212.0</v>
      </c>
      <c r="T609" s="1">
        <v>1.0</v>
      </c>
    </row>
    <row r="610" ht="12.75" customHeight="1">
      <c r="A610" s="1" t="s">
        <v>643</v>
      </c>
      <c r="B610" s="1" t="str">
        <f>IFERROR(__xludf.DUMMYFUNCTION("split(A610, ""\"")"),"Calvin de Haan")</f>
        <v>Calvin de Haan</v>
      </c>
      <c r="C610" s="1" t="str">
        <f>IFERROR(__xludf.DUMMYFUNCTION("""COMPUTED_VALUE"""),"dehaaca01")</f>
        <v>dehaaca01</v>
      </c>
      <c r="D610" s="1" t="s">
        <v>66</v>
      </c>
      <c r="E610" s="1">
        <f t="shared" si="1"/>
        <v>79.75</v>
      </c>
      <c r="F610" s="1">
        <f t="shared" si="2"/>
        <v>2.42</v>
      </c>
      <c r="G610" s="1">
        <v>33.0</v>
      </c>
      <c r="H610" s="1">
        <v>1.0</v>
      </c>
      <c r="I610" s="1">
        <v>11.0</v>
      </c>
      <c r="J610" s="1">
        <v>12.0</v>
      </c>
      <c r="K610" s="1">
        <v>44.0</v>
      </c>
      <c r="L610" s="1">
        <v>45.0</v>
      </c>
      <c r="M610" s="1">
        <v>65.0</v>
      </c>
      <c r="N610" s="1">
        <v>0.0</v>
      </c>
      <c r="O610" s="1">
        <v>0.0</v>
      </c>
      <c r="P610" s="1">
        <v>0.0</v>
      </c>
      <c r="Q610" s="1">
        <v>0.0</v>
      </c>
      <c r="R610" s="1">
        <v>11.0</v>
      </c>
      <c r="S610" s="1">
        <v>8.0</v>
      </c>
      <c r="T610" s="1">
        <v>0.0</v>
      </c>
    </row>
    <row r="611" ht="12.75" customHeight="1">
      <c r="A611" s="1" t="s">
        <v>644</v>
      </c>
      <c r="B611" s="1" t="str">
        <f>IFERROR(__xludf.DUMMYFUNCTION("split(A611, ""\"")"),"Anton Slepyshev")</f>
        <v>Anton Slepyshev</v>
      </c>
      <c r="C611" s="1" t="str">
        <f>IFERROR(__xludf.DUMMYFUNCTION("""COMPUTED_VALUE"""),"slepyan01")</f>
        <v>slepyan01</v>
      </c>
      <c r="D611" s="1" t="s">
        <v>28</v>
      </c>
      <c r="E611" s="1">
        <f t="shared" si="1"/>
        <v>79.7</v>
      </c>
      <c r="F611" s="1">
        <f t="shared" si="2"/>
        <v>1.59</v>
      </c>
      <c r="G611" s="1">
        <v>50.0</v>
      </c>
      <c r="H611" s="1">
        <v>6.0</v>
      </c>
      <c r="I611" s="1">
        <v>6.0</v>
      </c>
      <c r="J611" s="1">
        <v>12.0</v>
      </c>
      <c r="K611" s="1">
        <v>73.0</v>
      </c>
      <c r="L611" s="1">
        <v>61.0</v>
      </c>
      <c r="M611" s="1">
        <v>18.0</v>
      </c>
      <c r="N611" s="1">
        <v>0.0</v>
      </c>
      <c r="O611" s="1">
        <v>0.0</v>
      </c>
      <c r="P611" s="1">
        <v>0.0</v>
      </c>
      <c r="Q611" s="1">
        <v>0.0</v>
      </c>
      <c r="R611" s="1">
        <v>-4.0</v>
      </c>
      <c r="S611" s="1">
        <v>8.0</v>
      </c>
      <c r="T611" s="1">
        <v>0.0</v>
      </c>
    </row>
    <row r="612" ht="12.75" customHeight="1">
      <c r="A612" s="1" t="s">
        <v>645</v>
      </c>
      <c r="B612" s="1" t="str">
        <f>IFERROR(__xludf.DUMMYFUNCTION("split(A612, ""\"")"),"Luca Sbisa")</f>
        <v>Luca Sbisa</v>
      </c>
      <c r="C612" s="1" t="str">
        <f>IFERROR(__xludf.DUMMYFUNCTION("""COMPUTED_VALUE"""),"sbisalu01")</f>
        <v>sbisalu01</v>
      </c>
      <c r="D612" s="1" t="s">
        <v>66</v>
      </c>
      <c r="E612" s="1">
        <f t="shared" si="1"/>
        <v>79.6</v>
      </c>
      <c r="F612" s="1">
        <f t="shared" si="2"/>
        <v>2.65</v>
      </c>
      <c r="G612" s="1">
        <v>30.0</v>
      </c>
      <c r="H612" s="1">
        <v>2.0</v>
      </c>
      <c r="I612" s="1">
        <v>12.0</v>
      </c>
      <c r="J612" s="1">
        <v>14.0</v>
      </c>
      <c r="K612" s="1">
        <v>26.0</v>
      </c>
      <c r="L612" s="1">
        <v>50.0</v>
      </c>
      <c r="M612" s="1">
        <v>54.0</v>
      </c>
      <c r="N612" s="1">
        <v>0.0</v>
      </c>
      <c r="O612" s="1">
        <v>0.0</v>
      </c>
      <c r="P612" s="1">
        <v>0.0</v>
      </c>
      <c r="Q612" s="1">
        <v>1.0</v>
      </c>
      <c r="R612" s="1">
        <v>8.0</v>
      </c>
      <c r="S612" s="1">
        <v>15.0</v>
      </c>
      <c r="T612" s="1">
        <v>0.0</v>
      </c>
    </row>
    <row r="613" ht="12.75" customHeight="1">
      <c r="A613" s="1" t="s">
        <v>646</v>
      </c>
      <c r="B613" s="1" t="str">
        <f>IFERROR(__xludf.DUMMYFUNCTION("split(A613, ""\"")"),"Matt Irwin")</f>
        <v>Matt Irwin</v>
      </c>
      <c r="C613" s="1" t="str">
        <f>IFERROR(__xludf.DUMMYFUNCTION("""COMPUTED_VALUE"""),"irwinma01")</f>
        <v>irwinma01</v>
      </c>
      <c r="D613" s="1" t="s">
        <v>66</v>
      </c>
      <c r="E613" s="1">
        <f t="shared" si="1"/>
        <v>79.6</v>
      </c>
      <c r="F613" s="1">
        <f t="shared" si="2"/>
        <v>1.59</v>
      </c>
      <c r="G613" s="1">
        <v>50.0</v>
      </c>
      <c r="H613" s="1">
        <v>2.0</v>
      </c>
      <c r="I613" s="1">
        <v>6.0</v>
      </c>
      <c r="J613" s="1">
        <v>8.0</v>
      </c>
      <c r="K613" s="1">
        <v>62.0</v>
      </c>
      <c r="L613" s="1">
        <v>78.0</v>
      </c>
      <c r="M613" s="1">
        <v>54.0</v>
      </c>
      <c r="N613" s="1">
        <v>0.0</v>
      </c>
      <c r="O613" s="1">
        <v>0.0</v>
      </c>
      <c r="P613" s="1">
        <v>0.0</v>
      </c>
      <c r="Q613" s="1">
        <v>0.0</v>
      </c>
      <c r="R613" s="1">
        <v>2.0</v>
      </c>
      <c r="S613" s="1">
        <v>8.0</v>
      </c>
      <c r="T613" s="1">
        <v>0.0</v>
      </c>
    </row>
    <row r="614" ht="12.75" customHeight="1">
      <c r="A614" s="1" t="s">
        <v>647</v>
      </c>
      <c r="B614" s="1" t="str">
        <f>IFERROR(__xludf.DUMMYFUNCTION("split(A614, ""\"")"),"Nathan Beaulieu")</f>
        <v>Nathan Beaulieu</v>
      </c>
      <c r="C614" s="1" t="str">
        <f>IFERROR(__xludf.DUMMYFUNCTION("""COMPUTED_VALUE"""),"beaulna01")</f>
        <v>beaulna01</v>
      </c>
      <c r="D614" s="1" t="s">
        <v>66</v>
      </c>
      <c r="E614" s="1">
        <f t="shared" si="1"/>
        <v>79</v>
      </c>
      <c r="F614" s="1">
        <f t="shared" si="2"/>
        <v>1.34</v>
      </c>
      <c r="G614" s="1">
        <v>59.0</v>
      </c>
      <c r="H614" s="1">
        <v>1.0</v>
      </c>
      <c r="I614" s="1">
        <v>8.0</v>
      </c>
      <c r="J614" s="1">
        <v>9.0</v>
      </c>
      <c r="K614" s="1">
        <v>67.0</v>
      </c>
      <c r="L614" s="1">
        <v>45.0</v>
      </c>
      <c r="M614" s="1">
        <v>65.0</v>
      </c>
      <c r="N614" s="1">
        <v>0.0</v>
      </c>
      <c r="O614" s="1">
        <v>1.0</v>
      </c>
      <c r="P614" s="1">
        <v>0.0</v>
      </c>
      <c r="Q614" s="1">
        <v>0.0</v>
      </c>
      <c r="R614" s="1">
        <v>-19.0</v>
      </c>
      <c r="S614" s="1">
        <v>36.0</v>
      </c>
      <c r="T614" s="1">
        <v>0.0</v>
      </c>
    </row>
    <row r="615" ht="12.75" customHeight="1">
      <c r="A615" s="1" t="s">
        <v>648</v>
      </c>
      <c r="B615" s="1" t="str">
        <f>IFERROR(__xludf.DUMMYFUNCTION("split(A615, ""\"")"),"Matt Hunwick")</f>
        <v>Matt Hunwick</v>
      </c>
      <c r="C615" s="1" t="str">
        <f>IFERROR(__xludf.DUMMYFUNCTION("""COMPUTED_VALUE"""),"hunwima01")</f>
        <v>hunwima01</v>
      </c>
      <c r="D615" s="1" t="s">
        <v>66</v>
      </c>
      <c r="E615" s="1">
        <f t="shared" si="1"/>
        <v>78.95</v>
      </c>
      <c r="F615" s="1">
        <f t="shared" si="2"/>
        <v>1.88</v>
      </c>
      <c r="G615" s="1">
        <v>42.0</v>
      </c>
      <c r="H615" s="1">
        <v>4.0</v>
      </c>
      <c r="I615" s="1">
        <v>6.0</v>
      </c>
      <c r="J615" s="1">
        <v>10.0</v>
      </c>
      <c r="K615" s="1">
        <v>52.0</v>
      </c>
      <c r="L615" s="1">
        <v>51.0</v>
      </c>
      <c r="M615" s="1">
        <v>53.0</v>
      </c>
      <c r="N615" s="1">
        <v>0.0</v>
      </c>
      <c r="O615" s="1">
        <v>0.0</v>
      </c>
      <c r="P615" s="1">
        <v>1.0</v>
      </c>
      <c r="Q615" s="1">
        <v>0.0</v>
      </c>
      <c r="R615" s="1">
        <v>-4.0</v>
      </c>
      <c r="S615" s="1">
        <v>21.0</v>
      </c>
      <c r="T615" s="1">
        <v>1.0</v>
      </c>
    </row>
    <row r="616" ht="12.75" customHeight="1">
      <c r="A616" s="1" t="s">
        <v>649</v>
      </c>
      <c r="B616" s="1" t="str">
        <f>IFERROR(__xludf.DUMMYFUNCTION("split(A616, ""\"")"),"Daniel Carr")</f>
        <v>Daniel Carr</v>
      </c>
      <c r="C616" s="1" t="str">
        <f>IFERROR(__xludf.DUMMYFUNCTION("""COMPUTED_VALUE"""),"carrda01")</f>
        <v>carrda01</v>
      </c>
      <c r="D616" s="1" t="s">
        <v>28</v>
      </c>
      <c r="E616" s="1">
        <f t="shared" si="1"/>
        <v>78.9</v>
      </c>
      <c r="F616" s="1">
        <f t="shared" si="2"/>
        <v>2.08</v>
      </c>
      <c r="G616" s="1">
        <v>38.0</v>
      </c>
      <c r="H616" s="1">
        <v>6.0</v>
      </c>
      <c r="I616" s="1">
        <v>10.0</v>
      </c>
      <c r="J616" s="1">
        <v>16.0</v>
      </c>
      <c r="K616" s="1">
        <v>52.0</v>
      </c>
      <c r="L616" s="1">
        <v>30.0</v>
      </c>
      <c r="M616" s="1">
        <v>16.0</v>
      </c>
      <c r="N616" s="1">
        <v>2.0</v>
      </c>
      <c r="O616" s="1">
        <v>1.0</v>
      </c>
      <c r="P616" s="1">
        <v>0.0</v>
      </c>
      <c r="Q616" s="1">
        <v>0.0</v>
      </c>
      <c r="R616" s="1">
        <v>2.0</v>
      </c>
      <c r="S616" s="1">
        <v>8.0</v>
      </c>
      <c r="T616" s="1">
        <v>0.0</v>
      </c>
    </row>
    <row r="617" ht="12.75" customHeight="1">
      <c r="A617" s="1" t="s">
        <v>650</v>
      </c>
      <c r="B617" s="1" t="str">
        <f>IFERROR(__xludf.DUMMYFUNCTION("split(A617, ""\"")"),"Radim Vrbata")</f>
        <v>Radim Vrbata</v>
      </c>
      <c r="C617" s="1" t="str">
        <f>IFERROR(__xludf.DUMMYFUNCTION("""COMPUTED_VALUE"""),"vrbatra01")</f>
        <v>vrbatra01</v>
      </c>
      <c r="D617" s="1" t="s">
        <v>36</v>
      </c>
      <c r="E617" s="1">
        <f t="shared" si="1"/>
        <v>78.65</v>
      </c>
      <c r="F617" s="1">
        <f t="shared" si="2"/>
        <v>1.87</v>
      </c>
      <c r="G617" s="1">
        <v>42.0</v>
      </c>
      <c r="H617" s="1">
        <v>5.0</v>
      </c>
      <c r="I617" s="1">
        <v>9.0</v>
      </c>
      <c r="J617" s="1">
        <v>14.0</v>
      </c>
      <c r="K617" s="1">
        <v>88.0</v>
      </c>
      <c r="L617" s="1">
        <v>15.0</v>
      </c>
      <c r="M617" s="1">
        <v>16.0</v>
      </c>
      <c r="N617" s="1">
        <v>2.0</v>
      </c>
      <c r="O617" s="1">
        <v>2.0</v>
      </c>
      <c r="P617" s="1">
        <v>0.0</v>
      </c>
      <c r="Q617" s="1">
        <v>0.0</v>
      </c>
      <c r="R617" s="1">
        <v>-7.0</v>
      </c>
      <c r="S617" s="1">
        <v>16.0</v>
      </c>
      <c r="T617" s="1">
        <v>0.0</v>
      </c>
    </row>
    <row r="618" ht="12.75" customHeight="1">
      <c r="A618" s="1" t="s">
        <v>651</v>
      </c>
      <c r="B618" s="1" t="str">
        <f>IFERROR(__xludf.DUMMYFUNCTION("split(A618, ""\"")"),"Miikka Salomaki")</f>
        <v>Miikka Salomaki</v>
      </c>
      <c r="C618" s="1" t="str">
        <f>IFERROR(__xludf.DUMMYFUNCTION("""COMPUTED_VALUE"""),"salommi01")</f>
        <v>salommi01</v>
      </c>
      <c r="D618" s="1" t="s">
        <v>36</v>
      </c>
      <c r="E618" s="1">
        <f t="shared" si="1"/>
        <v>78.25</v>
      </c>
      <c r="F618" s="1">
        <f t="shared" si="2"/>
        <v>1.35</v>
      </c>
      <c r="G618" s="1">
        <v>58.0</v>
      </c>
      <c r="H618" s="1">
        <v>2.0</v>
      </c>
      <c r="I618" s="1">
        <v>6.0</v>
      </c>
      <c r="J618" s="1">
        <v>8.0</v>
      </c>
      <c r="K618" s="1">
        <v>51.0</v>
      </c>
      <c r="L618" s="1">
        <v>114.0</v>
      </c>
      <c r="M618" s="1">
        <v>35.0</v>
      </c>
      <c r="N618" s="1">
        <v>0.0</v>
      </c>
      <c r="O618" s="1">
        <v>0.0</v>
      </c>
      <c r="P618" s="1">
        <v>0.0</v>
      </c>
      <c r="Q618" s="1">
        <v>0.0</v>
      </c>
      <c r="R618" s="1">
        <v>-8.0</v>
      </c>
      <c r="S618" s="1">
        <v>34.0</v>
      </c>
      <c r="T618" s="1">
        <v>0.0</v>
      </c>
    </row>
    <row r="619" ht="12.75" customHeight="1">
      <c r="A619" s="1" t="s">
        <v>652</v>
      </c>
      <c r="B619" s="1" t="str">
        <f>IFERROR(__xludf.DUMMYFUNCTION("split(A619, ""\"")"),"Ryan Murray")</f>
        <v>Ryan Murray</v>
      </c>
      <c r="C619" s="1" t="str">
        <f>IFERROR(__xludf.DUMMYFUNCTION("""COMPUTED_VALUE"""),"murrary01")</f>
        <v>murrary01</v>
      </c>
      <c r="D619" s="1" t="s">
        <v>66</v>
      </c>
      <c r="E619" s="1">
        <f t="shared" si="1"/>
        <v>77.75</v>
      </c>
      <c r="F619" s="1">
        <f t="shared" si="2"/>
        <v>1.77</v>
      </c>
      <c r="G619" s="1">
        <v>44.0</v>
      </c>
      <c r="H619" s="1">
        <v>1.0</v>
      </c>
      <c r="I619" s="1">
        <v>11.0</v>
      </c>
      <c r="J619" s="1">
        <v>12.0</v>
      </c>
      <c r="K619" s="1">
        <v>34.0</v>
      </c>
      <c r="L619" s="1">
        <v>31.0</v>
      </c>
      <c r="M619" s="1">
        <v>75.0</v>
      </c>
      <c r="N619" s="1">
        <v>0.0</v>
      </c>
      <c r="O619" s="1">
        <v>0.0</v>
      </c>
      <c r="P619" s="1">
        <v>0.0</v>
      </c>
      <c r="Q619" s="1">
        <v>0.0</v>
      </c>
      <c r="R619" s="1">
        <v>4.0</v>
      </c>
      <c r="S619" s="1">
        <v>8.0</v>
      </c>
      <c r="T619" s="1">
        <v>0.0</v>
      </c>
    </row>
    <row r="620" ht="12.75" customHeight="1">
      <c r="A620" s="1" t="s">
        <v>653</v>
      </c>
      <c r="B620" s="1" t="str">
        <f>IFERROR(__xludf.DUMMYFUNCTION("split(A620, ""\"")"),"Torrey Mitchell")</f>
        <v>Torrey Mitchell</v>
      </c>
      <c r="C620" s="1" t="str">
        <f>IFERROR(__xludf.DUMMYFUNCTION("""COMPUTED_VALUE"""),"mitchto01")</f>
        <v>mitchto01</v>
      </c>
      <c r="D620" s="1" t="s">
        <v>31</v>
      </c>
      <c r="E620" s="1">
        <f t="shared" si="1"/>
        <v>76.1</v>
      </c>
      <c r="F620" s="1">
        <f t="shared" si="2"/>
        <v>1.27</v>
      </c>
      <c r="G620" s="1">
        <v>60.0</v>
      </c>
      <c r="H620" s="1">
        <v>6.0</v>
      </c>
      <c r="I620" s="1">
        <v>5.0</v>
      </c>
      <c r="J620" s="1">
        <v>11.0</v>
      </c>
      <c r="K620" s="1">
        <v>55.0</v>
      </c>
      <c r="L620" s="1">
        <v>53.0</v>
      </c>
      <c r="M620" s="1">
        <v>29.0</v>
      </c>
      <c r="N620" s="1">
        <v>0.0</v>
      </c>
      <c r="O620" s="1">
        <v>0.0</v>
      </c>
      <c r="P620" s="1">
        <v>0.0</v>
      </c>
      <c r="Q620" s="1">
        <v>1.0</v>
      </c>
      <c r="R620" s="1">
        <v>-5.0</v>
      </c>
      <c r="S620" s="1">
        <v>30.0</v>
      </c>
      <c r="T620" s="1">
        <v>0.0</v>
      </c>
    </row>
    <row r="621" ht="12.75" customHeight="1">
      <c r="A621" s="1" t="s">
        <v>654</v>
      </c>
      <c r="B621" s="1" t="str">
        <f>IFERROR(__xludf.DUMMYFUNCTION("split(A621, ""\"")"),"Jordan Nolan")</f>
        <v>Jordan Nolan</v>
      </c>
      <c r="C621" s="1" t="str">
        <f>IFERROR(__xludf.DUMMYFUNCTION("""COMPUTED_VALUE"""),"nolanjo01")</f>
        <v>nolanjo01</v>
      </c>
      <c r="D621" s="1" t="s">
        <v>31</v>
      </c>
      <c r="E621" s="1">
        <f t="shared" si="1"/>
        <v>76.05</v>
      </c>
      <c r="F621" s="1">
        <f t="shared" si="2"/>
        <v>1.1</v>
      </c>
      <c r="G621" s="1">
        <v>69.0</v>
      </c>
      <c r="H621" s="1">
        <v>4.0</v>
      </c>
      <c r="I621" s="1">
        <v>4.0</v>
      </c>
      <c r="J621" s="1">
        <v>8.0</v>
      </c>
      <c r="K621" s="1">
        <v>50.0</v>
      </c>
      <c r="L621" s="1">
        <v>123.0</v>
      </c>
      <c r="M621" s="1">
        <v>17.0</v>
      </c>
      <c r="N621" s="1">
        <v>0.0</v>
      </c>
      <c r="O621" s="1">
        <v>0.0</v>
      </c>
      <c r="P621" s="1">
        <v>0.0</v>
      </c>
      <c r="Q621" s="1">
        <v>0.0</v>
      </c>
      <c r="R621" s="1">
        <v>-13.0</v>
      </c>
      <c r="S621" s="1">
        <v>69.0</v>
      </c>
      <c r="T621" s="1">
        <v>0.0</v>
      </c>
    </row>
    <row r="622" ht="12.75" customHeight="1">
      <c r="A622" s="1" t="s">
        <v>655</v>
      </c>
      <c r="B622" s="1" t="str">
        <f>IFERROR(__xludf.DUMMYFUNCTION("split(A622, ""\"")"),"Martin Hanzal")</f>
        <v>Martin Hanzal</v>
      </c>
      <c r="C622" s="1" t="str">
        <f>IFERROR(__xludf.DUMMYFUNCTION("""COMPUTED_VALUE"""),"hanzama01")</f>
        <v>hanzama01</v>
      </c>
      <c r="D622" s="1" t="s">
        <v>31</v>
      </c>
      <c r="E622" s="1">
        <f t="shared" si="1"/>
        <v>75.9</v>
      </c>
      <c r="F622" s="1">
        <f t="shared" si="2"/>
        <v>2</v>
      </c>
      <c r="G622" s="1">
        <v>38.0</v>
      </c>
      <c r="H622" s="1">
        <v>5.0</v>
      </c>
      <c r="I622" s="1">
        <v>5.0</v>
      </c>
      <c r="J622" s="1">
        <v>10.0</v>
      </c>
      <c r="K622" s="1">
        <v>62.0</v>
      </c>
      <c r="L622" s="1">
        <v>66.0</v>
      </c>
      <c r="M622" s="1">
        <v>21.0</v>
      </c>
      <c r="N622" s="1">
        <v>2.0</v>
      </c>
      <c r="O622" s="1">
        <v>1.0</v>
      </c>
      <c r="P622" s="1">
        <v>0.0</v>
      </c>
      <c r="Q622" s="1">
        <v>0.0</v>
      </c>
      <c r="R622" s="1">
        <v>-14.0</v>
      </c>
      <c r="S622" s="1">
        <v>23.0</v>
      </c>
      <c r="T622" s="1">
        <v>1.0</v>
      </c>
    </row>
    <row r="623" ht="12.75" customHeight="1">
      <c r="A623" s="1" t="s">
        <v>656</v>
      </c>
      <c r="B623" s="1" t="str">
        <f>IFERROR(__xludf.DUMMYFUNCTION("split(A623, ""\"")"),"Charlie Lindgren")</f>
        <v>Charlie Lindgren</v>
      </c>
      <c r="C623" s="2" t="str">
        <f>IFERROR(__xludf.DUMMYFUNCTION("""COMPUTED_VALUE"""),"lindgch01")</f>
        <v>lindgch01</v>
      </c>
      <c r="D623" s="1" t="s">
        <v>5</v>
      </c>
      <c r="E623" s="1">
        <f t="shared" si="1"/>
        <v>75.75</v>
      </c>
      <c r="F623" s="1">
        <f t="shared" si="2"/>
        <v>5.41</v>
      </c>
      <c r="G623" s="1">
        <v>14.0</v>
      </c>
      <c r="U623" s="1">
        <v>14.0</v>
      </c>
      <c r="V623" s="1">
        <v>4.0</v>
      </c>
      <c r="W623" s="1">
        <v>8.0</v>
      </c>
      <c r="X623" s="1">
        <v>42.0</v>
      </c>
      <c r="Y623" s="1">
        <v>457.0</v>
      </c>
      <c r="Z623" s="1">
        <v>415.0</v>
      </c>
      <c r="AA623" s="1">
        <v>2.0</v>
      </c>
    </row>
    <row r="624" ht="12.75" customHeight="1">
      <c r="A624" s="1" t="s">
        <v>657</v>
      </c>
      <c r="B624" s="1" t="str">
        <f>IFERROR(__xludf.DUMMYFUNCTION("split(A624, ""\"")"),"Tyler Motte")</f>
        <v>Tyler Motte</v>
      </c>
      <c r="C624" s="1" t="str">
        <f>IFERROR(__xludf.DUMMYFUNCTION("""COMPUTED_VALUE"""),"mottety01")</f>
        <v>mottety01</v>
      </c>
      <c r="D624" s="1" t="s">
        <v>31</v>
      </c>
      <c r="E624" s="1">
        <f t="shared" si="1"/>
        <v>75.05</v>
      </c>
      <c r="F624" s="1">
        <f t="shared" si="2"/>
        <v>1.63</v>
      </c>
      <c r="G624" s="1">
        <v>46.0</v>
      </c>
      <c r="H624" s="1">
        <v>5.0</v>
      </c>
      <c r="I624" s="1">
        <v>2.0</v>
      </c>
      <c r="J624" s="1">
        <v>7.0</v>
      </c>
      <c r="K624" s="1">
        <v>64.0</v>
      </c>
      <c r="L624" s="1">
        <v>93.0</v>
      </c>
      <c r="M624" s="1">
        <v>27.0</v>
      </c>
      <c r="N624" s="1">
        <v>0.0</v>
      </c>
      <c r="O624" s="1">
        <v>0.0</v>
      </c>
      <c r="P624" s="1">
        <v>0.0</v>
      </c>
      <c r="Q624" s="1">
        <v>0.0</v>
      </c>
      <c r="R624" s="1">
        <v>-4.0</v>
      </c>
      <c r="S624" s="1">
        <v>6.0</v>
      </c>
      <c r="T624" s="1">
        <v>0.0</v>
      </c>
    </row>
    <row r="625" ht="12.75" customHeight="1">
      <c r="A625" s="1" t="s">
        <v>658</v>
      </c>
      <c r="B625" s="1" t="str">
        <f>IFERROR(__xludf.DUMMYFUNCTION("split(A625, ""\"")"),"Byron Froese")</f>
        <v>Byron Froese</v>
      </c>
      <c r="C625" s="1" t="str">
        <f>IFERROR(__xludf.DUMMYFUNCTION("""COMPUTED_VALUE"""),"froesby01")</f>
        <v>froesby01</v>
      </c>
      <c r="D625" s="1" t="s">
        <v>31</v>
      </c>
      <c r="E625" s="1">
        <f t="shared" si="1"/>
        <v>74.55</v>
      </c>
      <c r="F625" s="1">
        <f t="shared" si="2"/>
        <v>1.55</v>
      </c>
      <c r="G625" s="1">
        <v>48.0</v>
      </c>
      <c r="H625" s="1">
        <v>3.0</v>
      </c>
      <c r="I625" s="1">
        <v>8.0</v>
      </c>
      <c r="J625" s="1">
        <v>11.0</v>
      </c>
      <c r="K625" s="1">
        <v>49.0</v>
      </c>
      <c r="L625" s="1">
        <v>54.0</v>
      </c>
      <c r="M625" s="1">
        <v>42.0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26.0</v>
      </c>
      <c r="T625" s="1">
        <v>0.0</v>
      </c>
    </row>
    <row r="626" ht="12.75" customHeight="1">
      <c r="A626" s="1" t="s">
        <v>659</v>
      </c>
      <c r="B626" s="1" t="str">
        <f>IFERROR(__xludf.DUMMYFUNCTION("split(A626, ""\"")"),"Travis Dermott")</f>
        <v>Travis Dermott</v>
      </c>
      <c r="C626" s="1" t="str">
        <f>IFERROR(__xludf.DUMMYFUNCTION("""COMPUTED_VALUE"""),"dermotr01")</f>
        <v>dermotr01</v>
      </c>
      <c r="D626" s="1" t="s">
        <v>66</v>
      </c>
      <c r="E626" s="1">
        <f t="shared" si="1"/>
        <v>73.9</v>
      </c>
      <c r="F626" s="1">
        <f t="shared" si="2"/>
        <v>2</v>
      </c>
      <c r="G626" s="1">
        <v>37.0</v>
      </c>
      <c r="H626" s="1">
        <v>1.0</v>
      </c>
      <c r="I626" s="1">
        <v>12.0</v>
      </c>
      <c r="J626" s="1">
        <v>13.0</v>
      </c>
      <c r="K626" s="1">
        <v>54.0</v>
      </c>
      <c r="L626" s="1">
        <v>48.0</v>
      </c>
      <c r="M626" s="1">
        <v>36.0</v>
      </c>
      <c r="N626" s="1">
        <v>0.0</v>
      </c>
      <c r="O626" s="1">
        <v>0.0</v>
      </c>
      <c r="P626" s="1">
        <v>0.0</v>
      </c>
      <c r="Q626" s="1">
        <v>0.0</v>
      </c>
      <c r="R626" s="1">
        <v>16.0</v>
      </c>
      <c r="S626" s="1">
        <v>8.0</v>
      </c>
      <c r="T626" s="1">
        <v>0.0</v>
      </c>
    </row>
    <row r="627" ht="12.75" customHeight="1">
      <c r="A627" s="1" t="s">
        <v>660</v>
      </c>
      <c r="B627" s="1" t="str">
        <f>IFERROR(__xludf.DUMMYFUNCTION("split(A627, ""\"")"),"Pontus Aberg")</f>
        <v>Pontus Aberg</v>
      </c>
      <c r="C627" s="1" t="str">
        <f>IFERROR(__xludf.DUMMYFUNCTION("""COMPUTED_VALUE"""),"abergpo01")</f>
        <v>abergpo01</v>
      </c>
      <c r="D627" s="1" t="s">
        <v>28</v>
      </c>
      <c r="E627" s="1">
        <f t="shared" si="1"/>
        <v>73.7</v>
      </c>
      <c r="F627" s="1">
        <f t="shared" si="2"/>
        <v>1.39</v>
      </c>
      <c r="G627" s="1">
        <v>53.0</v>
      </c>
      <c r="H627" s="1">
        <v>4.0</v>
      </c>
      <c r="I627" s="1">
        <v>12.0</v>
      </c>
      <c r="J627" s="1">
        <v>16.0</v>
      </c>
      <c r="K627" s="1">
        <v>70.0</v>
      </c>
      <c r="L627" s="1">
        <v>24.0</v>
      </c>
      <c r="M627" s="1">
        <v>8.0</v>
      </c>
      <c r="N627" s="1">
        <v>0.0</v>
      </c>
      <c r="O627" s="1">
        <v>1.0</v>
      </c>
      <c r="P627" s="1">
        <v>0.0</v>
      </c>
      <c r="Q627" s="1">
        <v>0.0</v>
      </c>
      <c r="R627" s="1">
        <v>9.0</v>
      </c>
      <c r="S627" s="1">
        <v>10.0</v>
      </c>
      <c r="T627" s="1">
        <v>3.0</v>
      </c>
    </row>
    <row r="628" ht="12.75" customHeight="1">
      <c r="A628" s="1" t="s">
        <v>661</v>
      </c>
      <c r="B628" s="1" t="str">
        <f>IFERROR(__xludf.DUMMYFUNCTION("split(A628, ""\"")"),"Chris Tanev")</f>
        <v>Chris Tanev</v>
      </c>
      <c r="C628" s="1" t="str">
        <f>IFERROR(__xludf.DUMMYFUNCTION("""COMPUTED_VALUE"""),"tanevch01")</f>
        <v>tanevch01</v>
      </c>
      <c r="D628" s="1" t="s">
        <v>66</v>
      </c>
      <c r="E628" s="1">
        <f t="shared" si="1"/>
        <v>73.5</v>
      </c>
      <c r="F628" s="1">
        <f t="shared" si="2"/>
        <v>1.75</v>
      </c>
      <c r="G628" s="1">
        <v>42.0</v>
      </c>
      <c r="H628" s="1">
        <v>2.0</v>
      </c>
      <c r="I628" s="1">
        <v>9.0</v>
      </c>
      <c r="J628" s="1">
        <v>11.0</v>
      </c>
      <c r="K628" s="1">
        <v>31.0</v>
      </c>
      <c r="L628" s="1">
        <v>21.0</v>
      </c>
      <c r="M628" s="1">
        <v>70.0</v>
      </c>
      <c r="N628" s="1">
        <v>0.0</v>
      </c>
      <c r="O628" s="1">
        <v>0.0</v>
      </c>
      <c r="P628" s="1">
        <v>0.0</v>
      </c>
      <c r="Q628" s="1">
        <v>2.0</v>
      </c>
      <c r="R628" s="1">
        <v>7.0</v>
      </c>
      <c r="S628" s="1">
        <v>8.0</v>
      </c>
      <c r="T628" s="1">
        <v>0.0</v>
      </c>
    </row>
    <row r="629" ht="12.75" customHeight="1">
      <c r="A629" s="1" t="s">
        <v>662</v>
      </c>
      <c r="B629" s="1" t="str">
        <f>IFERROR(__xludf.DUMMYFUNCTION("split(A629, ""\"")"),"Josh Archibald")</f>
        <v>Josh Archibald</v>
      </c>
      <c r="C629" s="1" t="str">
        <f>IFERROR(__xludf.DUMMYFUNCTION("""COMPUTED_VALUE"""),"archijo01")</f>
        <v>archijo01</v>
      </c>
      <c r="D629" s="1" t="s">
        <v>36</v>
      </c>
      <c r="E629" s="1">
        <f t="shared" si="1"/>
        <v>73.4</v>
      </c>
      <c r="F629" s="1">
        <f t="shared" si="2"/>
        <v>1.75</v>
      </c>
      <c r="G629" s="1">
        <v>42.0</v>
      </c>
      <c r="H629" s="1">
        <v>5.0</v>
      </c>
      <c r="I629" s="1">
        <v>6.0</v>
      </c>
      <c r="J629" s="1">
        <v>11.0</v>
      </c>
      <c r="K629" s="1">
        <v>42.0</v>
      </c>
      <c r="L629" s="1">
        <v>86.0</v>
      </c>
      <c r="M629" s="1">
        <v>16.0</v>
      </c>
      <c r="N629" s="1">
        <v>0.0</v>
      </c>
      <c r="O629" s="1">
        <v>0.0</v>
      </c>
      <c r="P629" s="1">
        <v>0.0</v>
      </c>
      <c r="Q629" s="1">
        <v>0.0</v>
      </c>
      <c r="R629" s="1">
        <v>-2.0</v>
      </c>
      <c r="S629" s="1">
        <v>25.0</v>
      </c>
      <c r="T629" s="1">
        <v>0.0</v>
      </c>
    </row>
    <row r="630" ht="12.75" customHeight="1">
      <c r="A630" s="1" t="s">
        <v>663</v>
      </c>
      <c r="B630" s="1" t="str">
        <f>IFERROR(__xludf.DUMMYFUNCTION("split(A630, ""\"")"),"Casey DeSmith")</f>
        <v>Casey DeSmith</v>
      </c>
      <c r="C630" s="2" t="str">
        <f>IFERROR(__xludf.DUMMYFUNCTION("""COMPUTED_VALUE"""),"desmica01")</f>
        <v>desmica01</v>
      </c>
      <c r="D630" s="1" t="s">
        <v>5</v>
      </c>
      <c r="E630" s="1">
        <f t="shared" si="1"/>
        <v>73</v>
      </c>
      <c r="F630" s="1">
        <f t="shared" si="2"/>
        <v>5.21</v>
      </c>
      <c r="G630" s="1">
        <v>14.0</v>
      </c>
      <c r="U630" s="1">
        <v>11.0</v>
      </c>
      <c r="V630" s="1">
        <v>6.0</v>
      </c>
      <c r="W630" s="1">
        <v>4.0</v>
      </c>
      <c r="X630" s="1">
        <v>28.0</v>
      </c>
      <c r="Y630" s="1">
        <v>356.0</v>
      </c>
      <c r="Z630" s="1">
        <v>328.0</v>
      </c>
      <c r="AA630" s="1">
        <v>1.0</v>
      </c>
    </row>
    <row r="631" ht="12.75" customHeight="1">
      <c r="A631" s="1" t="s">
        <v>664</v>
      </c>
      <c r="B631" s="1" t="str">
        <f>IFERROR(__xludf.DUMMYFUNCTION("split(A631, ""\"")"),"Frank Vatrano")</f>
        <v>Frank Vatrano</v>
      </c>
      <c r="C631" s="1" t="str">
        <f>IFERROR(__xludf.DUMMYFUNCTION("""COMPUTED_VALUE"""),"vatrafr01")</f>
        <v>vatrafr01</v>
      </c>
      <c r="D631" s="1" t="s">
        <v>28</v>
      </c>
      <c r="E631" s="1">
        <f t="shared" si="1"/>
        <v>72.25</v>
      </c>
      <c r="F631" s="1">
        <f t="shared" si="2"/>
        <v>1.76</v>
      </c>
      <c r="G631" s="1">
        <v>41.0</v>
      </c>
      <c r="H631" s="1">
        <v>7.0</v>
      </c>
      <c r="I631" s="1">
        <v>3.0</v>
      </c>
      <c r="J631" s="1">
        <v>10.0</v>
      </c>
      <c r="K631" s="1">
        <v>72.0</v>
      </c>
      <c r="L631" s="1">
        <v>51.0</v>
      </c>
      <c r="M631" s="1">
        <v>15.0</v>
      </c>
      <c r="N631" s="1">
        <v>0.0</v>
      </c>
      <c r="O631" s="1">
        <v>0.0</v>
      </c>
      <c r="P631" s="1">
        <v>0.0</v>
      </c>
      <c r="Q631" s="1">
        <v>0.0</v>
      </c>
      <c r="R631" s="1">
        <v>3.0</v>
      </c>
      <c r="S631" s="1">
        <v>34.0</v>
      </c>
      <c r="T631" s="1">
        <v>0.0</v>
      </c>
    </row>
    <row r="632" ht="12.75" customHeight="1">
      <c r="A632" s="1" t="s">
        <v>665</v>
      </c>
      <c r="B632" s="1" t="str">
        <f>IFERROR(__xludf.DUMMYFUNCTION("split(A632, ""\"")"),"Brett Kulak")</f>
        <v>Brett Kulak</v>
      </c>
      <c r="C632" s="1" t="str">
        <f>IFERROR(__xludf.DUMMYFUNCTION("""COMPUTED_VALUE"""),"kulakbr01")</f>
        <v>kulakbr01</v>
      </c>
      <c r="D632" s="1" t="s">
        <v>66</v>
      </c>
      <c r="E632" s="1">
        <f t="shared" si="1"/>
        <v>72.1</v>
      </c>
      <c r="F632" s="1">
        <f t="shared" si="2"/>
        <v>1.02</v>
      </c>
      <c r="G632" s="1">
        <v>71.0</v>
      </c>
      <c r="H632" s="1">
        <v>2.0</v>
      </c>
      <c r="I632" s="1">
        <v>6.0</v>
      </c>
      <c r="J632" s="1">
        <v>8.0</v>
      </c>
      <c r="K632" s="1">
        <v>73.0</v>
      </c>
      <c r="L632" s="1">
        <v>45.0</v>
      </c>
      <c r="M632" s="1">
        <v>49.0</v>
      </c>
      <c r="N632" s="1">
        <v>0.0</v>
      </c>
      <c r="O632" s="1">
        <v>0.0</v>
      </c>
      <c r="P632" s="1">
        <v>0.0</v>
      </c>
      <c r="Q632" s="1">
        <v>0.0</v>
      </c>
      <c r="R632" s="1">
        <v>-3.0</v>
      </c>
      <c r="S632" s="1">
        <v>27.0</v>
      </c>
      <c r="T632" s="1">
        <v>0.0</v>
      </c>
    </row>
    <row r="633" ht="12.75" customHeight="1">
      <c r="A633" s="1" t="s">
        <v>666</v>
      </c>
      <c r="B633" s="1" t="str">
        <f>IFERROR(__xludf.DUMMYFUNCTION("split(A633, ""\"")"),"Justin Falk")</f>
        <v>Justin Falk</v>
      </c>
      <c r="C633" s="1" t="str">
        <f>IFERROR(__xludf.DUMMYFUNCTION("""COMPUTED_VALUE"""),"falkju01")</f>
        <v>falkju01</v>
      </c>
      <c r="D633" s="1" t="s">
        <v>66</v>
      </c>
      <c r="E633" s="1">
        <f t="shared" si="1"/>
        <v>71.55</v>
      </c>
      <c r="F633" s="1">
        <f t="shared" si="2"/>
        <v>1.56</v>
      </c>
      <c r="G633" s="1">
        <v>46.0</v>
      </c>
      <c r="H633" s="1">
        <v>1.0</v>
      </c>
      <c r="I633" s="1">
        <v>1.0</v>
      </c>
      <c r="J633" s="1">
        <v>2.0</v>
      </c>
      <c r="K633" s="1">
        <v>36.0</v>
      </c>
      <c r="L633" s="1">
        <v>121.0</v>
      </c>
      <c r="M633" s="1">
        <v>62.0</v>
      </c>
      <c r="N633" s="1">
        <v>0.0</v>
      </c>
      <c r="O633" s="1">
        <v>0.0</v>
      </c>
      <c r="P633" s="1">
        <v>0.0</v>
      </c>
      <c r="Q633" s="1">
        <v>1.0</v>
      </c>
      <c r="R633" s="1">
        <v>-16.0</v>
      </c>
      <c r="S633" s="1">
        <v>28.0</v>
      </c>
      <c r="T633" s="1">
        <v>0.0</v>
      </c>
    </row>
    <row r="634" ht="12.75" customHeight="1">
      <c r="A634" s="1" t="s">
        <v>667</v>
      </c>
      <c r="B634" s="1" t="str">
        <f>IFERROR(__xludf.DUMMYFUNCTION("split(A634, ""\"")"),"Madison Bowey")</f>
        <v>Madison Bowey</v>
      </c>
      <c r="C634" s="1" t="str">
        <f>IFERROR(__xludf.DUMMYFUNCTION("""COMPUTED_VALUE"""),"boweyma01")</f>
        <v>boweyma01</v>
      </c>
      <c r="D634" s="1" t="s">
        <v>66</v>
      </c>
      <c r="E634" s="1">
        <f t="shared" si="1"/>
        <v>70.55</v>
      </c>
      <c r="F634" s="1">
        <f t="shared" si="2"/>
        <v>1.38</v>
      </c>
      <c r="G634" s="1">
        <v>51.0</v>
      </c>
      <c r="H634" s="1">
        <v>0.0</v>
      </c>
      <c r="I634" s="1">
        <v>12.0</v>
      </c>
      <c r="J634" s="1">
        <v>12.0</v>
      </c>
      <c r="K634" s="1">
        <v>47.0</v>
      </c>
      <c r="L634" s="1">
        <v>48.0</v>
      </c>
      <c r="M634" s="1">
        <v>42.0</v>
      </c>
      <c r="N634" s="1">
        <v>0.0</v>
      </c>
      <c r="O634" s="1">
        <v>0.0</v>
      </c>
      <c r="P634" s="1">
        <v>0.0</v>
      </c>
      <c r="Q634" s="1">
        <v>0.0</v>
      </c>
      <c r="R634" s="1">
        <v>-3.0</v>
      </c>
      <c r="S634" s="1">
        <v>24.0</v>
      </c>
      <c r="T634" s="1">
        <v>0.0</v>
      </c>
    </row>
    <row r="635" ht="12.75" customHeight="1">
      <c r="A635" s="1" t="s">
        <v>668</v>
      </c>
      <c r="B635" s="1" t="str">
        <f>IFERROR(__xludf.DUMMYFUNCTION("split(A635, ""\"")"),"Jannik Hansen")</f>
        <v>Jannik Hansen</v>
      </c>
      <c r="C635" s="1" t="str">
        <f>IFERROR(__xludf.DUMMYFUNCTION("""COMPUTED_VALUE"""),"hanseja01")</f>
        <v>hanseja01</v>
      </c>
      <c r="D635" s="1" t="s">
        <v>28</v>
      </c>
      <c r="E635" s="1">
        <f t="shared" si="1"/>
        <v>69.6</v>
      </c>
      <c r="F635" s="1">
        <f t="shared" si="2"/>
        <v>1.51</v>
      </c>
      <c r="G635" s="1">
        <v>46.0</v>
      </c>
      <c r="H635" s="1">
        <v>2.0</v>
      </c>
      <c r="I635" s="1">
        <v>12.0</v>
      </c>
      <c r="J635" s="1">
        <v>14.0</v>
      </c>
      <c r="K635" s="1">
        <v>54.0</v>
      </c>
      <c r="L635" s="1">
        <v>38.0</v>
      </c>
      <c r="M635" s="1">
        <v>19.0</v>
      </c>
      <c r="N635" s="1">
        <v>0.0</v>
      </c>
      <c r="O635" s="1">
        <v>0.0</v>
      </c>
      <c r="P635" s="1">
        <v>0.0</v>
      </c>
      <c r="Q635" s="1">
        <v>1.0</v>
      </c>
      <c r="R635" s="1">
        <v>2.0</v>
      </c>
      <c r="S635" s="1">
        <v>15.0</v>
      </c>
      <c r="T635" s="1">
        <v>2.0</v>
      </c>
    </row>
    <row r="636" ht="12.75" customHeight="1">
      <c r="A636" s="1" t="s">
        <v>669</v>
      </c>
      <c r="B636" s="1" t="str">
        <f>IFERROR(__xludf.DUMMYFUNCTION("split(A636, ""\"")"),"Dominic Moore")</f>
        <v>Dominic Moore</v>
      </c>
      <c r="C636" s="1" t="str">
        <f>IFERROR(__xludf.DUMMYFUNCTION("""COMPUTED_VALUE"""),"mooredo01")</f>
        <v>mooredo01</v>
      </c>
      <c r="D636" s="1" t="s">
        <v>31</v>
      </c>
      <c r="E636" s="1">
        <f t="shared" si="1"/>
        <v>69.35</v>
      </c>
      <c r="F636" s="1">
        <f t="shared" si="2"/>
        <v>1.39</v>
      </c>
      <c r="G636" s="1">
        <v>50.0</v>
      </c>
      <c r="H636" s="1">
        <v>6.0</v>
      </c>
      <c r="I636" s="1">
        <v>6.0</v>
      </c>
      <c r="J636" s="1">
        <v>12.0</v>
      </c>
      <c r="K636" s="1">
        <v>46.0</v>
      </c>
      <c r="L636" s="1">
        <v>41.0</v>
      </c>
      <c r="M636" s="1">
        <v>19.0</v>
      </c>
      <c r="N636" s="1">
        <v>0.0</v>
      </c>
      <c r="O636" s="1">
        <v>0.0</v>
      </c>
      <c r="P636" s="1">
        <v>0.0</v>
      </c>
      <c r="Q636" s="1">
        <v>1.0</v>
      </c>
      <c r="R636" s="1">
        <v>3.0</v>
      </c>
      <c r="S636" s="1">
        <v>16.0</v>
      </c>
      <c r="T636" s="1">
        <v>0.0</v>
      </c>
    </row>
    <row r="637" ht="12.75" customHeight="1">
      <c r="A637" s="1" t="s">
        <v>670</v>
      </c>
      <c r="B637" s="1" t="str">
        <f>IFERROR(__xludf.DUMMYFUNCTION("split(A637, ""\"")"),"Brendan Smith")</f>
        <v>Brendan Smith</v>
      </c>
      <c r="C637" s="1" t="str">
        <f>IFERROR(__xludf.DUMMYFUNCTION("""COMPUTED_VALUE"""),"smithbr05")</f>
        <v>smithbr05</v>
      </c>
      <c r="D637" s="1" t="s">
        <v>66</v>
      </c>
      <c r="E637" s="1">
        <f t="shared" si="1"/>
        <v>68.3</v>
      </c>
      <c r="F637" s="1">
        <f t="shared" si="2"/>
        <v>1.55</v>
      </c>
      <c r="G637" s="1">
        <v>44.0</v>
      </c>
      <c r="H637" s="1">
        <v>1.0</v>
      </c>
      <c r="I637" s="1">
        <v>7.0</v>
      </c>
      <c r="J637" s="1">
        <v>8.0</v>
      </c>
      <c r="K637" s="1">
        <v>66.0</v>
      </c>
      <c r="L637" s="1">
        <v>58.0</v>
      </c>
      <c r="M637" s="1">
        <v>37.0</v>
      </c>
      <c r="N637" s="1">
        <v>0.0</v>
      </c>
      <c r="O637" s="1">
        <v>1.0</v>
      </c>
      <c r="P637" s="1">
        <v>0.0</v>
      </c>
      <c r="Q637" s="1">
        <v>0.0</v>
      </c>
      <c r="R637" s="1">
        <v>2.0</v>
      </c>
      <c r="S637" s="1">
        <v>69.0</v>
      </c>
      <c r="T637" s="1">
        <v>0.0</v>
      </c>
    </row>
    <row r="638" ht="12.75" customHeight="1">
      <c r="A638" s="1" t="s">
        <v>671</v>
      </c>
      <c r="B638" s="1" t="str">
        <f>IFERROR(__xludf.DUMMYFUNCTION("split(A638, ""\"")"),"Lukas Sedlak")</f>
        <v>Lukas Sedlak</v>
      </c>
      <c r="C638" s="1" t="str">
        <f>IFERROR(__xludf.DUMMYFUNCTION("""COMPUTED_VALUE"""),"sedlalu01")</f>
        <v>sedlalu01</v>
      </c>
      <c r="D638" s="1" t="s">
        <v>31</v>
      </c>
      <c r="E638" s="1">
        <f t="shared" si="1"/>
        <v>68.15</v>
      </c>
      <c r="F638" s="1">
        <f t="shared" si="2"/>
        <v>1.29</v>
      </c>
      <c r="G638" s="1">
        <v>53.0</v>
      </c>
      <c r="H638" s="1">
        <v>4.0</v>
      </c>
      <c r="I638" s="1">
        <v>4.0</v>
      </c>
      <c r="J638" s="1">
        <v>8.0</v>
      </c>
      <c r="K638" s="1">
        <v>50.0</v>
      </c>
      <c r="L638" s="1">
        <v>77.0</v>
      </c>
      <c r="M638" s="1">
        <v>26.0</v>
      </c>
      <c r="N638" s="1">
        <v>0.0</v>
      </c>
      <c r="O638" s="1">
        <v>0.0</v>
      </c>
      <c r="P638" s="1">
        <v>0.0</v>
      </c>
      <c r="Q638" s="1">
        <v>0.0</v>
      </c>
      <c r="R638" s="1">
        <v>-3.0</v>
      </c>
      <c r="S638" s="1">
        <v>21.0</v>
      </c>
      <c r="T638" s="1">
        <v>0.0</v>
      </c>
    </row>
    <row r="639" ht="12.75" customHeight="1">
      <c r="A639" s="1" t="s">
        <v>672</v>
      </c>
      <c r="B639" s="1" t="str">
        <f>IFERROR(__xludf.DUMMYFUNCTION("split(A639, ""\"")"),"Cory Conacher")</f>
        <v>Cory Conacher</v>
      </c>
      <c r="C639" s="1" t="str">
        <f>IFERROR(__xludf.DUMMYFUNCTION("""COMPUTED_VALUE"""),"conacco01")</f>
        <v>conacco01</v>
      </c>
      <c r="D639" s="1" t="s">
        <v>28</v>
      </c>
      <c r="E639" s="1">
        <f t="shared" si="1"/>
        <v>67.85</v>
      </c>
      <c r="F639" s="1">
        <f t="shared" si="2"/>
        <v>1.88</v>
      </c>
      <c r="G639" s="1">
        <v>36.0</v>
      </c>
      <c r="H639" s="1">
        <v>8.0</v>
      </c>
      <c r="I639" s="1">
        <v>4.0</v>
      </c>
      <c r="J639" s="1">
        <v>12.0</v>
      </c>
      <c r="K639" s="1">
        <v>45.0</v>
      </c>
      <c r="L639" s="1">
        <v>32.0</v>
      </c>
      <c r="M639" s="1">
        <v>14.0</v>
      </c>
      <c r="N639" s="1">
        <v>1.0</v>
      </c>
      <c r="O639" s="1">
        <v>0.0</v>
      </c>
      <c r="P639" s="1">
        <v>0.0</v>
      </c>
      <c r="Q639" s="1">
        <v>0.0</v>
      </c>
      <c r="R639" s="1">
        <v>0.0</v>
      </c>
      <c r="S639" s="1">
        <v>24.0</v>
      </c>
      <c r="T639" s="1">
        <v>2.0</v>
      </c>
    </row>
    <row r="640" ht="12.75" customHeight="1">
      <c r="A640" s="1" t="s">
        <v>673</v>
      </c>
      <c r="B640" s="1" t="str">
        <f>IFERROR(__xludf.DUMMYFUNCTION("split(A640, ""\"")"),"Steve Mason")</f>
        <v>Steve Mason</v>
      </c>
      <c r="C640" s="2" t="str">
        <f>IFERROR(__xludf.DUMMYFUNCTION("""COMPUTED_VALUE"""),"masonst01")</f>
        <v>masonst01</v>
      </c>
      <c r="D640" s="1" t="s">
        <v>5</v>
      </c>
      <c r="E640" s="1">
        <f t="shared" si="1"/>
        <v>67.75</v>
      </c>
      <c r="F640" s="1">
        <f t="shared" si="2"/>
        <v>5.21</v>
      </c>
      <c r="G640" s="1">
        <v>13.0</v>
      </c>
      <c r="U640" s="1">
        <v>12.0</v>
      </c>
      <c r="V640" s="1">
        <v>5.0</v>
      </c>
      <c r="W640" s="1">
        <v>6.0</v>
      </c>
      <c r="X640" s="1">
        <v>37.0</v>
      </c>
      <c r="Y640" s="1">
        <v>392.0</v>
      </c>
      <c r="Z640" s="1">
        <v>355.0</v>
      </c>
      <c r="AA640" s="1">
        <v>1.0</v>
      </c>
    </row>
    <row r="641" ht="12.75" customHeight="1">
      <c r="A641" s="1" t="s">
        <v>674</v>
      </c>
      <c r="B641" s="1" t="str">
        <f>IFERROR(__xludf.DUMMYFUNCTION("split(A641, ""\"")"),"Anthony DeAngelo")</f>
        <v>Anthony DeAngelo</v>
      </c>
      <c r="C641" s="1" t="str">
        <f>IFERROR(__xludf.DUMMYFUNCTION("""COMPUTED_VALUE"""),"deangan01")</f>
        <v>deangan01</v>
      </c>
      <c r="D641" s="1" t="s">
        <v>66</v>
      </c>
      <c r="E641" s="1">
        <f t="shared" si="1"/>
        <v>67.55</v>
      </c>
      <c r="F641" s="1">
        <f t="shared" si="2"/>
        <v>2.11</v>
      </c>
      <c r="G641" s="1">
        <v>32.0</v>
      </c>
      <c r="H641" s="1">
        <v>0.0</v>
      </c>
      <c r="I641" s="1">
        <v>8.0</v>
      </c>
      <c r="J641" s="1">
        <v>8.0</v>
      </c>
      <c r="K641" s="1">
        <v>68.0</v>
      </c>
      <c r="L641" s="1">
        <v>31.0</v>
      </c>
      <c r="M641" s="1">
        <v>42.0</v>
      </c>
      <c r="N641" s="1">
        <v>0.0</v>
      </c>
      <c r="O641" s="1">
        <v>6.0</v>
      </c>
      <c r="P641" s="1">
        <v>0.0</v>
      </c>
      <c r="Q641" s="1">
        <v>0.0</v>
      </c>
      <c r="R641" s="1">
        <v>-18.0</v>
      </c>
      <c r="S641" s="1">
        <v>11.0</v>
      </c>
      <c r="T641" s="1">
        <v>0.0</v>
      </c>
    </row>
    <row r="642" ht="12.75" customHeight="1">
      <c r="A642" s="1" t="s">
        <v>675</v>
      </c>
      <c r="B642" s="1" t="str">
        <f>IFERROR(__xludf.DUMMYFUNCTION("split(A642, ""\"")"),"Nikolay Goldobin")</f>
        <v>Nikolay Goldobin</v>
      </c>
      <c r="C642" s="1" t="str">
        <f>IFERROR(__xludf.DUMMYFUNCTION("""COMPUTED_VALUE"""),"goldoni01")</f>
        <v>goldoni01</v>
      </c>
      <c r="D642" s="1" t="s">
        <v>28</v>
      </c>
      <c r="E642" s="1">
        <f t="shared" si="1"/>
        <v>67.3</v>
      </c>
      <c r="F642" s="1">
        <f t="shared" si="2"/>
        <v>1.77</v>
      </c>
      <c r="G642" s="1">
        <v>38.0</v>
      </c>
      <c r="H642" s="1">
        <v>8.0</v>
      </c>
      <c r="I642" s="1">
        <v>6.0</v>
      </c>
      <c r="J642" s="1">
        <v>14.0</v>
      </c>
      <c r="K642" s="1">
        <v>50.0</v>
      </c>
      <c r="L642" s="1">
        <v>12.0</v>
      </c>
      <c r="M642" s="1">
        <v>7.0</v>
      </c>
      <c r="N642" s="1">
        <v>2.0</v>
      </c>
      <c r="O642" s="1">
        <v>0.0</v>
      </c>
      <c r="P642" s="1">
        <v>0.0</v>
      </c>
      <c r="Q642" s="1">
        <v>0.0</v>
      </c>
      <c r="R642" s="1">
        <v>-14.0</v>
      </c>
      <c r="S642" s="1">
        <v>6.0</v>
      </c>
      <c r="T642" s="1">
        <v>0.0</v>
      </c>
    </row>
    <row r="643" ht="12.75" customHeight="1">
      <c r="A643" s="1" t="s">
        <v>676</v>
      </c>
      <c r="B643" s="1" t="str">
        <f>IFERROR(__xludf.DUMMYFUNCTION("split(A643, ""\"")"),"Joel Ward")</f>
        <v>Joel Ward</v>
      </c>
      <c r="C643" s="1" t="str">
        <f>IFERROR(__xludf.DUMMYFUNCTION("""COMPUTED_VALUE"""),"wardjo02")</f>
        <v>wardjo02</v>
      </c>
      <c r="D643" s="1" t="s">
        <v>36</v>
      </c>
      <c r="E643" s="1">
        <f t="shared" si="1"/>
        <v>67.05</v>
      </c>
      <c r="F643" s="1">
        <f t="shared" si="2"/>
        <v>1.29</v>
      </c>
      <c r="G643" s="1">
        <v>52.0</v>
      </c>
      <c r="H643" s="1">
        <v>5.0</v>
      </c>
      <c r="I643" s="1">
        <v>7.0</v>
      </c>
      <c r="J643" s="1">
        <v>12.0</v>
      </c>
      <c r="K643" s="1">
        <v>40.0</v>
      </c>
      <c r="L643" s="1">
        <v>35.0</v>
      </c>
      <c r="M643" s="1">
        <v>27.0</v>
      </c>
      <c r="N643" s="1">
        <v>0.0</v>
      </c>
      <c r="O643" s="1">
        <v>0.0</v>
      </c>
      <c r="P643" s="1">
        <v>0.0</v>
      </c>
      <c r="Q643" s="1">
        <v>0.0</v>
      </c>
      <c r="R643" s="1">
        <v>-2.0</v>
      </c>
      <c r="S643" s="1">
        <v>20.0</v>
      </c>
      <c r="T643" s="1">
        <v>2.0</v>
      </c>
    </row>
    <row r="644" ht="12.75" customHeight="1">
      <c r="A644" s="1" t="s">
        <v>677</v>
      </c>
      <c r="B644" s="1" t="str">
        <f>IFERROR(__xludf.DUMMYFUNCTION("split(A644, ""\"")"),"Travis Sanheim")</f>
        <v>Travis Sanheim</v>
      </c>
      <c r="C644" s="1" t="str">
        <f>IFERROR(__xludf.DUMMYFUNCTION("""COMPUTED_VALUE"""),"sanhetr01")</f>
        <v>sanhetr01</v>
      </c>
      <c r="D644" s="1" t="s">
        <v>66</v>
      </c>
      <c r="E644" s="1">
        <f t="shared" si="1"/>
        <v>66.75</v>
      </c>
      <c r="F644" s="1">
        <f t="shared" si="2"/>
        <v>1.36</v>
      </c>
      <c r="G644" s="1">
        <v>49.0</v>
      </c>
      <c r="H644" s="1">
        <v>2.0</v>
      </c>
      <c r="I644" s="1">
        <v>8.0</v>
      </c>
      <c r="J644" s="1">
        <v>10.0</v>
      </c>
      <c r="K644" s="1">
        <v>72.0</v>
      </c>
      <c r="L644" s="1">
        <v>27.0</v>
      </c>
      <c r="M644" s="1">
        <v>35.0</v>
      </c>
      <c r="N644" s="1">
        <v>0.0</v>
      </c>
      <c r="O644" s="1">
        <v>0.0</v>
      </c>
      <c r="P644" s="1">
        <v>0.0</v>
      </c>
      <c r="Q644" s="1">
        <v>0.0</v>
      </c>
      <c r="R644" s="1">
        <v>-6.0</v>
      </c>
      <c r="S644" s="1">
        <v>20.0</v>
      </c>
      <c r="T644" s="1">
        <v>0.0</v>
      </c>
    </row>
    <row r="645" ht="12.75" customHeight="1">
      <c r="A645" s="1" t="s">
        <v>678</v>
      </c>
      <c r="B645" s="1" t="str">
        <f>IFERROR(__xludf.DUMMYFUNCTION("split(A645, ""\"")"),"Chad Ruhwedel")</f>
        <v>Chad Ruhwedel</v>
      </c>
      <c r="C645" s="1" t="str">
        <f>IFERROR(__xludf.DUMMYFUNCTION("""COMPUTED_VALUE"""),"ruhwech01")</f>
        <v>ruhwech01</v>
      </c>
      <c r="D645" s="1" t="s">
        <v>66</v>
      </c>
      <c r="E645" s="1">
        <f t="shared" si="1"/>
        <v>66.2</v>
      </c>
      <c r="F645" s="1">
        <f t="shared" si="2"/>
        <v>1.5</v>
      </c>
      <c r="G645" s="1">
        <v>44.0</v>
      </c>
      <c r="H645" s="1">
        <v>2.0</v>
      </c>
      <c r="I645" s="1">
        <v>3.0</v>
      </c>
      <c r="J645" s="1">
        <v>5.0</v>
      </c>
      <c r="K645" s="1">
        <v>67.0</v>
      </c>
      <c r="L645" s="1">
        <v>67.0</v>
      </c>
      <c r="M645" s="1">
        <v>43.0</v>
      </c>
      <c r="N645" s="1">
        <v>0.0</v>
      </c>
      <c r="O645" s="1">
        <v>0.0</v>
      </c>
      <c r="P645" s="1">
        <v>0.0</v>
      </c>
      <c r="Q645" s="1">
        <v>0.0</v>
      </c>
      <c r="R645" s="1">
        <v>-8.0</v>
      </c>
      <c r="S645" s="1">
        <v>16.0</v>
      </c>
      <c r="T645" s="1">
        <v>0.0</v>
      </c>
    </row>
    <row r="646" ht="12.75" customHeight="1">
      <c r="A646" s="1" t="s">
        <v>679</v>
      </c>
      <c r="B646" s="1" t="str">
        <f>IFERROR(__xludf.DUMMYFUNCTION("split(A646, ""\"")"),"Tim Heed")</f>
        <v>Tim Heed</v>
      </c>
      <c r="C646" s="1" t="str">
        <f>IFERROR(__xludf.DUMMYFUNCTION("""COMPUTED_VALUE"""),"heedti01")</f>
        <v>heedti01</v>
      </c>
      <c r="D646" s="1" t="s">
        <v>66</v>
      </c>
      <c r="E646" s="1">
        <f t="shared" si="1"/>
        <v>65.75</v>
      </c>
      <c r="F646" s="1">
        <f t="shared" si="2"/>
        <v>2.27</v>
      </c>
      <c r="G646" s="1">
        <v>29.0</v>
      </c>
      <c r="H646" s="1">
        <v>3.0</v>
      </c>
      <c r="I646" s="1">
        <v>8.0</v>
      </c>
      <c r="J646" s="1">
        <v>11.0</v>
      </c>
      <c r="K646" s="1">
        <v>51.0</v>
      </c>
      <c r="L646" s="1">
        <v>8.0</v>
      </c>
      <c r="M646" s="1">
        <v>35.0</v>
      </c>
      <c r="N646" s="1">
        <v>2.0</v>
      </c>
      <c r="O646" s="1">
        <v>3.0</v>
      </c>
      <c r="P646" s="1">
        <v>0.0</v>
      </c>
      <c r="Q646" s="1">
        <v>0.0</v>
      </c>
      <c r="R646" s="1">
        <v>0.0</v>
      </c>
      <c r="S646" s="1">
        <v>8.0</v>
      </c>
      <c r="T646" s="1">
        <v>2.0</v>
      </c>
    </row>
    <row r="647" ht="12.75" customHeight="1">
      <c r="A647" s="1" t="s">
        <v>680</v>
      </c>
      <c r="B647" s="1" t="str">
        <f>IFERROR(__xludf.DUMMYFUNCTION("split(A647, ""\"")"),"Kasperi Kapanen")</f>
        <v>Kasperi Kapanen</v>
      </c>
      <c r="C647" s="1" t="str">
        <f>IFERROR(__xludf.DUMMYFUNCTION("""COMPUTED_VALUE"""),"kapanka01")</f>
        <v>kapanka01</v>
      </c>
      <c r="D647" s="1" t="s">
        <v>36</v>
      </c>
      <c r="E647" s="1">
        <f t="shared" si="1"/>
        <v>65.6</v>
      </c>
      <c r="F647" s="1">
        <f t="shared" si="2"/>
        <v>1.73</v>
      </c>
      <c r="G647" s="1">
        <v>38.0</v>
      </c>
      <c r="H647" s="1">
        <v>7.0</v>
      </c>
      <c r="I647" s="1">
        <v>2.0</v>
      </c>
      <c r="J647" s="1">
        <v>9.0</v>
      </c>
      <c r="K647" s="1">
        <v>55.0</v>
      </c>
      <c r="L647" s="1">
        <v>57.0</v>
      </c>
      <c r="M647" s="1">
        <v>9.0</v>
      </c>
      <c r="N647" s="1">
        <v>0.0</v>
      </c>
      <c r="O647" s="1">
        <v>0.0</v>
      </c>
      <c r="P647" s="1">
        <v>1.0</v>
      </c>
      <c r="Q647" s="1">
        <v>0.0</v>
      </c>
      <c r="R647" s="1">
        <v>-1.0</v>
      </c>
      <c r="S647" s="1">
        <v>4.0</v>
      </c>
      <c r="T647" s="1">
        <v>1.0</v>
      </c>
    </row>
    <row r="648" ht="12.75" customHeight="1">
      <c r="A648" s="1" t="s">
        <v>681</v>
      </c>
      <c r="B648" s="1" t="str">
        <f>IFERROR(__xludf.DUMMYFUNCTION("split(A648, ""\"")"),"Jeff Glass")</f>
        <v>Jeff Glass</v>
      </c>
      <c r="C648" s="2" t="str">
        <f>IFERROR(__xludf.DUMMYFUNCTION("""COMPUTED_VALUE"""),"glassje01")</f>
        <v>glassje01</v>
      </c>
      <c r="D648" s="1" t="s">
        <v>5</v>
      </c>
      <c r="E648" s="1">
        <f t="shared" si="1"/>
        <v>64.5</v>
      </c>
      <c r="F648" s="1">
        <f t="shared" si="2"/>
        <v>4.3</v>
      </c>
      <c r="G648" s="1">
        <v>15.0</v>
      </c>
      <c r="U648" s="1">
        <v>13.0</v>
      </c>
      <c r="V648" s="1">
        <v>3.0</v>
      </c>
      <c r="W648" s="1">
        <v>7.0</v>
      </c>
      <c r="X648" s="1">
        <v>46.0</v>
      </c>
      <c r="Y648" s="1">
        <v>452.0</v>
      </c>
      <c r="Z648" s="1">
        <v>406.0</v>
      </c>
      <c r="AA648" s="1">
        <v>0.0</v>
      </c>
    </row>
    <row r="649" ht="12.75" customHeight="1">
      <c r="A649" s="1" t="s">
        <v>682</v>
      </c>
      <c r="B649" s="1" t="str">
        <f>IFERROR(__xludf.DUMMYFUNCTION("split(A649, ""\"")"),"Adam McQuaid")</f>
        <v>Adam McQuaid</v>
      </c>
      <c r="C649" s="1" t="str">
        <f>IFERROR(__xludf.DUMMYFUNCTION("""COMPUTED_VALUE"""),"mcquaad01")</f>
        <v>mcquaad01</v>
      </c>
      <c r="D649" s="1" t="s">
        <v>66</v>
      </c>
      <c r="E649" s="1">
        <f t="shared" si="1"/>
        <v>63.65</v>
      </c>
      <c r="F649" s="1">
        <f t="shared" si="2"/>
        <v>1.68</v>
      </c>
      <c r="G649" s="1">
        <v>38.0</v>
      </c>
      <c r="H649" s="1">
        <v>1.0</v>
      </c>
      <c r="I649" s="1">
        <v>3.0</v>
      </c>
      <c r="J649" s="1">
        <v>4.0</v>
      </c>
      <c r="K649" s="1">
        <v>39.0</v>
      </c>
      <c r="L649" s="1">
        <v>80.0</v>
      </c>
      <c r="M649" s="1">
        <v>56.0</v>
      </c>
      <c r="N649" s="1">
        <v>0.0</v>
      </c>
      <c r="O649" s="1">
        <v>0.0</v>
      </c>
      <c r="P649" s="1">
        <v>0.0</v>
      </c>
      <c r="Q649" s="1">
        <v>0.0</v>
      </c>
      <c r="R649" s="1">
        <v>-1.0</v>
      </c>
      <c r="S649" s="1">
        <v>62.0</v>
      </c>
      <c r="T649" s="1">
        <v>1.0</v>
      </c>
    </row>
    <row r="650" ht="12.75" customHeight="1">
      <c r="A650" s="1" t="s">
        <v>683</v>
      </c>
      <c r="B650" s="1" t="str">
        <f>IFERROR(__xludf.DUMMYFUNCTION("split(A650, ""\"")"),"David Schlemko")</f>
        <v>David Schlemko</v>
      </c>
      <c r="C650" s="1" t="str">
        <f>IFERROR(__xludf.DUMMYFUNCTION("""COMPUTED_VALUE"""),"schleda01")</f>
        <v>schleda01</v>
      </c>
      <c r="D650" s="1" t="s">
        <v>66</v>
      </c>
      <c r="E650" s="1">
        <f t="shared" si="1"/>
        <v>62.55</v>
      </c>
      <c r="F650" s="1">
        <f t="shared" si="2"/>
        <v>1.69</v>
      </c>
      <c r="G650" s="1">
        <v>37.0</v>
      </c>
      <c r="H650" s="1">
        <v>1.0</v>
      </c>
      <c r="I650" s="1">
        <v>4.0</v>
      </c>
      <c r="J650" s="1">
        <v>5.0</v>
      </c>
      <c r="K650" s="1">
        <v>38.0</v>
      </c>
      <c r="L650" s="1">
        <v>33.0</v>
      </c>
      <c r="M650" s="1">
        <v>72.0</v>
      </c>
      <c r="N650" s="1">
        <v>0.0</v>
      </c>
      <c r="O650" s="1">
        <v>2.0</v>
      </c>
      <c r="P650" s="1">
        <v>0.0</v>
      </c>
      <c r="Q650" s="1">
        <v>0.0</v>
      </c>
      <c r="R650" s="1">
        <v>3.0</v>
      </c>
      <c r="S650" s="1">
        <v>6.0</v>
      </c>
      <c r="T650" s="1">
        <v>1.0</v>
      </c>
    </row>
    <row r="651" ht="12.75" customHeight="1">
      <c r="A651" s="1" t="s">
        <v>684</v>
      </c>
      <c r="B651" s="1" t="str">
        <f>IFERROR(__xludf.DUMMYFUNCTION("split(A651, ""\"")"),"Andy Andreoff")</f>
        <v>Andy Andreoff</v>
      </c>
      <c r="C651" s="1" t="str">
        <f>IFERROR(__xludf.DUMMYFUNCTION("""COMPUTED_VALUE"""),"andrean01")</f>
        <v>andrean01</v>
      </c>
      <c r="D651" s="1" t="s">
        <v>28</v>
      </c>
      <c r="E651" s="1">
        <f t="shared" si="1"/>
        <v>62.4</v>
      </c>
      <c r="F651" s="1">
        <f t="shared" si="2"/>
        <v>1.39</v>
      </c>
      <c r="G651" s="1">
        <v>45.0</v>
      </c>
      <c r="H651" s="1">
        <v>3.0</v>
      </c>
      <c r="I651" s="1">
        <v>6.0</v>
      </c>
      <c r="J651" s="1">
        <v>9.0</v>
      </c>
      <c r="K651" s="1">
        <v>47.0</v>
      </c>
      <c r="L651" s="1">
        <v>77.0</v>
      </c>
      <c r="M651" s="1">
        <v>11.0</v>
      </c>
      <c r="N651" s="1">
        <v>0.0</v>
      </c>
      <c r="O651" s="1">
        <v>0.0</v>
      </c>
      <c r="P651" s="1">
        <v>0.0</v>
      </c>
      <c r="Q651" s="1">
        <v>0.0</v>
      </c>
      <c r="R651" s="1">
        <v>-6.0</v>
      </c>
      <c r="S651" s="1">
        <v>50.0</v>
      </c>
      <c r="T651" s="1">
        <v>2.0</v>
      </c>
    </row>
    <row r="652" ht="12.75" customHeight="1">
      <c r="A652" s="1" t="s">
        <v>685</v>
      </c>
      <c r="B652" s="1" t="str">
        <f>IFERROR(__xludf.DUMMYFUNCTION("split(A652, ""\"")"),"Jay Bouwmeester")</f>
        <v>Jay Bouwmeester</v>
      </c>
      <c r="C652" s="1" t="str">
        <f>IFERROR(__xludf.DUMMYFUNCTION("""COMPUTED_VALUE"""),"bouwmja01")</f>
        <v>bouwmja01</v>
      </c>
      <c r="D652" s="1" t="s">
        <v>66</v>
      </c>
      <c r="E652" s="1">
        <f t="shared" si="1"/>
        <v>62.2</v>
      </c>
      <c r="F652" s="1">
        <f t="shared" si="2"/>
        <v>1.78</v>
      </c>
      <c r="G652" s="1">
        <v>35.0</v>
      </c>
      <c r="H652" s="1">
        <v>2.0</v>
      </c>
      <c r="I652" s="1">
        <v>5.0</v>
      </c>
      <c r="J652" s="1">
        <v>7.0</v>
      </c>
      <c r="K652" s="1">
        <v>45.0</v>
      </c>
      <c r="L652" s="1">
        <v>29.0</v>
      </c>
      <c r="M652" s="1">
        <v>58.0</v>
      </c>
      <c r="N652" s="1">
        <v>0.0</v>
      </c>
      <c r="O652" s="1">
        <v>0.0</v>
      </c>
      <c r="P652" s="1">
        <v>0.0</v>
      </c>
      <c r="Q652" s="1">
        <v>0.0</v>
      </c>
      <c r="R652" s="1">
        <v>5.0</v>
      </c>
      <c r="S652" s="1">
        <v>16.0</v>
      </c>
      <c r="T652" s="1">
        <v>0.0</v>
      </c>
    </row>
    <row r="653" ht="12.75" customHeight="1">
      <c r="A653" s="1" t="s">
        <v>686</v>
      </c>
      <c r="B653" s="1" t="str">
        <f>IFERROR(__xludf.DUMMYFUNCTION("split(A653, ""\"")"),"Darren Archibald")</f>
        <v>Darren Archibald</v>
      </c>
      <c r="C653" s="1" t="str">
        <f>IFERROR(__xludf.DUMMYFUNCTION("""COMPUTED_VALUE"""),"archida02")</f>
        <v>archida02</v>
      </c>
      <c r="D653" s="1" t="s">
        <v>36</v>
      </c>
      <c r="E653" s="1">
        <f t="shared" si="1"/>
        <v>62.1</v>
      </c>
      <c r="F653" s="1">
        <f t="shared" si="2"/>
        <v>2.3</v>
      </c>
      <c r="G653" s="1">
        <v>27.0</v>
      </c>
      <c r="H653" s="1">
        <v>4.0</v>
      </c>
      <c r="I653" s="1">
        <v>5.0</v>
      </c>
      <c r="J653" s="1">
        <v>9.0</v>
      </c>
      <c r="K653" s="1">
        <v>28.0</v>
      </c>
      <c r="L653" s="1">
        <v>80.0</v>
      </c>
      <c r="M653" s="1">
        <v>14.0</v>
      </c>
      <c r="N653" s="1">
        <v>0.0</v>
      </c>
      <c r="O653" s="1">
        <v>0.0</v>
      </c>
      <c r="P653" s="1">
        <v>1.0</v>
      </c>
      <c r="Q653" s="1">
        <v>0.0</v>
      </c>
      <c r="R653" s="1">
        <v>-1.0</v>
      </c>
      <c r="S653" s="1">
        <v>14.0</v>
      </c>
      <c r="T653" s="1">
        <v>0.0</v>
      </c>
    </row>
    <row r="654" ht="12.75" customHeight="1">
      <c r="A654" s="1" t="s">
        <v>687</v>
      </c>
      <c r="B654" s="1" t="str">
        <f>IFERROR(__xludf.DUMMYFUNCTION("split(A654, ""\"")"),"Dale Weise")</f>
        <v>Dale Weise</v>
      </c>
      <c r="C654" s="1" t="str">
        <f>IFERROR(__xludf.DUMMYFUNCTION("""COMPUTED_VALUE"""),"weiseda01")</f>
        <v>weiseda01</v>
      </c>
      <c r="D654" s="1" t="s">
        <v>36</v>
      </c>
      <c r="E654" s="1">
        <f t="shared" si="1"/>
        <v>61.85</v>
      </c>
      <c r="F654" s="1">
        <f t="shared" si="2"/>
        <v>1.34</v>
      </c>
      <c r="G654" s="1">
        <v>46.0</v>
      </c>
      <c r="H654" s="1">
        <v>4.0</v>
      </c>
      <c r="I654" s="1">
        <v>4.0</v>
      </c>
      <c r="J654" s="1">
        <v>8.0</v>
      </c>
      <c r="K654" s="1">
        <v>44.0</v>
      </c>
      <c r="L654" s="1">
        <v>77.0</v>
      </c>
      <c r="M654" s="1">
        <v>14.0</v>
      </c>
      <c r="N654" s="1">
        <v>0.0</v>
      </c>
      <c r="O654" s="1">
        <v>0.0</v>
      </c>
      <c r="P654" s="1">
        <v>0.0</v>
      </c>
      <c r="Q654" s="1">
        <v>0.0</v>
      </c>
      <c r="R654" s="1">
        <v>-7.0</v>
      </c>
      <c r="S654" s="1">
        <v>21.0</v>
      </c>
      <c r="T654" s="1">
        <v>0.0</v>
      </c>
    </row>
    <row r="655" ht="12.75" customHeight="1">
      <c r="A655" s="1" t="s">
        <v>688</v>
      </c>
      <c r="B655" s="1" t="str">
        <f>IFERROR(__xludf.DUMMYFUNCTION("split(A655, ""\"")"),"Marcus Johansson")</f>
        <v>Marcus Johansson</v>
      </c>
      <c r="C655" s="1" t="str">
        <f>IFERROR(__xludf.DUMMYFUNCTION("""COMPUTED_VALUE"""),"johanma03")</f>
        <v>johanma03</v>
      </c>
      <c r="D655" s="1" t="s">
        <v>451</v>
      </c>
      <c r="E655" s="1">
        <f t="shared" si="1"/>
        <v>61.6</v>
      </c>
      <c r="F655" s="1">
        <f t="shared" si="2"/>
        <v>2.12</v>
      </c>
      <c r="G655" s="1">
        <v>29.0</v>
      </c>
      <c r="H655" s="1">
        <v>5.0</v>
      </c>
      <c r="I655" s="1">
        <v>9.0</v>
      </c>
      <c r="J655" s="1">
        <v>14.0</v>
      </c>
      <c r="K655" s="1">
        <v>42.0</v>
      </c>
      <c r="L655" s="1">
        <v>8.0</v>
      </c>
      <c r="M655" s="1">
        <v>9.0</v>
      </c>
      <c r="N655" s="1">
        <v>1.0</v>
      </c>
      <c r="O655" s="1">
        <v>2.0</v>
      </c>
      <c r="P655" s="1">
        <v>0.0</v>
      </c>
      <c r="Q655" s="1">
        <v>0.0</v>
      </c>
      <c r="R655" s="1">
        <v>-11.0</v>
      </c>
      <c r="S655" s="1">
        <v>14.0</v>
      </c>
      <c r="T655" s="1">
        <v>0.0</v>
      </c>
    </row>
    <row r="656" ht="12.75" customHeight="1">
      <c r="A656" s="1" t="s">
        <v>689</v>
      </c>
      <c r="B656" s="1" t="str">
        <f>IFERROR(__xludf.DUMMYFUNCTION("split(A656, ""\"")"),"Dominik Simon")</f>
        <v>Dominik Simon</v>
      </c>
      <c r="C656" s="1" t="str">
        <f>IFERROR(__xludf.DUMMYFUNCTION("""COMPUTED_VALUE"""),"simondo01")</f>
        <v>simondo01</v>
      </c>
      <c r="D656" s="1" t="s">
        <v>31</v>
      </c>
      <c r="E656" s="1">
        <f t="shared" si="1"/>
        <v>61.45</v>
      </c>
      <c r="F656" s="1">
        <f t="shared" si="2"/>
        <v>1.86</v>
      </c>
      <c r="G656" s="1">
        <v>33.0</v>
      </c>
      <c r="H656" s="1">
        <v>4.0</v>
      </c>
      <c r="I656" s="1">
        <v>8.0</v>
      </c>
      <c r="J656" s="1">
        <v>12.0</v>
      </c>
      <c r="K656" s="1">
        <v>36.0</v>
      </c>
      <c r="L656" s="1">
        <v>37.0</v>
      </c>
      <c r="M656" s="1">
        <v>18.0</v>
      </c>
      <c r="N656" s="1">
        <v>0.0</v>
      </c>
      <c r="O656" s="1">
        <v>0.0</v>
      </c>
      <c r="P656" s="1">
        <v>0.0</v>
      </c>
      <c r="Q656" s="1">
        <v>0.0</v>
      </c>
      <c r="R656" s="1">
        <v>2.0</v>
      </c>
      <c r="S656" s="1">
        <v>16.0</v>
      </c>
      <c r="T656" s="1">
        <v>0.0</v>
      </c>
    </row>
    <row r="657" ht="12.75" customHeight="1">
      <c r="A657" s="1" t="s">
        <v>690</v>
      </c>
      <c r="B657" s="1" t="str">
        <f>IFERROR(__xludf.DUMMYFUNCTION("split(A657, ""\"")"),"David Kampf")</f>
        <v>David Kampf</v>
      </c>
      <c r="C657" s="1" t="str">
        <f>IFERROR(__xludf.DUMMYFUNCTION("""COMPUTED_VALUE"""),"kampfda01")</f>
        <v>kampfda01</v>
      </c>
      <c r="D657" s="1" t="s">
        <v>31</v>
      </c>
      <c r="E657" s="1">
        <f t="shared" si="1"/>
        <v>61.45</v>
      </c>
      <c r="F657" s="1">
        <f t="shared" si="2"/>
        <v>1.34</v>
      </c>
      <c r="G657" s="1">
        <v>46.0</v>
      </c>
      <c r="H657" s="1">
        <v>4.0</v>
      </c>
      <c r="I657" s="1">
        <v>7.0</v>
      </c>
      <c r="J657" s="1">
        <v>11.0</v>
      </c>
      <c r="K657" s="1">
        <v>46.0</v>
      </c>
      <c r="L657" s="1">
        <v>29.0</v>
      </c>
      <c r="M657" s="1">
        <v>23.0</v>
      </c>
      <c r="N657" s="1">
        <v>0.0</v>
      </c>
      <c r="O657" s="1">
        <v>0.0</v>
      </c>
      <c r="P657" s="1">
        <v>0.0</v>
      </c>
      <c r="Q657" s="1">
        <v>0.0</v>
      </c>
      <c r="R657" s="1">
        <v>-9.0</v>
      </c>
      <c r="S657" s="1">
        <v>12.0</v>
      </c>
      <c r="T657" s="1">
        <v>0.0</v>
      </c>
    </row>
    <row r="658" ht="12.75" customHeight="1">
      <c r="A658" s="1" t="s">
        <v>691</v>
      </c>
      <c r="B658" s="1" t="str">
        <f>IFERROR(__xludf.DUMMYFUNCTION("split(A658, ""\"")"),"Casey Nelson")</f>
        <v>Casey Nelson</v>
      </c>
      <c r="C658" s="1" t="str">
        <f>IFERROR(__xludf.DUMMYFUNCTION("""COMPUTED_VALUE"""),"nelsoca01")</f>
        <v>nelsoca01</v>
      </c>
      <c r="D658" s="1" t="s">
        <v>66</v>
      </c>
      <c r="E658" s="1">
        <f t="shared" si="1"/>
        <v>61.05</v>
      </c>
      <c r="F658" s="1">
        <f t="shared" si="2"/>
        <v>1.65</v>
      </c>
      <c r="G658" s="1">
        <v>37.0</v>
      </c>
      <c r="H658" s="1">
        <v>3.0</v>
      </c>
      <c r="I658" s="1">
        <v>5.0</v>
      </c>
      <c r="J658" s="1">
        <v>8.0</v>
      </c>
      <c r="K658" s="1">
        <v>48.0</v>
      </c>
      <c r="L658" s="1">
        <v>31.0</v>
      </c>
      <c r="M658" s="1">
        <v>37.0</v>
      </c>
      <c r="N658" s="1">
        <v>0.0</v>
      </c>
      <c r="O658" s="1">
        <v>0.0</v>
      </c>
      <c r="P658" s="1">
        <v>1.0</v>
      </c>
      <c r="Q658" s="1">
        <v>1.0</v>
      </c>
      <c r="R658" s="1">
        <v>-14.0</v>
      </c>
      <c r="S658" s="1">
        <v>8.0</v>
      </c>
      <c r="T658" s="1">
        <v>0.0</v>
      </c>
    </row>
    <row r="659" ht="12.75" customHeight="1">
      <c r="A659" s="1" t="s">
        <v>692</v>
      </c>
      <c r="B659" s="1" t="str">
        <f>IFERROR(__xludf.DUMMYFUNCTION("split(A659, ""\"")"),"Alexandar Georgiev")</f>
        <v>Alexandar Georgiev</v>
      </c>
      <c r="C659" s="2" t="str">
        <f>IFERROR(__xludf.DUMMYFUNCTION("""COMPUTED_VALUE"""),"georgal01")</f>
        <v>georgal01</v>
      </c>
      <c r="D659" s="1" t="s">
        <v>5</v>
      </c>
      <c r="E659" s="1">
        <f t="shared" si="1"/>
        <v>61</v>
      </c>
      <c r="F659" s="1">
        <f t="shared" si="2"/>
        <v>6.1</v>
      </c>
      <c r="G659" s="1">
        <v>10.0</v>
      </c>
      <c r="U659" s="1">
        <v>9.0</v>
      </c>
      <c r="V659" s="1">
        <v>4.0</v>
      </c>
      <c r="W659" s="1">
        <v>4.0</v>
      </c>
      <c r="X659" s="1">
        <v>27.0</v>
      </c>
      <c r="Y659" s="1">
        <v>331.0</v>
      </c>
      <c r="Z659" s="1">
        <v>304.0</v>
      </c>
      <c r="AA659" s="1">
        <v>0.0</v>
      </c>
    </row>
    <row r="660" ht="12.75" customHeight="1">
      <c r="A660" s="1" t="s">
        <v>693</v>
      </c>
      <c r="B660" s="1" t="str">
        <f>IFERROR(__xludf.DUMMYFUNCTION("split(A660, ""\"")"),"Jakub Jerabek")</f>
        <v>Jakub Jerabek</v>
      </c>
      <c r="C660" s="1" t="str">
        <f>IFERROR(__xludf.DUMMYFUNCTION("""COMPUTED_VALUE"""),"jerabja01")</f>
        <v>jerabja01</v>
      </c>
      <c r="D660" s="1" t="s">
        <v>66</v>
      </c>
      <c r="E660" s="1">
        <f t="shared" si="1"/>
        <v>60.95</v>
      </c>
      <c r="F660" s="1">
        <f t="shared" si="2"/>
        <v>1.69</v>
      </c>
      <c r="G660" s="1">
        <v>36.0</v>
      </c>
      <c r="H660" s="1">
        <v>2.0</v>
      </c>
      <c r="I660" s="1">
        <v>6.0</v>
      </c>
      <c r="J660" s="1">
        <v>8.0</v>
      </c>
      <c r="K660" s="1">
        <v>33.0</v>
      </c>
      <c r="L660" s="1">
        <v>42.0</v>
      </c>
      <c r="M660" s="1">
        <v>48.0</v>
      </c>
      <c r="N660" s="1">
        <v>0.0</v>
      </c>
      <c r="O660" s="1">
        <v>0.0</v>
      </c>
      <c r="P660" s="1">
        <v>0.0</v>
      </c>
      <c r="Q660" s="1">
        <v>0.0</v>
      </c>
      <c r="R660" s="1">
        <v>-2.0</v>
      </c>
      <c r="S660" s="1">
        <v>6.0</v>
      </c>
      <c r="T660" s="1">
        <v>0.0</v>
      </c>
    </row>
    <row r="661" ht="12.75" customHeight="1">
      <c r="A661" s="1" t="s">
        <v>694</v>
      </c>
      <c r="B661" s="1" t="str">
        <f>IFERROR(__xludf.DUMMYFUNCTION("split(A661, ""\"")"),"Victor Mete")</f>
        <v>Victor Mete</v>
      </c>
      <c r="C661" s="1" t="str">
        <f>IFERROR(__xludf.DUMMYFUNCTION("""COMPUTED_VALUE"""),"metevi01")</f>
        <v>metevi01</v>
      </c>
      <c r="D661" s="1" t="s">
        <v>66</v>
      </c>
      <c r="E661" s="1">
        <f t="shared" si="1"/>
        <v>60.9</v>
      </c>
      <c r="F661" s="1">
        <f t="shared" si="2"/>
        <v>1.24</v>
      </c>
      <c r="G661" s="1">
        <v>49.0</v>
      </c>
      <c r="H661" s="1">
        <v>0.0</v>
      </c>
      <c r="I661" s="1">
        <v>7.0</v>
      </c>
      <c r="J661" s="1">
        <v>7.0</v>
      </c>
      <c r="K661" s="1">
        <v>43.0</v>
      </c>
      <c r="L661" s="1">
        <v>1.0</v>
      </c>
      <c r="M661" s="1">
        <v>71.0</v>
      </c>
      <c r="N661" s="1">
        <v>0.0</v>
      </c>
      <c r="O661" s="1">
        <v>4.0</v>
      </c>
      <c r="P661" s="1">
        <v>0.0</v>
      </c>
      <c r="Q661" s="1">
        <v>0.0</v>
      </c>
      <c r="R661" s="1">
        <v>5.0</v>
      </c>
      <c r="S661" s="1">
        <v>4.0</v>
      </c>
      <c r="T661" s="1">
        <v>0.0</v>
      </c>
    </row>
    <row r="662" ht="12.75" customHeight="1">
      <c r="A662" s="1" t="s">
        <v>695</v>
      </c>
      <c r="B662" s="1" t="str">
        <f>IFERROR(__xludf.DUMMYFUNCTION("split(A662, ""\"")"),"Cody McLeod")</f>
        <v>Cody McLeod</v>
      </c>
      <c r="C662" s="1" t="str">
        <f>IFERROR(__xludf.DUMMYFUNCTION("""COMPUTED_VALUE"""),"mcleoco01")</f>
        <v>mcleoco01</v>
      </c>
      <c r="D662" s="1" t="s">
        <v>28</v>
      </c>
      <c r="E662" s="1">
        <f t="shared" si="1"/>
        <v>60.85</v>
      </c>
      <c r="F662" s="1">
        <f t="shared" si="2"/>
        <v>1.27</v>
      </c>
      <c r="G662" s="1">
        <v>48.0</v>
      </c>
      <c r="H662" s="1">
        <v>1.0</v>
      </c>
      <c r="I662" s="1">
        <v>3.0</v>
      </c>
      <c r="J662" s="1">
        <v>4.0</v>
      </c>
      <c r="K662" s="1">
        <v>36.0</v>
      </c>
      <c r="L662" s="1">
        <v>131.0</v>
      </c>
      <c r="M662" s="1">
        <v>19.0</v>
      </c>
      <c r="N662" s="1">
        <v>0.0</v>
      </c>
      <c r="O662" s="1">
        <v>0.0</v>
      </c>
      <c r="P662" s="1">
        <v>0.0</v>
      </c>
      <c r="Q662" s="1">
        <v>0.0</v>
      </c>
      <c r="R662" s="1">
        <v>-11.0</v>
      </c>
      <c r="S662" s="1">
        <v>111.0</v>
      </c>
      <c r="T662" s="1">
        <v>0.0</v>
      </c>
    </row>
    <row r="663" ht="12.75" customHeight="1">
      <c r="A663" s="1" t="s">
        <v>696</v>
      </c>
      <c r="B663" s="1" t="str">
        <f>IFERROR(__xludf.DUMMYFUNCTION("split(A663, ""\"")"),"Anton Lindholm")</f>
        <v>Anton Lindholm</v>
      </c>
      <c r="C663" s="1" t="str">
        <f>IFERROR(__xludf.DUMMYFUNCTION("""COMPUTED_VALUE"""),"lindhan01")</f>
        <v>lindhan01</v>
      </c>
      <c r="D663" s="1" t="s">
        <v>66</v>
      </c>
      <c r="E663" s="1">
        <f t="shared" si="1"/>
        <v>60.65</v>
      </c>
      <c r="F663" s="1">
        <f t="shared" si="2"/>
        <v>1.26</v>
      </c>
      <c r="G663" s="1">
        <v>48.0</v>
      </c>
      <c r="H663" s="1">
        <v>0.0</v>
      </c>
      <c r="I663" s="1">
        <v>4.0</v>
      </c>
      <c r="J663" s="1">
        <v>4.0</v>
      </c>
      <c r="K663" s="1">
        <v>22.0</v>
      </c>
      <c r="L663" s="1">
        <v>99.0</v>
      </c>
      <c r="M663" s="1">
        <v>51.0</v>
      </c>
      <c r="N663" s="1">
        <v>0.0</v>
      </c>
      <c r="O663" s="1">
        <v>0.0</v>
      </c>
      <c r="P663" s="1">
        <v>0.0</v>
      </c>
      <c r="Q663" s="1">
        <v>0.0</v>
      </c>
      <c r="R663" s="1">
        <v>4.0</v>
      </c>
      <c r="S663" s="1">
        <v>14.0</v>
      </c>
      <c r="T663" s="1">
        <v>0.0</v>
      </c>
    </row>
    <row r="664" ht="12.75" customHeight="1">
      <c r="A664" s="1" t="s">
        <v>697</v>
      </c>
      <c r="B664" s="1" t="str">
        <f>IFERROR(__xludf.DUMMYFUNCTION("split(A664, ""\"")"),"Jack Roslovic")</f>
        <v>Jack Roslovic</v>
      </c>
      <c r="C664" s="1" t="str">
        <f>IFERROR(__xludf.DUMMYFUNCTION("""COMPUTED_VALUE"""),"rosloja01")</f>
        <v>rosloja01</v>
      </c>
      <c r="D664" s="1" t="s">
        <v>31</v>
      </c>
      <c r="E664" s="1">
        <f t="shared" si="1"/>
        <v>60.6</v>
      </c>
      <c r="F664" s="1">
        <f t="shared" si="2"/>
        <v>1.95</v>
      </c>
      <c r="G664" s="1">
        <v>31.0</v>
      </c>
      <c r="H664" s="1">
        <v>5.0</v>
      </c>
      <c r="I664" s="1">
        <v>9.0</v>
      </c>
      <c r="J664" s="1">
        <v>14.0</v>
      </c>
      <c r="K664" s="1">
        <v>38.0</v>
      </c>
      <c r="L664" s="1">
        <v>20.0</v>
      </c>
      <c r="M664" s="1">
        <v>9.0</v>
      </c>
      <c r="N664" s="1">
        <v>0.0</v>
      </c>
      <c r="O664" s="1">
        <v>0.0</v>
      </c>
      <c r="P664" s="1">
        <v>0.0</v>
      </c>
      <c r="Q664" s="1">
        <v>0.0</v>
      </c>
      <c r="R664" s="1">
        <v>5.0</v>
      </c>
      <c r="S664" s="1">
        <v>2.0</v>
      </c>
      <c r="T664" s="1">
        <v>1.0</v>
      </c>
    </row>
    <row r="665" ht="12.75" customHeight="1">
      <c r="A665" s="1" t="s">
        <v>698</v>
      </c>
      <c r="B665" s="1" t="str">
        <f>IFERROR(__xludf.DUMMYFUNCTION("split(A665, ""\"")"),"Nic Dowd")</f>
        <v>Nic Dowd</v>
      </c>
      <c r="C665" s="1" t="str">
        <f>IFERROR(__xludf.DUMMYFUNCTION("""COMPUTED_VALUE"""),"dowdni01")</f>
        <v>dowdni01</v>
      </c>
      <c r="D665" s="1" t="s">
        <v>31</v>
      </c>
      <c r="E665" s="1">
        <f t="shared" si="1"/>
        <v>60.5</v>
      </c>
      <c r="F665" s="1">
        <f t="shared" si="2"/>
        <v>1.08</v>
      </c>
      <c r="G665" s="1">
        <v>56.0</v>
      </c>
      <c r="H665" s="1">
        <v>3.0</v>
      </c>
      <c r="I665" s="1">
        <v>1.0</v>
      </c>
      <c r="J665" s="1">
        <v>4.0</v>
      </c>
      <c r="K665" s="1">
        <v>51.0</v>
      </c>
      <c r="L665" s="1">
        <v>81.0</v>
      </c>
      <c r="M665" s="1">
        <v>30.0</v>
      </c>
      <c r="N665" s="1">
        <v>1.0</v>
      </c>
      <c r="O665" s="1">
        <v>0.0</v>
      </c>
      <c r="P665" s="1">
        <v>0.0</v>
      </c>
      <c r="Q665" s="1">
        <v>0.0</v>
      </c>
      <c r="R665" s="1">
        <v>-10.0</v>
      </c>
      <c r="S665" s="1">
        <v>28.0</v>
      </c>
      <c r="T665" s="1">
        <v>1.0</v>
      </c>
    </row>
    <row r="666" ht="12.75" customHeight="1">
      <c r="A666" s="1" t="s">
        <v>699</v>
      </c>
      <c r="B666" s="1" t="str">
        <f>IFERROR(__xludf.DUMMYFUNCTION("split(A666, ""\"")"),"Gemel Smith")</f>
        <v>Gemel Smith</v>
      </c>
      <c r="C666" s="1" t="str">
        <f>IFERROR(__xludf.DUMMYFUNCTION("""COMPUTED_VALUE"""),"smithge02")</f>
        <v>smithge02</v>
      </c>
      <c r="D666" s="1" t="s">
        <v>31</v>
      </c>
      <c r="E666" s="1">
        <f t="shared" si="1"/>
        <v>60.45</v>
      </c>
      <c r="F666" s="1">
        <f t="shared" si="2"/>
        <v>1.31</v>
      </c>
      <c r="G666" s="1">
        <v>46.0</v>
      </c>
      <c r="H666" s="1">
        <v>6.0</v>
      </c>
      <c r="I666" s="1">
        <v>5.0</v>
      </c>
      <c r="J666" s="1">
        <v>11.0</v>
      </c>
      <c r="K666" s="1">
        <v>42.0</v>
      </c>
      <c r="L666" s="1">
        <v>33.0</v>
      </c>
      <c r="M666" s="1">
        <v>13.0</v>
      </c>
      <c r="N666" s="1">
        <v>0.0</v>
      </c>
      <c r="O666" s="1">
        <v>0.0</v>
      </c>
      <c r="P666" s="1">
        <v>0.0</v>
      </c>
      <c r="Q666" s="1">
        <v>0.0</v>
      </c>
      <c r="R666" s="1">
        <v>5.0</v>
      </c>
      <c r="S666" s="1">
        <v>17.0</v>
      </c>
      <c r="T666" s="1">
        <v>0.0</v>
      </c>
    </row>
    <row r="667" ht="12.75" customHeight="1">
      <c r="A667" s="1" t="s">
        <v>700</v>
      </c>
      <c r="B667" s="1" t="str">
        <f>IFERROR(__xludf.DUMMYFUNCTION("split(A667, ""\"")"),"Yohann Auvitu")</f>
        <v>Yohann Auvitu</v>
      </c>
      <c r="C667" s="1" t="str">
        <f>IFERROR(__xludf.DUMMYFUNCTION("""COMPUTED_VALUE"""),"auvityo01")</f>
        <v>auvityo01</v>
      </c>
      <c r="D667" s="1" t="s">
        <v>66</v>
      </c>
      <c r="E667" s="1">
        <f t="shared" si="1"/>
        <v>59.15</v>
      </c>
      <c r="F667" s="1">
        <f t="shared" si="2"/>
        <v>1.79</v>
      </c>
      <c r="G667" s="1">
        <v>33.0</v>
      </c>
      <c r="H667" s="1">
        <v>3.0</v>
      </c>
      <c r="I667" s="1">
        <v>6.0</v>
      </c>
      <c r="J667" s="1">
        <v>9.0</v>
      </c>
      <c r="K667" s="1">
        <v>69.0</v>
      </c>
      <c r="L667" s="1">
        <v>18.0</v>
      </c>
      <c r="M667" s="1">
        <v>26.0</v>
      </c>
      <c r="N667" s="1">
        <v>0.0</v>
      </c>
      <c r="O667" s="1">
        <v>0.0</v>
      </c>
      <c r="P667" s="1">
        <v>0.0</v>
      </c>
      <c r="Q667" s="1">
        <v>0.0</v>
      </c>
      <c r="R667" s="1">
        <v>4.0</v>
      </c>
      <c r="S667" s="1">
        <v>8.0</v>
      </c>
      <c r="T667" s="1">
        <v>0.0</v>
      </c>
    </row>
    <row r="668" ht="12.75" customHeight="1">
      <c r="A668" s="1" t="s">
        <v>701</v>
      </c>
      <c r="B668" s="1" t="str">
        <f>IFERROR(__xludf.DUMMYFUNCTION("split(A668, ""\"")"),"Chris Thorburn")</f>
        <v>Chris Thorburn</v>
      </c>
      <c r="C668" s="1" t="str">
        <f>IFERROR(__xludf.DUMMYFUNCTION("""COMPUTED_VALUE"""),"thorbch01")</f>
        <v>thorbch01</v>
      </c>
      <c r="D668" s="1" t="s">
        <v>36</v>
      </c>
      <c r="E668" s="1">
        <f t="shared" si="1"/>
        <v>58.9</v>
      </c>
      <c r="F668" s="1">
        <f t="shared" si="2"/>
        <v>1.18</v>
      </c>
      <c r="G668" s="1">
        <v>50.0</v>
      </c>
      <c r="H668" s="1">
        <v>1.0</v>
      </c>
      <c r="I668" s="1">
        <v>6.0</v>
      </c>
      <c r="J668" s="1">
        <v>7.0</v>
      </c>
      <c r="K668" s="1">
        <v>35.0</v>
      </c>
      <c r="L668" s="1">
        <v>99.0</v>
      </c>
      <c r="M668" s="1">
        <v>16.0</v>
      </c>
      <c r="N668" s="1">
        <v>0.0</v>
      </c>
      <c r="O668" s="1">
        <v>0.0</v>
      </c>
      <c r="P668" s="1">
        <v>0.0</v>
      </c>
      <c r="Q668" s="1">
        <v>0.0</v>
      </c>
      <c r="R668" s="1">
        <v>-4.0</v>
      </c>
      <c r="S668" s="1">
        <v>60.0</v>
      </c>
      <c r="T668" s="1">
        <v>0.0</v>
      </c>
    </row>
    <row r="669" ht="12.75" customHeight="1">
      <c r="A669" s="1" t="s">
        <v>702</v>
      </c>
      <c r="B669" s="1" t="str">
        <f>IFERROR(__xludf.DUMMYFUNCTION("split(A669, ""\"")"),"Jori Lehtera")</f>
        <v>Jori Lehtera</v>
      </c>
      <c r="C669" s="1" t="str">
        <f>IFERROR(__xludf.DUMMYFUNCTION("""COMPUTED_VALUE"""),"lehtejo01")</f>
        <v>lehtejo01</v>
      </c>
      <c r="D669" s="1" t="s">
        <v>31</v>
      </c>
      <c r="E669" s="1">
        <f t="shared" si="1"/>
        <v>58.9</v>
      </c>
      <c r="F669" s="1">
        <f t="shared" si="2"/>
        <v>0.95</v>
      </c>
      <c r="G669" s="1">
        <v>62.0</v>
      </c>
      <c r="H669" s="1">
        <v>3.0</v>
      </c>
      <c r="I669" s="1">
        <v>5.0</v>
      </c>
      <c r="J669" s="1">
        <v>8.0</v>
      </c>
      <c r="K669" s="1">
        <v>45.0</v>
      </c>
      <c r="L669" s="1">
        <v>55.0</v>
      </c>
      <c r="M669" s="1">
        <v>21.0</v>
      </c>
      <c r="N669" s="1">
        <v>0.0</v>
      </c>
      <c r="O669" s="1">
        <v>0.0</v>
      </c>
      <c r="P669" s="1">
        <v>1.0</v>
      </c>
      <c r="Q669" s="1">
        <v>0.0</v>
      </c>
      <c r="R669" s="1">
        <v>-8.0</v>
      </c>
      <c r="S669" s="1">
        <v>14.0</v>
      </c>
      <c r="T669" s="1">
        <v>0.0</v>
      </c>
    </row>
    <row r="670" ht="12.75" customHeight="1">
      <c r="A670" s="1" t="s">
        <v>703</v>
      </c>
      <c r="B670" s="1" t="str">
        <f>IFERROR(__xludf.DUMMYFUNCTION("split(A670, ""\"")"),"Xavier Ouellet")</f>
        <v>Xavier Ouellet</v>
      </c>
      <c r="C670" s="1" t="str">
        <f>IFERROR(__xludf.DUMMYFUNCTION("""COMPUTED_VALUE"""),"ouellxa01")</f>
        <v>ouellxa01</v>
      </c>
      <c r="D670" s="1" t="s">
        <v>66</v>
      </c>
      <c r="E670" s="1">
        <f t="shared" si="1"/>
        <v>57.95</v>
      </c>
      <c r="F670" s="1">
        <f t="shared" si="2"/>
        <v>1.29</v>
      </c>
      <c r="G670" s="1">
        <v>45.0</v>
      </c>
      <c r="H670" s="1">
        <v>0.0</v>
      </c>
      <c r="I670" s="1">
        <v>7.0</v>
      </c>
      <c r="J670" s="1">
        <v>7.0</v>
      </c>
      <c r="K670" s="1">
        <v>57.0</v>
      </c>
      <c r="L670" s="1">
        <v>36.0</v>
      </c>
      <c r="M670" s="1">
        <v>43.0</v>
      </c>
      <c r="N670" s="1">
        <v>0.0</v>
      </c>
      <c r="O670" s="1">
        <v>0.0</v>
      </c>
      <c r="P670" s="1">
        <v>0.0</v>
      </c>
      <c r="Q670" s="1">
        <v>0.0</v>
      </c>
      <c r="R670" s="1">
        <v>-3.0</v>
      </c>
      <c r="S670" s="1">
        <v>6.0</v>
      </c>
      <c r="T670" s="1">
        <v>0.0</v>
      </c>
    </row>
    <row r="671" ht="12.75" customHeight="1">
      <c r="A671" s="1" t="s">
        <v>704</v>
      </c>
      <c r="B671" s="1" t="str">
        <f>IFERROR(__xludf.DUMMYFUNCTION("split(A671, ""\"")"),"J.T. Brown")</f>
        <v>J.T. Brown</v>
      </c>
      <c r="C671" s="1" t="str">
        <f>IFERROR(__xludf.DUMMYFUNCTION("""COMPUTED_VALUE"""),"brownjt01")</f>
        <v>brownjt01</v>
      </c>
      <c r="D671" s="1" t="s">
        <v>36</v>
      </c>
      <c r="E671" s="1">
        <f t="shared" si="1"/>
        <v>57.45</v>
      </c>
      <c r="F671" s="1">
        <f t="shared" si="2"/>
        <v>1.22</v>
      </c>
      <c r="G671" s="1">
        <v>47.0</v>
      </c>
      <c r="H671" s="1">
        <v>2.0</v>
      </c>
      <c r="I671" s="1">
        <v>5.0</v>
      </c>
      <c r="J671" s="1">
        <v>7.0</v>
      </c>
      <c r="K671" s="1">
        <v>40.0</v>
      </c>
      <c r="L671" s="1">
        <v>71.0</v>
      </c>
      <c r="M671" s="1">
        <v>23.0</v>
      </c>
      <c r="N671" s="1">
        <v>0.0</v>
      </c>
      <c r="O671" s="1">
        <v>0.0</v>
      </c>
      <c r="P671" s="1">
        <v>0.0</v>
      </c>
      <c r="Q671" s="1">
        <v>0.0</v>
      </c>
      <c r="R671" s="1">
        <v>-5.0</v>
      </c>
      <c r="S671" s="1">
        <v>24.0</v>
      </c>
      <c r="T671" s="1">
        <v>1.0</v>
      </c>
    </row>
    <row r="672" ht="12.75" customHeight="1">
      <c r="A672" s="1" t="s">
        <v>705</v>
      </c>
      <c r="B672" s="1" t="str">
        <f>IFERROR(__xludf.DUMMYFUNCTION("split(A672, ""\"")"),"Derek Dorsett")</f>
        <v>Derek Dorsett</v>
      </c>
      <c r="C672" s="1" t="str">
        <f>IFERROR(__xludf.DUMMYFUNCTION("""COMPUTED_VALUE"""),"dorsede01")</f>
        <v>dorsede01</v>
      </c>
      <c r="D672" s="1" t="s">
        <v>36</v>
      </c>
      <c r="E672" s="1">
        <f t="shared" si="1"/>
        <v>56.85</v>
      </c>
      <c r="F672" s="1">
        <f t="shared" si="2"/>
        <v>2.84</v>
      </c>
      <c r="G672" s="1">
        <v>20.0</v>
      </c>
      <c r="H672" s="1">
        <v>7.0</v>
      </c>
      <c r="I672" s="1">
        <v>2.0</v>
      </c>
      <c r="J672" s="1">
        <v>9.0</v>
      </c>
      <c r="K672" s="1">
        <v>26.0</v>
      </c>
      <c r="L672" s="1">
        <v>39.0</v>
      </c>
      <c r="M672" s="1">
        <v>14.0</v>
      </c>
      <c r="N672" s="1">
        <v>0.0</v>
      </c>
      <c r="O672" s="1">
        <v>0.0</v>
      </c>
      <c r="P672" s="1">
        <v>2.0</v>
      </c>
      <c r="Q672" s="1">
        <v>0.0</v>
      </c>
      <c r="R672" s="1">
        <v>-1.0</v>
      </c>
      <c r="S672" s="1">
        <v>74.0</v>
      </c>
      <c r="T672" s="1">
        <v>1.0</v>
      </c>
    </row>
    <row r="673" ht="12.75" customHeight="1">
      <c r="A673" s="1" t="s">
        <v>706</v>
      </c>
      <c r="B673" s="1" t="str">
        <f>IFERROR(__xludf.DUMMYFUNCTION("split(A673, ""\"")"),"Klas Dahlbeck")</f>
        <v>Klas Dahlbeck</v>
      </c>
      <c r="C673" s="1" t="str">
        <f>IFERROR(__xludf.DUMMYFUNCTION("""COMPUTED_VALUE"""),"dahlbkl01")</f>
        <v>dahlbkl01</v>
      </c>
      <c r="D673" s="1" t="s">
        <v>66</v>
      </c>
      <c r="E673" s="1">
        <f t="shared" si="1"/>
        <v>56.85</v>
      </c>
      <c r="F673" s="1">
        <f t="shared" si="2"/>
        <v>1.72</v>
      </c>
      <c r="G673" s="1">
        <v>33.0</v>
      </c>
      <c r="H673" s="1">
        <v>1.0</v>
      </c>
      <c r="I673" s="1">
        <v>4.0</v>
      </c>
      <c r="J673" s="1">
        <v>5.0</v>
      </c>
      <c r="K673" s="1">
        <v>43.0</v>
      </c>
      <c r="L673" s="1">
        <v>74.0</v>
      </c>
      <c r="M673" s="1">
        <v>34.0</v>
      </c>
      <c r="N673" s="1">
        <v>0.0</v>
      </c>
      <c r="O673" s="1">
        <v>0.0</v>
      </c>
      <c r="P673" s="1">
        <v>0.0</v>
      </c>
      <c r="Q673" s="1">
        <v>0.0</v>
      </c>
      <c r="R673" s="1">
        <v>-6.0</v>
      </c>
      <c r="S673" s="1">
        <v>21.0</v>
      </c>
      <c r="T673" s="1">
        <v>0.0</v>
      </c>
    </row>
    <row r="674" ht="12.75" customHeight="1">
      <c r="A674" s="1" t="s">
        <v>707</v>
      </c>
      <c r="B674" s="1" t="str">
        <f>IFERROR(__xludf.DUMMYFUNCTION("split(A674, ""\"")"),"Jean-Francois Berube")</f>
        <v>Jean-Francois Berube</v>
      </c>
      <c r="C674" s="2" t="str">
        <f>IFERROR(__xludf.DUMMYFUNCTION("""COMPUTED_VALUE"""),"berubje02")</f>
        <v>berubje02</v>
      </c>
      <c r="D674" s="1" t="s">
        <v>5</v>
      </c>
      <c r="E674" s="1">
        <f t="shared" si="1"/>
        <v>56</v>
      </c>
      <c r="F674" s="1">
        <f t="shared" si="2"/>
        <v>4.31</v>
      </c>
      <c r="G674" s="1">
        <v>13.0</v>
      </c>
      <c r="U674" s="1">
        <v>10.0</v>
      </c>
      <c r="V674" s="1">
        <v>3.0</v>
      </c>
      <c r="W674" s="1">
        <v>6.0</v>
      </c>
      <c r="X674" s="1">
        <v>42.0</v>
      </c>
      <c r="Y674" s="1">
        <v>398.0</v>
      </c>
      <c r="Z674" s="1">
        <v>356.0</v>
      </c>
      <c r="AA674" s="1">
        <v>0.0</v>
      </c>
    </row>
    <row r="675" ht="12.75" customHeight="1">
      <c r="A675" s="1" t="s">
        <v>708</v>
      </c>
      <c r="B675" s="1" t="str">
        <f>IFERROR(__xludf.DUMMYFUNCTION("split(A675, ""\"")"),"Ian McCoshen")</f>
        <v>Ian McCoshen</v>
      </c>
      <c r="C675" s="1" t="str">
        <f>IFERROR(__xludf.DUMMYFUNCTION("""COMPUTED_VALUE"""),"mccosia01")</f>
        <v>mccosia01</v>
      </c>
      <c r="D675" s="1" t="s">
        <v>66</v>
      </c>
      <c r="E675" s="1">
        <f t="shared" si="1"/>
        <v>55.95</v>
      </c>
      <c r="F675" s="1">
        <f t="shared" si="2"/>
        <v>1.47</v>
      </c>
      <c r="G675" s="1">
        <v>38.0</v>
      </c>
      <c r="H675" s="1">
        <v>3.0</v>
      </c>
      <c r="I675" s="1">
        <v>1.0</v>
      </c>
      <c r="J675" s="1">
        <v>4.0</v>
      </c>
      <c r="K675" s="1">
        <v>26.0</v>
      </c>
      <c r="L675" s="1">
        <v>71.0</v>
      </c>
      <c r="M675" s="1">
        <v>43.0</v>
      </c>
      <c r="N675" s="1">
        <v>0.0</v>
      </c>
      <c r="O675" s="1">
        <v>0.0</v>
      </c>
      <c r="P675" s="1">
        <v>0.0</v>
      </c>
      <c r="Q675" s="1">
        <v>0.0</v>
      </c>
      <c r="R675" s="1">
        <v>-10.0</v>
      </c>
      <c r="S675" s="1">
        <v>25.0</v>
      </c>
      <c r="T675" s="1">
        <v>1.0</v>
      </c>
    </row>
    <row r="676" ht="12.75" customHeight="1">
      <c r="A676" s="1" t="s">
        <v>709</v>
      </c>
      <c r="B676" s="1" t="str">
        <f>IFERROR(__xludf.DUMMYFUNCTION("split(A676, ""\"")"),"Victor Antipin")</f>
        <v>Victor Antipin</v>
      </c>
      <c r="C676" s="1" t="str">
        <f>IFERROR(__xludf.DUMMYFUNCTION("""COMPUTED_VALUE"""),"antipvi01")</f>
        <v>antipvi01</v>
      </c>
      <c r="D676" s="1" t="s">
        <v>66</v>
      </c>
      <c r="E676" s="1">
        <f t="shared" si="1"/>
        <v>55.9</v>
      </c>
      <c r="F676" s="1">
        <f t="shared" si="2"/>
        <v>1.19</v>
      </c>
      <c r="G676" s="1">
        <v>47.0</v>
      </c>
      <c r="H676" s="1">
        <v>0.0</v>
      </c>
      <c r="I676" s="1">
        <v>10.0</v>
      </c>
      <c r="J676" s="1">
        <v>10.0</v>
      </c>
      <c r="K676" s="1">
        <v>40.0</v>
      </c>
      <c r="L676" s="1">
        <v>14.0</v>
      </c>
      <c r="M676" s="1">
        <v>41.0</v>
      </c>
      <c r="N676" s="1">
        <v>0.0</v>
      </c>
      <c r="O676" s="1">
        <v>1.0</v>
      </c>
      <c r="P676" s="1">
        <v>0.0</v>
      </c>
      <c r="Q676" s="1">
        <v>0.0</v>
      </c>
      <c r="R676" s="1">
        <v>-9.0</v>
      </c>
      <c r="S676" s="1">
        <v>18.0</v>
      </c>
      <c r="T676" s="1">
        <v>0.0</v>
      </c>
    </row>
    <row r="677" ht="12.75" customHeight="1">
      <c r="A677" s="1" t="s">
        <v>710</v>
      </c>
      <c r="B677" s="1" t="str">
        <f>IFERROR(__xludf.DUMMYFUNCTION("split(A677, ""\"")"),"Anders Bjork")</f>
        <v>Anders Bjork</v>
      </c>
      <c r="C677" s="1" t="str">
        <f>IFERROR(__xludf.DUMMYFUNCTION("""COMPUTED_VALUE"""),"bjorkan01")</f>
        <v>bjorkan01</v>
      </c>
      <c r="D677" s="1" t="s">
        <v>28</v>
      </c>
      <c r="E677" s="1">
        <f t="shared" si="1"/>
        <v>55.65</v>
      </c>
      <c r="F677" s="1">
        <f t="shared" si="2"/>
        <v>1.86</v>
      </c>
      <c r="G677" s="1">
        <v>30.0</v>
      </c>
      <c r="H677" s="1">
        <v>4.0</v>
      </c>
      <c r="I677" s="1">
        <v>8.0</v>
      </c>
      <c r="J677" s="1">
        <v>12.0</v>
      </c>
      <c r="K677" s="1">
        <v>30.0</v>
      </c>
      <c r="L677" s="1">
        <v>19.0</v>
      </c>
      <c r="M677" s="1">
        <v>11.0</v>
      </c>
      <c r="N677" s="1">
        <v>2.0</v>
      </c>
      <c r="O677" s="1">
        <v>1.0</v>
      </c>
      <c r="P677" s="1">
        <v>0.0</v>
      </c>
      <c r="Q677" s="1">
        <v>0.0</v>
      </c>
      <c r="R677" s="1">
        <v>2.0</v>
      </c>
      <c r="S677" s="1">
        <v>6.0</v>
      </c>
      <c r="T677" s="1">
        <v>0.0</v>
      </c>
    </row>
    <row r="678" ht="12.75" customHeight="1">
      <c r="A678" s="1" t="s">
        <v>711</v>
      </c>
      <c r="B678" s="1" t="str">
        <f>IFERROR(__xludf.DUMMYFUNCTION("split(A678, ""\"")"),"Slater Koekkoek")</f>
        <v>Slater Koekkoek</v>
      </c>
      <c r="C678" s="1" t="str">
        <f>IFERROR(__xludf.DUMMYFUNCTION("""COMPUTED_VALUE"""),"koekksl01")</f>
        <v>koekksl01</v>
      </c>
      <c r="D678" s="1" t="s">
        <v>66</v>
      </c>
      <c r="E678" s="1">
        <f t="shared" si="1"/>
        <v>55.35</v>
      </c>
      <c r="F678" s="1">
        <f t="shared" si="2"/>
        <v>1.58</v>
      </c>
      <c r="G678" s="1">
        <v>35.0</v>
      </c>
      <c r="H678" s="1">
        <v>4.0</v>
      </c>
      <c r="I678" s="1">
        <v>4.0</v>
      </c>
      <c r="J678" s="1">
        <v>8.0</v>
      </c>
      <c r="K678" s="1">
        <v>43.0</v>
      </c>
      <c r="L678" s="1">
        <v>36.0</v>
      </c>
      <c r="M678" s="1">
        <v>24.0</v>
      </c>
      <c r="N678" s="1">
        <v>0.0</v>
      </c>
      <c r="O678" s="1">
        <v>0.0</v>
      </c>
      <c r="P678" s="1">
        <v>0.0</v>
      </c>
      <c r="Q678" s="1">
        <v>0.0</v>
      </c>
      <c r="R678" s="1">
        <v>4.0</v>
      </c>
      <c r="S678" s="1">
        <v>18.0</v>
      </c>
      <c r="T678" s="1">
        <v>1.0</v>
      </c>
    </row>
    <row r="679" ht="12.75" customHeight="1">
      <c r="A679" s="1" t="s">
        <v>712</v>
      </c>
      <c r="B679" s="1" t="str">
        <f>IFERROR(__xludf.DUMMYFUNCTION("split(A679, ""\"")"),"Oscar Fantenberg")</f>
        <v>Oscar Fantenberg</v>
      </c>
      <c r="C679" s="1" t="str">
        <f>IFERROR(__xludf.DUMMYFUNCTION("""COMPUTED_VALUE"""),"fanteos01")</f>
        <v>fanteos01</v>
      </c>
      <c r="D679" s="1" t="s">
        <v>66</v>
      </c>
      <c r="E679" s="1">
        <f t="shared" si="1"/>
        <v>55.3</v>
      </c>
      <c r="F679" s="1">
        <f t="shared" si="2"/>
        <v>2.05</v>
      </c>
      <c r="G679" s="1">
        <v>27.0</v>
      </c>
      <c r="H679" s="1">
        <v>2.0</v>
      </c>
      <c r="I679" s="1">
        <v>7.0</v>
      </c>
      <c r="J679" s="1">
        <v>9.0</v>
      </c>
      <c r="K679" s="1">
        <v>33.0</v>
      </c>
      <c r="L679" s="1">
        <v>43.0</v>
      </c>
      <c r="M679" s="1">
        <v>17.0</v>
      </c>
      <c r="N679" s="1">
        <v>0.0</v>
      </c>
      <c r="O679" s="1">
        <v>4.0</v>
      </c>
      <c r="P679" s="1">
        <v>0.0</v>
      </c>
      <c r="Q679" s="1">
        <v>0.0</v>
      </c>
      <c r="R679" s="1">
        <v>2.0</v>
      </c>
      <c r="S679" s="1">
        <v>11.0</v>
      </c>
      <c r="T679" s="1">
        <v>0.0</v>
      </c>
    </row>
    <row r="680" ht="12.75" customHeight="1">
      <c r="A680" s="1" t="s">
        <v>713</v>
      </c>
      <c r="B680" s="1" t="str">
        <f>IFERROR(__xludf.DUMMYFUNCTION("split(A680, ""\"")"),"Tomas Jurco")</f>
        <v>Tomas Jurco</v>
      </c>
      <c r="C680" s="1" t="str">
        <f>IFERROR(__xludf.DUMMYFUNCTION("""COMPUTED_VALUE"""),"jurcoto01")</f>
        <v>jurcoto01</v>
      </c>
      <c r="D680" s="1" t="s">
        <v>36</v>
      </c>
      <c r="E680" s="1">
        <f t="shared" si="1"/>
        <v>55.3</v>
      </c>
      <c r="F680" s="1">
        <f t="shared" si="2"/>
        <v>1.91</v>
      </c>
      <c r="G680" s="1">
        <v>29.0</v>
      </c>
      <c r="H680" s="1">
        <v>6.0</v>
      </c>
      <c r="I680" s="1">
        <v>4.0</v>
      </c>
      <c r="J680" s="1">
        <v>10.0</v>
      </c>
      <c r="K680" s="1">
        <v>44.0</v>
      </c>
      <c r="L680" s="1">
        <v>22.0</v>
      </c>
      <c r="M680" s="1">
        <v>12.0</v>
      </c>
      <c r="N680" s="1">
        <v>0.0</v>
      </c>
      <c r="O680" s="1">
        <v>0.0</v>
      </c>
      <c r="P680" s="1">
        <v>0.0</v>
      </c>
      <c r="Q680" s="1">
        <v>0.0</v>
      </c>
      <c r="R680" s="1">
        <v>1.0</v>
      </c>
      <c r="S680" s="1">
        <v>12.0</v>
      </c>
      <c r="T680" s="1">
        <v>1.0</v>
      </c>
    </row>
    <row r="681" ht="12.75" customHeight="1">
      <c r="A681" s="1" t="s">
        <v>714</v>
      </c>
      <c r="B681" s="1" t="str">
        <f>IFERROR(__xludf.DUMMYFUNCTION("split(A681, ""\"")"),"Marc Methot")</f>
        <v>Marc Methot</v>
      </c>
      <c r="C681" s="1" t="str">
        <f>IFERROR(__xludf.DUMMYFUNCTION("""COMPUTED_VALUE"""),"methoma01")</f>
        <v>methoma01</v>
      </c>
      <c r="D681" s="1" t="s">
        <v>66</v>
      </c>
      <c r="E681" s="1">
        <f t="shared" si="1"/>
        <v>55.3</v>
      </c>
      <c r="F681" s="1">
        <f t="shared" si="2"/>
        <v>1.54</v>
      </c>
      <c r="G681" s="1">
        <v>36.0</v>
      </c>
      <c r="H681" s="1">
        <v>1.0</v>
      </c>
      <c r="I681" s="1">
        <v>2.0</v>
      </c>
      <c r="J681" s="1">
        <v>3.0</v>
      </c>
      <c r="K681" s="1">
        <v>25.0</v>
      </c>
      <c r="L681" s="1">
        <v>77.0</v>
      </c>
      <c r="M681" s="1">
        <v>52.0</v>
      </c>
      <c r="N681" s="1">
        <v>0.0</v>
      </c>
      <c r="O681" s="1">
        <v>0.0</v>
      </c>
      <c r="P681" s="1">
        <v>0.0</v>
      </c>
      <c r="Q681" s="1">
        <v>0.0</v>
      </c>
      <c r="R681" s="1">
        <v>11.0</v>
      </c>
      <c r="S681" s="1">
        <v>31.0</v>
      </c>
      <c r="T681" s="1">
        <v>0.0</v>
      </c>
    </row>
    <row r="682" ht="12.75" customHeight="1">
      <c r="A682" s="1" t="s">
        <v>715</v>
      </c>
      <c r="B682" s="1" t="str">
        <f>IFERROR(__xludf.DUMMYFUNCTION("split(A682, ""\"")"),"Tage Thompson")</f>
        <v>Tage Thompson</v>
      </c>
      <c r="C682" s="1" t="str">
        <f>IFERROR(__xludf.DUMMYFUNCTION("""COMPUTED_VALUE"""),"thompta01")</f>
        <v>thompta01</v>
      </c>
      <c r="D682" s="1" t="s">
        <v>31</v>
      </c>
      <c r="E682" s="1">
        <f t="shared" si="1"/>
        <v>55.1</v>
      </c>
      <c r="F682" s="1">
        <f t="shared" si="2"/>
        <v>1.34</v>
      </c>
      <c r="G682" s="1">
        <v>41.0</v>
      </c>
      <c r="H682" s="1">
        <v>3.0</v>
      </c>
      <c r="I682" s="1">
        <v>6.0</v>
      </c>
      <c r="J682" s="1">
        <v>9.0</v>
      </c>
      <c r="K682" s="1">
        <v>55.0</v>
      </c>
      <c r="L682" s="1">
        <v>39.0</v>
      </c>
      <c r="M682" s="1">
        <v>9.0</v>
      </c>
      <c r="N682" s="1">
        <v>0.0</v>
      </c>
      <c r="O682" s="1">
        <v>1.0</v>
      </c>
      <c r="P682" s="1">
        <v>0.0</v>
      </c>
      <c r="Q682" s="1">
        <v>0.0</v>
      </c>
      <c r="R682" s="1">
        <v>-12.0</v>
      </c>
      <c r="S682" s="1">
        <v>12.0</v>
      </c>
      <c r="T682" s="1">
        <v>0.0</v>
      </c>
    </row>
    <row r="683" ht="12.75" customHeight="1">
      <c r="A683" s="1" t="s">
        <v>716</v>
      </c>
      <c r="B683" s="1" t="str">
        <f>IFERROR(__xludf.DUMMYFUNCTION("split(A683, ""\"")"),"Christopher Didomenico")</f>
        <v>Christopher Didomenico</v>
      </c>
      <c r="C683" s="1" t="str">
        <f>IFERROR(__xludf.DUMMYFUNCTION("""COMPUTED_VALUE"""),"didomch01")</f>
        <v>didomch01</v>
      </c>
      <c r="D683" s="1" t="s">
        <v>31</v>
      </c>
      <c r="E683" s="1">
        <f t="shared" si="1"/>
        <v>54.6</v>
      </c>
      <c r="F683" s="1">
        <f t="shared" si="2"/>
        <v>2.28</v>
      </c>
      <c r="G683" s="1">
        <v>24.0</v>
      </c>
      <c r="H683" s="1">
        <v>6.0</v>
      </c>
      <c r="I683" s="1">
        <v>4.0</v>
      </c>
      <c r="J683" s="1">
        <v>10.0</v>
      </c>
      <c r="K683" s="1">
        <v>23.0</v>
      </c>
      <c r="L683" s="1">
        <v>21.0</v>
      </c>
      <c r="M683" s="1">
        <v>14.0</v>
      </c>
      <c r="N683" s="1">
        <v>2.0</v>
      </c>
      <c r="O683" s="1">
        <v>2.0</v>
      </c>
      <c r="P683" s="1">
        <v>0.0</v>
      </c>
      <c r="Q683" s="1">
        <v>0.0</v>
      </c>
      <c r="R683" s="1">
        <v>-4.0</v>
      </c>
      <c r="S683" s="1">
        <v>8.0</v>
      </c>
      <c r="T683" s="1">
        <v>0.0</v>
      </c>
    </row>
    <row r="684" ht="12.75" customHeight="1">
      <c r="A684" s="1" t="s">
        <v>717</v>
      </c>
      <c r="B684" s="1" t="str">
        <f>IFERROR(__xludf.DUMMYFUNCTION("split(A684, ""\"")"),"Andrej Sekera")</f>
        <v>Andrej Sekera</v>
      </c>
      <c r="C684" s="1" t="str">
        <f>IFERROR(__xludf.DUMMYFUNCTION("""COMPUTED_VALUE"""),"sekeran01")</f>
        <v>sekeran01</v>
      </c>
      <c r="D684" s="1" t="s">
        <v>66</v>
      </c>
      <c r="E684" s="1">
        <f t="shared" si="1"/>
        <v>54.55</v>
      </c>
      <c r="F684" s="1">
        <f t="shared" si="2"/>
        <v>1.52</v>
      </c>
      <c r="G684" s="1">
        <v>36.0</v>
      </c>
      <c r="H684" s="1">
        <v>0.0</v>
      </c>
      <c r="I684" s="1">
        <v>8.0</v>
      </c>
      <c r="J684" s="1">
        <v>8.0</v>
      </c>
      <c r="K684" s="1">
        <v>36.0</v>
      </c>
      <c r="L684" s="1">
        <v>27.0</v>
      </c>
      <c r="M684" s="1">
        <v>42.0</v>
      </c>
      <c r="N684" s="1">
        <v>0.0</v>
      </c>
      <c r="O684" s="1">
        <v>2.0</v>
      </c>
      <c r="P684" s="1">
        <v>0.0</v>
      </c>
      <c r="Q684" s="1">
        <v>0.0</v>
      </c>
      <c r="R684" s="1">
        <v>-15.0</v>
      </c>
      <c r="S684" s="1">
        <v>6.0</v>
      </c>
      <c r="T684" s="1">
        <v>0.0</v>
      </c>
    </row>
    <row r="685" ht="12.75" customHeight="1">
      <c r="A685" s="1" t="s">
        <v>718</v>
      </c>
      <c r="B685" s="1" t="str">
        <f>IFERROR(__xludf.DUMMYFUNCTION("split(A685, ""\"")"),"Maxime Lagace")</f>
        <v>Maxime Lagace</v>
      </c>
      <c r="C685" s="2" t="str">
        <f>IFERROR(__xludf.DUMMYFUNCTION("""COMPUTED_VALUE"""),"lagacma01")</f>
        <v>lagacma01</v>
      </c>
      <c r="D685" s="1" t="s">
        <v>5</v>
      </c>
      <c r="E685" s="1">
        <f t="shared" si="1"/>
        <v>54.25</v>
      </c>
      <c r="F685" s="1">
        <f t="shared" si="2"/>
        <v>3.39</v>
      </c>
      <c r="G685" s="1">
        <v>16.0</v>
      </c>
      <c r="U685" s="1">
        <v>14.0</v>
      </c>
      <c r="V685" s="1">
        <v>6.0</v>
      </c>
      <c r="W685" s="1">
        <v>7.0</v>
      </c>
      <c r="X685" s="1">
        <v>57.0</v>
      </c>
      <c r="Y685" s="1">
        <v>430.0</v>
      </c>
      <c r="Z685" s="1">
        <v>373.0</v>
      </c>
      <c r="AA685" s="1">
        <v>0.0</v>
      </c>
    </row>
    <row r="686" ht="12.75" customHeight="1">
      <c r="A686" s="1" t="s">
        <v>719</v>
      </c>
      <c r="B686" s="1" t="str">
        <f>IFERROR(__xludf.DUMMYFUNCTION("split(A686, ""\"")"),"William Carrier")</f>
        <v>William Carrier</v>
      </c>
      <c r="C686" s="1" t="str">
        <f>IFERROR(__xludf.DUMMYFUNCTION("""COMPUTED_VALUE"""),"carriwi01")</f>
        <v>carriwi01</v>
      </c>
      <c r="D686" s="1" t="s">
        <v>28</v>
      </c>
      <c r="E686" s="1">
        <f t="shared" si="1"/>
        <v>54.25</v>
      </c>
      <c r="F686" s="1">
        <f t="shared" si="2"/>
        <v>1.47</v>
      </c>
      <c r="G686" s="1">
        <v>37.0</v>
      </c>
      <c r="H686" s="1">
        <v>1.0</v>
      </c>
      <c r="I686" s="1">
        <v>2.0</v>
      </c>
      <c r="J686" s="1">
        <v>3.0</v>
      </c>
      <c r="K686" s="1">
        <v>52.0</v>
      </c>
      <c r="L686" s="1">
        <v>113.0</v>
      </c>
      <c r="M686" s="1">
        <v>10.0</v>
      </c>
      <c r="N686" s="1">
        <v>0.0</v>
      </c>
      <c r="O686" s="1">
        <v>0.0</v>
      </c>
      <c r="P686" s="1">
        <v>0.0</v>
      </c>
      <c r="Q686" s="1">
        <v>0.0</v>
      </c>
      <c r="R686" s="1">
        <v>-3.0</v>
      </c>
      <c r="S686" s="1">
        <v>19.0</v>
      </c>
      <c r="T686" s="1">
        <v>0.0</v>
      </c>
    </row>
    <row r="687" ht="12.75" customHeight="1">
      <c r="A687" s="1" t="s">
        <v>720</v>
      </c>
      <c r="B687" s="1" t="str">
        <f>IFERROR(__xludf.DUMMYFUNCTION("split(A687, ""\"")"),"Tanner Fritz")</f>
        <v>Tanner Fritz</v>
      </c>
      <c r="C687" s="1" t="str">
        <f>IFERROR(__xludf.DUMMYFUNCTION("""COMPUTED_VALUE"""),"fritzta01")</f>
        <v>fritzta01</v>
      </c>
      <c r="D687" s="1" t="s">
        <v>31</v>
      </c>
      <c r="E687" s="1">
        <f t="shared" si="1"/>
        <v>53.9</v>
      </c>
      <c r="F687" s="1">
        <f t="shared" si="2"/>
        <v>1.59</v>
      </c>
      <c r="G687" s="1">
        <v>34.0</v>
      </c>
      <c r="H687" s="1">
        <v>3.0</v>
      </c>
      <c r="I687" s="1">
        <v>4.0</v>
      </c>
      <c r="J687" s="1">
        <v>7.0</v>
      </c>
      <c r="K687" s="1">
        <v>27.0</v>
      </c>
      <c r="L687" s="1">
        <v>59.0</v>
      </c>
      <c r="M687" s="1">
        <v>26.0</v>
      </c>
      <c r="N687" s="1">
        <v>0.0</v>
      </c>
      <c r="O687" s="1">
        <v>0.0</v>
      </c>
      <c r="P687" s="1">
        <v>0.0</v>
      </c>
      <c r="Q687" s="1">
        <v>0.0</v>
      </c>
      <c r="R687" s="1">
        <v>-3.0</v>
      </c>
      <c r="S687" s="1">
        <v>8.0</v>
      </c>
      <c r="T687" s="1">
        <v>0.0</v>
      </c>
    </row>
    <row r="688" ht="12.75" customHeight="1">
      <c r="A688" s="1" t="s">
        <v>721</v>
      </c>
      <c r="B688" s="1" t="str">
        <f>IFERROR(__xludf.DUMMYFUNCTION("split(A688, ""\"")"),"Dennis Seidenberg")</f>
        <v>Dennis Seidenberg</v>
      </c>
      <c r="C688" s="1" t="str">
        <f>IFERROR(__xludf.DUMMYFUNCTION("""COMPUTED_VALUE"""),"seidede01")</f>
        <v>seidede01</v>
      </c>
      <c r="D688" s="1" t="s">
        <v>66</v>
      </c>
      <c r="E688" s="1">
        <f t="shared" si="1"/>
        <v>53.7</v>
      </c>
      <c r="F688" s="1">
        <f t="shared" si="2"/>
        <v>1.92</v>
      </c>
      <c r="G688" s="1">
        <v>28.0</v>
      </c>
      <c r="H688" s="1">
        <v>0.0</v>
      </c>
      <c r="I688" s="1">
        <v>5.0</v>
      </c>
      <c r="J688" s="1">
        <v>5.0</v>
      </c>
      <c r="K688" s="1">
        <v>31.0</v>
      </c>
      <c r="L688" s="1">
        <v>65.0</v>
      </c>
      <c r="M688" s="1">
        <v>43.0</v>
      </c>
      <c r="N688" s="1">
        <v>0.0</v>
      </c>
      <c r="O688" s="1">
        <v>0.0</v>
      </c>
      <c r="P688" s="1">
        <v>0.0</v>
      </c>
      <c r="Q688" s="1">
        <v>0.0</v>
      </c>
      <c r="R688" s="1">
        <v>-9.0</v>
      </c>
      <c r="S688" s="1">
        <v>17.0</v>
      </c>
      <c r="T688" s="1">
        <v>0.0</v>
      </c>
    </row>
    <row r="689" ht="12.75" customHeight="1">
      <c r="A689" s="1" t="s">
        <v>722</v>
      </c>
      <c r="B689" s="1" t="str">
        <f>IFERROR(__xludf.DUMMYFUNCTION("split(A689, ""\"")"),"Lee Stempniak")</f>
        <v>Lee Stempniak</v>
      </c>
      <c r="C689" s="1" t="str">
        <f>IFERROR(__xludf.DUMMYFUNCTION("""COMPUTED_VALUE"""),"stemple01")</f>
        <v>stemple01</v>
      </c>
      <c r="D689" s="1" t="s">
        <v>36</v>
      </c>
      <c r="E689" s="1">
        <f t="shared" si="1"/>
        <v>52.65</v>
      </c>
      <c r="F689" s="1">
        <f t="shared" si="2"/>
        <v>1.42</v>
      </c>
      <c r="G689" s="1">
        <v>37.0</v>
      </c>
      <c r="H689" s="1">
        <v>3.0</v>
      </c>
      <c r="I689" s="1">
        <v>6.0</v>
      </c>
      <c r="J689" s="1">
        <v>9.0</v>
      </c>
      <c r="K689" s="1">
        <v>41.0</v>
      </c>
      <c r="L689" s="1">
        <v>40.0</v>
      </c>
      <c r="M689" s="1">
        <v>11.0</v>
      </c>
      <c r="N689" s="1">
        <v>1.0</v>
      </c>
      <c r="O689" s="1">
        <v>0.0</v>
      </c>
      <c r="P689" s="1">
        <v>0.0</v>
      </c>
      <c r="Q689" s="1">
        <v>0.0</v>
      </c>
      <c r="R689" s="1">
        <v>-8.0</v>
      </c>
      <c r="S689" s="1">
        <v>4.0</v>
      </c>
      <c r="T689" s="1">
        <v>0.0</v>
      </c>
    </row>
    <row r="690" ht="12.75" customHeight="1">
      <c r="A690" s="1" t="s">
        <v>723</v>
      </c>
      <c r="B690" s="1" t="str">
        <f>IFERROR(__xludf.DUMMYFUNCTION("split(A690, ""\"")"),"Al Montoya")</f>
        <v>Al Montoya</v>
      </c>
      <c r="C690" s="2" t="str">
        <f>IFERROR(__xludf.DUMMYFUNCTION("""COMPUTED_VALUE"""),"montoal01")</f>
        <v>montoal01</v>
      </c>
      <c r="D690" s="1" t="s">
        <v>5</v>
      </c>
      <c r="E690" s="1">
        <f t="shared" si="1"/>
        <v>52.25</v>
      </c>
      <c r="F690" s="1">
        <f t="shared" si="2"/>
        <v>4.02</v>
      </c>
      <c r="G690" s="1">
        <v>13.0</v>
      </c>
      <c r="U690" s="1">
        <v>8.0</v>
      </c>
      <c r="V690" s="1">
        <v>4.0</v>
      </c>
      <c r="W690" s="1">
        <v>3.0</v>
      </c>
      <c r="X690" s="1">
        <v>37.0</v>
      </c>
      <c r="Y690" s="1">
        <v>346.0</v>
      </c>
      <c r="Z690" s="1">
        <v>309.0</v>
      </c>
      <c r="AA690" s="1">
        <v>0.0</v>
      </c>
    </row>
    <row r="691" ht="12.75" customHeight="1">
      <c r="A691" s="1" t="s">
        <v>724</v>
      </c>
      <c r="B691" s="1" t="str">
        <f>IFERROR(__xludf.DUMMYFUNCTION("split(A691, ""\"")"),"Jimmy Hayes")</f>
        <v>Jimmy Hayes</v>
      </c>
      <c r="C691" s="1" t="str">
        <f>IFERROR(__xludf.DUMMYFUNCTION("""COMPUTED_VALUE"""),"hayesji01")</f>
        <v>hayesji01</v>
      </c>
      <c r="D691" s="1" t="s">
        <v>36</v>
      </c>
      <c r="E691" s="1">
        <f t="shared" si="1"/>
        <v>52.15</v>
      </c>
      <c r="F691" s="1">
        <f t="shared" si="2"/>
        <v>1.58</v>
      </c>
      <c r="G691" s="1">
        <v>33.0</v>
      </c>
      <c r="H691" s="1">
        <v>3.0</v>
      </c>
      <c r="I691" s="1">
        <v>6.0</v>
      </c>
      <c r="J691" s="1">
        <v>9.0</v>
      </c>
      <c r="K691" s="1">
        <v>37.0</v>
      </c>
      <c r="L691" s="1">
        <v>50.0</v>
      </c>
      <c r="M691" s="1">
        <v>6.0</v>
      </c>
      <c r="N691" s="1">
        <v>1.0</v>
      </c>
      <c r="O691" s="1">
        <v>0.0</v>
      </c>
      <c r="P691" s="1">
        <v>0.0</v>
      </c>
      <c r="Q691" s="1">
        <v>0.0</v>
      </c>
      <c r="R691" s="1">
        <v>-2.0</v>
      </c>
      <c r="S691" s="1">
        <v>6.0</v>
      </c>
      <c r="T691" s="1">
        <v>2.0</v>
      </c>
    </row>
    <row r="692" ht="12.75" customHeight="1">
      <c r="A692" s="1" t="s">
        <v>725</v>
      </c>
      <c r="B692" s="1" t="str">
        <f>IFERROR(__xludf.DUMMYFUNCTION("split(A692, ""\"")"),"Brendan Gaunce")</f>
        <v>Brendan Gaunce</v>
      </c>
      <c r="C692" s="1" t="str">
        <f>IFERROR(__xludf.DUMMYFUNCTION("""COMPUTED_VALUE"""),"gauncbr01")</f>
        <v>gauncbr01</v>
      </c>
      <c r="D692" s="1" t="s">
        <v>31</v>
      </c>
      <c r="E692" s="1">
        <f t="shared" si="1"/>
        <v>52.15</v>
      </c>
      <c r="F692" s="1">
        <f t="shared" si="2"/>
        <v>1.41</v>
      </c>
      <c r="G692" s="1">
        <v>37.0</v>
      </c>
      <c r="H692" s="1">
        <v>4.0</v>
      </c>
      <c r="I692" s="1">
        <v>2.0</v>
      </c>
      <c r="J692" s="1">
        <v>6.0</v>
      </c>
      <c r="K692" s="1">
        <v>55.0</v>
      </c>
      <c r="L692" s="1">
        <v>48.0</v>
      </c>
      <c r="M692" s="1">
        <v>11.0</v>
      </c>
      <c r="N692" s="1">
        <v>1.0</v>
      </c>
      <c r="O692" s="1">
        <v>0.0</v>
      </c>
      <c r="P692" s="1">
        <v>0.0</v>
      </c>
      <c r="Q692" s="1">
        <v>0.0</v>
      </c>
      <c r="R692" s="1">
        <v>0.0</v>
      </c>
      <c r="S692" s="1">
        <v>10.0</v>
      </c>
      <c r="T692" s="1">
        <v>1.0</v>
      </c>
    </row>
    <row r="693" ht="12.75" customHeight="1">
      <c r="A693" s="1" t="s">
        <v>726</v>
      </c>
      <c r="B693" s="1" t="str">
        <f>IFERROR(__xludf.DUMMYFUNCTION("split(A693, ""\"")"),"Yannick Weber")</f>
        <v>Yannick Weber</v>
      </c>
      <c r="C693" s="1" t="str">
        <f>IFERROR(__xludf.DUMMYFUNCTION("""COMPUTED_VALUE"""),"weberya01")</f>
        <v>weberya01</v>
      </c>
      <c r="D693" s="1" t="s">
        <v>66</v>
      </c>
      <c r="E693" s="1">
        <f t="shared" si="1"/>
        <v>51.25</v>
      </c>
      <c r="F693" s="1">
        <f t="shared" si="2"/>
        <v>1.09</v>
      </c>
      <c r="G693" s="1">
        <v>47.0</v>
      </c>
      <c r="H693" s="1">
        <v>2.0</v>
      </c>
      <c r="I693" s="1">
        <v>3.0</v>
      </c>
      <c r="J693" s="1">
        <v>5.0</v>
      </c>
      <c r="K693" s="1">
        <v>40.0</v>
      </c>
      <c r="L693" s="1">
        <v>47.0</v>
      </c>
      <c r="M693" s="1">
        <v>35.0</v>
      </c>
      <c r="N693" s="1">
        <v>0.0</v>
      </c>
      <c r="O693" s="1">
        <v>0.0</v>
      </c>
      <c r="P693" s="1">
        <v>0.0</v>
      </c>
      <c r="Q693" s="1">
        <v>0.0</v>
      </c>
      <c r="R693" s="1">
        <v>2.0</v>
      </c>
      <c r="S693" s="1">
        <v>16.0</v>
      </c>
      <c r="T693" s="1">
        <v>0.0</v>
      </c>
    </row>
    <row r="694" ht="12.75" customHeight="1">
      <c r="A694" s="1" t="s">
        <v>727</v>
      </c>
      <c r="B694" s="1" t="str">
        <f>IFERROR(__xludf.DUMMYFUNCTION("split(A694, ""\"")"),"Scott Harrington")</f>
        <v>Scott Harrington</v>
      </c>
      <c r="C694" s="1" t="str">
        <f>IFERROR(__xludf.DUMMYFUNCTION("""COMPUTED_VALUE"""),"harrisc01")</f>
        <v>harrisc01</v>
      </c>
      <c r="D694" s="1" t="s">
        <v>66</v>
      </c>
      <c r="E694" s="1">
        <f t="shared" si="1"/>
        <v>49.85</v>
      </c>
      <c r="F694" s="1">
        <f t="shared" si="2"/>
        <v>1.56</v>
      </c>
      <c r="G694" s="1">
        <v>32.0</v>
      </c>
      <c r="H694" s="1">
        <v>2.0</v>
      </c>
      <c r="I694" s="1">
        <v>3.0</v>
      </c>
      <c r="J694" s="1">
        <v>5.0</v>
      </c>
      <c r="K694" s="1">
        <v>28.0</v>
      </c>
      <c r="L694" s="1">
        <v>35.0</v>
      </c>
      <c r="M694" s="1">
        <v>44.0</v>
      </c>
      <c r="N694" s="1">
        <v>0.0</v>
      </c>
      <c r="O694" s="1">
        <v>0.0</v>
      </c>
      <c r="P694" s="1">
        <v>0.0</v>
      </c>
      <c r="Q694" s="1">
        <v>1.0</v>
      </c>
      <c r="R694" s="1">
        <v>0.0</v>
      </c>
      <c r="S694" s="1">
        <v>8.0</v>
      </c>
      <c r="T694" s="1">
        <v>1.0</v>
      </c>
    </row>
    <row r="695" ht="12.75" customHeight="1">
      <c r="A695" s="1" t="s">
        <v>728</v>
      </c>
      <c r="B695" s="1" t="str">
        <f>IFERROR(__xludf.DUMMYFUNCTION("split(A695, ""\"")"),"Carter Rowney")</f>
        <v>Carter Rowney</v>
      </c>
      <c r="C695" s="1" t="str">
        <f>IFERROR(__xludf.DUMMYFUNCTION("""COMPUTED_VALUE"""),"rowneca01")</f>
        <v>rowneca01</v>
      </c>
      <c r="D695" s="1" t="s">
        <v>36</v>
      </c>
      <c r="E695" s="1">
        <f t="shared" si="1"/>
        <v>49.85</v>
      </c>
      <c r="F695" s="1">
        <f t="shared" si="2"/>
        <v>1.13</v>
      </c>
      <c r="G695" s="1">
        <v>44.0</v>
      </c>
      <c r="H695" s="1">
        <v>2.0</v>
      </c>
      <c r="I695" s="1">
        <v>3.0</v>
      </c>
      <c r="J695" s="1">
        <v>5.0</v>
      </c>
      <c r="K695" s="1">
        <v>21.0</v>
      </c>
      <c r="L695" s="1">
        <v>74.0</v>
      </c>
      <c r="M695" s="1">
        <v>24.0</v>
      </c>
      <c r="N695" s="1">
        <v>0.0</v>
      </c>
      <c r="O695" s="1">
        <v>0.0</v>
      </c>
      <c r="P695" s="1">
        <v>1.0</v>
      </c>
      <c r="Q695" s="1">
        <v>0.0</v>
      </c>
      <c r="R695" s="1">
        <v>-13.0</v>
      </c>
      <c r="S695" s="1">
        <v>4.0</v>
      </c>
      <c r="T695" s="1">
        <v>0.0</v>
      </c>
    </row>
    <row r="696" ht="12.75" customHeight="1">
      <c r="A696" s="1" t="s">
        <v>729</v>
      </c>
      <c r="B696" s="1" t="str">
        <f>IFERROR(__xludf.DUMMYFUNCTION("split(A696, ""\"")"),"Harri Sateri")</f>
        <v>Harri Sateri</v>
      </c>
      <c r="C696" s="2" t="str">
        <f>IFERROR(__xludf.DUMMYFUNCTION("""COMPUTED_VALUE"""),"saterha01")</f>
        <v>saterha01</v>
      </c>
      <c r="D696" s="1" t="s">
        <v>5</v>
      </c>
      <c r="E696" s="1">
        <f t="shared" si="1"/>
        <v>49.75</v>
      </c>
      <c r="F696" s="1">
        <f t="shared" si="2"/>
        <v>5.53</v>
      </c>
      <c r="G696" s="1">
        <v>9.0</v>
      </c>
      <c r="U696" s="1">
        <v>7.0</v>
      </c>
      <c r="V696" s="1">
        <v>4.0</v>
      </c>
      <c r="W696" s="1">
        <v>4.0</v>
      </c>
      <c r="X696" s="1">
        <v>24.0</v>
      </c>
      <c r="Y696" s="1">
        <v>271.0</v>
      </c>
      <c r="Z696" s="1">
        <v>247.0</v>
      </c>
      <c r="AA696" s="1">
        <v>0.0</v>
      </c>
    </row>
    <row r="697" ht="12.75" customHeight="1">
      <c r="A697" s="1" t="s">
        <v>730</v>
      </c>
      <c r="B697" s="1" t="str">
        <f>IFERROR(__xludf.DUMMYFUNCTION("split(A697, ""\"")"),"Toby Enstrom")</f>
        <v>Toby Enstrom</v>
      </c>
      <c r="C697" s="1" t="str">
        <f>IFERROR(__xludf.DUMMYFUNCTION("""COMPUTED_VALUE"""),"enstrto01")</f>
        <v>enstrto01</v>
      </c>
      <c r="D697" s="1" t="s">
        <v>66</v>
      </c>
      <c r="E697" s="1">
        <f t="shared" si="1"/>
        <v>49.65</v>
      </c>
      <c r="F697" s="1">
        <f t="shared" si="2"/>
        <v>1.15</v>
      </c>
      <c r="G697" s="1">
        <v>43.0</v>
      </c>
      <c r="H697" s="1">
        <v>1.0</v>
      </c>
      <c r="I697" s="1">
        <v>5.0</v>
      </c>
      <c r="J697" s="1">
        <v>6.0</v>
      </c>
      <c r="K697" s="1">
        <v>31.0</v>
      </c>
      <c r="L697" s="1">
        <v>20.0</v>
      </c>
      <c r="M697" s="1">
        <v>51.0</v>
      </c>
      <c r="N697" s="1">
        <v>0.0</v>
      </c>
      <c r="O697" s="1">
        <v>0.0</v>
      </c>
      <c r="P697" s="1">
        <v>0.0</v>
      </c>
      <c r="Q697" s="1">
        <v>0.0</v>
      </c>
      <c r="R697" s="1">
        <v>8.0</v>
      </c>
      <c r="S697" s="1">
        <v>20.0</v>
      </c>
      <c r="T697" s="1">
        <v>0.0</v>
      </c>
    </row>
    <row r="698" ht="12.75" customHeight="1">
      <c r="A698" s="1" t="s">
        <v>731</v>
      </c>
      <c r="B698" s="1" t="str">
        <f>IFERROR(__xludf.DUMMYFUNCTION("split(A698, ""\"")"),"John Gilmour")</f>
        <v>John Gilmour</v>
      </c>
      <c r="C698" s="1" t="str">
        <f>IFERROR(__xludf.DUMMYFUNCTION("""COMPUTED_VALUE"""),"gilmojo01")</f>
        <v>gilmojo01</v>
      </c>
      <c r="D698" s="1" t="s">
        <v>66</v>
      </c>
      <c r="E698" s="1">
        <f t="shared" si="1"/>
        <v>49.3</v>
      </c>
      <c r="F698" s="1">
        <f t="shared" si="2"/>
        <v>1.76</v>
      </c>
      <c r="G698" s="1">
        <v>28.0</v>
      </c>
      <c r="H698" s="1">
        <v>2.0</v>
      </c>
      <c r="I698" s="1">
        <v>3.0</v>
      </c>
      <c r="J698" s="1">
        <v>5.0</v>
      </c>
      <c r="K698" s="1">
        <v>61.0</v>
      </c>
      <c r="L698" s="1">
        <v>27.0</v>
      </c>
      <c r="M698" s="1">
        <v>27.0</v>
      </c>
      <c r="N698" s="1">
        <v>1.0</v>
      </c>
      <c r="O698" s="1">
        <v>0.0</v>
      </c>
      <c r="P698" s="1">
        <v>0.0</v>
      </c>
      <c r="Q698" s="1">
        <v>0.0</v>
      </c>
      <c r="R698" s="1">
        <v>-11.0</v>
      </c>
      <c r="S698" s="1">
        <v>14.0</v>
      </c>
      <c r="T698" s="1">
        <v>1.0</v>
      </c>
    </row>
    <row r="699" ht="12.75" customHeight="1">
      <c r="A699" s="1" t="s">
        <v>732</v>
      </c>
      <c r="B699" s="1" t="str">
        <f>IFERROR(__xludf.DUMMYFUNCTION("split(A699, ""\"")"),"Anthony Cirelli")</f>
        <v>Anthony Cirelli</v>
      </c>
      <c r="C699" s="1" t="str">
        <f>IFERROR(__xludf.DUMMYFUNCTION("""COMPUTED_VALUE"""),"cirelan01")</f>
        <v>cirelan01</v>
      </c>
      <c r="D699" s="1" t="s">
        <v>31</v>
      </c>
      <c r="E699" s="1">
        <f t="shared" si="1"/>
        <v>49.15</v>
      </c>
      <c r="F699" s="1">
        <f t="shared" si="2"/>
        <v>2.73</v>
      </c>
      <c r="G699" s="1">
        <v>18.0</v>
      </c>
      <c r="H699" s="1">
        <v>5.0</v>
      </c>
      <c r="I699" s="1">
        <v>6.0</v>
      </c>
      <c r="J699" s="1">
        <v>11.0</v>
      </c>
      <c r="K699" s="1">
        <v>26.0</v>
      </c>
      <c r="L699" s="1">
        <v>17.0</v>
      </c>
      <c r="M699" s="1">
        <v>6.0</v>
      </c>
      <c r="N699" s="1">
        <v>0.0</v>
      </c>
      <c r="O699" s="1">
        <v>0.0</v>
      </c>
      <c r="P699" s="1">
        <v>0.0</v>
      </c>
      <c r="Q699" s="1">
        <v>1.0</v>
      </c>
      <c r="R699" s="1">
        <v>11.0</v>
      </c>
      <c r="S699" s="1">
        <v>6.0</v>
      </c>
      <c r="T699" s="1">
        <v>0.0</v>
      </c>
    </row>
    <row r="700" ht="12.75" customHeight="1">
      <c r="A700" s="1" t="s">
        <v>733</v>
      </c>
      <c r="B700" s="1" t="str">
        <f>IFERROR(__xludf.DUMMYFUNCTION("split(A700, ""\"")"),"Josh Jooris")</f>
        <v>Josh Jooris</v>
      </c>
      <c r="C700" s="1" t="str">
        <f>IFERROR(__xludf.DUMMYFUNCTION("""COMPUTED_VALUE"""),"joorijo01")</f>
        <v>joorijo01</v>
      </c>
      <c r="D700" s="1" t="s">
        <v>31</v>
      </c>
      <c r="E700" s="1">
        <f t="shared" si="1"/>
        <v>49.15</v>
      </c>
      <c r="F700" s="1">
        <f t="shared" si="2"/>
        <v>1.23</v>
      </c>
      <c r="G700" s="1">
        <v>40.0</v>
      </c>
      <c r="H700" s="1">
        <v>3.0</v>
      </c>
      <c r="I700" s="1">
        <v>3.0</v>
      </c>
      <c r="J700" s="1">
        <v>6.0</v>
      </c>
      <c r="K700" s="1">
        <v>50.0</v>
      </c>
      <c r="L700" s="1">
        <v>51.0</v>
      </c>
      <c r="M700" s="1">
        <v>11.0</v>
      </c>
      <c r="N700" s="1">
        <v>0.0</v>
      </c>
      <c r="O700" s="1">
        <v>0.0</v>
      </c>
      <c r="P700" s="1">
        <v>0.0</v>
      </c>
      <c r="Q700" s="1">
        <v>0.0</v>
      </c>
      <c r="R700" s="1">
        <v>-7.0</v>
      </c>
      <c r="S700" s="1">
        <v>16.0</v>
      </c>
      <c r="T700" s="1">
        <v>0.0</v>
      </c>
    </row>
    <row r="701" ht="12.75" customHeight="1">
      <c r="A701" s="1" t="s">
        <v>734</v>
      </c>
      <c r="B701" s="1" t="str">
        <f>IFERROR(__xludf.DUMMYFUNCTION("split(A701, ""\"")"),"Gustav Olofsson")</f>
        <v>Gustav Olofsson</v>
      </c>
      <c r="C701" s="1" t="str">
        <f>IFERROR(__xludf.DUMMYFUNCTION("""COMPUTED_VALUE"""),"olofsgu01")</f>
        <v>olofsgu01</v>
      </c>
      <c r="D701" s="1" t="s">
        <v>66</v>
      </c>
      <c r="E701" s="1">
        <f t="shared" si="1"/>
        <v>48.85</v>
      </c>
      <c r="F701" s="1">
        <f t="shared" si="2"/>
        <v>1.19</v>
      </c>
      <c r="G701" s="1">
        <v>41.0</v>
      </c>
      <c r="H701" s="1">
        <v>0.0</v>
      </c>
      <c r="I701" s="1">
        <v>8.0</v>
      </c>
      <c r="J701" s="1">
        <v>8.0</v>
      </c>
      <c r="K701" s="1">
        <v>22.0</v>
      </c>
      <c r="L701" s="1">
        <v>23.0</v>
      </c>
      <c r="M701" s="1">
        <v>44.0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14.0</v>
      </c>
      <c r="T701" s="1">
        <v>0.0</v>
      </c>
    </row>
    <row r="702" ht="12.75" customHeight="1">
      <c r="A702" s="1" t="s">
        <v>735</v>
      </c>
      <c r="B702" s="1" t="str">
        <f>IFERROR(__xludf.DUMMYFUNCTION("split(A702, ""\"")"),"Iiro Pakarinen")</f>
        <v>Iiro Pakarinen</v>
      </c>
      <c r="C702" s="1" t="str">
        <f>IFERROR(__xludf.DUMMYFUNCTION("""COMPUTED_VALUE"""),"pakarii01")</f>
        <v>pakarii01</v>
      </c>
      <c r="D702" s="1" t="s">
        <v>36</v>
      </c>
      <c r="E702" s="1">
        <f t="shared" si="1"/>
        <v>47.8</v>
      </c>
      <c r="F702" s="1">
        <f t="shared" si="2"/>
        <v>1.2</v>
      </c>
      <c r="G702" s="1">
        <v>40.0</v>
      </c>
      <c r="H702" s="1">
        <v>2.0</v>
      </c>
      <c r="I702" s="1">
        <v>1.0</v>
      </c>
      <c r="J702" s="1">
        <v>3.0</v>
      </c>
      <c r="K702" s="1">
        <v>50.0</v>
      </c>
      <c r="L702" s="1">
        <v>72.0</v>
      </c>
      <c r="M702" s="1">
        <v>17.0</v>
      </c>
      <c r="N702" s="1">
        <v>0.0</v>
      </c>
      <c r="O702" s="1">
        <v>0.0</v>
      </c>
      <c r="P702" s="1">
        <v>0.0</v>
      </c>
      <c r="Q702" s="1">
        <v>0.0</v>
      </c>
      <c r="R702" s="1">
        <v>1.0</v>
      </c>
      <c r="S702" s="1">
        <v>6.0</v>
      </c>
      <c r="T702" s="1">
        <v>0.0</v>
      </c>
    </row>
    <row r="703" ht="12.75" customHeight="1">
      <c r="A703" s="1" t="s">
        <v>736</v>
      </c>
      <c r="B703" s="1" t="str">
        <f>IFERROR(__xludf.DUMMYFUNCTION("split(A703, ""\"")"),"Josh Gorges")</f>
        <v>Josh Gorges</v>
      </c>
      <c r="C703" s="1" t="str">
        <f>IFERROR(__xludf.DUMMYFUNCTION("""COMPUTED_VALUE"""),"gorgejo01")</f>
        <v>gorgejo01</v>
      </c>
      <c r="D703" s="1" t="s">
        <v>66</v>
      </c>
      <c r="E703" s="1">
        <f t="shared" si="1"/>
        <v>47.6</v>
      </c>
      <c r="F703" s="1">
        <f t="shared" si="2"/>
        <v>1.4</v>
      </c>
      <c r="G703" s="1">
        <v>34.0</v>
      </c>
      <c r="H703" s="1">
        <v>0.0</v>
      </c>
      <c r="I703" s="1">
        <v>2.0</v>
      </c>
      <c r="J703" s="1">
        <v>2.0</v>
      </c>
      <c r="K703" s="1">
        <v>15.0</v>
      </c>
      <c r="L703" s="1">
        <v>69.0</v>
      </c>
      <c r="M703" s="1">
        <v>54.0</v>
      </c>
      <c r="N703" s="1">
        <v>0.0</v>
      </c>
      <c r="O703" s="1">
        <v>0.0</v>
      </c>
      <c r="P703" s="1">
        <v>0.0</v>
      </c>
      <c r="Q703" s="1">
        <v>0.0</v>
      </c>
      <c r="R703" s="1">
        <v>-4.0</v>
      </c>
      <c r="S703" s="1">
        <v>17.0</v>
      </c>
      <c r="T703" s="1">
        <v>0.0</v>
      </c>
    </row>
    <row r="704" ht="12.75" customHeight="1">
      <c r="A704" s="1" t="s">
        <v>737</v>
      </c>
      <c r="B704" s="1" t="str">
        <f>IFERROR(__xludf.DUMMYFUNCTION("split(A704, ""\"")"),"Cody Franson")</f>
        <v>Cody Franson</v>
      </c>
      <c r="C704" s="1" t="str">
        <f>IFERROR(__xludf.DUMMYFUNCTION("""COMPUTED_VALUE"""),"fransco01")</f>
        <v>fransco01</v>
      </c>
      <c r="D704" s="1" t="s">
        <v>66</v>
      </c>
      <c r="E704" s="1">
        <f t="shared" si="1"/>
        <v>47.45</v>
      </c>
      <c r="F704" s="1">
        <f t="shared" si="2"/>
        <v>2.06</v>
      </c>
      <c r="G704" s="1">
        <v>23.0</v>
      </c>
      <c r="H704" s="1">
        <v>1.0</v>
      </c>
      <c r="I704" s="1">
        <v>6.0</v>
      </c>
      <c r="J704" s="1">
        <v>7.0</v>
      </c>
      <c r="K704" s="1">
        <v>51.0</v>
      </c>
      <c r="L704" s="1">
        <v>18.0</v>
      </c>
      <c r="M704" s="1">
        <v>18.0</v>
      </c>
      <c r="N704" s="1">
        <v>0.0</v>
      </c>
      <c r="O704" s="1">
        <v>4.0</v>
      </c>
      <c r="P704" s="1">
        <v>0.0</v>
      </c>
      <c r="Q704" s="1">
        <v>0.0</v>
      </c>
      <c r="R704" s="1">
        <v>-1.0</v>
      </c>
      <c r="S704" s="1">
        <v>8.0</v>
      </c>
      <c r="T704" s="1">
        <v>0.0</v>
      </c>
    </row>
    <row r="705" ht="12.75" customHeight="1">
      <c r="A705" s="1" t="s">
        <v>738</v>
      </c>
      <c r="B705" s="1" t="str">
        <f>IFERROR(__xludf.DUMMYFUNCTION("split(A705, ""\"")"),"Andrej Sustr")</f>
        <v>Andrej Sustr</v>
      </c>
      <c r="C705" s="1" t="str">
        <f>IFERROR(__xludf.DUMMYFUNCTION("""COMPUTED_VALUE"""),"sustran01")</f>
        <v>sustran01</v>
      </c>
      <c r="D705" s="1" t="s">
        <v>66</v>
      </c>
      <c r="E705" s="1">
        <f t="shared" si="1"/>
        <v>47.2</v>
      </c>
      <c r="F705" s="1">
        <f t="shared" si="2"/>
        <v>1.07</v>
      </c>
      <c r="G705" s="1">
        <v>44.0</v>
      </c>
      <c r="H705" s="1">
        <v>2.0</v>
      </c>
      <c r="I705" s="1">
        <v>5.0</v>
      </c>
      <c r="J705" s="1">
        <v>7.0</v>
      </c>
      <c r="K705" s="1">
        <v>45.0</v>
      </c>
      <c r="L705" s="1">
        <v>9.0</v>
      </c>
      <c r="M705" s="1">
        <v>33.0</v>
      </c>
      <c r="N705" s="1">
        <v>0.0</v>
      </c>
      <c r="O705" s="1">
        <v>0.0</v>
      </c>
      <c r="P705" s="1">
        <v>0.0</v>
      </c>
      <c r="Q705" s="1">
        <v>0.0</v>
      </c>
      <c r="R705" s="1">
        <v>-5.0</v>
      </c>
      <c r="S705" s="1">
        <v>18.0</v>
      </c>
      <c r="T705" s="1">
        <v>0.0</v>
      </c>
    </row>
    <row r="706" ht="12.75" customHeight="1">
      <c r="A706" s="1" t="s">
        <v>739</v>
      </c>
      <c r="B706" s="1" t="str">
        <f>IFERROR(__xludf.DUMMYFUNCTION("split(A706, ""\"")"),"Jonny Brodzinski")</f>
        <v>Jonny Brodzinski</v>
      </c>
      <c r="C706" s="1" t="str">
        <f>IFERROR(__xludf.DUMMYFUNCTION("""COMPUTED_VALUE"""),"brodzjo01")</f>
        <v>brodzjo01</v>
      </c>
      <c r="D706" s="1" t="s">
        <v>31</v>
      </c>
      <c r="E706" s="1">
        <f t="shared" si="1"/>
        <v>46.6</v>
      </c>
      <c r="F706" s="1">
        <f t="shared" si="2"/>
        <v>1.33</v>
      </c>
      <c r="G706" s="1">
        <v>35.0</v>
      </c>
      <c r="H706" s="1">
        <v>4.0</v>
      </c>
      <c r="I706" s="1">
        <v>2.0</v>
      </c>
      <c r="J706" s="1">
        <v>6.0</v>
      </c>
      <c r="K706" s="1">
        <v>53.0</v>
      </c>
      <c r="L706" s="1">
        <v>35.0</v>
      </c>
      <c r="M706" s="1">
        <v>9.0</v>
      </c>
      <c r="N706" s="1">
        <v>0.0</v>
      </c>
      <c r="O706" s="1">
        <v>0.0</v>
      </c>
      <c r="P706" s="1">
        <v>0.0</v>
      </c>
      <c r="Q706" s="1">
        <v>0.0</v>
      </c>
      <c r="R706" s="1">
        <v>4.0</v>
      </c>
      <c r="S706" s="1">
        <v>6.0</v>
      </c>
      <c r="T706" s="1">
        <v>1.0</v>
      </c>
    </row>
    <row r="707" ht="12.75" customHeight="1">
      <c r="A707" s="1" t="s">
        <v>740</v>
      </c>
      <c r="B707" s="1" t="str">
        <f>IFERROR(__xludf.DUMMYFUNCTION("split(A707, ""\"")"),"Kurtis MacDermid")</f>
        <v>Kurtis MacDermid</v>
      </c>
      <c r="C707" s="1" t="str">
        <f>IFERROR(__xludf.DUMMYFUNCTION("""COMPUTED_VALUE"""),"macdeku01")</f>
        <v>macdeku01</v>
      </c>
      <c r="D707" s="1" t="s">
        <v>66</v>
      </c>
      <c r="E707" s="1">
        <f t="shared" si="1"/>
        <v>46.3</v>
      </c>
      <c r="F707" s="1">
        <f t="shared" si="2"/>
        <v>1.36</v>
      </c>
      <c r="G707" s="1">
        <v>34.0</v>
      </c>
      <c r="H707" s="1">
        <v>1.0</v>
      </c>
      <c r="I707" s="1">
        <v>3.0</v>
      </c>
      <c r="J707" s="1">
        <v>4.0</v>
      </c>
      <c r="K707" s="1">
        <v>19.0</v>
      </c>
      <c r="L707" s="1">
        <v>77.0</v>
      </c>
      <c r="M707" s="1">
        <v>27.0</v>
      </c>
      <c r="N707" s="1">
        <v>0.0</v>
      </c>
      <c r="O707" s="1">
        <v>0.0</v>
      </c>
      <c r="P707" s="1">
        <v>0.0</v>
      </c>
      <c r="Q707" s="1">
        <v>0.0</v>
      </c>
      <c r="R707" s="1">
        <v>-4.0</v>
      </c>
      <c r="S707" s="1">
        <v>57.0</v>
      </c>
      <c r="T707" s="1">
        <v>0.0</v>
      </c>
    </row>
    <row r="708" ht="12.75" customHeight="1">
      <c r="A708" s="1" t="s">
        <v>741</v>
      </c>
      <c r="B708" s="1" t="str">
        <f>IFERROR(__xludf.DUMMYFUNCTION("split(A708, ""\"")"),"Kris Versteeg")</f>
        <v>Kris Versteeg</v>
      </c>
      <c r="C708" s="1" t="str">
        <f>IFERROR(__xludf.DUMMYFUNCTION("""COMPUTED_VALUE"""),"verstkr01")</f>
        <v>verstkr01</v>
      </c>
      <c r="D708" s="1" t="s">
        <v>36</v>
      </c>
      <c r="E708" s="1">
        <f t="shared" si="1"/>
        <v>45.65</v>
      </c>
      <c r="F708" s="1">
        <f t="shared" si="2"/>
        <v>1.9</v>
      </c>
      <c r="G708" s="1">
        <v>24.0</v>
      </c>
      <c r="H708" s="1">
        <v>3.0</v>
      </c>
      <c r="I708" s="1">
        <v>5.0</v>
      </c>
      <c r="J708" s="1">
        <v>8.0</v>
      </c>
      <c r="K708" s="1">
        <v>49.0</v>
      </c>
      <c r="L708" s="1">
        <v>6.0</v>
      </c>
      <c r="M708" s="1">
        <v>6.0</v>
      </c>
      <c r="N708" s="1">
        <v>1.0</v>
      </c>
      <c r="O708" s="1">
        <v>4.0</v>
      </c>
      <c r="P708" s="1">
        <v>0.0</v>
      </c>
      <c r="Q708" s="1">
        <v>0.0</v>
      </c>
      <c r="R708" s="1">
        <v>-8.0</v>
      </c>
      <c r="S708" s="1">
        <v>6.0</v>
      </c>
      <c r="T708" s="1">
        <v>1.0</v>
      </c>
    </row>
    <row r="709" ht="12.75" customHeight="1">
      <c r="A709" s="1" t="s">
        <v>742</v>
      </c>
      <c r="B709" s="1" t="str">
        <f>IFERROR(__xludf.DUMMYFUNCTION("split(A709, ""\"")"),"Noah Juulsen")</f>
        <v>Noah Juulsen</v>
      </c>
      <c r="C709" s="1" t="str">
        <f>IFERROR(__xludf.DUMMYFUNCTION("""COMPUTED_VALUE"""),"juulsno01")</f>
        <v>juulsno01</v>
      </c>
      <c r="D709" s="1" t="s">
        <v>66</v>
      </c>
      <c r="E709" s="1">
        <f t="shared" si="1"/>
        <v>45.35</v>
      </c>
      <c r="F709" s="1">
        <f t="shared" si="2"/>
        <v>1.97</v>
      </c>
      <c r="G709" s="1">
        <v>23.0</v>
      </c>
      <c r="H709" s="1">
        <v>1.0</v>
      </c>
      <c r="I709" s="1">
        <v>2.0</v>
      </c>
      <c r="J709" s="1">
        <v>3.0</v>
      </c>
      <c r="K709" s="1">
        <v>33.0</v>
      </c>
      <c r="L709" s="1">
        <v>58.0</v>
      </c>
      <c r="M709" s="1">
        <v>34.0</v>
      </c>
      <c r="N709" s="1">
        <v>0.0</v>
      </c>
      <c r="O709" s="1">
        <v>0.0</v>
      </c>
      <c r="P709" s="1">
        <v>0.0</v>
      </c>
      <c r="Q709" s="1">
        <v>0.0</v>
      </c>
      <c r="R709" s="1">
        <v>1.0</v>
      </c>
      <c r="S709" s="1">
        <v>4.0</v>
      </c>
      <c r="T709" s="1">
        <v>0.0</v>
      </c>
    </row>
    <row r="710" ht="12.75" customHeight="1">
      <c r="A710" s="1" t="s">
        <v>743</v>
      </c>
      <c r="B710" s="1" t="str">
        <f>IFERROR(__xludf.DUMMYFUNCTION("split(A710, ""\"")"),"Nikita Scherbak")</f>
        <v>Nikita Scherbak</v>
      </c>
      <c r="C710" s="1" t="str">
        <f>IFERROR(__xludf.DUMMYFUNCTION("""COMPUTED_VALUE"""),"scherni01")</f>
        <v>scherni01</v>
      </c>
      <c r="D710" s="1" t="s">
        <v>36</v>
      </c>
      <c r="E710" s="1">
        <f t="shared" si="1"/>
        <v>45.25</v>
      </c>
      <c r="F710" s="1">
        <f t="shared" si="2"/>
        <v>1.74</v>
      </c>
      <c r="G710" s="1">
        <v>26.0</v>
      </c>
      <c r="H710" s="1">
        <v>4.0</v>
      </c>
      <c r="I710" s="1">
        <v>2.0</v>
      </c>
      <c r="J710" s="1">
        <v>6.0</v>
      </c>
      <c r="K710" s="1">
        <v>39.0</v>
      </c>
      <c r="L710" s="1">
        <v>18.0</v>
      </c>
      <c r="M710" s="1">
        <v>15.0</v>
      </c>
      <c r="N710" s="1">
        <v>1.0</v>
      </c>
      <c r="O710" s="1">
        <v>2.0</v>
      </c>
      <c r="P710" s="1">
        <v>1.0</v>
      </c>
      <c r="Q710" s="1">
        <v>0.0</v>
      </c>
      <c r="R710" s="1">
        <v>-5.0</v>
      </c>
      <c r="S710" s="1">
        <v>8.0</v>
      </c>
      <c r="T710" s="1">
        <v>0.0</v>
      </c>
    </row>
    <row r="711" ht="12.75" customHeight="1">
      <c r="A711" s="1" t="s">
        <v>744</v>
      </c>
      <c r="B711" s="1" t="str">
        <f>IFERROR(__xludf.DUMMYFUNCTION("split(A711, ""\"")"),"Boo Nieves")</f>
        <v>Boo Nieves</v>
      </c>
      <c r="C711" s="1" t="str">
        <f>IFERROR(__xludf.DUMMYFUNCTION("""COMPUTED_VALUE"""),"nievecr01")</f>
        <v>nievecr01</v>
      </c>
      <c r="D711" s="1" t="s">
        <v>31</v>
      </c>
      <c r="E711" s="1">
        <f t="shared" si="1"/>
        <v>44.85</v>
      </c>
      <c r="F711" s="1">
        <f t="shared" si="2"/>
        <v>1.6</v>
      </c>
      <c r="G711" s="1">
        <v>28.0</v>
      </c>
      <c r="H711" s="1">
        <v>1.0</v>
      </c>
      <c r="I711" s="1">
        <v>8.0</v>
      </c>
      <c r="J711" s="1">
        <v>9.0</v>
      </c>
      <c r="K711" s="1">
        <v>23.0</v>
      </c>
      <c r="L711" s="1">
        <v>30.0</v>
      </c>
      <c r="M711" s="1">
        <v>19.0</v>
      </c>
      <c r="N711" s="1">
        <v>0.0</v>
      </c>
      <c r="O711" s="1">
        <v>0.0</v>
      </c>
      <c r="P711" s="1">
        <v>0.0</v>
      </c>
      <c r="Q711" s="1">
        <v>0.0</v>
      </c>
      <c r="R711" s="1">
        <v>6.0</v>
      </c>
      <c r="S711" s="1">
        <v>12.0</v>
      </c>
      <c r="T711" s="1">
        <v>0.0</v>
      </c>
    </row>
    <row r="712" ht="12.75" customHeight="1">
      <c r="A712" s="1" t="s">
        <v>745</v>
      </c>
      <c r="B712" s="1" t="str">
        <f>IFERROR(__xludf.DUMMYFUNCTION("split(A712, ""\"")"),"Laurent Brossoit")</f>
        <v>Laurent Brossoit</v>
      </c>
      <c r="C712" s="2" t="str">
        <f>IFERROR(__xludf.DUMMYFUNCTION("""COMPUTED_VALUE"""),"brossla01")</f>
        <v>brossla01</v>
      </c>
      <c r="D712" s="1" t="s">
        <v>5</v>
      </c>
      <c r="E712" s="1">
        <f t="shared" si="1"/>
        <v>44.75</v>
      </c>
      <c r="F712" s="1">
        <f t="shared" si="2"/>
        <v>3.2</v>
      </c>
      <c r="G712" s="1">
        <v>14.0</v>
      </c>
      <c r="U712" s="1">
        <v>10.0</v>
      </c>
      <c r="V712" s="1">
        <v>3.0</v>
      </c>
      <c r="W712" s="1">
        <v>7.0</v>
      </c>
      <c r="X712" s="1">
        <v>40.0</v>
      </c>
      <c r="Y712" s="1">
        <v>343.0</v>
      </c>
      <c r="Z712" s="1">
        <v>303.0</v>
      </c>
      <c r="AA712" s="1">
        <v>0.0</v>
      </c>
    </row>
    <row r="713" ht="12.75" customHeight="1">
      <c r="A713" s="1" t="s">
        <v>746</v>
      </c>
      <c r="B713" s="1" t="str">
        <f>IFERROR(__xludf.DUMMYFUNCTION("split(A713, ""\"")"),"Christopher Gibson")</f>
        <v>Christopher Gibson</v>
      </c>
      <c r="C713" s="2" t="str">
        <f>IFERROR(__xludf.DUMMYFUNCTION("""COMPUTED_VALUE"""),"gibsoch01")</f>
        <v>gibsoch01</v>
      </c>
      <c r="D713" s="1" t="s">
        <v>5</v>
      </c>
      <c r="E713" s="1">
        <f t="shared" si="1"/>
        <v>44.5</v>
      </c>
      <c r="F713" s="1">
        <f t="shared" si="2"/>
        <v>5.56</v>
      </c>
      <c r="G713" s="1">
        <v>8.0</v>
      </c>
      <c r="U713" s="1">
        <v>8.0</v>
      </c>
      <c r="V713" s="1">
        <v>2.0</v>
      </c>
      <c r="W713" s="1">
        <v>3.0</v>
      </c>
      <c r="X713" s="1">
        <v>26.0</v>
      </c>
      <c r="Y713" s="1">
        <v>284.0</v>
      </c>
      <c r="Z713" s="1">
        <v>258.0</v>
      </c>
      <c r="AA713" s="1">
        <v>0.0</v>
      </c>
    </row>
    <row r="714" ht="12.75" customHeight="1">
      <c r="A714" s="1" t="s">
        <v>747</v>
      </c>
      <c r="B714" s="1" t="str">
        <f>IFERROR(__xludf.DUMMYFUNCTION("split(A714, ""\"")"),"Marcus Kruger")</f>
        <v>Marcus Kruger</v>
      </c>
      <c r="C714" s="1" t="str">
        <f>IFERROR(__xludf.DUMMYFUNCTION("""COMPUTED_VALUE"""),"krugema01")</f>
        <v>krugema01</v>
      </c>
      <c r="D714" s="1" t="s">
        <v>31</v>
      </c>
      <c r="E714" s="1">
        <f t="shared" si="1"/>
        <v>44.4</v>
      </c>
      <c r="F714" s="1">
        <f t="shared" si="2"/>
        <v>0.93</v>
      </c>
      <c r="G714" s="1">
        <v>48.0</v>
      </c>
      <c r="H714" s="1">
        <v>1.0</v>
      </c>
      <c r="I714" s="1">
        <v>5.0</v>
      </c>
      <c r="J714" s="1">
        <v>6.0</v>
      </c>
      <c r="K714" s="1">
        <v>30.0</v>
      </c>
      <c r="L714" s="1">
        <v>56.0</v>
      </c>
      <c r="M714" s="1">
        <v>16.0</v>
      </c>
      <c r="N714" s="1">
        <v>0.0</v>
      </c>
      <c r="O714" s="1">
        <v>0.0</v>
      </c>
      <c r="P714" s="1">
        <v>0.0</v>
      </c>
      <c r="Q714" s="1">
        <v>0.0</v>
      </c>
      <c r="R714" s="1">
        <v>-6.0</v>
      </c>
      <c r="S714" s="1">
        <v>28.0</v>
      </c>
      <c r="T714" s="1">
        <v>0.0</v>
      </c>
    </row>
    <row r="715" ht="12.75" customHeight="1">
      <c r="A715" s="1" t="s">
        <v>748</v>
      </c>
      <c r="B715" s="1" t="str">
        <f>IFERROR(__xludf.DUMMYFUNCTION("split(A715, ""\"")"),"Michael Amadio")</f>
        <v>Michael Amadio</v>
      </c>
      <c r="C715" s="1" t="str">
        <f>IFERROR(__xludf.DUMMYFUNCTION("""COMPUTED_VALUE"""),"amadimi01")</f>
        <v>amadimi01</v>
      </c>
      <c r="D715" s="1" t="s">
        <v>31</v>
      </c>
      <c r="E715" s="1">
        <f t="shared" si="1"/>
        <v>44.1</v>
      </c>
      <c r="F715" s="1">
        <f t="shared" si="2"/>
        <v>1.19</v>
      </c>
      <c r="G715" s="1">
        <v>37.0</v>
      </c>
      <c r="H715" s="1">
        <v>4.0</v>
      </c>
      <c r="I715" s="1">
        <v>4.0</v>
      </c>
      <c r="J715" s="1">
        <v>8.0</v>
      </c>
      <c r="K715" s="1">
        <v>28.0</v>
      </c>
      <c r="L715" s="1">
        <v>18.0</v>
      </c>
      <c r="M715" s="1">
        <v>9.0</v>
      </c>
      <c r="N715" s="1">
        <v>1.0</v>
      </c>
      <c r="O715" s="1">
        <v>2.0</v>
      </c>
      <c r="P715" s="1">
        <v>0.0</v>
      </c>
      <c r="Q715" s="1">
        <v>0.0</v>
      </c>
      <c r="R715" s="1">
        <v>-2.0</v>
      </c>
      <c r="S715" s="1">
        <v>8.0</v>
      </c>
      <c r="T715" s="1">
        <v>0.0</v>
      </c>
    </row>
    <row r="716" ht="12.75" customHeight="1">
      <c r="A716" s="1" t="s">
        <v>749</v>
      </c>
      <c r="B716" s="1" t="str">
        <f>IFERROR(__xludf.DUMMYFUNCTION("split(A716, ""\"")"),"Marcus Sorensen")</f>
        <v>Marcus Sorensen</v>
      </c>
      <c r="C716" s="1" t="str">
        <f>IFERROR(__xludf.DUMMYFUNCTION("""COMPUTED_VALUE"""),"sorenma01")</f>
        <v>sorenma01</v>
      </c>
      <c r="D716" s="1" t="s">
        <v>36</v>
      </c>
      <c r="E716" s="1">
        <f t="shared" si="1"/>
        <v>43.75</v>
      </c>
      <c r="F716" s="1">
        <f t="shared" si="2"/>
        <v>1.37</v>
      </c>
      <c r="G716" s="1">
        <v>32.0</v>
      </c>
      <c r="H716" s="1">
        <v>5.0</v>
      </c>
      <c r="I716" s="1">
        <v>2.0</v>
      </c>
      <c r="J716" s="1">
        <v>7.0</v>
      </c>
      <c r="K716" s="1">
        <v>25.0</v>
      </c>
      <c r="L716" s="1">
        <v>26.0</v>
      </c>
      <c r="M716" s="1">
        <v>15.0</v>
      </c>
      <c r="N716" s="1">
        <v>0.0</v>
      </c>
      <c r="O716" s="1">
        <v>0.0</v>
      </c>
      <c r="P716" s="1">
        <v>0.0</v>
      </c>
      <c r="Q716" s="1">
        <v>0.0</v>
      </c>
      <c r="R716" s="1">
        <v>-5.0</v>
      </c>
      <c r="S716" s="1">
        <v>5.0</v>
      </c>
      <c r="T716" s="1">
        <v>1.0</v>
      </c>
    </row>
    <row r="717" ht="12.75" customHeight="1">
      <c r="A717" s="1" t="s">
        <v>750</v>
      </c>
      <c r="B717" s="1" t="str">
        <f>IFERROR(__xludf.DUMMYFUNCTION("split(A717, ""\"")"),"Dylan Strome")</f>
        <v>Dylan Strome</v>
      </c>
      <c r="C717" s="1" t="str">
        <f>IFERROR(__xludf.DUMMYFUNCTION("""COMPUTED_VALUE"""),"stromdy01")</f>
        <v>stromdy01</v>
      </c>
      <c r="D717" s="1" t="s">
        <v>31</v>
      </c>
      <c r="E717" s="1">
        <f t="shared" si="1"/>
        <v>43.55</v>
      </c>
      <c r="F717" s="1">
        <f t="shared" si="2"/>
        <v>2.07</v>
      </c>
      <c r="G717" s="1">
        <v>21.0</v>
      </c>
      <c r="H717" s="1">
        <v>4.0</v>
      </c>
      <c r="I717" s="1">
        <v>5.0</v>
      </c>
      <c r="J717" s="1">
        <v>9.0</v>
      </c>
      <c r="K717" s="1">
        <v>30.0</v>
      </c>
      <c r="L717" s="1">
        <v>7.0</v>
      </c>
      <c r="M717" s="1">
        <v>12.0</v>
      </c>
      <c r="N717" s="1">
        <v>1.0</v>
      </c>
      <c r="O717" s="1">
        <v>0.0</v>
      </c>
      <c r="P717" s="1">
        <v>0.0</v>
      </c>
      <c r="Q717" s="1">
        <v>0.0</v>
      </c>
      <c r="R717" s="1">
        <v>4.0</v>
      </c>
      <c r="S717" s="1">
        <v>8.0</v>
      </c>
      <c r="T717" s="1">
        <v>0.0</v>
      </c>
    </row>
    <row r="718" ht="12.75" customHeight="1">
      <c r="A718" s="1" t="s">
        <v>751</v>
      </c>
      <c r="B718" s="1" t="str">
        <f>IFERROR(__xludf.DUMMYFUNCTION("split(A718, ""\"")"),"Jon Gillies")</f>
        <v>Jon Gillies</v>
      </c>
      <c r="C718" s="2" t="str">
        <f>IFERROR(__xludf.DUMMYFUNCTION("""COMPUTED_VALUE"""),"gillijo01")</f>
        <v>gillijo01</v>
      </c>
      <c r="D718" s="1" t="s">
        <v>5</v>
      </c>
      <c r="E718" s="1">
        <f t="shared" si="1"/>
        <v>42.75</v>
      </c>
      <c r="F718" s="1">
        <f t="shared" si="2"/>
        <v>3.89</v>
      </c>
      <c r="G718" s="1">
        <v>11.0</v>
      </c>
      <c r="U718" s="1">
        <v>9.0</v>
      </c>
      <c r="V718" s="1">
        <v>3.0</v>
      </c>
      <c r="W718" s="1">
        <v>5.0</v>
      </c>
      <c r="X718" s="1">
        <v>29.0</v>
      </c>
      <c r="Y718" s="1">
        <v>280.0</v>
      </c>
      <c r="Z718" s="1">
        <v>251.0</v>
      </c>
      <c r="AA718" s="1">
        <v>0.0</v>
      </c>
    </row>
    <row r="719" ht="12.75" customHeight="1">
      <c r="A719" s="1" t="s">
        <v>752</v>
      </c>
      <c r="B719" s="1" t="str">
        <f>IFERROR(__xludf.DUMMYFUNCTION("split(A719, ""\"")"),"Alex Lyon")</f>
        <v>Alex Lyon</v>
      </c>
      <c r="C719" s="2" t="str">
        <f>IFERROR(__xludf.DUMMYFUNCTION("""COMPUTED_VALUE"""),"lyonal01")</f>
        <v>lyonal01</v>
      </c>
      <c r="D719" s="1" t="s">
        <v>5</v>
      </c>
      <c r="E719" s="1">
        <f t="shared" si="1"/>
        <v>42.5</v>
      </c>
      <c r="F719" s="1">
        <f t="shared" si="2"/>
        <v>3.86</v>
      </c>
      <c r="G719" s="1">
        <v>11.0</v>
      </c>
      <c r="U719" s="1">
        <v>7.0</v>
      </c>
      <c r="V719" s="1">
        <v>4.0</v>
      </c>
      <c r="W719" s="1">
        <v>2.0</v>
      </c>
      <c r="X719" s="1">
        <v>22.0</v>
      </c>
      <c r="Y719" s="1">
        <v>232.0</v>
      </c>
      <c r="Z719" s="1">
        <v>210.0</v>
      </c>
      <c r="AA719" s="1">
        <v>0.0</v>
      </c>
    </row>
    <row r="720" ht="12.75" customHeight="1">
      <c r="A720" s="1" t="s">
        <v>753</v>
      </c>
      <c r="B720" s="1" t="str">
        <f>IFERROR(__xludf.DUMMYFUNCTION("split(A720, ""\"")"),"Max McCormick")</f>
        <v>Max McCormick</v>
      </c>
      <c r="C720" s="1" t="str">
        <f>IFERROR(__xludf.DUMMYFUNCTION("""COMPUTED_VALUE"""),"mccorma01")</f>
        <v>mccorma01</v>
      </c>
      <c r="D720" s="1" t="s">
        <v>28</v>
      </c>
      <c r="E720" s="1">
        <f t="shared" si="1"/>
        <v>42.45</v>
      </c>
      <c r="F720" s="1">
        <f t="shared" si="2"/>
        <v>1.42</v>
      </c>
      <c r="G720" s="1">
        <v>30.0</v>
      </c>
      <c r="H720" s="1">
        <v>3.0</v>
      </c>
      <c r="I720" s="1">
        <v>2.0</v>
      </c>
      <c r="J720" s="1">
        <v>5.0</v>
      </c>
      <c r="K720" s="1">
        <v>33.0</v>
      </c>
      <c r="L720" s="1">
        <v>56.0</v>
      </c>
      <c r="M720" s="1">
        <v>8.0</v>
      </c>
      <c r="N720" s="1">
        <v>0.0</v>
      </c>
      <c r="O720" s="1">
        <v>0.0</v>
      </c>
      <c r="P720" s="1">
        <v>0.0</v>
      </c>
      <c r="Q720" s="1">
        <v>0.0</v>
      </c>
      <c r="R720" s="1">
        <v>-5.0</v>
      </c>
      <c r="S720" s="1">
        <v>37.0</v>
      </c>
      <c r="T720" s="1">
        <v>0.0</v>
      </c>
    </row>
    <row r="721" ht="12.75" customHeight="1">
      <c r="A721" s="1" t="s">
        <v>754</v>
      </c>
      <c r="B721" s="1" t="str">
        <f>IFERROR(__xludf.DUMMYFUNCTION("split(A721, ""\"")"),"Ty Rattie")</f>
        <v>Ty Rattie</v>
      </c>
      <c r="C721" s="1" t="str">
        <f>IFERROR(__xludf.DUMMYFUNCTION("""COMPUTED_VALUE"""),"rattity01")</f>
        <v>rattity01</v>
      </c>
      <c r="D721" s="1" t="s">
        <v>36</v>
      </c>
      <c r="E721" s="1">
        <f t="shared" si="1"/>
        <v>42.35</v>
      </c>
      <c r="F721" s="1">
        <f t="shared" si="2"/>
        <v>3.03</v>
      </c>
      <c r="G721" s="1">
        <v>14.0</v>
      </c>
      <c r="H721" s="1">
        <v>5.0</v>
      </c>
      <c r="I721" s="1">
        <v>4.0</v>
      </c>
      <c r="J721" s="1">
        <v>9.0</v>
      </c>
      <c r="K721" s="1">
        <v>32.0</v>
      </c>
      <c r="L721" s="1">
        <v>11.0</v>
      </c>
      <c r="M721" s="1">
        <v>4.0</v>
      </c>
      <c r="N721" s="1">
        <v>0.0</v>
      </c>
      <c r="O721" s="1">
        <v>0.0</v>
      </c>
      <c r="P721" s="1">
        <v>0.0</v>
      </c>
      <c r="Q721" s="1">
        <v>0.0</v>
      </c>
      <c r="R721" s="1">
        <v>1.0</v>
      </c>
      <c r="S721" s="1">
        <v>2.0</v>
      </c>
      <c r="T721" s="1">
        <v>1.0</v>
      </c>
    </row>
    <row r="722" ht="12.75" customHeight="1">
      <c r="A722" s="1" t="s">
        <v>755</v>
      </c>
      <c r="B722" s="1" t="str">
        <f>IFERROR(__xludf.DUMMYFUNCTION("split(A722, ""\"")"),"Ryan Donato")</f>
        <v>Ryan Donato</v>
      </c>
      <c r="C722" s="1" t="str">
        <f>IFERROR(__xludf.DUMMYFUNCTION("""COMPUTED_VALUE"""),"donatry01")</f>
        <v>donatry01</v>
      </c>
      <c r="D722" s="1" t="s">
        <v>31</v>
      </c>
      <c r="E722" s="1">
        <f t="shared" si="1"/>
        <v>42.3</v>
      </c>
      <c r="F722" s="1">
        <f t="shared" si="2"/>
        <v>3.53</v>
      </c>
      <c r="G722" s="1">
        <v>12.0</v>
      </c>
      <c r="H722" s="1">
        <v>5.0</v>
      </c>
      <c r="I722" s="1">
        <v>4.0</v>
      </c>
      <c r="J722" s="1">
        <v>9.0</v>
      </c>
      <c r="K722" s="1">
        <v>24.0</v>
      </c>
      <c r="L722" s="1">
        <v>6.0</v>
      </c>
      <c r="M722" s="1">
        <v>2.0</v>
      </c>
      <c r="N722" s="1">
        <v>2.0</v>
      </c>
      <c r="O722" s="1">
        <v>2.0</v>
      </c>
      <c r="P722" s="1">
        <v>0.0</v>
      </c>
      <c r="Q722" s="1">
        <v>0.0</v>
      </c>
      <c r="R722" s="1">
        <v>2.0</v>
      </c>
      <c r="S722" s="1">
        <v>2.0</v>
      </c>
      <c r="T722" s="1">
        <v>0.0</v>
      </c>
    </row>
    <row r="723" ht="12.75" customHeight="1">
      <c r="A723" s="1" t="s">
        <v>756</v>
      </c>
      <c r="B723" s="1" t="str">
        <f>IFERROR(__xludf.DUMMYFUNCTION("split(A723, ""\"")"),"Zach Aston-Reese")</f>
        <v>Zach Aston-Reese</v>
      </c>
      <c r="C723" s="1" t="str">
        <f>IFERROR(__xludf.DUMMYFUNCTION("""COMPUTED_VALUE"""),"astonza01")</f>
        <v>astonza01</v>
      </c>
      <c r="D723" s="1" t="s">
        <v>31</v>
      </c>
      <c r="E723" s="1">
        <f t="shared" si="1"/>
        <v>42.15</v>
      </c>
      <c r="F723" s="1">
        <f t="shared" si="2"/>
        <v>2.63</v>
      </c>
      <c r="G723" s="1">
        <v>16.0</v>
      </c>
      <c r="H723" s="1">
        <v>4.0</v>
      </c>
      <c r="I723" s="1">
        <v>2.0</v>
      </c>
      <c r="J723" s="1">
        <v>6.0</v>
      </c>
      <c r="K723" s="1">
        <v>20.0</v>
      </c>
      <c r="L723" s="1">
        <v>55.0</v>
      </c>
      <c r="M723" s="1">
        <v>6.0</v>
      </c>
      <c r="N723" s="1">
        <v>0.0</v>
      </c>
      <c r="O723" s="1">
        <v>0.0</v>
      </c>
      <c r="P723" s="1">
        <v>0.0</v>
      </c>
      <c r="Q723" s="1">
        <v>0.0</v>
      </c>
      <c r="R723" s="1">
        <v>2.0</v>
      </c>
      <c r="S723" s="1">
        <v>2.0</v>
      </c>
      <c r="T723" s="1">
        <v>1.0</v>
      </c>
    </row>
    <row r="724" ht="12.75" customHeight="1">
      <c r="A724" s="1" t="s">
        <v>757</v>
      </c>
      <c r="B724" s="1" t="str">
        <f>IFERROR(__xludf.DUMMYFUNCTION("split(A724, ""\"")"),"Jonathon Merrill")</f>
        <v>Jonathon Merrill</v>
      </c>
      <c r="C724" s="1" t="str">
        <f>IFERROR(__xludf.DUMMYFUNCTION("""COMPUTED_VALUE"""),"merrijo01")</f>
        <v>merrijo01</v>
      </c>
      <c r="D724" s="1" t="s">
        <v>66</v>
      </c>
      <c r="E724" s="1">
        <f t="shared" si="1"/>
        <v>42.05</v>
      </c>
      <c r="F724" s="1">
        <f t="shared" si="2"/>
        <v>1.24</v>
      </c>
      <c r="G724" s="1">
        <v>34.0</v>
      </c>
      <c r="H724" s="1">
        <v>1.0</v>
      </c>
      <c r="I724" s="1">
        <v>2.0</v>
      </c>
      <c r="J724" s="1">
        <v>3.0</v>
      </c>
      <c r="K724" s="1">
        <v>30.0</v>
      </c>
      <c r="L724" s="1">
        <v>35.0</v>
      </c>
      <c r="M724" s="1">
        <v>42.0</v>
      </c>
      <c r="N724" s="1">
        <v>0.0</v>
      </c>
      <c r="O724" s="1">
        <v>0.0</v>
      </c>
      <c r="P724" s="1">
        <v>0.0</v>
      </c>
      <c r="Q724" s="1">
        <v>0.0</v>
      </c>
      <c r="R724" s="1">
        <v>7.0</v>
      </c>
      <c r="S724" s="1">
        <v>22.0</v>
      </c>
      <c r="T724" s="1">
        <v>1.0</v>
      </c>
    </row>
    <row r="725" ht="12.75" customHeight="1">
      <c r="A725" s="1" t="s">
        <v>758</v>
      </c>
      <c r="B725" s="1" t="str">
        <f>IFERROR(__xludf.DUMMYFUNCTION("split(A725, ""\"")"),"Markus Hannikainen")</f>
        <v>Markus Hannikainen</v>
      </c>
      <c r="C725" s="1" t="str">
        <f>IFERROR(__xludf.DUMMYFUNCTION("""COMPUTED_VALUE"""),"hannima01")</f>
        <v>hannima01</v>
      </c>
      <c r="D725" s="1" t="s">
        <v>28</v>
      </c>
      <c r="E725" s="1">
        <f t="shared" si="1"/>
        <v>42</v>
      </c>
      <c r="F725" s="1">
        <f t="shared" si="2"/>
        <v>1.27</v>
      </c>
      <c r="G725" s="1">
        <v>33.0</v>
      </c>
      <c r="H725" s="1">
        <v>3.0</v>
      </c>
      <c r="I725" s="1">
        <v>3.0</v>
      </c>
      <c r="J725" s="1">
        <v>6.0</v>
      </c>
      <c r="K725" s="1">
        <v>31.0</v>
      </c>
      <c r="L725" s="1">
        <v>31.0</v>
      </c>
      <c r="M725" s="1">
        <v>15.0</v>
      </c>
      <c r="N725" s="1">
        <v>0.0</v>
      </c>
      <c r="O725" s="1">
        <v>0.0</v>
      </c>
      <c r="P725" s="1">
        <v>0.0</v>
      </c>
      <c r="Q725" s="1">
        <v>1.0</v>
      </c>
      <c r="R725" s="1">
        <v>-1.0</v>
      </c>
      <c r="S725" s="1">
        <v>6.0</v>
      </c>
      <c r="T725" s="1">
        <v>0.0</v>
      </c>
    </row>
    <row r="726" ht="12.75" customHeight="1">
      <c r="A726" s="1" t="s">
        <v>759</v>
      </c>
      <c r="B726" s="1" t="str">
        <f>IFERROR(__xludf.DUMMYFUNCTION("split(A726, ""\"")"),"Oskar Sundqvist")</f>
        <v>Oskar Sundqvist</v>
      </c>
      <c r="C726" s="1" t="str">
        <f>IFERROR(__xludf.DUMMYFUNCTION("""COMPUTED_VALUE"""),"sundqos01")</f>
        <v>sundqos01</v>
      </c>
      <c r="D726" s="1" t="s">
        <v>31</v>
      </c>
      <c r="E726" s="1">
        <f t="shared" si="1"/>
        <v>41.6</v>
      </c>
      <c r="F726" s="1">
        <f t="shared" si="2"/>
        <v>0.99</v>
      </c>
      <c r="G726" s="1">
        <v>42.0</v>
      </c>
      <c r="H726" s="1">
        <v>1.0</v>
      </c>
      <c r="I726" s="1">
        <v>4.0</v>
      </c>
      <c r="J726" s="1">
        <v>5.0</v>
      </c>
      <c r="K726" s="1">
        <v>41.0</v>
      </c>
      <c r="L726" s="1">
        <v>47.0</v>
      </c>
      <c r="M726" s="1">
        <v>14.0</v>
      </c>
      <c r="N726" s="1">
        <v>0.0</v>
      </c>
      <c r="O726" s="1">
        <v>0.0</v>
      </c>
      <c r="P726" s="1">
        <v>0.0</v>
      </c>
      <c r="Q726" s="1">
        <v>0.0</v>
      </c>
      <c r="R726" s="1">
        <v>-5.0</v>
      </c>
      <c r="S726" s="1">
        <v>14.0</v>
      </c>
      <c r="T726" s="1">
        <v>0.0</v>
      </c>
    </row>
    <row r="727" ht="12.75" customHeight="1">
      <c r="A727" s="1" t="s">
        <v>760</v>
      </c>
      <c r="B727" s="1" t="str">
        <f>IFERROR(__xludf.DUMMYFUNCTION("split(A727, ""\"")"),"Jacob Josefson")</f>
        <v>Jacob Josefson</v>
      </c>
      <c r="C727" s="1" t="str">
        <f>IFERROR(__xludf.DUMMYFUNCTION("""COMPUTED_VALUE"""),"josefja01")</f>
        <v>josefja01</v>
      </c>
      <c r="D727" s="1" t="s">
        <v>31</v>
      </c>
      <c r="E727" s="1">
        <f t="shared" si="1"/>
        <v>41.45</v>
      </c>
      <c r="F727" s="1">
        <f t="shared" si="2"/>
        <v>1.06</v>
      </c>
      <c r="G727" s="1">
        <v>39.0</v>
      </c>
      <c r="H727" s="1">
        <v>2.0</v>
      </c>
      <c r="I727" s="1">
        <v>2.0</v>
      </c>
      <c r="J727" s="1">
        <v>4.0</v>
      </c>
      <c r="K727" s="1">
        <v>35.0</v>
      </c>
      <c r="L727" s="1">
        <v>26.0</v>
      </c>
      <c r="M727" s="1">
        <v>33.0</v>
      </c>
      <c r="N727" s="1">
        <v>0.0</v>
      </c>
      <c r="O727" s="1">
        <v>0.0</v>
      </c>
      <c r="P727" s="1">
        <v>0.0</v>
      </c>
      <c r="Q727" s="1">
        <v>0.0</v>
      </c>
      <c r="R727" s="1">
        <v>-4.0</v>
      </c>
      <c r="S727" s="1">
        <v>6.0</v>
      </c>
      <c r="T727" s="1">
        <v>0.0</v>
      </c>
    </row>
    <row r="728" ht="12.75" customHeight="1">
      <c r="A728" s="1" t="s">
        <v>761</v>
      </c>
      <c r="B728" s="1" t="str">
        <f>IFERROR(__xludf.DUMMYFUNCTION("split(A728, ""\"")"),"Rob O'Gara")</f>
        <v>Rob O'Gara</v>
      </c>
      <c r="C728" s="1" t="str">
        <f>IFERROR(__xludf.DUMMYFUNCTION("""COMPUTED_VALUE"""),"ogararo01")</f>
        <v>ogararo01</v>
      </c>
      <c r="D728" s="1" t="s">
        <v>66</v>
      </c>
      <c r="E728" s="1">
        <f t="shared" si="1"/>
        <v>40.85</v>
      </c>
      <c r="F728" s="1">
        <f t="shared" si="2"/>
        <v>1.36</v>
      </c>
      <c r="G728" s="1">
        <v>30.0</v>
      </c>
      <c r="H728" s="1">
        <v>0.0</v>
      </c>
      <c r="I728" s="1">
        <v>3.0</v>
      </c>
      <c r="J728" s="1">
        <v>3.0</v>
      </c>
      <c r="K728" s="1">
        <v>21.0</v>
      </c>
      <c r="L728" s="1">
        <v>42.0</v>
      </c>
      <c r="M728" s="1">
        <v>44.0</v>
      </c>
      <c r="N728" s="1">
        <v>0.0</v>
      </c>
      <c r="O728" s="1">
        <v>0.0</v>
      </c>
      <c r="P728" s="1">
        <v>0.0</v>
      </c>
      <c r="Q728" s="1">
        <v>0.0</v>
      </c>
      <c r="R728" s="1">
        <v>-7.0</v>
      </c>
      <c r="S728" s="1">
        <v>6.0</v>
      </c>
      <c r="T728" s="1">
        <v>0.0</v>
      </c>
    </row>
    <row r="729" ht="12.75" customHeight="1">
      <c r="A729" s="1" t="s">
        <v>762</v>
      </c>
      <c r="B729" s="1" t="str">
        <f>IFERROR(__xludf.DUMMYFUNCTION("split(A729, ""\"")"),"Ben Harpur")</f>
        <v>Ben Harpur</v>
      </c>
      <c r="C729" s="1" t="str">
        <f>IFERROR(__xludf.DUMMYFUNCTION("""COMPUTED_VALUE"""),"harpube01")</f>
        <v>harpube01</v>
      </c>
      <c r="D729" s="1" t="s">
        <v>66</v>
      </c>
      <c r="E729" s="1">
        <f t="shared" si="1"/>
        <v>40.75</v>
      </c>
      <c r="F729" s="1">
        <f t="shared" si="2"/>
        <v>0.99</v>
      </c>
      <c r="G729" s="1">
        <v>41.0</v>
      </c>
      <c r="H729" s="1">
        <v>0.0</v>
      </c>
      <c r="I729" s="1">
        <v>1.0</v>
      </c>
      <c r="J729" s="1">
        <v>1.0</v>
      </c>
      <c r="K729" s="1">
        <v>26.0</v>
      </c>
      <c r="L729" s="1">
        <v>71.0</v>
      </c>
      <c r="M729" s="1">
        <v>35.0</v>
      </c>
      <c r="N729" s="1">
        <v>0.0</v>
      </c>
      <c r="O729" s="1">
        <v>0.0</v>
      </c>
      <c r="P729" s="1">
        <v>0.0</v>
      </c>
      <c r="Q729" s="1">
        <v>0.0</v>
      </c>
      <c r="R729" s="1">
        <v>-21.0</v>
      </c>
      <c r="S729" s="1">
        <v>21.0</v>
      </c>
      <c r="T729" s="1">
        <v>0.0</v>
      </c>
    </row>
    <row r="730" ht="12.75" customHeight="1">
      <c r="A730" s="1" t="s">
        <v>763</v>
      </c>
      <c r="B730" s="1" t="str">
        <f>IFERROR(__xludf.DUMMYFUNCTION("split(A730, ""\"")"),"Brian Gionta")</f>
        <v>Brian Gionta</v>
      </c>
      <c r="C730" s="1" t="str">
        <f>IFERROR(__xludf.DUMMYFUNCTION("""COMPUTED_VALUE"""),"giontbr01")</f>
        <v>giontbr01</v>
      </c>
      <c r="D730" s="1" t="s">
        <v>36</v>
      </c>
      <c r="E730" s="1">
        <f t="shared" si="1"/>
        <v>40.65</v>
      </c>
      <c r="F730" s="1">
        <f t="shared" si="2"/>
        <v>2.03</v>
      </c>
      <c r="G730" s="1">
        <v>20.0</v>
      </c>
      <c r="H730" s="1">
        <v>2.0</v>
      </c>
      <c r="I730" s="1">
        <v>5.0</v>
      </c>
      <c r="J730" s="1">
        <v>7.0</v>
      </c>
      <c r="K730" s="1">
        <v>42.0</v>
      </c>
      <c r="L730" s="1">
        <v>17.0</v>
      </c>
      <c r="M730" s="1">
        <v>6.0</v>
      </c>
      <c r="N730" s="1">
        <v>1.0</v>
      </c>
      <c r="O730" s="1">
        <v>2.0</v>
      </c>
      <c r="P730" s="1">
        <v>0.0</v>
      </c>
      <c r="Q730" s="1">
        <v>0.0</v>
      </c>
      <c r="R730" s="1">
        <v>-1.0</v>
      </c>
      <c r="S730" s="1">
        <v>2.0</v>
      </c>
      <c r="T730" s="1">
        <v>1.0</v>
      </c>
    </row>
    <row r="731" ht="12.75" customHeight="1">
      <c r="A731" s="1" t="s">
        <v>764</v>
      </c>
      <c r="B731" s="1" t="str">
        <f>IFERROR(__xludf.DUMMYFUNCTION("split(A731, ""\"")"),"Chris Wideman")</f>
        <v>Chris Wideman</v>
      </c>
      <c r="C731" s="1" t="str">
        <f>IFERROR(__xludf.DUMMYFUNCTION("""COMPUTED_VALUE"""),"widemch01")</f>
        <v>widemch01</v>
      </c>
      <c r="D731" s="1" t="s">
        <v>66</v>
      </c>
      <c r="E731" s="1">
        <f t="shared" si="1"/>
        <v>40.35</v>
      </c>
      <c r="F731" s="1">
        <f t="shared" si="2"/>
        <v>2.52</v>
      </c>
      <c r="G731" s="1">
        <v>16.0</v>
      </c>
      <c r="H731" s="1">
        <v>3.0</v>
      </c>
      <c r="I731" s="1">
        <v>5.0</v>
      </c>
      <c r="J731" s="1">
        <v>8.0</v>
      </c>
      <c r="K731" s="1">
        <v>24.0</v>
      </c>
      <c r="L731" s="1">
        <v>17.0</v>
      </c>
      <c r="M731" s="1">
        <v>9.0</v>
      </c>
      <c r="N731" s="1">
        <v>2.0</v>
      </c>
      <c r="O731" s="1">
        <v>0.0</v>
      </c>
      <c r="P731" s="1">
        <v>0.0</v>
      </c>
      <c r="Q731" s="1">
        <v>0.0</v>
      </c>
      <c r="R731" s="1">
        <v>5.0</v>
      </c>
      <c r="S731" s="1">
        <v>6.0</v>
      </c>
      <c r="T731" s="1">
        <v>0.0</v>
      </c>
    </row>
    <row r="732" ht="12.75" customHeight="1">
      <c r="A732" s="1" t="s">
        <v>765</v>
      </c>
      <c r="B732" s="1" t="str">
        <f>IFERROR(__xludf.DUMMYFUNCTION("split(A732, ""\"")"),"Ross Johnston")</f>
        <v>Ross Johnston</v>
      </c>
      <c r="C732" s="1" t="str">
        <f>IFERROR(__xludf.DUMMYFUNCTION("""COMPUTED_VALUE"""),"johnsro02")</f>
        <v>johnsro02</v>
      </c>
      <c r="D732" s="1" t="s">
        <v>28</v>
      </c>
      <c r="E732" s="1">
        <f t="shared" si="1"/>
        <v>40.15</v>
      </c>
      <c r="F732" s="1">
        <f t="shared" si="2"/>
        <v>1.67</v>
      </c>
      <c r="G732" s="1">
        <v>24.0</v>
      </c>
      <c r="H732" s="1">
        <v>3.0</v>
      </c>
      <c r="I732" s="1">
        <v>3.0</v>
      </c>
      <c r="J732" s="1">
        <v>6.0</v>
      </c>
      <c r="K732" s="1">
        <v>19.0</v>
      </c>
      <c r="L732" s="1">
        <v>46.0</v>
      </c>
      <c r="M732" s="1">
        <v>11.0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62.0</v>
      </c>
      <c r="T732" s="1">
        <v>0.0</v>
      </c>
    </row>
    <row r="733" ht="12.75" customHeight="1">
      <c r="A733" s="1" t="s">
        <v>766</v>
      </c>
      <c r="B733" s="1" t="str">
        <f>IFERROR(__xludf.DUMMYFUNCTION("split(A733, ""\"")"),"Oskar Lindblom")</f>
        <v>Oskar Lindblom</v>
      </c>
      <c r="C733" s="1" t="str">
        <f>IFERROR(__xludf.DUMMYFUNCTION("""COMPUTED_VALUE"""),"lindbos01")</f>
        <v>lindbos01</v>
      </c>
      <c r="D733" s="1" t="s">
        <v>28</v>
      </c>
      <c r="E733" s="1">
        <f t="shared" si="1"/>
        <v>39.95</v>
      </c>
      <c r="F733" s="1">
        <f t="shared" si="2"/>
        <v>1.74</v>
      </c>
      <c r="G733" s="1">
        <v>23.0</v>
      </c>
      <c r="H733" s="1">
        <v>2.0</v>
      </c>
      <c r="I733" s="1">
        <v>4.0</v>
      </c>
      <c r="J733" s="1">
        <v>6.0</v>
      </c>
      <c r="K733" s="1">
        <v>36.0</v>
      </c>
      <c r="L733" s="1">
        <v>27.0</v>
      </c>
      <c r="M733" s="1">
        <v>13.0</v>
      </c>
      <c r="N733" s="1">
        <v>0.0</v>
      </c>
      <c r="O733" s="1">
        <v>1.0</v>
      </c>
      <c r="P733" s="1">
        <v>0.0</v>
      </c>
      <c r="Q733" s="1">
        <v>0.0</v>
      </c>
      <c r="R733" s="1">
        <v>4.0</v>
      </c>
      <c r="S733" s="1">
        <v>8.0</v>
      </c>
      <c r="T733" s="1">
        <v>1.0</v>
      </c>
    </row>
    <row r="734" ht="12.75" customHeight="1">
      <c r="A734" s="1" t="s">
        <v>767</v>
      </c>
      <c r="B734" s="1" t="str">
        <f>IFERROR(__xludf.DUMMYFUNCTION("split(A734, ""\"")"),"Joshua Ho-Sang")</f>
        <v>Joshua Ho-Sang</v>
      </c>
      <c r="C734" s="1" t="str">
        <f>IFERROR(__xludf.DUMMYFUNCTION("""COMPUTED_VALUE"""),"hosanjo01")</f>
        <v>hosanjo01</v>
      </c>
      <c r="D734" s="1" t="s">
        <v>42</v>
      </c>
      <c r="E734" s="1">
        <f t="shared" si="1"/>
        <v>39.65</v>
      </c>
      <c r="F734" s="1">
        <f t="shared" si="2"/>
        <v>1.8</v>
      </c>
      <c r="G734" s="1">
        <v>22.0</v>
      </c>
      <c r="H734" s="1">
        <v>2.0</v>
      </c>
      <c r="I734" s="1">
        <v>10.0</v>
      </c>
      <c r="J734" s="1">
        <v>12.0</v>
      </c>
      <c r="K734" s="1">
        <v>18.0</v>
      </c>
      <c r="L734" s="1">
        <v>3.0</v>
      </c>
      <c r="M734" s="1">
        <v>1.0</v>
      </c>
      <c r="N734" s="1">
        <v>0.0</v>
      </c>
      <c r="O734" s="1">
        <v>1.0</v>
      </c>
      <c r="P734" s="1">
        <v>0.0</v>
      </c>
      <c r="Q734" s="1">
        <v>0.0</v>
      </c>
      <c r="R734" s="1">
        <v>-7.0</v>
      </c>
      <c r="S734" s="1">
        <v>2.0</v>
      </c>
      <c r="T734" s="1">
        <v>0.0</v>
      </c>
    </row>
    <row r="735" ht="12.75" customHeight="1">
      <c r="A735" s="1" t="s">
        <v>768</v>
      </c>
      <c r="B735" s="1" t="str">
        <f>IFERROR(__xludf.DUMMYFUNCTION("split(A735, ""\"")"),"Kevin Roy")</f>
        <v>Kevin Roy</v>
      </c>
      <c r="C735" s="1" t="str">
        <f>IFERROR(__xludf.DUMMYFUNCTION("""COMPUTED_VALUE"""),"royke01")</f>
        <v>royke01</v>
      </c>
      <c r="D735" s="1" t="s">
        <v>31</v>
      </c>
      <c r="E735" s="1">
        <f t="shared" si="1"/>
        <v>39.55</v>
      </c>
      <c r="F735" s="1">
        <f t="shared" si="2"/>
        <v>1.58</v>
      </c>
      <c r="G735" s="1">
        <v>25.0</v>
      </c>
      <c r="H735" s="1">
        <v>6.0</v>
      </c>
      <c r="I735" s="1">
        <v>1.0</v>
      </c>
      <c r="J735" s="1">
        <v>7.0</v>
      </c>
      <c r="K735" s="1">
        <v>26.0</v>
      </c>
      <c r="L735" s="1">
        <v>11.0</v>
      </c>
      <c r="M735" s="1">
        <v>7.0</v>
      </c>
      <c r="N735" s="1">
        <v>1.0</v>
      </c>
      <c r="O735" s="1">
        <v>0.0</v>
      </c>
      <c r="P735" s="1">
        <v>0.0</v>
      </c>
      <c r="Q735" s="1">
        <v>0.0</v>
      </c>
      <c r="R735" s="1">
        <v>3.0</v>
      </c>
      <c r="S735" s="1">
        <v>6.0</v>
      </c>
      <c r="T735" s="1">
        <v>1.0</v>
      </c>
    </row>
    <row r="736" ht="12.75" customHeight="1">
      <c r="A736" s="1" t="s">
        <v>769</v>
      </c>
      <c r="B736" s="1" t="str">
        <f>IFERROR(__xludf.DUMMYFUNCTION("split(A736, ""\"")"),"Julius Honka")</f>
        <v>Julius Honka</v>
      </c>
      <c r="C736" s="1" t="str">
        <f>IFERROR(__xludf.DUMMYFUNCTION("""COMPUTED_VALUE"""),"honkaju01")</f>
        <v>honkaju01</v>
      </c>
      <c r="D736" s="1" t="s">
        <v>66</v>
      </c>
      <c r="E736" s="1">
        <f t="shared" si="1"/>
        <v>39.2</v>
      </c>
      <c r="F736" s="1">
        <f t="shared" si="2"/>
        <v>0.93</v>
      </c>
      <c r="G736" s="1">
        <v>42.0</v>
      </c>
      <c r="H736" s="1">
        <v>1.0</v>
      </c>
      <c r="I736" s="1">
        <v>3.0</v>
      </c>
      <c r="J736" s="1">
        <v>4.0</v>
      </c>
      <c r="K736" s="1">
        <v>42.0</v>
      </c>
      <c r="L736" s="1">
        <v>20.0</v>
      </c>
      <c r="M736" s="1">
        <v>28.0</v>
      </c>
      <c r="N736" s="1">
        <v>0.0</v>
      </c>
      <c r="O736" s="1">
        <v>1.0</v>
      </c>
      <c r="P736" s="1">
        <v>0.0</v>
      </c>
      <c r="Q736" s="1">
        <v>0.0</v>
      </c>
      <c r="R736" s="1">
        <v>-1.0</v>
      </c>
      <c r="S736" s="1">
        <v>14.0</v>
      </c>
      <c r="T736" s="1">
        <v>0.0</v>
      </c>
    </row>
    <row r="737" ht="12.75" customHeight="1">
      <c r="A737" s="1" t="s">
        <v>770</v>
      </c>
      <c r="B737" s="1" t="str">
        <f>IFERROR(__xludf.DUMMYFUNCTION("split(A737, ""\"")"),"Nicholas Baptiste")</f>
        <v>Nicholas Baptiste</v>
      </c>
      <c r="C737" s="1" t="str">
        <f>IFERROR(__xludf.DUMMYFUNCTION("""COMPUTED_VALUE"""),"baptini01")</f>
        <v>baptini01</v>
      </c>
      <c r="D737" s="1" t="s">
        <v>36</v>
      </c>
      <c r="E737" s="1">
        <f t="shared" si="1"/>
        <v>38.45</v>
      </c>
      <c r="F737" s="1">
        <f t="shared" si="2"/>
        <v>1.17</v>
      </c>
      <c r="G737" s="1">
        <v>33.0</v>
      </c>
      <c r="H737" s="1">
        <v>4.0</v>
      </c>
      <c r="I737" s="1">
        <v>2.0</v>
      </c>
      <c r="J737" s="1">
        <v>6.0</v>
      </c>
      <c r="K737" s="1">
        <v>45.0</v>
      </c>
      <c r="L737" s="1">
        <v>16.0</v>
      </c>
      <c r="M737" s="1">
        <v>3.0</v>
      </c>
      <c r="N737" s="1">
        <v>0.0</v>
      </c>
      <c r="O737" s="1">
        <v>1.0</v>
      </c>
      <c r="P737" s="1">
        <v>0.0</v>
      </c>
      <c r="Q737" s="1">
        <v>0.0</v>
      </c>
      <c r="R737" s="1">
        <v>-4.0</v>
      </c>
      <c r="S737" s="1">
        <v>14.0</v>
      </c>
      <c r="T737" s="1">
        <v>1.0</v>
      </c>
    </row>
    <row r="738" ht="12.75" customHeight="1">
      <c r="A738" s="1" t="s">
        <v>771</v>
      </c>
      <c r="B738" s="1" t="str">
        <f>IFERROR(__xludf.DUMMYFUNCTION("split(A738, ""\"")"),"Steven Kampfer")</f>
        <v>Steven Kampfer</v>
      </c>
      <c r="C738" s="1" t="str">
        <f>IFERROR(__xludf.DUMMYFUNCTION("""COMPUTED_VALUE"""),"kampfst01")</f>
        <v>kampfst01</v>
      </c>
      <c r="D738" s="1" t="s">
        <v>66</v>
      </c>
      <c r="E738" s="1">
        <f t="shared" si="1"/>
        <v>38.15</v>
      </c>
      <c r="F738" s="1">
        <f t="shared" si="2"/>
        <v>1.73</v>
      </c>
      <c r="G738" s="1">
        <v>22.0</v>
      </c>
      <c r="H738" s="1">
        <v>0.0</v>
      </c>
      <c r="I738" s="1">
        <v>1.0</v>
      </c>
      <c r="J738" s="1">
        <v>1.0</v>
      </c>
      <c r="K738" s="1">
        <v>31.0</v>
      </c>
      <c r="L738" s="1">
        <v>46.0</v>
      </c>
      <c r="M738" s="1">
        <v>41.0</v>
      </c>
      <c r="N738" s="1">
        <v>0.0</v>
      </c>
      <c r="O738" s="1">
        <v>0.0</v>
      </c>
      <c r="P738" s="1">
        <v>0.0</v>
      </c>
      <c r="Q738" s="1">
        <v>0.0</v>
      </c>
      <c r="R738" s="1">
        <v>-7.0</v>
      </c>
      <c r="S738" s="1">
        <v>20.0</v>
      </c>
      <c r="T738" s="1">
        <v>0.0</v>
      </c>
    </row>
    <row r="739" ht="12.75" customHeight="1">
      <c r="A739" s="1" t="s">
        <v>772</v>
      </c>
      <c r="B739" s="1" t="str">
        <f>IFERROR(__xludf.DUMMYFUNCTION("split(A739, ""\"")"),"Gabriel Dumont")</f>
        <v>Gabriel Dumont</v>
      </c>
      <c r="C739" s="1" t="str">
        <f>IFERROR(__xludf.DUMMYFUNCTION("""COMPUTED_VALUE"""),"dumonga01")</f>
        <v>dumonga01</v>
      </c>
      <c r="D739" s="1" t="s">
        <v>31</v>
      </c>
      <c r="E739" s="1">
        <f t="shared" si="1"/>
        <v>37.9</v>
      </c>
      <c r="F739" s="1">
        <f t="shared" si="2"/>
        <v>1.26</v>
      </c>
      <c r="G739" s="1">
        <v>30.0</v>
      </c>
      <c r="H739" s="1">
        <v>1.0</v>
      </c>
      <c r="I739" s="1">
        <v>1.0</v>
      </c>
      <c r="J739" s="1">
        <v>2.0</v>
      </c>
      <c r="K739" s="1">
        <v>38.0</v>
      </c>
      <c r="L739" s="1">
        <v>62.0</v>
      </c>
      <c r="M739" s="1">
        <v>16.0</v>
      </c>
      <c r="N739" s="1">
        <v>0.0</v>
      </c>
      <c r="O739" s="1">
        <v>0.0</v>
      </c>
      <c r="P739" s="1">
        <v>0.0</v>
      </c>
      <c r="Q739" s="1">
        <v>0.0</v>
      </c>
      <c r="R739" s="1">
        <v>1.0</v>
      </c>
      <c r="S739" s="1">
        <v>6.0</v>
      </c>
      <c r="T739" s="1">
        <v>0.0</v>
      </c>
    </row>
    <row r="740" ht="12.75" customHeight="1">
      <c r="A740" s="1" t="s">
        <v>773</v>
      </c>
      <c r="B740" s="1" t="str">
        <f>IFERROR(__xludf.DUMMYFUNCTION("split(A740, ""\"")"),"Maxim Mamin")</f>
        <v>Maxim Mamin</v>
      </c>
      <c r="C740" s="1" t="str">
        <f>IFERROR(__xludf.DUMMYFUNCTION("""COMPUTED_VALUE"""),"maminma01")</f>
        <v>maminma01</v>
      </c>
      <c r="D740" s="1" t="s">
        <v>42</v>
      </c>
      <c r="E740" s="1">
        <f t="shared" si="1"/>
        <v>37.85</v>
      </c>
      <c r="F740" s="1">
        <f t="shared" si="2"/>
        <v>1.46</v>
      </c>
      <c r="G740" s="1">
        <v>26.0</v>
      </c>
      <c r="H740" s="1">
        <v>3.0</v>
      </c>
      <c r="I740" s="1">
        <v>1.0</v>
      </c>
      <c r="J740" s="1">
        <v>4.0</v>
      </c>
      <c r="K740" s="1">
        <v>28.0</v>
      </c>
      <c r="L740" s="1">
        <v>51.0</v>
      </c>
      <c r="M740" s="1">
        <v>9.0</v>
      </c>
      <c r="N740" s="1">
        <v>0.0</v>
      </c>
      <c r="O740" s="1">
        <v>0.0</v>
      </c>
      <c r="P740" s="1">
        <v>0.0</v>
      </c>
      <c r="Q740" s="1">
        <v>0.0</v>
      </c>
      <c r="R740" s="1">
        <v>2.0</v>
      </c>
      <c r="S740" s="1">
        <v>7.0</v>
      </c>
      <c r="T740" s="1">
        <v>1.0</v>
      </c>
    </row>
    <row r="741" ht="12.75" customHeight="1">
      <c r="A741" s="1" t="s">
        <v>774</v>
      </c>
      <c r="B741" s="1" t="str">
        <f>IFERROR(__xludf.DUMMYFUNCTION("split(A741, ""\"")"),"Anthony Bitetto")</f>
        <v>Anthony Bitetto</v>
      </c>
      <c r="C741" s="1" t="str">
        <f>IFERROR(__xludf.DUMMYFUNCTION("""COMPUTED_VALUE"""),"bitetan01")</f>
        <v>bitetan01</v>
      </c>
      <c r="D741" s="1" t="s">
        <v>66</v>
      </c>
      <c r="E741" s="1">
        <f t="shared" si="1"/>
        <v>37.65</v>
      </c>
      <c r="F741" s="1">
        <f t="shared" si="2"/>
        <v>1.18</v>
      </c>
      <c r="G741" s="1">
        <v>32.0</v>
      </c>
      <c r="H741" s="1">
        <v>1.0</v>
      </c>
      <c r="I741" s="1">
        <v>2.0</v>
      </c>
      <c r="J741" s="1">
        <v>3.0</v>
      </c>
      <c r="K741" s="1">
        <v>25.0</v>
      </c>
      <c r="L741" s="1">
        <v>40.0</v>
      </c>
      <c r="M741" s="1">
        <v>31.0</v>
      </c>
      <c r="N741" s="1">
        <v>0.0</v>
      </c>
      <c r="O741" s="1">
        <v>0.0</v>
      </c>
      <c r="P741" s="1">
        <v>0.0</v>
      </c>
      <c r="Q741" s="1">
        <v>0.0</v>
      </c>
      <c r="R741" s="1">
        <v>-1.0</v>
      </c>
      <c r="S741" s="1">
        <v>27.0</v>
      </c>
      <c r="T741" s="1">
        <v>1.0</v>
      </c>
    </row>
    <row r="742" ht="12.75" customHeight="1">
      <c r="A742" s="1" t="s">
        <v>775</v>
      </c>
      <c r="B742" s="1" t="str">
        <f>IFERROR(__xludf.DUMMYFUNCTION("split(A742, ""\"")"),"Mirco Mueller")</f>
        <v>Mirco Mueller</v>
      </c>
      <c r="C742" s="1" t="str">
        <f>IFERROR(__xludf.DUMMYFUNCTION("""COMPUTED_VALUE"""),"muellmi01")</f>
        <v>muellmi01</v>
      </c>
      <c r="D742" s="1" t="s">
        <v>66</v>
      </c>
      <c r="E742" s="1">
        <f t="shared" si="1"/>
        <v>37.3</v>
      </c>
      <c r="F742" s="1">
        <f t="shared" si="2"/>
        <v>1.33</v>
      </c>
      <c r="G742" s="1">
        <v>28.0</v>
      </c>
      <c r="H742" s="1">
        <v>0.0</v>
      </c>
      <c r="I742" s="1">
        <v>4.0</v>
      </c>
      <c r="J742" s="1">
        <v>4.0</v>
      </c>
      <c r="K742" s="1">
        <v>19.0</v>
      </c>
      <c r="L742" s="1">
        <v>15.0</v>
      </c>
      <c r="M742" s="1">
        <v>42.0</v>
      </c>
      <c r="N742" s="1">
        <v>0.0</v>
      </c>
      <c r="O742" s="1">
        <v>0.0</v>
      </c>
      <c r="P742" s="1">
        <v>0.0</v>
      </c>
      <c r="Q742" s="1">
        <v>2.0</v>
      </c>
      <c r="R742" s="1">
        <v>1.0</v>
      </c>
      <c r="S742" s="1">
        <v>4.0</v>
      </c>
      <c r="T742" s="1">
        <v>0.0</v>
      </c>
    </row>
    <row r="743" ht="12.75" customHeight="1">
      <c r="A743" s="1" t="s">
        <v>776</v>
      </c>
      <c r="B743" s="1" t="str">
        <f>IFERROR(__xludf.DUMMYFUNCTION("split(A743, ""\"")"),"David Booth")</f>
        <v>David Booth</v>
      </c>
      <c r="C743" s="1" t="str">
        <f>IFERROR(__xludf.DUMMYFUNCTION("""COMPUTED_VALUE"""),"boothda01")</f>
        <v>boothda01</v>
      </c>
      <c r="D743" s="1" t="s">
        <v>28</v>
      </c>
      <c r="E743" s="1">
        <f t="shared" si="1"/>
        <v>36.3</v>
      </c>
      <c r="F743" s="1">
        <f t="shared" si="2"/>
        <v>1.3</v>
      </c>
      <c r="G743" s="1">
        <v>28.0</v>
      </c>
      <c r="H743" s="1">
        <v>4.0</v>
      </c>
      <c r="I743" s="1">
        <v>1.0</v>
      </c>
      <c r="J743" s="1">
        <v>5.0</v>
      </c>
      <c r="K743" s="1">
        <v>33.0</v>
      </c>
      <c r="L743" s="1">
        <v>23.0</v>
      </c>
      <c r="M743" s="1">
        <v>7.0</v>
      </c>
      <c r="N743" s="1">
        <v>0.0</v>
      </c>
      <c r="O743" s="1">
        <v>1.0</v>
      </c>
      <c r="P743" s="1">
        <v>0.0</v>
      </c>
      <c r="Q743" s="1">
        <v>0.0</v>
      </c>
      <c r="R743" s="1">
        <v>-5.0</v>
      </c>
      <c r="S743" s="1">
        <v>10.0</v>
      </c>
      <c r="T743" s="1">
        <v>0.0</v>
      </c>
    </row>
    <row r="744" ht="12.75" customHeight="1">
      <c r="A744" s="1" t="s">
        <v>777</v>
      </c>
      <c r="B744" s="1" t="str">
        <f>IFERROR(__xludf.DUMMYFUNCTION("split(A744, ""\"")"),"Taylor Leier")</f>
        <v>Taylor Leier</v>
      </c>
      <c r="C744" s="1" t="str">
        <f>IFERROR(__xludf.DUMMYFUNCTION("""COMPUTED_VALUE"""),"leierta01")</f>
        <v>leierta01</v>
      </c>
      <c r="D744" s="1" t="s">
        <v>28</v>
      </c>
      <c r="E744" s="1">
        <f t="shared" si="1"/>
        <v>36.1</v>
      </c>
      <c r="F744" s="1">
        <f t="shared" si="2"/>
        <v>0.93</v>
      </c>
      <c r="G744" s="1">
        <v>39.0</v>
      </c>
      <c r="H744" s="1">
        <v>1.0</v>
      </c>
      <c r="I744" s="1">
        <v>4.0</v>
      </c>
      <c r="J744" s="1">
        <v>5.0</v>
      </c>
      <c r="K744" s="1">
        <v>48.0</v>
      </c>
      <c r="L744" s="1">
        <v>10.0</v>
      </c>
      <c r="M744" s="1">
        <v>19.0</v>
      </c>
      <c r="N744" s="1">
        <v>0.0</v>
      </c>
      <c r="O744" s="1">
        <v>0.0</v>
      </c>
      <c r="P744" s="1">
        <v>0.0</v>
      </c>
      <c r="Q744" s="1">
        <v>0.0</v>
      </c>
      <c r="R744" s="1">
        <v>-7.0</v>
      </c>
      <c r="S744" s="1">
        <v>6.0</v>
      </c>
      <c r="T744" s="1">
        <v>0.0</v>
      </c>
    </row>
    <row r="745" ht="12.75" customHeight="1">
      <c r="A745" s="1" t="s">
        <v>778</v>
      </c>
      <c r="B745" s="1" t="str">
        <f>IFERROR(__xludf.DUMMYFUNCTION("split(A745, ""\"")"),"Adam Erne")</f>
        <v>Adam Erne</v>
      </c>
      <c r="C745" s="1" t="str">
        <f>IFERROR(__xludf.DUMMYFUNCTION("""COMPUTED_VALUE"""),"ernead01")</f>
        <v>ernead01</v>
      </c>
      <c r="D745" s="1" t="s">
        <v>28</v>
      </c>
      <c r="E745" s="1">
        <f t="shared" si="1"/>
        <v>34.2</v>
      </c>
      <c r="F745" s="1">
        <f t="shared" si="2"/>
        <v>1.49</v>
      </c>
      <c r="G745" s="1">
        <v>23.0</v>
      </c>
      <c r="H745" s="1">
        <v>3.0</v>
      </c>
      <c r="I745" s="1">
        <v>1.0</v>
      </c>
      <c r="J745" s="1">
        <v>4.0</v>
      </c>
      <c r="K745" s="1">
        <v>29.0</v>
      </c>
      <c r="L745" s="1">
        <v>37.0</v>
      </c>
      <c r="M745" s="1">
        <v>8.0</v>
      </c>
      <c r="N745" s="1">
        <v>0.0</v>
      </c>
      <c r="O745" s="1">
        <v>0.0</v>
      </c>
      <c r="P745" s="1">
        <v>0.0</v>
      </c>
      <c r="Q745" s="1">
        <v>0.0</v>
      </c>
      <c r="R745" s="1">
        <v>-1.0</v>
      </c>
      <c r="S745" s="1">
        <v>11.0</v>
      </c>
      <c r="T745" s="1">
        <v>1.0</v>
      </c>
    </row>
    <row r="746" ht="12.75" customHeight="1">
      <c r="A746" s="1" t="s">
        <v>779</v>
      </c>
      <c r="B746" s="1" t="str">
        <f>IFERROR(__xludf.DUMMYFUNCTION("split(A746, ""\"")"),"Luke Witkowski")</f>
        <v>Luke Witkowski</v>
      </c>
      <c r="C746" s="1" t="str">
        <f>IFERROR(__xludf.DUMMYFUNCTION("""COMPUTED_VALUE"""),"witkolu01")</f>
        <v>witkolu01</v>
      </c>
      <c r="D746" s="1" t="s">
        <v>66</v>
      </c>
      <c r="E746" s="1">
        <f t="shared" si="1"/>
        <v>34.15</v>
      </c>
      <c r="F746" s="1">
        <f t="shared" si="2"/>
        <v>1.1</v>
      </c>
      <c r="G746" s="1">
        <v>31.0</v>
      </c>
      <c r="H746" s="1">
        <v>1.0</v>
      </c>
      <c r="I746" s="1">
        <v>3.0</v>
      </c>
      <c r="J746" s="1">
        <v>4.0</v>
      </c>
      <c r="K746" s="1">
        <v>16.0</v>
      </c>
      <c r="L746" s="1">
        <v>57.0</v>
      </c>
      <c r="M746" s="1">
        <v>11.0</v>
      </c>
      <c r="N746" s="1">
        <v>0.0</v>
      </c>
      <c r="O746" s="1">
        <v>0.0</v>
      </c>
      <c r="P746" s="1">
        <v>0.0</v>
      </c>
      <c r="Q746" s="1">
        <v>0.0</v>
      </c>
      <c r="R746" s="1">
        <v>-1.0</v>
      </c>
      <c r="S746" s="1">
        <v>68.0</v>
      </c>
      <c r="T746" s="1">
        <v>0.0</v>
      </c>
    </row>
    <row r="747" ht="12.75" customHeight="1">
      <c r="A747" s="1" t="s">
        <v>780</v>
      </c>
      <c r="B747" s="1" t="str">
        <f>IFERROR(__xludf.DUMMYFUNCTION("split(A747, ""\"")"),"Luke Kunin")</f>
        <v>Luke Kunin</v>
      </c>
      <c r="C747" s="1" t="str">
        <f>IFERROR(__xludf.DUMMYFUNCTION("""COMPUTED_VALUE"""),"kuninlu01")</f>
        <v>kuninlu01</v>
      </c>
      <c r="D747" s="1" t="s">
        <v>31</v>
      </c>
      <c r="E747" s="1">
        <f t="shared" si="1"/>
        <v>33.7</v>
      </c>
      <c r="F747" s="1">
        <f t="shared" si="2"/>
        <v>1.77</v>
      </c>
      <c r="G747" s="1">
        <v>19.0</v>
      </c>
      <c r="H747" s="1">
        <v>2.0</v>
      </c>
      <c r="I747" s="1">
        <v>2.0</v>
      </c>
      <c r="J747" s="1">
        <v>4.0</v>
      </c>
      <c r="K747" s="1">
        <v>32.0</v>
      </c>
      <c r="L747" s="1">
        <v>34.0</v>
      </c>
      <c r="M747" s="1">
        <v>8.0</v>
      </c>
      <c r="N747" s="1">
        <v>0.0</v>
      </c>
      <c r="O747" s="1">
        <v>0.0</v>
      </c>
      <c r="P747" s="1">
        <v>1.0</v>
      </c>
      <c r="Q747" s="1">
        <v>0.0</v>
      </c>
      <c r="R747" s="1">
        <v>-3.0</v>
      </c>
      <c r="S747" s="1">
        <v>13.0</v>
      </c>
      <c r="T747" s="1">
        <v>0.0</v>
      </c>
    </row>
    <row r="748" ht="12.75" customHeight="1">
      <c r="A748" s="1" t="s">
        <v>781</v>
      </c>
      <c r="B748" s="1" t="str">
        <f>IFERROR(__xludf.DUMMYFUNCTION("split(A748, ""\"")"),"Taylor Chorney")</f>
        <v>Taylor Chorney</v>
      </c>
      <c r="C748" s="1" t="str">
        <f>IFERROR(__xludf.DUMMYFUNCTION("""COMPUTED_VALUE"""),"chornta01")</f>
        <v>chornta01</v>
      </c>
      <c r="D748" s="1" t="s">
        <v>66</v>
      </c>
      <c r="E748" s="1">
        <f t="shared" si="1"/>
        <v>33.65</v>
      </c>
      <c r="F748" s="1">
        <f t="shared" si="2"/>
        <v>1.35</v>
      </c>
      <c r="G748" s="1">
        <v>25.0</v>
      </c>
      <c r="H748" s="1">
        <v>1.0</v>
      </c>
      <c r="I748" s="1">
        <v>3.0</v>
      </c>
      <c r="J748" s="1">
        <v>4.0</v>
      </c>
      <c r="K748" s="1">
        <v>14.0</v>
      </c>
      <c r="L748" s="1">
        <v>21.0</v>
      </c>
      <c r="M748" s="1">
        <v>31.0</v>
      </c>
      <c r="N748" s="1">
        <v>0.0</v>
      </c>
      <c r="O748" s="1">
        <v>0.0</v>
      </c>
      <c r="P748" s="1">
        <v>0.0</v>
      </c>
      <c r="Q748" s="1">
        <v>1.0</v>
      </c>
      <c r="R748" s="1">
        <v>10.0</v>
      </c>
      <c r="S748" s="1">
        <v>8.0</v>
      </c>
      <c r="T748" s="1">
        <v>0.0</v>
      </c>
    </row>
    <row r="749" ht="12.75" customHeight="1">
      <c r="A749" s="1" t="s">
        <v>782</v>
      </c>
      <c r="B749" s="1" t="str">
        <f>IFERROR(__xludf.DUMMYFUNCTION("split(A749, ""\"")"),"Ethan Bear")</f>
        <v>Ethan Bear</v>
      </c>
      <c r="C749" s="1" t="str">
        <f>IFERROR(__xludf.DUMMYFUNCTION("""COMPUTED_VALUE"""),"bearet01")</f>
        <v>bearet01</v>
      </c>
      <c r="D749" s="1" t="s">
        <v>66</v>
      </c>
      <c r="E749" s="1">
        <f t="shared" si="1"/>
        <v>33.2</v>
      </c>
      <c r="F749" s="1">
        <f t="shared" si="2"/>
        <v>1.84</v>
      </c>
      <c r="G749" s="1">
        <v>18.0</v>
      </c>
      <c r="H749" s="1">
        <v>1.0</v>
      </c>
      <c r="I749" s="1">
        <v>3.0</v>
      </c>
      <c r="J749" s="1">
        <v>4.0</v>
      </c>
      <c r="K749" s="1">
        <v>20.0</v>
      </c>
      <c r="L749" s="1">
        <v>14.0</v>
      </c>
      <c r="M749" s="1">
        <v>28.0</v>
      </c>
      <c r="N749" s="1">
        <v>1.0</v>
      </c>
      <c r="O749" s="1">
        <v>1.0</v>
      </c>
      <c r="P749" s="1">
        <v>0.0</v>
      </c>
      <c r="Q749" s="1">
        <v>0.0</v>
      </c>
      <c r="R749" s="1">
        <v>-11.0</v>
      </c>
      <c r="S749" s="1">
        <v>10.0</v>
      </c>
      <c r="T749" s="1">
        <v>0.0</v>
      </c>
    </row>
    <row r="750" ht="12.75" customHeight="1">
      <c r="A750" s="1" t="s">
        <v>783</v>
      </c>
      <c r="B750" s="1" t="str">
        <f>IFERROR(__xludf.DUMMYFUNCTION("split(A750, ""\"")"),"Colin White")</f>
        <v>Colin White</v>
      </c>
      <c r="C750" s="1" t="str">
        <f>IFERROR(__xludf.DUMMYFUNCTION("""COMPUTED_VALUE"""),"whiteco02")</f>
        <v>whiteco02</v>
      </c>
      <c r="D750" s="1" t="s">
        <v>31</v>
      </c>
      <c r="E750" s="1">
        <f t="shared" si="1"/>
        <v>33</v>
      </c>
      <c r="F750" s="1">
        <f t="shared" si="2"/>
        <v>1.57</v>
      </c>
      <c r="G750" s="1">
        <v>21.0</v>
      </c>
      <c r="H750" s="1">
        <v>2.0</v>
      </c>
      <c r="I750" s="1">
        <v>4.0</v>
      </c>
      <c r="J750" s="1">
        <v>6.0</v>
      </c>
      <c r="K750" s="1">
        <v>24.0</v>
      </c>
      <c r="L750" s="1">
        <v>12.0</v>
      </c>
      <c r="M750" s="1">
        <v>15.0</v>
      </c>
      <c r="N750" s="1">
        <v>0.0</v>
      </c>
      <c r="O750" s="1">
        <v>0.0</v>
      </c>
      <c r="P750" s="1">
        <v>0.0</v>
      </c>
      <c r="Q750" s="1">
        <v>0.0</v>
      </c>
      <c r="R750" s="1">
        <v>1.0</v>
      </c>
      <c r="S750" s="1">
        <v>8.0</v>
      </c>
      <c r="T750" s="1">
        <v>1.0</v>
      </c>
    </row>
    <row r="751" ht="12.75" customHeight="1">
      <c r="A751" s="1" t="s">
        <v>784</v>
      </c>
      <c r="B751" s="1" t="str">
        <f>IFERROR(__xludf.DUMMYFUNCTION("split(A751, ""\"")"),"Eric Fehr")</f>
        <v>Eric Fehr</v>
      </c>
      <c r="C751" s="1" t="str">
        <f>IFERROR(__xludf.DUMMYFUNCTION("""COMPUTED_VALUE"""),"fehrer01")</f>
        <v>fehrer01</v>
      </c>
      <c r="D751" s="1" t="s">
        <v>36</v>
      </c>
      <c r="E751" s="1">
        <f t="shared" si="1"/>
        <v>32.85</v>
      </c>
      <c r="F751" s="1">
        <f t="shared" si="2"/>
        <v>1.83</v>
      </c>
      <c r="G751" s="1">
        <v>18.0</v>
      </c>
      <c r="H751" s="1">
        <v>3.0</v>
      </c>
      <c r="I751" s="1">
        <v>1.0</v>
      </c>
      <c r="J751" s="1">
        <v>4.0</v>
      </c>
      <c r="K751" s="1">
        <v>27.0</v>
      </c>
      <c r="L751" s="1">
        <v>24.0</v>
      </c>
      <c r="M751" s="1">
        <v>14.0</v>
      </c>
      <c r="N751" s="1">
        <v>0.0</v>
      </c>
      <c r="O751" s="1">
        <v>0.0</v>
      </c>
      <c r="P751" s="1">
        <v>0.0</v>
      </c>
      <c r="Q751" s="1">
        <v>0.0</v>
      </c>
      <c r="R751" s="1">
        <v>6.0</v>
      </c>
      <c r="S751" s="1">
        <v>2.0</v>
      </c>
      <c r="T751" s="1">
        <v>0.0</v>
      </c>
    </row>
    <row r="752" ht="12.75" customHeight="1">
      <c r="A752" s="1" t="s">
        <v>785</v>
      </c>
      <c r="B752" s="1" t="str">
        <f>IFERROR(__xludf.DUMMYFUNCTION("split(A752, ""\"")"),"Zack Mitchell")</f>
        <v>Zack Mitchell</v>
      </c>
      <c r="C752" s="1" t="str">
        <f>IFERROR(__xludf.DUMMYFUNCTION("""COMPUTED_VALUE"""),"mitchza01")</f>
        <v>mitchza01</v>
      </c>
      <c r="D752" s="1" t="s">
        <v>36</v>
      </c>
      <c r="E752" s="1">
        <f t="shared" si="1"/>
        <v>32.75</v>
      </c>
      <c r="F752" s="1">
        <f t="shared" si="2"/>
        <v>1.42</v>
      </c>
      <c r="G752" s="1">
        <v>23.0</v>
      </c>
      <c r="H752" s="1">
        <v>3.0</v>
      </c>
      <c r="I752" s="1">
        <v>2.0</v>
      </c>
      <c r="J752" s="1">
        <v>5.0</v>
      </c>
      <c r="K752" s="1">
        <v>17.0</v>
      </c>
      <c r="L752" s="1">
        <v>26.0</v>
      </c>
      <c r="M752" s="1">
        <v>10.0</v>
      </c>
      <c r="N752" s="1">
        <v>1.0</v>
      </c>
      <c r="O752" s="1">
        <v>0.0</v>
      </c>
      <c r="P752" s="1">
        <v>0.0</v>
      </c>
      <c r="Q752" s="1">
        <v>0.0</v>
      </c>
      <c r="R752" s="1">
        <v>-2.0</v>
      </c>
      <c r="S752" s="1">
        <v>4.0</v>
      </c>
      <c r="T752" s="1">
        <v>1.0</v>
      </c>
    </row>
    <row r="753" ht="12.75" customHeight="1">
      <c r="A753" s="1" t="s">
        <v>786</v>
      </c>
      <c r="B753" s="1" t="str">
        <f>IFERROR(__xludf.DUMMYFUNCTION("split(A753, ""\"")"),"Reid Boucher")</f>
        <v>Reid Boucher</v>
      </c>
      <c r="C753" s="1" t="str">
        <f>IFERROR(__xludf.DUMMYFUNCTION("""COMPUTED_VALUE"""),"bouchre01")</f>
        <v>bouchre01</v>
      </c>
      <c r="D753" s="1" t="s">
        <v>31</v>
      </c>
      <c r="E753" s="1">
        <f t="shared" si="1"/>
        <v>32.7</v>
      </c>
      <c r="F753" s="1">
        <f t="shared" si="2"/>
        <v>1.64</v>
      </c>
      <c r="G753" s="1">
        <v>20.0</v>
      </c>
      <c r="H753" s="1">
        <v>3.0</v>
      </c>
      <c r="I753" s="1">
        <v>2.0</v>
      </c>
      <c r="J753" s="1">
        <v>5.0</v>
      </c>
      <c r="K753" s="1">
        <v>37.0</v>
      </c>
      <c r="L753" s="1">
        <v>13.0</v>
      </c>
      <c r="M753" s="1">
        <v>3.0</v>
      </c>
      <c r="N753" s="1">
        <v>1.0</v>
      </c>
      <c r="O753" s="1">
        <v>1.0</v>
      </c>
      <c r="P753" s="1">
        <v>0.0</v>
      </c>
      <c r="Q753" s="1">
        <v>0.0</v>
      </c>
      <c r="R753" s="1">
        <v>-12.0</v>
      </c>
      <c r="S753" s="1">
        <v>0.0</v>
      </c>
      <c r="T753" s="1">
        <v>1.0</v>
      </c>
    </row>
    <row r="754" ht="12.75" customHeight="1">
      <c r="A754" s="1" t="s">
        <v>787</v>
      </c>
      <c r="B754" s="1" t="str">
        <f>IFERROR(__xludf.DUMMYFUNCTION("split(A754, ""\"")"),"Marcus Pettersson")</f>
        <v>Marcus Pettersson</v>
      </c>
      <c r="C754" s="1" t="str">
        <f>IFERROR(__xludf.DUMMYFUNCTION("""COMPUTED_VALUE"""),"pettema01")</f>
        <v>pettema01</v>
      </c>
      <c r="D754" s="1" t="s">
        <v>66</v>
      </c>
      <c r="E754" s="1">
        <f t="shared" si="1"/>
        <v>31.8</v>
      </c>
      <c r="F754" s="1">
        <f t="shared" si="2"/>
        <v>1.45</v>
      </c>
      <c r="G754" s="1">
        <v>22.0</v>
      </c>
      <c r="H754" s="1">
        <v>1.0</v>
      </c>
      <c r="I754" s="1">
        <v>3.0</v>
      </c>
      <c r="J754" s="1">
        <v>4.0</v>
      </c>
      <c r="K754" s="1">
        <v>16.0</v>
      </c>
      <c r="L754" s="1">
        <v>18.0</v>
      </c>
      <c r="M754" s="1">
        <v>27.0</v>
      </c>
      <c r="N754" s="1">
        <v>0.0</v>
      </c>
      <c r="O754" s="1">
        <v>1.0</v>
      </c>
      <c r="P754" s="1">
        <v>0.0</v>
      </c>
      <c r="Q754" s="1">
        <v>0.0</v>
      </c>
      <c r="R754" s="1">
        <v>5.0</v>
      </c>
      <c r="S754" s="1">
        <v>6.0</v>
      </c>
      <c r="T754" s="1">
        <v>0.0</v>
      </c>
    </row>
    <row r="755" ht="12.75" customHeight="1">
      <c r="A755" s="1" t="s">
        <v>788</v>
      </c>
      <c r="B755" s="1" t="str">
        <f>IFERROR(__xludf.DUMMYFUNCTION("split(A755, ""\"")"),"Eric Gryba")</f>
        <v>Eric Gryba</v>
      </c>
      <c r="C755" s="1" t="str">
        <f>IFERROR(__xludf.DUMMYFUNCTION("""COMPUTED_VALUE"""),"grybaer01")</f>
        <v>grybaer01</v>
      </c>
      <c r="D755" s="1" t="s">
        <v>66</v>
      </c>
      <c r="E755" s="1">
        <f t="shared" si="1"/>
        <v>31.6</v>
      </c>
      <c r="F755" s="1">
        <f t="shared" si="2"/>
        <v>1.5</v>
      </c>
      <c r="G755" s="1">
        <v>21.0</v>
      </c>
      <c r="H755" s="1">
        <v>0.0</v>
      </c>
      <c r="I755" s="1">
        <v>2.0</v>
      </c>
      <c r="J755" s="1">
        <v>2.0</v>
      </c>
      <c r="K755" s="1">
        <v>19.0</v>
      </c>
      <c r="L755" s="1">
        <v>57.0</v>
      </c>
      <c r="M755" s="1">
        <v>19.0</v>
      </c>
      <c r="N755" s="1">
        <v>0.0</v>
      </c>
      <c r="O755" s="1">
        <v>0.0</v>
      </c>
      <c r="P755" s="1">
        <v>0.0</v>
      </c>
      <c r="Q755" s="1">
        <v>0.0</v>
      </c>
      <c r="R755" s="1">
        <v>4.0</v>
      </c>
      <c r="S755" s="1">
        <v>31.0</v>
      </c>
      <c r="T755" s="1">
        <v>0.0</v>
      </c>
    </row>
    <row r="756" ht="12.75" customHeight="1">
      <c r="A756" s="1" t="s">
        <v>789</v>
      </c>
      <c r="B756" s="1" t="str">
        <f>IFERROR(__xludf.DUMMYFUNCTION("split(A756, ""\"")"),"Ryan Murphy")</f>
        <v>Ryan Murphy</v>
      </c>
      <c r="C756" s="1" t="str">
        <f>IFERROR(__xludf.DUMMYFUNCTION("""COMPUTED_VALUE"""),"murphry01")</f>
        <v>murphry01</v>
      </c>
      <c r="D756" s="1" t="s">
        <v>66</v>
      </c>
      <c r="E756" s="1">
        <f t="shared" si="1"/>
        <v>31.6</v>
      </c>
      <c r="F756" s="1">
        <f t="shared" si="2"/>
        <v>1.5</v>
      </c>
      <c r="G756" s="1">
        <v>21.0</v>
      </c>
      <c r="H756" s="1">
        <v>2.0</v>
      </c>
      <c r="I756" s="1">
        <v>3.0</v>
      </c>
      <c r="J756" s="1">
        <v>5.0</v>
      </c>
      <c r="K756" s="1">
        <v>25.0</v>
      </c>
      <c r="L756" s="1">
        <v>5.0</v>
      </c>
      <c r="M756" s="1">
        <v>19.0</v>
      </c>
      <c r="N756" s="1">
        <v>1.0</v>
      </c>
      <c r="O756" s="1">
        <v>0.0</v>
      </c>
      <c r="P756" s="1">
        <v>0.0</v>
      </c>
      <c r="Q756" s="1">
        <v>0.0</v>
      </c>
      <c r="R756" s="1">
        <v>8.0</v>
      </c>
      <c r="S756" s="1">
        <v>16.0</v>
      </c>
      <c r="T756" s="1">
        <v>0.0</v>
      </c>
    </row>
    <row r="757" ht="12.75" customHeight="1">
      <c r="A757" s="1" t="s">
        <v>790</v>
      </c>
      <c r="B757" s="1" t="str">
        <f>IFERROR(__xludf.DUMMYFUNCTION("split(A757, ""\"")"),"Jaromir Jagr")</f>
        <v>Jaromir Jagr</v>
      </c>
      <c r="C757" s="1" t="str">
        <f>IFERROR(__xludf.DUMMYFUNCTION("""COMPUTED_VALUE"""),"jagrja01")</f>
        <v>jagrja01</v>
      </c>
      <c r="D757" s="1" t="s">
        <v>36</v>
      </c>
      <c r="E757" s="1">
        <f t="shared" si="1"/>
        <v>31.45</v>
      </c>
      <c r="F757" s="1">
        <f t="shared" si="2"/>
        <v>1.43</v>
      </c>
      <c r="G757" s="1">
        <v>22.0</v>
      </c>
      <c r="H757" s="1">
        <v>1.0</v>
      </c>
      <c r="I757" s="1">
        <v>6.0</v>
      </c>
      <c r="J757" s="1">
        <v>7.0</v>
      </c>
      <c r="K757" s="1">
        <v>32.0</v>
      </c>
      <c r="L757" s="1">
        <v>1.0</v>
      </c>
      <c r="M757" s="1">
        <v>8.0</v>
      </c>
      <c r="N757" s="1">
        <v>0.0</v>
      </c>
      <c r="O757" s="1">
        <v>1.0</v>
      </c>
      <c r="P757" s="1">
        <v>0.0</v>
      </c>
      <c r="Q757" s="1">
        <v>0.0</v>
      </c>
      <c r="R757" s="1">
        <v>6.0</v>
      </c>
      <c r="S757" s="1">
        <v>10.0</v>
      </c>
      <c r="T757" s="1">
        <v>0.0</v>
      </c>
    </row>
    <row r="758" ht="12.75" customHeight="1">
      <c r="A758" s="1" t="s">
        <v>791</v>
      </c>
      <c r="B758" s="1" t="str">
        <f>IFERROR(__xludf.DUMMYFUNCTION("split(A758, ""\"")"),"Alexander Burmistrov")</f>
        <v>Alexander Burmistrov</v>
      </c>
      <c r="C758" s="1" t="str">
        <f>IFERROR(__xludf.DUMMYFUNCTION("""COMPUTED_VALUE"""),"burmial01")</f>
        <v>burmial01</v>
      </c>
      <c r="D758" s="1" t="s">
        <v>31</v>
      </c>
      <c r="E758" s="1">
        <f t="shared" si="1"/>
        <v>31.1</v>
      </c>
      <c r="F758" s="1">
        <f t="shared" si="2"/>
        <v>1.3</v>
      </c>
      <c r="G758" s="1">
        <v>24.0</v>
      </c>
      <c r="H758" s="1">
        <v>2.0</v>
      </c>
      <c r="I758" s="1">
        <v>4.0</v>
      </c>
      <c r="J758" s="1">
        <v>6.0</v>
      </c>
      <c r="K758" s="1">
        <v>18.0</v>
      </c>
      <c r="L758" s="1">
        <v>20.0</v>
      </c>
      <c r="M758" s="1">
        <v>4.0</v>
      </c>
      <c r="N758" s="1">
        <v>1.0</v>
      </c>
      <c r="O758" s="1">
        <v>1.0</v>
      </c>
      <c r="P758" s="1">
        <v>0.0</v>
      </c>
      <c r="Q758" s="1">
        <v>0.0</v>
      </c>
      <c r="R758" s="1">
        <v>-5.0</v>
      </c>
      <c r="S758" s="1">
        <v>12.0</v>
      </c>
      <c r="T758" s="1">
        <v>0.0</v>
      </c>
    </row>
    <row r="759" ht="12.75" customHeight="1">
      <c r="A759" s="1" t="s">
        <v>792</v>
      </c>
      <c r="B759" s="1" t="str">
        <f>IFERROR(__xludf.DUMMYFUNCTION("split(A759, ""\"")"),"Dennis Rasmussen")</f>
        <v>Dennis Rasmussen</v>
      </c>
      <c r="C759" s="1" t="str">
        <f>IFERROR(__xludf.DUMMYFUNCTION("""COMPUTED_VALUE"""),"rasmude01")</f>
        <v>rasmude01</v>
      </c>
      <c r="D759" s="1" t="s">
        <v>31</v>
      </c>
      <c r="E759" s="1">
        <f t="shared" si="1"/>
        <v>30</v>
      </c>
      <c r="F759" s="1">
        <f t="shared" si="2"/>
        <v>1.11</v>
      </c>
      <c r="G759" s="1">
        <v>27.0</v>
      </c>
      <c r="H759" s="1">
        <v>1.0</v>
      </c>
      <c r="I759" s="1">
        <v>3.0</v>
      </c>
      <c r="J759" s="1">
        <v>4.0</v>
      </c>
      <c r="K759" s="1">
        <v>19.0</v>
      </c>
      <c r="L759" s="1">
        <v>31.0</v>
      </c>
      <c r="M759" s="1">
        <v>15.0</v>
      </c>
      <c r="N759" s="1">
        <v>0.0</v>
      </c>
      <c r="O759" s="1">
        <v>0.0</v>
      </c>
      <c r="P759" s="1">
        <v>0.0</v>
      </c>
      <c r="Q759" s="1">
        <v>0.0</v>
      </c>
      <c r="R759" s="1">
        <v>4.0</v>
      </c>
      <c r="S759" s="1">
        <v>8.0</v>
      </c>
      <c r="T759" s="1">
        <v>0.0</v>
      </c>
    </row>
    <row r="760" ht="12.75" customHeight="1">
      <c r="A760" s="1" t="s">
        <v>793</v>
      </c>
      <c r="B760" s="1" t="str">
        <f>IFERROR(__xludf.DUMMYFUNCTION("split(A760, ""\"")"),"Vinni Lettieri")</f>
        <v>Vinni Lettieri</v>
      </c>
      <c r="C760" s="1" t="str">
        <f>IFERROR(__xludf.DUMMYFUNCTION("""COMPUTED_VALUE"""),"lettivi01")</f>
        <v>lettivi01</v>
      </c>
      <c r="D760" s="1" t="s">
        <v>31</v>
      </c>
      <c r="E760" s="1">
        <f t="shared" si="1"/>
        <v>29.9</v>
      </c>
      <c r="F760" s="1">
        <f t="shared" si="2"/>
        <v>1.57</v>
      </c>
      <c r="G760" s="1">
        <v>19.0</v>
      </c>
      <c r="H760" s="1">
        <v>1.0</v>
      </c>
      <c r="I760" s="1">
        <v>4.0</v>
      </c>
      <c r="J760" s="1">
        <v>5.0</v>
      </c>
      <c r="K760" s="1">
        <v>28.0</v>
      </c>
      <c r="L760" s="1">
        <v>22.0</v>
      </c>
      <c r="M760" s="1">
        <v>6.0</v>
      </c>
      <c r="N760" s="1">
        <v>0.0</v>
      </c>
      <c r="O760" s="1">
        <v>1.0</v>
      </c>
      <c r="P760" s="1">
        <v>0.0</v>
      </c>
      <c r="Q760" s="1">
        <v>0.0</v>
      </c>
      <c r="R760" s="1">
        <v>-12.0</v>
      </c>
      <c r="S760" s="1">
        <v>0.0</v>
      </c>
      <c r="T760" s="1">
        <v>0.0</v>
      </c>
    </row>
    <row r="761" ht="12.75" customHeight="1">
      <c r="A761" s="1" t="s">
        <v>794</v>
      </c>
      <c r="B761" s="1" t="str">
        <f>IFERROR(__xludf.DUMMYFUNCTION("split(A761, ""\"")"),"Peter Budaj")</f>
        <v>Peter Budaj</v>
      </c>
      <c r="C761" s="2" t="str">
        <f>IFERROR(__xludf.DUMMYFUNCTION("""COMPUTED_VALUE"""),"budajpe01")</f>
        <v>budajpe01</v>
      </c>
      <c r="D761" s="1" t="s">
        <v>5</v>
      </c>
      <c r="E761" s="1">
        <f t="shared" si="1"/>
        <v>29.5</v>
      </c>
      <c r="F761" s="1">
        <f t="shared" si="2"/>
        <v>3.69</v>
      </c>
      <c r="G761" s="1">
        <v>8.0</v>
      </c>
      <c r="U761" s="1">
        <v>7.0</v>
      </c>
      <c r="V761" s="1">
        <v>3.0</v>
      </c>
      <c r="W761" s="1">
        <v>3.0</v>
      </c>
      <c r="X761" s="1">
        <v>27.0</v>
      </c>
      <c r="Y761" s="1">
        <v>217.0</v>
      </c>
      <c r="Z761" s="1">
        <v>190.0</v>
      </c>
      <c r="AA761" s="1">
        <v>0.0</v>
      </c>
    </row>
    <row r="762" ht="12.75" customHeight="1">
      <c r="A762" s="1" t="s">
        <v>795</v>
      </c>
      <c r="B762" s="1" t="str">
        <f>IFERROR(__xludf.DUMMYFUNCTION("split(A762, ""\"")"),"Nick Seeler")</f>
        <v>Nick Seeler</v>
      </c>
      <c r="C762" s="1" t="str">
        <f>IFERROR(__xludf.DUMMYFUNCTION("""COMPUTED_VALUE"""),"seeleni01")</f>
        <v>seeleni01</v>
      </c>
      <c r="D762" s="1" t="s">
        <v>66</v>
      </c>
      <c r="E762" s="1">
        <f t="shared" si="1"/>
        <v>29.25</v>
      </c>
      <c r="F762" s="1">
        <f t="shared" si="2"/>
        <v>1.33</v>
      </c>
      <c r="G762" s="1">
        <v>22.0</v>
      </c>
      <c r="H762" s="1">
        <v>0.0</v>
      </c>
      <c r="I762" s="1">
        <v>4.0</v>
      </c>
      <c r="J762" s="1">
        <v>4.0</v>
      </c>
      <c r="K762" s="1">
        <v>17.0</v>
      </c>
      <c r="L762" s="1">
        <v>20.0</v>
      </c>
      <c r="M762" s="1">
        <v>25.0</v>
      </c>
      <c r="N762" s="1">
        <v>0.0</v>
      </c>
      <c r="O762" s="1">
        <v>0.0</v>
      </c>
      <c r="P762" s="1">
        <v>0.0</v>
      </c>
      <c r="Q762" s="1">
        <v>0.0</v>
      </c>
      <c r="R762" s="1">
        <v>10.0</v>
      </c>
      <c r="S762" s="1">
        <v>21.0</v>
      </c>
      <c r="T762" s="1">
        <v>0.0</v>
      </c>
    </row>
    <row r="763" ht="12.75" customHeight="1">
      <c r="A763" s="1" t="s">
        <v>796</v>
      </c>
      <c r="B763" s="1" t="str">
        <f>IFERROR(__xludf.DUMMYFUNCTION("split(A763, ""\"")"),"Jack Campbell")</f>
        <v>Jack Campbell</v>
      </c>
      <c r="C763" s="2" t="str">
        <f>IFERROR(__xludf.DUMMYFUNCTION("""COMPUTED_VALUE"""),"campbja01")</f>
        <v>campbja01</v>
      </c>
      <c r="D763" s="1" t="s">
        <v>5</v>
      </c>
      <c r="E763" s="1">
        <f t="shared" si="1"/>
        <v>28.5</v>
      </c>
      <c r="F763" s="1">
        <f t="shared" si="2"/>
        <v>5.7</v>
      </c>
      <c r="G763" s="1">
        <v>5.0</v>
      </c>
      <c r="U763" s="1">
        <v>4.0</v>
      </c>
      <c r="V763" s="1">
        <v>2.0</v>
      </c>
      <c r="W763" s="1">
        <v>0.0</v>
      </c>
      <c r="X763" s="1">
        <v>11.0</v>
      </c>
      <c r="Y763" s="1">
        <v>145.0</v>
      </c>
      <c r="Z763" s="1">
        <v>134.0</v>
      </c>
      <c r="AA763" s="1">
        <v>0.0</v>
      </c>
    </row>
    <row r="764" ht="12.75" customHeight="1">
      <c r="A764" s="1" t="s">
        <v>797</v>
      </c>
      <c r="B764" s="1" t="str">
        <f>IFERROR(__xludf.DUMMYFUNCTION("split(A764, ""\"")"),"Mike Fisher")</f>
        <v>Mike Fisher</v>
      </c>
      <c r="C764" s="1" t="str">
        <f>IFERROR(__xludf.DUMMYFUNCTION("""COMPUTED_VALUE"""),"fishemi01")</f>
        <v>fishemi01</v>
      </c>
      <c r="D764" s="1" t="s">
        <v>31</v>
      </c>
      <c r="E764" s="1">
        <f t="shared" si="1"/>
        <v>28.35</v>
      </c>
      <c r="F764" s="1">
        <f t="shared" si="2"/>
        <v>1.77</v>
      </c>
      <c r="G764" s="1">
        <v>16.0</v>
      </c>
      <c r="H764" s="1">
        <v>2.0</v>
      </c>
      <c r="I764" s="1">
        <v>2.0</v>
      </c>
      <c r="J764" s="1">
        <v>4.0</v>
      </c>
      <c r="K764" s="1">
        <v>14.0</v>
      </c>
      <c r="L764" s="1">
        <v>25.0</v>
      </c>
      <c r="M764" s="1">
        <v>14.0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8.0</v>
      </c>
      <c r="T764" s="1">
        <v>1.0</v>
      </c>
    </row>
    <row r="765" ht="12.75" customHeight="1">
      <c r="A765" s="1" t="s">
        <v>798</v>
      </c>
      <c r="B765" s="1" t="str">
        <f>IFERROR(__xludf.DUMMYFUNCTION("split(A765, ""\"")"),"Peter Holland")</f>
        <v>Peter Holland</v>
      </c>
      <c r="C765" s="1" t="str">
        <f>IFERROR(__xludf.DUMMYFUNCTION("""COMPUTED_VALUE"""),"hollape01")</f>
        <v>hollape01</v>
      </c>
      <c r="D765" s="1" t="s">
        <v>31</v>
      </c>
      <c r="E765" s="1">
        <f t="shared" si="1"/>
        <v>28.3</v>
      </c>
      <c r="F765" s="1">
        <f t="shared" si="2"/>
        <v>1.23</v>
      </c>
      <c r="G765" s="1">
        <v>23.0</v>
      </c>
      <c r="H765" s="1">
        <v>1.0</v>
      </c>
      <c r="I765" s="1">
        <v>3.0</v>
      </c>
      <c r="J765" s="1">
        <v>4.0</v>
      </c>
      <c r="K765" s="1">
        <v>30.0</v>
      </c>
      <c r="L765" s="1">
        <v>14.0</v>
      </c>
      <c r="M765" s="1">
        <v>12.0</v>
      </c>
      <c r="N765" s="1">
        <v>0.0</v>
      </c>
      <c r="O765" s="1">
        <v>0.0</v>
      </c>
      <c r="P765" s="1">
        <v>0.0</v>
      </c>
      <c r="Q765" s="1">
        <v>1.0</v>
      </c>
      <c r="R765" s="1">
        <v>-10.0</v>
      </c>
      <c r="S765" s="1">
        <v>7.0</v>
      </c>
      <c r="T765" s="1">
        <v>0.0</v>
      </c>
    </row>
    <row r="766" ht="12.75" customHeight="1">
      <c r="A766" s="1" t="s">
        <v>799</v>
      </c>
      <c r="B766" s="1" t="str">
        <f>IFERROR(__xludf.DUMMYFUNCTION("split(A766, ""\"")"),"Brett Lernout")</f>
        <v>Brett Lernout</v>
      </c>
      <c r="C766" s="1" t="str">
        <f>IFERROR(__xludf.DUMMYFUNCTION("""COMPUTED_VALUE"""),"lernobr01")</f>
        <v>lernobr01</v>
      </c>
      <c r="D766" s="1" t="s">
        <v>66</v>
      </c>
      <c r="E766" s="1">
        <f t="shared" si="1"/>
        <v>28.2</v>
      </c>
      <c r="F766" s="1">
        <f t="shared" si="2"/>
        <v>1.57</v>
      </c>
      <c r="G766" s="1">
        <v>18.0</v>
      </c>
      <c r="H766" s="1">
        <v>0.0</v>
      </c>
      <c r="I766" s="1">
        <v>1.0</v>
      </c>
      <c r="J766" s="1">
        <v>1.0</v>
      </c>
      <c r="K766" s="1">
        <v>14.0</v>
      </c>
      <c r="L766" s="1">
        <v>56.0</v>
      </c>
      <c r="M766" s="1">
        <v>18.0</v>
      </c>
      <c r="N766" s="1">
        <v>0.0</v>
      </c>
      <c r="O766" s="1">
        <v>0.0</v>
      </c>
      <c r="P766" s="1">
        <v>0.0</v>
      </c>
      <c r="Q766" s="1">
        <v>1.0</v>
      </c>
      <c r="R766" s="1">
        <v>-5.0</v>
      </c>
      <c r="S766" s="1">
        <v>6.0</v>
      </c>
      <c r="T766" s="1">
        <v>0.0</v>
      </c>
    </row>
    <row r="767" ht="12.75" customHeight="1">
      <c r="A767" s="1" t="s">
        <v>800</v>
      </c>
      <c r="B767" s="1" t="str">
        <f>IFERROR(__xludf.DUMMYFUNCTION("split(A767, ""\"")"),"Filip Chlapik")</f>
        <v>Filip Chlapik</v>
      </c>
      <c r="C767" s="1" t="str">
        <f>IFERROR(__xludf.DUMMYFUNCTION("""COMPUTED_VALUE"""),"chlapfi01")</f>
        <v>chlapfi01</v>
      </c>
      <c r="D767" s="1" t="s">
        <v>31</v>
      </c>
      <c r="E767" s="1">
        <f t="shared" si="1"/>
        <v>28.1</v>
      </c>
      <c r="F767" s="1">
        <f t="shared" si="2"/>
        <v>1.41</v>
      </c>
      <c r="G767" s="1">
        <v>20.0</v>
      </c>
      <c r="H767" s="1">
        <v>1.0</v>
      </c>
      <c r="I767" s="1">
        <v>3.0</v>
      </c>
      <c r="J767" s="1">
        <v>4.0</v>
      </c>
      <c r="K767" s="1">
        <v>21.0</v>
      </c>
      <c r="L767" s="1">
        <v>19.0</v>
      </c>
      <c r="M767" s="1">
        <v>14.0</v>
      </c>
      <c r="N767" s="1">
        <v>0.0</v>
      </c>
      <c r="O767" s="1">
        <v>1.0</v>
      </c>
      <c r="P767" s="1">
        <v>0.0</v>
      </c>
      <c r="Q767" s="1">
        <v>0.0</v>
      </c>
      <c r="R767" s="1">
        <v>-5.0</v>
      </c>
      <c r="S767" s="1">
        <v>4.0</v>
      </c>
      <c r="T767" s="1">
        <v>0.0</v>
      </c>
    </row>
    <row r="768" ht="12.75" customHeight="1">
      <c r="A768" s="1" t="s">
        <v>801</v>
      </c>
      <c r="B768" s="1" t="str">
        <f>IFERROR(__xludf.DUMMYFUNCTION("split(A768, ""\"")"),"Greg McKegg")</f>
        <v>Greg McKegg</v>
      </c>
      <c r="C768" s="1" t="str">
        <f>IFERROR(__xludf.DUMMYFUNCTION("""COMPUTED_VALUE"""),"mckeggr01")</f>
        <v>mckeggr01</v>
      </c>
      <c r="D768" s="1" t="s">
        <v>31</v>
      </c>
      <c r="E768" s="1">
        <f t="shared" si="1"/>
        <v>28</v>
      </c>
      <c r="F768" s="1">
        <f t="shared" si="2"/>
        <v>1.08</v>
      </c>
      <c r="G768" s="1">
        <v>26.0</v>
      </c>
      <c r="H768" s="1">
        <v>2.0</v>
      </c>
      <c r="I768" s="1">
        <v>2.0</v>
      </c>
      <c r="J768" s="1">
        <v>4.0</v>
      </c>
      <c r="K768" s="1">
        <v>21.0</v>
      </c>
      <c r="L768" s="1">
        <v>19.0</v>
      </c>
      <c r="M768" s="1">
        <v>10.0</v>
      </c>
      <c r="N768" s="1">
        <v>0.0</v>
      </c>
      <c r="O768" s="1">
        <v>0.0</v>
      </c>
      <c r="P768" s="1">
        <v>1.0</v>
      </c>
      <c r="Q768" s="1">
        <v>0.0</v>
      </c>
      <c r="R768" s="1">
        <v>-4.0</v>
      </c>
      <c r="S768" s="1">
        <v>8.0</v>
      </c>
      <c r="T768" s="1">
        <v>0.0</v>
      </c>
    </row>
    <row r="769" ht="12.75" customHeight="1">
      <c r="A769" s="1" t="s">
        <v>802</v>
      </c>
      <c r="B769" s="1" t="str">
        <f>IFERROR(__xludf.DUMMYFUNCTION("split(A769, ""\"")"),"Valentin Zykov")</f>
        <v>Valentin Zykov</v>
      </c>
      <c r="C769" s="1" t="str">
        <f>IFERROR(__xludf.DUMMYFUNCTION("""COMPUTED_VALUE"""),"zykovva01")</f>
        <v>zykovva01</v>
      </c>
      <c r="D769" s="1" t="s">
        <v>28</v>
      </c>
      <c r="E769" s="1">
        <f t="shared" si="1"/>
        <v>27.65</v>
      </c>
      <c r="F769" s="1">
        <f t="shared" si="2"/>
        <v>2.77</v>
      </c>
      <c r="G769" s="1">
        <v>10.0</v>
      </c>
      <c r="H769" s="1">
        <v>3.0</v>
      </c>
      <c r="I769" s="1">
        <v>4.0</v>
      </c>
      <c r="J769" s="1">
        <v>7.0</v>
      </c>
      <c r="K769" s="1">
        <v>18.0</v>
      </c>
      <c r="L769" s="1">
        <v>3.0</v>
      </c>
      <c r="M769" s="1">
        <v>1.0</v>
      </c>
      <c r="N769" s="1">
        <v>0.0</v>
      </c>
      <c r="O769" s="1">
        <v>0.0</v>
      </c>
      <c r="P769" s="1">
        <v>0.0</v>
      </c>
      <c r="Q769" s="1">
        <v>0.0</v>
      </c>
      <c r="R769" s="1">
        <v>4.0</v>
      </c>
      <c r="S769" s="1">
        <v>2.0</v>
      </c>
      <c r="T769" s="1">
        <v>1.0</v>
      </c>
    </row>
    <row r="770" ht="12.75" customHeight="1">
      <c r="A770" s="1" t="s">
        <v>803</v>
      </c>
      <c r="B770" s="1" t="str">
        <f>IFERROR(__xludf.DUMMYFUNCTION("split(A770, ""\"")"),"Justin Bailey")</f>
        <v>Justin Bailey</v>
      </c>
      <c r="C770" s="1" t="str">
        <f>IFERROR(__xludf.DUMMYFUNCTION("""COMPUTED_VALUE"""),"baileju01")</f>
        <v>baileju01</v>
      </c>
      <c r="D770" s="1" t="s">
        <v>36</v>
      </c>
      <c r="E770" s="1">
        <f t="shared" si="1"/>
        <v>27.6</v>
      </c>
      <c r="F770" s="1">
        <f t="shared" si="2"/>
        <v>2.3</v>
      </c>
      <c r="G770" s="1">
        <v>12.0</v>
      </c>
      <c r="H770" s="1">
        <v>3.0</v>
      </c>
      <c r="I770" s="1">
        <v>1.0</v>
      </c>
      <c r="J770" s="1">
        <v>4.0</v>
      </c>
      <c r="K770" s="1">
        <v>19.0</v>
      </c>
      <c r="L770" s="1">
        <v>19.0</v>
      </c>
      <c r="M770" s="1">
        <v>9.0</v>
      </c>
      <c r="N770" s="1">
        <v>0.0</v>
      </c>
      <c r="O770" s="1">
        <v>0.0</v>
      </c>
      <c r="P770" s="1">
        <v>0.0</v>
      </c>
      <c r="Q770" s="1">
        <v>0.0</v>
      </c>
      <c r="R770" s="1">
        <v>-2.0</v>
      </c>
      <c r="S770" s="1">
        <v>2.0</v>
      </c>
      <c r="T770" s="1">
        <v>0.0</v>
      </c>
    </row>
    <row r="771" ht="12.75" customHeight="1">
      <c r="A771" s="1" t="s">
        <v>804</v>
      </c>
      <c r="B771" s="1" t="str">
        <f>IFERROR(__xludf.DUMMYFUNCTION("split(A771, ""\"")"),"Brendan Guhle")</f>
        <v>Brendan Guhle</v>
      </c>
      <c r="C771" s="1" t="str">
        <f>IFERROR(__xludf.DUMMYFUNCTION("""COMPUTED_VALUE"""),"guhlebr01")</f>
        <v>guhlebr01</v>
      </c>
      <c r="D771" s="1" t="s">
        <v>66</v>
      </c>
      <c r="E771" s="1">
        <f t="shared" si="1"/>
        <v>27.45</v>
      </c>
      <c r="F771" s="1">
        <f t="shared" si="2"/>
        <v>1.53</v>
      </c>
      <c r="G771" s="1">
        <v>18.0</v>
      </c>
      <c r="H771" s="1">
        <v>0.0</v>
      </c>
      <c r="I771" s="1">
        <v>5.0</v>
      </c>
      <c r="J771" s="1">
        <v>5.0</v>
      </c>
      <c r="K771" s="1">
        <v>37.0</v>
      </c>
      <c r="L771" s="1">
        <v>10.0</v>
      </c>
      <c r="M771" s="1">
        <v>8.0</v>
      </c>
      <c r="N771" s="1">
        <v>0.0</v>
      </c>
      <c r="O771" s="1">
        <v>0.0</v>
      </c>
      <c r="P771" s="1">
        <v>0.0</v>
      </c>
      <c r="Q771" s="1">
        <v>0.0</v>
      </c>
      <c r="R771" s="1">
        <v>-6.0</v>
      </c>
      <c r="S771" s="1">
        <v>10.0</v>
      </c>
      <c r="T771" s="1">
        <v>0.0</v>
      </c>
    </row>
    <row r="772" ht="12.75" customHeight="1">
      <c r="A772" s="1" t="s">
        <v>805</v>
      </c>
      <c r="B772" s="1" t="str">
        <f>IFERROR(__xludf.DUMMYFUNCTION("split(A772, ""\"")"),"Mario Kempe")</f>
        <v>Mario Kempe</v>
      </c>
      <c r="C772" s="1" t="str">
        <f>IFERROR(__xludf.DUMMYFUNCTION("""COMPUTED_VALUE"""),"kempema01")</f>
        <v>kempema01</v>
      </c>
      <c r="D772" s="1" t="s">
        <v>31</v>
      </c>
      <c r="E772" s="1">
        <f t="shared" si="1"/>
        <v>27.4</v>
      </c>
      <c r="F772" s="1">
        <f t="shared" si="2"/>
        <v>1.52</v>
      </c>
      <c r="G772" s="1">
        <v>18.0</v>
      </c>
      <c r="H772" s="1">
        <v>2.0</v>
      </c>
      <c r="I772" s="1">
        <v>2.0</v>
      </c>
      <c r="J772" s="1">
        <v>4.0</v>
      </c>
      <c r="K772" s="1">
        <v>20.0</v>
      </c>
      <c r="L772" s="1">
        <v>20.0</v>
      </c>
      <c r="M772" s="1">
        <v>11.0</v>
      </c>
      <c r="N772" s="1">
        <v>0.0</v>
      </c>
      <c r="O772" s="1">
        <v>0.0</v>
      </c>
      <c r="P772" s="1">
        <v>0.0</v>
      </c>
      <c r="Q772" s="1">
        <v>0.0</v>
      </c>
      <c r="R772" s="1">
        <v>-1.0</v>
      </c>
      <c r="S772" s="1">
        <v>4.0</v>
      </c>
      <c r="T772" s="1">
        <v>0.0</v>
      </c>
    </row>
    <row r="773" ht="12.75" customHeight="1">
      <c r="A773" s="1" t="s">
        <v>806</v>
      </c>
      <c r="B773" s="1" t="str">
        <f>IFERROR(__xludf.DUMMYFUNCTION("split(A773, ""\"")"),"Michael McCarron")</f>
        <v>Michael McCarron</v>
      </c>
      <c r="C773" s="1" t="str">
        <f>IFERROR(__xludf.DUMMYFUNCTION("""COMPUTED_VALUE"""),"mccarmi01")</f>
        <v>mccarmi01</v>
      </c>
      <c r="D773" s="1" t="s">
        <v>36</v>
      </c>
      <c r="E773" s="1">
        <f t="shared" si="1"/>
        <v>27.1</v>
      </c>
      <c r="F773" s="1">
        <f t="shared" si="2"/>
        <v>1.51</v>
      </c>
      <c r="G773" s="1">
        <v>18.0</v>
      </c>
      <c r="H773" s="1">
        <v>0.0</v>
      </c>
      <c r="I773" s="1">
        <v>1.0</v>
      </c>
      <c r="J773" s="1">
        <v>1.0</v>
      </c>
      <c r="K773" s="1">
        <v>15.0</v>
      </c>
      <c r="L773" s="1">
        <v>61.0</v>
      </c>
      <c r="M773" s="1">
        <v>14.0</v>
      </c>
      <c r="N773" s="1">
        <v>0.0</v>
      </c>
      <c r="O773" s="1">
        <v>0.0</v>
      </c>
      <c r="P773" s="1">
        <v>0.0</v>
      </c>
      <c r="Q773" s="1">
        <v>0.0</v>
      </c>
      <c r="R773" s="1">
        <v>-1.0</v>
      </c>
      <c r="S773" s="1">
        <v>32.0</v>
      </c>
      <c r="T773" s="1">
        <v>0.0</v>
      </c>
    </row>
    <row r="774" ht="12.75" customHeight="1">
      <c r="A774" s="1" t="s">
        <v>807</v>
      </c>
      <c r="B774" s="1" t="str">
        <f>IFERROR(__xludf.DUMMYFUNCTION("split(A774, ""\"")"),"Ryan Sproul")</f>
        <v>Ryan Sproul</v>
      </c>
      <c r="C774" s="1" t="str">
        <f>IFERROR(__xludf.DUMMYFUNCTION("""COMPUTED_VALUE"""),"sproury01")</f>
        <v>sproury01</v>
      </c>
      <c r="D774" s="1" t="s">
        <v>66</v>
      </c>
      <c r="E774" s="1">
        <f t="shared" si="1"/>
        <v>27.05</v>
      </c>
      <c r="F774" s="1">
        <f t="shared" si="2"/>
        <v>1.69</v>
      </c>
      <c r="G774" s="1">
        <v>16.0</v>
      </c>
      <c r="H774" s="1">
        <v>1.0</v>
      </c>
      <c r="I774" s="1">
        <v>4.0</v>
      </c>
      <c r="J774" s="1">
        <v>5.0</v>
      </c>
      <c r="K774" s="1">
        <v>15.0</v>
      </c>
      <c r="L774" s="1">
        <v>6.0</v>
      </c>
      <c r="M774" s="1">
        <v>17.0</v>
      </c>
      <c r="N774" s="1">
        <v>0.0</v>
      </c>
      <c r="O774" s="1">
        <v>1.0</v>
      </c>
      <c r="P774" s="1">
        <v>0.0</v>
      </c>
      <c r="Q774" s="1">
        <v>0.0</v>
      </c>
      <c r="R774" s="1">
        <v>-6.0</v>
      </c>
      <c r="S774" s="1">
        <v>6.0</v>
      </c>
      <c r="T774" s="1">
        <v>0.0</v>
      </c>
    </row>
    <row r="775" ht="12.75" customHeight="1">
      <c r="A775" s="1" t="s">
        <v>808</v>
      </c>
      <c r="B775" s="1" t="str">
        <f>IFERROR(__xludf.DUMMYFUNCTION("split(A775, ""\"")"),"Oscar Dansk")</f>
        <v>Oscar Dansk</v>
      </c>
      <c r="C775" s="2" t="str">
        <f>IFERROR(__xludf.DUMMYFUNCTION("""COMPUTED_VALUE"""),"danskos01")</f>
        <v>danskos01</v>
      </c>
      <c r="D775" s="1" t="s">
        <v>5</v>
      </c>
      <c r="E775" s="1">
        <f t="shared" si="1"/>
        <v>27</v>
      </c>
      <c r="F775" s="1">
        <f t="shared" si="2"/>
        <v>6.75</v>
      </c>
      <c r="G775" s="1">
        <v>4.0</v>
      </c>
      <c r="U775" s="1">
        <v>3.0</v>
      </c>
      <c r="V775" s="1">
        <v>3.0</v>
      </c>
      <c r="W775" s="1">
        <v>0.0</v>
      </c>
      <c r="X775" s="1">
        <v>5.0</v>
      </c>
      <c r="Y775" s="1">
        <v>93.0</v>
      </c>
      <c r="Z775" s="1">
        <v>88.0</v>
      </c>
      <c r="AA775" s="1">
        <v>1.0</v>
      </c>
    </row>
    <row r="776" ht="12.75" customHeight="1">
      <c r="A776" s="1" t="s">
        <v>809</v>
      </c>
      <c r="B776" s="1" t="str">
        <f>IFERROR(__xludf.DUMMYFUNCTION("split(A776, ""\"")"),"Shawn Matthias")</f>
        <v>Shawn Matthias</v>
      </c>
      <c r="C776" s="1" t="str">
        <f>IFERROR(__xludf.DUMMYFUNCTION("""COMPUTED_VALUE"""),"matthsh01")</f>
        <v>matthsh01</v>
      </c>
      <c r="D776" s="1" t="s">
        <v>31</v>
      </c>
      <c r="E776" s="1">
        <f t="shared" si="1"/>
        <v>26.6</v>
      </c>
      <c r="F776" s="1">
        <f t="shared" si="2"/>
        <v>0.99</v>
      </c>
      <c r="G776" s="1">
        <v>27.0</v>
      </c>
      <c r="H776" s="1">
        <v>1.0</v>
      </c>
      <c r="I776" s="1">
        <v>2.0</v>
      </c>
      <c r="J776" s="1">
        <v>3.0</v>
      </c>
      <c r="K776" s="1">
        <v>26.0</v>
      </c>
      <c r="L776" s="1">
        <v>22.0</v>
      </c>
      <c r="M776" s="1">
        <v>14.0</v>
      </c>
      <c r="N776" s="1">
        <v>0.0</v>
      </c>
      <c r="O776" s="1">
        <v>0.0</v>
      </c>
      <c r="P776" s="1">
        <v>0.0</v>
      </c>
      <c r="Q776" s="1">
        <v>0.0</v>
      </c>
      <c r="R776" s="1">
        <v>-1.0</v>
      </c>
      <c r="S776" s="1">
        <v>10.0</v>
      </c>
      <c r="T776" s="1">
        <v>0.0</v>
      </c>
    </row>
    <row r="777" ht="12.75" customHeight="1">
      <c r="A777" s="1" t="s">
        <v>810</v>
      </c>
      <c r="B777" s="1" t="str">
        <f>IFERROR(__xludf.DUMMYFUNCTION("split(A777, ""\"")"),"Sebastian Aho")</f>
        <v>Sebastian Aho</v>
      </c>
      <c r="C777" s="1" t="str">
        <f>IFERROR(__xludf.DUMMYFUNCTION("""COMPUTED_VALUE"""),"ahose02")</f>
        <v>ahose02</v>
      </c>
      <c r="D777" s="1" t="s">
        <v>66</v>
      </c>
      <c r="E777" s="1">
        <f t="shared" si="1"/>
        <v>26.2</v>
      </c>
      <c r="F777" s="1">
        <f t="shared" si="2"/>
        <v>1.19</v>
      </c>
      <c r="G777" s="1">
        <v>22.0</v>
      </c>
      <c r="H777" s="1">
        <v>1.0</v>
      </c>
      <c r="I777" s="1">
        <v>3.0</v>
      </c>
      <c r="J777" s="1">
        <v>4.0</v>
      </c>
      <c r="K777" s="1">
        <v>24.0</v>
      </c>
      <c r="L777" s="1">
        <v>10.0</v>
      </c>
      <c r="M777" s="1">
        <v>13.0</v>
      </c>
      <c r="N777" s="1">
        <v>1.0</v>
      </c>
      <c r="O777" s="1">
        <v>0.0</v>
      </c>
      <c r="P777" s="1">
        <v>0.0</v>
      </c>
      <c r="Q777" s="1">
        <v>0.0</v>
      </c>
      <c r="R777" s="1">
        <v>-5.0</v>
      </c>
      <c r="S777" s="1">
        <v>6.0</v>
      </c>
      <c r="T777" s="1">
        <v>0.0</v>
      </c>
    </row>
    <row r="778" ht="12.75" customHeight="1">
      <c r="A778" s="1" t="s">
        <v>811</v>
      </c>
      <c r="B778" s="1" t="str">
        <f>IFERROR(__xludf.DUMMYFUNCTION("split(A778, ""\"")"),"Paul Ladue")</f>
        <v>Paul Ladue</v>
      </c>
      <c r="C778" s="1" t="str">
        <f>IFERROR(__xludf.DUMMYFUNCTION("""COMPUTED_VALUE"""),"laduepa01")</f>
        <v>laduepa01</v>
      </c>
      <c r="D778" s="1" t="s">
        <v>66</v>
      </c>
      <c r="E778" s="1">
        <f t="shared" si="1"/>
        <v>26.15</v>
      </c>
      <c r="F778" s="1">
        <f t="shared" si="2"/>
        <v>2.18</v>
      </c>
      <c r="G778" s="1">
        <v>12.0</v>
      </c>
      <c r="H778" s="1">
        <v>3.0</v>
      </c>
      <c r="I778" s="1">
        <v>1.0</v>
      </c>
      <c r="J778" s="1">
        <v>4.0</v>
      </c>
      <c r="K778" s="1">
        <v>13.0</v>
      </c>
      <c r="L778" s="1">
        <v>12.0</v>
      </c>
      <c r="M778" s="1">
        <v>11.0</v>
      </c>
      <c r="N778" s="1">
        <v>1.0</v>
      </c>
      <c r="O778" s="1">
        <v>0.0</v>
      </c>
      <c r="P778" s="1">
        <v>0.0</v>
      </c>
      <c r="Q778" s="1">
        <v>0.0</v>
      </c>
      <c r="R778" s="1">
        <v>5.0</v>
      </c>
      <c r="S778" s="1">
        <v>6.0</v>
      </c>
      <c r="T778" s="1">
        <v>2.0</v>
      </c>
    </row>
    <row r="779" ht="12.75" customHeight="1">
      <c r="A779" s="1" t="s">
        <v>812</v>
      </c>
      <c r="B779" s="1" t="str">
        <f>IFERROR(__xludf.DUMMYFUNCTION("split(A779, ""\"")"),"David Warsofsky")</f>
        <v>David Warsofsky</v>
      </c>
      <c r="C779" s="1" t="str">
        <f>IFERROR(__xludf.DUMMYFUNCTION("""COMPUTED_VALUE"""),"warsoda01")</f>
        <v>warsoda01</v>
      </c>
      <c r="D779" s="1" t="s">
        <v>66</v>
      </c>
      <c r="E779" s="1">
        <f t="shared" si="1"/>
        <v>26.05</v>
      </c>
      <c r="F779" s="1">
        <f t="shared" si="2"/>
        <v>1.63</v>
      </c>
      <c r="G779" s="1">
        <v>16.0</v>
      </c>
      <c r="H779" s="1">
        <v>0.0</v>
      </c>
      <c r="I779" s="1">
        <v>5.0</v>
      </c>
      <c r="J779" s="1">
        <v>5.0</v>
      </c>
      <c r="K779" s="1">
        <v>18.0</v>
      </c>
      <c r="L779" s="1">
        <v>1.0</v>
      </c>
      <c r="M779" s="1">
        <v>22.0</v>
      </c>
      <c r="N779" s="1">
        <v>0.0</v>
      </c>
      <c r="O779" s="1">
        <v>0.0</v>
      </c>
      <c r="P779" s="1">
        <v>0.0</v>
      </c>
      <c r="Q779" s="1">
        <v>0.0</v>
      </c>
      <c r="R779" s="1">
        <v>4.0</v>
      </c>
      <c r="S779" s="1">
        <v>0.0</v>
      </c>
      <c r="T779" s="1">
        <v>0.0</v>
      </c>
    </row>
    <row r="780" ht="12.75" customHeight="1">
      <c r="A780" s="1" t="s">
        <v>813</v>
      </c>
      <c r="B780" s="1" t="str">
        <f>IFERROR(__xludf.DUMMYFUNCTION("split(A780, ""\"")"),"Matthew Peca")</f>
        <v>Matthew Peca</v>
      </c>
      <c r="C780" s="1" t="str">
        <f>IFERROR(__xludf.DUMMYFUNCTION("""COMPUTED_VALUE"""),"pecama01")</f>
        <v>pecama01</v>
      </c>
      <c r="D780" s="1" t="s">
        <v>31</v>
      </c>
      <c r="E780" s="1">
        <f t="shared" si="1"/>
        <v>25.7</v>
      </c>
      <c r="F780" s="1">
        <f t="shared" si="2"/>
        <v>2.57</v>
      </c>
      <c r="G780" s="1">
        <v>10.0</v>
      </c>
      <c r="H780" s="1">
        <v>2.0</v>
      </c>
      <c r="I780" s="1">
        <v>3.0</v>
      </c>
      <c r="J780" s="1">
        <v>5.0</v>
      </c>
      <c r="K780" s="1">
        <v>17.0</v>
      </c>
      <c r="L780" s="1">
        <v>11.0</v>
      </c>
      <c r="M780" s="1">
        <v>8.0</v>
      </c>
      <c r="N780" s="1">
        <v>0.0</v>
      </c>
      <c r="O780" s="1">
        <v>0.0</v>
      </c>
      <c r="P780" s="1">
        <v>0.0</v>
      </c>
      <c r="Q780" s="1">
        <v>0.0</v>
      </c>
      <c r="R780" s="1">
        <v>6.0</v>
      </c>
      <c r="S780" s="1">
        <v>0.0</v>
      </c>
      <c r="T780" s="1">
        <v>0.0</v>
      </c>
    </row>
    <row r="781" ht="12.75" customHeight="1">
      <c r="A781" s="1" t="s">
        <v>814</v>
      </c>
      <c r="B781" s="1" t="str">
        <f>IFERROR(__xludf.DUMMYFUNCTION("split(A781, ""\"")"),"Matt Bartkowski")</f>
        <v>Matt Bartkowski</v>
      </c>
      <c r="C781" s="1" t="str">
        <f>IFERROR(__xludf.DUMMYFUNCTION("""COMPUTED_VALUE"""),"bartkma01")</f>
        <v>bartkma01</v>
      </c>
      <c r="D781" s="1" t="s">
        <v>66</v>
      </c>
      <c r="E781" s="1">
        <f t="shared" si="1"/>
        <v>25.7</v>
      </c>
      <c r="F781" s="1">
        <f t="shared" si="2"/>
        <v>1.43</v>
      </c>
      <c r="G781" s="1">
        <v>18.0</v>
      </c>
      <c r="H781" s="1">
        <v>0.0</v>
      </c>
      <c r="I781" s="1">
        <v>3.0</v>
      </c>
      <c r="J781" s="1">
        <v>3.0</v>
      </c>
      <c r="K781" s="1">
        <v>21.0</v>
      </c>
      <c r="L781" s="1">
        <v>31.0</v>
      </c>
      <c r="M781" s="1">
        <v>13.0</v>
      </c>
      <c r="N781" s="1">
        <v>0.0</v>
      </c>
      <c r="O781" s="1">
        <v>0.0</v>
      </c>
      <c r="P781" s="1">
        <v>0.0</v>
      </c>
      <c r="Q781" s="1">
        <v>0.0</v>
      </c>
      <c r="R781" s="1">
        <v>-3.0</v>
      </c>
      <c r="S781" s="1">
        <v>4.0</v>
      </c>
      <c r="T781" s="1">
        <v>0.0</v>
      </c>
    </row>
    <row r="782" ht="12.75" customHeight="1">
      <c r="A782" s="1" t="s">
        <v>815</v>
      </c>
      <c r="B782" s="1" t="str">
        <f>IFERROR(__xludf.DUMMYFUNCTION("split(A782, ""\"")"),"Tucker Poolman")</f>
        <v>Tucker Poolman</v>
      </c>
      <c r="C782" s="1" t="str">
        <f>IFERROR(__xludf.DUMMYFUNCTION("""COMPUTED_VALUE"""),"poolmtu01")</f>
        <v>poolmtu01</v>
      </c>
      <c r="D782" s="1" t="s">
        <v>66</v>
      </c>
      <c r="E782" s="1">
        <f t="shared" si="1"/>
        <v>25.45</v>
      </c>
      <c r="F782" s="1">
        <f t="shared" si="2"/>
        <v>1.06</v>
      </c>
      <c r="G782" s="1">
        <v>24.0</v>
      </c>
      <c r="H782" s="1">
        <v>1.0</v>
      </c>
      <c r="I782" s="1">
        <v>1.0</v>
      </c>
      <c r="J782" s="1">
        <v>2.0</v>
      </c>
      <c r="K782" s="1">
        <v>27.0</v>
      </c>
      <c r="L782" s="1">
        <v>20.0</v>
      </c>
      <c r="M782" s="1">
        <v>18.0</v>
      </c>
      <c r="N782" s="1">
        <v>0.0</v>
      </c>
      <c r="O782" s="1">
        <v>0.0</v>
      </c>
      <c r="P782" s="1">
        <v>0.0</v>
      </c>
      <c r="Q782" s="1">
        <v>0.0</v>
      </c>
      <c r="R782" s="1">
        <v>2.0</v>
      </c>
      <c r="S782" s="1">
        <v>0.0</v>
      </c>
      <c r="T782" s="1">
        <v>0.0</v>
      </c>
    </row>
    <row r="783" ht="12.75" customHeight="1">
      <c r="A783" s="1" t="s">
        <v>816</v>
      </c>
      <c r="B783" s="1" t="str">
        <f>IFERROR(__xludf.DUMMYFUNCTION("split(A783, ""\"")"),"Marko Dano")</f>
        <v>Marko Dano</v>
      </c>
      <c r="C783" s="1" t="str">
        <f>IFERROR(__xludf.DUMMYFUNCTION("""COMPUTED_VALUE"""),"danoma01")</f>
        <v>danoma01</v>
      </c>
      <c r="D783" s="1" t="s">
        <v>31</v>
      </c>
      <c r="E783" s="1">
        <f t="shared" si="1"/>
        <v>25.3</v>
      </c>
      <c r="F783" s="1">
        <f t="shared" si="2"/>
        <v>1.1</v>
      </c>
      <c r="G783" s="1">
        <v>23.0</v>
      </c>
      <c r="H783" s="1">
        <v>2.0</v>
      </c>
      <c r="I783" s="1">
        <v>1.0</v>
      </c>
      <c r="J783" s="1">
        <v>3.0</v>
      </c>
      <c r="K783" s="1">
        <v>22.0</v>
      </c>
      <c r="L783" s="1">
        <v>26.0</v>
      </c>
      <c r="M783" s="1">
        <v>7.0</v>
      </c>
      <c r="N783" s="1">
        <v>0.0</v>
      </c>
      <c r="O783" s="1">
        <v>0.0</v>
      </c>
      <c r="P783" s="1">
        <v>0.0</v>
      </c>
      <c r="Q783" s="1">
        <v>0.0</v>
      </c>
      <c r="R783" s="1">
        <v>-2.0</v>
      </c>
      <c r="S783" s="1">
        <v>6.0</v>
      </c>
      <c r="T783" s="1">
        <v>2.0</v>
      </c>
    </row>
    <row r="784" ht="12.75" customHeight="1">
      <c r="A784" s="1" t="s">
        <v>817</v>
      </c>
      <c r="B784" s="1" t="str">
        <f>IFERROR(__xludf.DUMMYFUNCTION("split(A784, ""\"")"),"Zach Bogosian")</f>
        <v>Zach Bogosian</v>
      </c>
      <c r="C784" s="1" t="str">
        <f>IFERROR(__xludf.DUMMYFUNCTION("""COMPUTED_VALUE"""),"bogosza01")</f>
        <v>bogosza01</v>
      </c>
      <c r="D784" s="1" t="s">
        <v>66</v>
      </c>
      <c r="E784" s="1">
        <f t="shared" si="1"/>
        <v>24.45</v>
      </c>
      <c r="F784" s="1">
        <f t="shared" si="2"/>
        <v>1.36</v>
      </c>
      <c r="G784" s="1">
        <v>18.0</v>
      </c>
      <c r="H784" s="1">
        <v>0.0</v>
      </c>
      <c r="I784" s="1">
        <v>1.0</v>
      </c>
      <c r="J784" s="1">
        <v>1.0</v>
      </c>
      <c r="K784" s="1">
        <v>29.0</v>
      </c>
      <c r="L784" s="1">
        <v>22.0</v>
      </c>
      <c r="M784" s="1">
        <v>23.0</v>
      </c>
      <c r="N784" s="1">
        <v>0.0</v>
      </c>
      <c r="O784" s="1">
        <v>0.0</v>
      </c>
      <c r="P784" s="1">
        <v>0.0</v>
      </c>
      <c r="Q784" s="1">
        <v>0.0</v>
      </c>
      <c r="R784" s="1">
        <v>-9.0</v>
      </c>
      <c r="S784" s="1">
        <v>20.0</v>
      </c>
      <c r="T784" s="1">
        <v>0.0</v>
      </c>
    </row>
    <row r="785" ht="12.75" customHeight="1">
      <c r="A785" s="1" t="s">
        <v>818</v>
      </c>
      <c r="B785" s="1" t="str">
        <f>IFERROR(__xludf.DUMMYFUNCTION("split(A785, ""\"")"),"Duncan Siemens")</f>
        <v>Duncan Siemens</v>
      </c>
      <c r="C785" s="1" t="str">
        <f>IFERROR(__xludf.DUMMYFUNCTION("""COMPUTED_VALUE"""),"siemedu01")</f>
        <v>siemedu01</v>
      </c>
      <c r="D785" s="1" t="s">
        <v>66</v>
      </c>
      <c r="E785" s="1">
        <f t="shared" si="1"/>
        <v>23.9</v>
      </c>
      <c r="F785" s="1">
        <f t="shared" si="2"/>
        <v>1.49</v>
      </c>
      <c r="G785" s="1">
        <v>16.0</v>
      </c>
      <c r="H785" s="1">
        <v>1.0</v>
      </c>
      <c r="I785" s="1">
        <v>1.0</v>
      </c>
      <c r="J785" s="1">
        <v>2.0</v>
      </c>
      <c r="K785" s="1">
        <v>14.0</v>
      </c>
      <c r="L785" s="1">
        <v>22.0</v>
      </c>
      <c r="M785" s="1">
        <v>21.0</v>
      </c>
      <c r="N785" s="1">
        <v>0.0</v>
      </c>
      <c r="O785" s="1">
        <v>0.0</v>
      </c>
      <c r="P785" s="1">
        <v>0.0</v>
      </c>
      <c r="Q785" s="1">
        <v>0.0</v>
      </c>
      <c r="R785" s="1">
        <v>-5.0</v>
      </c>
      <c r="S785" s="1">
        <v>23.0</v>
      </c>
      <c r="T785" s="1">
        <v>0.0</v>
      </c>
    </row>
    <row r="786" ht="12.75" customHeight="1">
      <c r="A786" s="1" t="s">
        <v>819</v>
      </c>
      <c r="B786" s="1" t="str">
        <f>IFERROR(__xludf.DUMMYFUNCTION("split(A786, ""\"")"),"Linus Ullmark")</f>
        <v>Linus Ullmark</v>
      </c>
      <c r="C786" s="2" t="str">
        <f>IFERROR(__xludf.DUMMYFUNCTION("""COMPUTED_VALUE"""),"ullmali01")</f>
        <v>ullmali01</v>
      </c>
      <c r="D786" s="1" t="s">
        <v>5</v>
      </c>
      <c r="E786" s="1">
        <f t="shared" si="1"/>
        <v>23.75</v>
      </c>
      <c r="F786" s="1">
        <f t="shared" si="2"/>
        <v>4.75</v>
      </c>
      <c r="G786" s="1">
        <v>5.0</v>
      </c>
      <c r="U786" s="1">
        <v>3.0</v>
      </c>
      <c r="V786" s="1">
        <v>1.0</v>
      </c>
      <c r="W786" s="1">
        <v>2.0</v>
      </c>
      <c r="X786" s="1">
        <v>8.0</v>
      </c>
      <c r="Y786" s="1">
        <v>123.0</v>
      </c>
      <c r="Z786" s="1">
        <v>115.0</v>
      </c>
      <c r="AA786" s="1">
        <v>0.0</v>
      </c>
    </row>
    <row r="787" ht="12.75" customHeight="1">
      <c r="A787" s="1" t="s">
        <v>820</v>
      </c>
      <c r="B787" s="1" t="str">
        <f>IFERROR(__xludf.DUMMYFUNCTION("split(A787, ""\"")"),"Kevin Gravel")</f>
        <v>Kevin Gravel</v>
      </c>
      <c r="C787" s="1" t="str">
        <f>IFERROR(__xludf.DUMMYFUNCTION("""COMPUTED_VALUE"""),"graveke01")</f>
        <v>graveke01</v>
      </c>
      <c r="D787" s="1" t="s">
        <v>66</v>
      </c>
      <c r="E787" s="1">
        <f t="shared" si="1"/>
        <v>23.5</v>
      </c>
      <c r="F787" s="1">
        <f t="shared" si="2"/>
        <v>1.47</v>
      </c>
      <c r="G787" s="1">
        <v>16.0</v>
      </c>
      <c r="H787" s="1">
        <v>0.0</v>
      </c>
      <c r="I787" s="1">
        <v>3.0</v>
      </c>
      <c r="J787" s="1">
        <v>3.0</v>
      </c>
      <c r="K787" s="1">
        <v>20.0</v>
      </c>
      <c r="L787" s="1">
        <v>16.0</v>
      </c>
      <c r="M787" s="1">
        <v>15.0</v>
      </c>
      <c r="N787" s="1">
        <v>0.0</v>
      </c>
      <c r="O787" s="1">
        <v>1.0</v>
      </c>
      <c r="P787" s="1">
        <v>0.0</v>
      </c>
      <c r="Q787" s="1">
        <v>0.0</v>
      </c>
      <c r="R787" s="1">
        <v>-3.0</v>
      </c>
      <c r="S787" s="1">
        <v>2.0</v>
      </c>
      <c r="T787" s="1">
        <v>0.0</v>
      </c>
    </row>
    <row r="788" ht="12.75" customHeight="1">
      <c r="A788" s="1" t="s">
        <v>821</v>
      </c>
      <c r="B788" s="1" t="str">
        <f>IFERROR(__xludf.DUMMYFUNCTION("split(A788, ""\"")"),"Evgeny Svechnikov")</f>
        <v>Evgeny Svechnikov</v>
      </c>
      <c r="C788" s="1" t="str">
        <f>IFERROR(__xludf.DUMMYFUNCTION("""COMPUTED_VALUE"""),"svechev01")</f>
        <v>svechev01</v>
      </c>
      <c r="D788" s="1" t="s">
        <v>28</v>
      </c>
      <c r="E788" s="1">
        <f t="shared" si="1"/>
        <v>22.9</v>
      </c>
      <c r="F788" s="1">
        <f t="shared" si="2"/>
        <v>1.64</v>
      </c>
      <c r="G788" s="1">
        <v>14.0</v>
      </c>
      <c r="H788" s="1">
        <v>2.0</v>
      </c>
      <c r="I788" s="1">
        <v>2.0</v>
      </c>
      <c r="J788" s="1">
        <v>4.0</v>
      </c>
      <c r="K788" s="1">
        <v>15.0</v>
      </c>
      <c r="L788" s="1">
        <v>15.0</v>
      </c>
      <c r="M788" s="1">
        <v>6.0</v>
      </c>
      <c r="N788" s="1">
        <v>0.0</v>
      </c>
      <c r="O788" s="1">
        <v>0.0</v>
      </c>
      <c r="P788" s="1">
        <v>0.0</v>
      </c>
      <c r="Q788" s="1">
        <v>0.0</v>
      </c>
      <c r="R788" s="1">
        <v>-2.0</v>
      </c>
      <c r="S788" s="1">
        <v>8.0</v>
      </c>
      <c r="T788" s="1">
        <v>0.0</v>
      </c>
    </row>
    <row r="789" ht="12.75" customHeight="1">
      <c r="A789" s="1" t="s">
        <v>822</v>
      </c>
      <c r="B789" s="1" t="str">
        <f>IFERROR(__xludf.DUMMYFUNCTION("split(A789, ""\"")"),"Alan Quine")</f>
        <v>Alan Quine</v>
      </c>
      <c r="C789" s="1" t="str">
        <f>IFERROR(__xludf.DUMMYFUNCTION("""COMPUTED_VALUE"""),"quineal01")</f>
        <v>quineal01</v>
      </c>
      <c r="D789" s="1" t="s">
        <v>31</v>
      </c>
      <c r="E789" s="1">
        <f t="shared" si="1"/>
        <v>22.85</v>
      </c>
      <c r="F789" s="1">
        <f t="shared" si="2"/>
        <v>1.09</v>
      </c>
      <c r="G789" s="1">
        <v>21.0</v>
      </c>
      <c r="H789" s="1">
        <v>0.0</v>
      </c>
      <c r="I789" s="1">
        <v>3.0</v>
      </c>
      <c r="J789" s="1">
        <v>3.0</v>
      </c>
      <c r="K789" s="1">
        <v>15.0</v>
      </c>
      <c r="L789" s="1">
        <v>32.0</v>
      </c>
      <c r="M789" s="1">
        <v>9.0</v>
      </c>
      <c r="N789" s="1">
        <v>0.0</v>
      </c>
      <c r="O789" s="1">
        <v>0.0</v>
      </c>
      <c r="P789" s="1">
        <v>0.0</v>
      </c>
      <c r="Q789" s="1">
        <v>0.0</v>
      </c>
      <c r="R789" s="1">
        <v>-2.0</v>
      </c>
      <c r="S789" s="1">
        <v>4.0</v>
      </c>
      <c r="T789" s="1">
        <v>0.0</v>
      </c>
    </row>
    <row r="790" ht="12.75" customHeight="1">
      <c r="A790" s="1" t="s">
        <v>823</v>
      </c>
      <c r="B790" s="1" t="str">
        <f>IFERROR(__xludf.DUMMYFUNCTION("split(A790, ""\"")"),"Dominic Toninato")</f>
        <v>Dominic Toninato</v>
      </c>
      <c r="C790" s="1" t="str">
        <f>IFERROR(__xludf.DUMMYFUNCTION("""COMPUTED_VALUE"""),"tonindo01")</f>
        <v>tonindo01</v>
      </c>
      <c r="D790" s="1" t="s">
        <v>31</v>
      </c>
      <c r="E790" s="1">
        <f t="shared" si="1"/>
        <v>22.85</v>
      </c>
      <c r="F790" s="1">
        <f t="shared" si="2"/>
        <v>0.62</v>
      </c>
      <c r="G790" s="1">
        <v>37.0</v>
      </c>
      <c r="H790" s="1">
        <v>0.0</v>
      </c>
      <c r="I790" s="1">
        <v>2.0</v>
      </c>
      <c r="J790" s="1">
        <v>2.0</v>
      </c>
      <c r="K790" s="1">
        <v>25.0</v>
      </c>
      <c r="L790" s="1">
        <v>24.0</v>
      </c>
      <c r="M790" s="1">
        <v>14.0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12.0</v>
      </c>
      <c r="T790" s="1">
        <v>0.0</v>
      </c>
    </row>
    <row r="791" ht="12.75" customHeight="1">
      <c r="A791" s="1" t="s">
        <v>824</v>
      </c>
      <c r="B791" s="1" t="str">
        <f>IFERROR(__xludf.DUMMYFUNCTION("split(A791, ""\"")"),"Kyle Quincey")</f>
        <v>Kyle Quincey</v>
      </c>
      <c r="C791" s="1" t="str">
        <f>IFERROR(__xludf.DUMMYFUNCTION("""COMPUTED_VALUE"""),"quincky01")</f>
        <v>quincky01</v>
      </c>
      <c r="D791" s="1" t="s">
        <v>66</v>
      </c>
      <c r="E791" s="1">
        <f t="shared" si="1"/>
        <v>22.7</v>
      </c>
      <c r="F791" s="1">
        <f t="shared" si="2"/>
        <v>1.26</v>
      </c>
      <c r="G791" s="1">
        <v>18.0</v>
      </c>
      <c r="H791" s="1">
        <v>0.0</v>
      </c>
      <c r="I791" s="1">
        <v>3.0</v>
      </c>
      <c r="J791" s="1">
        <v>3.0</v>
      </c>
      <c r="K791" s="1">
        <v>11.0</v>
      </c>
      <c r="L791" s="1">
        <v>21.0</v>
      </c>
      <c r="M791" s="1">
        <v>18.0</v>
      </c>
      <c r="N791" s="1">
        <v>0.0</v>
      </c>
      <c r="O791" s="1">
        <v>0.0</v>
      </c>
      <c r="P791" s="1">
        <v>0.0</v>
      </c>
      <c r="Q791" s="1">
        <v>0.0</v>
      </c>
      <c r="R791" s="1">
        <v>-4.0</v>
      </c>
      <c r="S791" s="1">
        <v>28.0</v>
      </c>
      <c r="T791" s="1">
        <v>0.0</v>
      </c>
    </row>
    <row r="792" ht="12.75" customHeight="1">
      <c r="A792" s="1" t="s">
        <v>825</v>
      </c>
      <c r="B792" s="1" t="str">
        <f>IFERROR(__xludf.DUMMYFUNCTION("split(A792, ""\"")"),"Jason Dickinson")</f>
        <v>Jason Dickinson</v>
      </c>
      <c r="C792" s="1" t="str">
        <f>IFERROR(__xludf.DUMMYFUNCTION("""COMPUTED_VALUE"""),"dickija01")</f>
        <v>dickija01</v>
      </c>
      <c r="D792" s="1" t="s">
        <v>31</v>
      </c>
      <c r="E792" s="1">
        <f t="shared" si="1"/>
        <v>22.25</v>
      </c>
      <c r="F792" s="1">
        <f t="shared" si="2"/>
        <v>0.82</v>
      </c>
      <c r="G792" s="1">
        <v>27.0</v>
      </c>
      <c r="H792" s="1">
        <v>0.0</v>
      </c>
      <c r="I792" s="1">
        <v>2.0</v>
      </c>
      <c r="J792" s="1">
        <v>2.0</v>
      </c>
      <c r="K792" s="1">
        <v>16.0</v>
      </c>
      <c r="L792" s="1">
        <v>45.0</v>
      </c>
      <c r="M792" s="1">
        <v>5.0</v>
      </c>
      <c r="N792" s="1">
        <v>0.0</v>
      </c>
      <c r="O792" s="1">
        <v>0.0</v>
      </c>
      <c r="P792" s="1">
        <v>0.0</v>
      </c>
      <c r="Q792" s="1">
        <v>0.0</v>
      </c>
      <c r="R792" s="1">
        <v>-2.0</v>
      </c>
      <c r="S792" s="1">
        <v>17.0</v>
      </c>
      <c r="T792" s="1">
        <v>0.0</v>
      </c>
    </row>
    <row r="793" ht="12.75" customHeight="1">
      <c r="A793" s="1" t="s">
        <v>826</v>
      </c>
      <c r="B793" s="1" t="str">
        <f>IFERROR(__xludf.DUMMYFUNCTION("split(A793, ""\"")"),"Eddie Lack")</f>
        <v>Eddie Lack</v>
      </c>
      <c r="C793" s="2" t="str">
        <f>IFERROR(__xludf.DUMMYFUNCTION("""COMPUTED_VALUE"""),"lacked01")</f>
        <v>lacked01</v>
      </c>
      <c r="D793" s="1" t="s">
        <v>5</v>
      </c>
      <c r="E793" s="1">
        <f t="shared" si="1"/>
        <v>21.5</v>
      </c>
      <c r="F793" s="1">
        <f t="shared" si="2"/>
        <v>2.69</v>
      </c>
      <c r="G793" s="1">
        <v>8.0</v>
      </c>
      <c r="U793" s="1">
        <v>5.0</v>
      </c>
      <c r="V793" s="1">
        <v>2.0</v>
      </c>
      <c r="W793" s="1">
        <v>4.0</v>
      </c>
      <c r="X793" s="1">
        <v>23.0</v>
      </c>
      <c r="Y793" s="1">
        <v>177.0</v>
      </c>
      <c r="Z793" s="1">
        <v>154.0</v>
      </c>
      <c r="AA793" s="1">
        <v>0.0</v>
      </c>
    </row>
    <row r="794" ht="12.75" customHeight="1">
      <c r="A794" s="1" t="s">
        <v>827</v>
      </c>
      <c r="B794" s="1" t="str">
        <f>IFERROR(__xludf.DUMMYFUNCTION("split(A794, ""\"")"),"Andrei Mironov")</f>
        <v>Andrei Mironov</v>
      </c>
      <c r="C794" s="1" t="str">
        <f>IFERROR(__xludf.DUMMYFUNCTION("""COMPUTED_VALUE"""),"mironan01")</f>
        <v>mironan01</v>
      </c>
      <c r="D794" s="1" t="s">
        <v>66</v>
      </c>
      <c r="E794" s="1">
        <f t="shared" si="1"/>
        <v>20.9</v>
      </c>
      <c r="F794" s="1">
        <f t="shared" si="2"/>
        <v>2.09</v>
      </c>
      <c r="G794" s="1">
        <v>10.0</v>
      </c>
      <c r="H794" s="1">
        <v>1.0</v>
      </c>
      <c r="I794" s="1">
        <v>2.0</v>
      </c>
      <c r="J794" s="1">
        <v>3.0</v>
      </c>
      <c r="K794" s="1">
        <v>3.0</v>
      </c>
      <c r="L794" s="1">
        <v>19.0</v>
      </c>
      <c r="M794" s="1">
        <v>16.0</v>
      </c>
      <c r="N794" s="1">
        <v>0.0</v>
      </c>
      <c r="O794" s="1">
        <v>0.0</v>
      </c>
      <c r="P794" s="1">
        <v>0.0</v>
      </c>
      <c r="Q794" s="1">
        <v>0.0</v>
      </c>
      <c r="R794" s="1">
        <v>2.0</v>
      </c>
      <c r="S794" s="1">
        <v>12.0</v>
      </c>
      <c r="T794" s="1">
        <v>0.0</v>
      </c>
    </row>
    <row r="795" ht="12.75" customHeight="1">
      <c r="A795" s="1" t="s">
        <v>828</v>
      </c>
      <c r="B795" s="1" t="str">
        <f>IFERROR(__xludf.DUMMYFUNCTION("split(A795, ""\"")"),"Nikolai Kulemin")</f>
        <v>Nikolai Kulemin</v>
      </c>
      <c r="C795" s="1" t="str">
        <f>IFERROR(__xludf.DUMMYFUNCTION("""COMPUTED_VALUE"""),"kulemni01")</f>
        <v>kulemni01</v>
      </c>
      <c r="D795" s="1" t="s">
        <v>28</v>
      </c>
      <c r="E795" s="1">
        <f t="shared" si="1"/>
        <v>20.75</v>
      </c>
      <c r="F795" s="1">
        <f t="shared" si="2"/>
        <v>1.6</v>
      </c>
      <c r="G795" s="1">
        <v>13.0</v>
      </c>
      <c r="H795" s="1">
        <v>1.0</v>
      </c>
      <c r="I795" s="1">
        <v>2.0</v>
      </c>
      <c r="J795" s="1">
        <v>3.0</v>
      </c>
      <c r="K795" s="1">
        <v>7.0</v>
      </c>
      <c r="L795" s="1">
        <v>16.0</v>
      </c>
      <c r="M795" s="1">
        <v>15.0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</row>
    <row r="796" ht="12.75" customHeight="1">
      <c r="A796" s="1" t="s">
        <v>829</v>
      </c>
      <c r="B796" s="1" t="str">
        <f>IFERROR(__xludf.DUMMYFUNCTION("split(A796, ""\"")"),"Josh Leivo")</f>
        <v>Josh Leivo</v>
      </c>
      <c r="C796" s="1" t="str">
        <f>IFERROR(__xludf.DUMMYFUNCTION("""COMPUTED_VALUE"""),"leivojo01")</f>
        <v>leivojo01</v>
      </c>
      <c r="D796" s="1" t="s">
        <v>28</v>
      </c>
      <c r="E796" s="1">
        <f t="shared" si="1"/>
        <v>20.25</v>
      </c>
      <c r="F796" s="1">
        <f t="shared" si="2"/>
        <v>1.27</v>
      </c>
      <c r="G796" s="1">
        <v>16.0</v>
      </c>
      <c r="H796" s="1">
        <v>1.0</v>
      </c>
      <c r="I796" s="1">
        <v>3.0</v>
      </c>
      <c r="J796" s="1">
        <v>4.0</v>
      </c>
      <c r="K796" s="1">
        <v>25.0</v>
      </c>
      <c r="L796" s="1">
        <v>2.0</v>
      </c>
      <c r="M796" s="1">
        <v>5.0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6.0</v>
      </c>
      <c r="T796" s="1">
        <v>0.0</v>
      </c>
    </row>
    <row r="797" ht="12.75" customHeight="1">
      <c r="A797" s="1" t="s">
        <v>830</v>
      </c>
      <c r="B797" s="1" t="str">
        <f>IFERROR(__xludf.DUMMYFUNCTION("split(A797, ""\"")"),"A.J. Greer")</f>
        <v>A.J. Greer</v>
      </c>
      <c r="C797" s="1" t="str">
        <f>IFERROR(__xludf.DUMMYFUNCTION("""COMPUTED_VALUE"""),"greeraj01")</f>
        <v>greeraj01</v>
      </c>
      <c r="D797" s="1" t="s">
        <v>28</v>
      </c>
      <c r="E797" s="1">
        <f t="shared" si="1"/>
        <v>20.25</v>
      </c>
      <c r="F797" s="1">
        <f t="shared" si="2"/>
        <v>1.19</v>
      </c>
      <c r="G797" s="1">
        <v>17.0</v>
      </c>
      <c r="H797" s="1">
        <v>0.0</v>
      </c>
      <c r="I797" s="1">
        <v>3.0</v>
      </c>
      <c r="J797" s="1">
        <v>3.0</v>
      </c>
      <c r="K797" s="1">
        <v>13.0</v>
      </c>
      <c r="L797" s="1">
        <v>30.0</v>
      </c>
      <c r="M797" s="1">
        <v>5.0</v>
      </c>
      <c r="N797" s="1">
        <v>0.0</v>
      </c>
      <c r="O797" s="1">
        <v>0.0</v>
      </c>
      <c r="P797" s="1">
        <v>0.0</v>
      </c>
      <c r="Q797" s="1">
        <v>0.0</v>
      </c>
      <c r="R797" s="1">
        <v>2.0</v>
      </c>
      <c r="S797" s="1">
        <v>29.0</v>
      </c>
      <c r="T797" s="1">
        <v>0.0</v>
      </c>
    </row>
    <row r="798" ht="12.75" customHeight="1">
      <c r="A798" s="1" t="s">
        <v>831</v>
      </c>
      <c r="B798" s="1" t="str">
        <f>IFERROR(__xludf.DUMMYFUNCTION("split(A798, ""\"")"),"Daniel Sprong")</f>
        <v>Daniel Sprong</v>
      </c>
      <c r="C798" s="1" t="str">
        <f>IFERROR(__xludf.DUMMYFUNCTION("""COMPUTED_VALUE"""),"spronda01")</f>
        <v>spronda01</v>
      </c>
      <c r="D798" s="1" t="s">
        <v>36</v>
      </c>
      <c r="E798" s="1">
        <f t="shared" si="1"/>
        <v>19.85</v>
      </c>
      <c r="F798" s="1">
        <f t="shared" si="2"/>
        <v>2.48</v>
      </c>
      <c r="G798" s="1">
        <v>8.0</v>
      </c>
      <c r="H798" s="1">
        <v>2.0</v>
      </c>
      <c r="I798" s="1">
        <v>1.0</v>
      </c>
      <c r="J798" s="1">
        <v>3.0</v>
      </c>
      <c r="K798" s="1">
        <v>22.0</v>
      </c>
      <c r="L798" s="1">
        <v>9.0</v>
      </c>
      <c r="M798" s="1">
        <v>4.0</v>
      </c>
      <c r="N798" s="1">
        <v>0.0</v>
      </c>
      <c r="O798" s="1">
        <v>0.0</v>
      </c>
      <c r="P798" s="1">
        <v>0.0</v>
      </c>
      <c r="Q798" s="1">
        <v>0.0</v>
      </c>
      <c r="R798" s="1">
        <v>2.0</v>
      </c>
      <c r="S798" s="1">
        <v>0.0</v>
      </c>
      <c r="T798" s="1">
        <v>1.0</v>
      </c>
    </row>
    <row r="799" ht="12.75" customHeight="1">
      <c r="A799" s="1" t="s">
        <v>832</v>
      </c>
      <c r="B799" s="1" t="str">
        <f>IFERROR(__xludf.DUMMYFUNCTION("split(A799, ""\"")"),"Matthew Highmore")</f>
        <v>Matthew Highmore</v>
      </c>
      <c r="C799" s="1" t="str">
        <f>IFERROR(__xludf.DUMMYFUNCTION("""COMPUTED_VALUE"""),"highmma01")</f>
        <v>highmma01</v>
      </c>
      <c r="D799" s="1" t="s">
        <v>28</v>
      </c>
      <c r="E799" s="1">
        <f t="shared" si="1"/>
        <v>19.8</v>
      </c>
      <c r="F799" s="1">
        <f t="shared" si="2"/>
        <v>1.52</v>
      </c>
      <c r="G799" s="1">
        <v>13.0</v>
      </c>
      <c r="H799" s="1">
        <v>2.0</v>
      </c>
      <c r="I799" s="1">
        <v>0.0</v>
      </c>
      <c r="J799" s="1">
        <v>2.0</v>
      </c>
      <c r="K799" s="1">
        <v>27.0</v>
      </c>
      <c r="L799" s="1">
        <v>9.0</v>
      </c>
      <c r="M799" s="1">
        <v>7.0</v>
      </c>
      <c r="N799" s="1">
        <v>0.0</v>
      </c>
      <c r="O799" s="1">
        <v>0.0</v>
      </c>
      <c r="P799" s="1">
        <v>0.0</v>
      </c>
      <c r="Q799" s="1">
        <v>0.0</v>
      </c>
      <c r="R799" s="1">
        <v>-4.0</v>
      </c>
      <c r="S799" s="1">
        <v>0.0</v>
      </c>
      <c r="T799" s="1">
        <v>0.0</v>
      </c>
    </row>
    <row r="800" ht="12.75" customHeight="1">
      <c r="A800" s="1" t="s">
        <v>833</v>
      </c>
      <c r="B800" s="1" t="str">
        <f>IFERROR(__xludf.DUMMYFUNCTION("split(A800, ""\"")"),"Andreas Johnsson")</f>
        <v>Andreas Johnsson</v>
      </c>
      <c r="C800" s="1" t="str">
        <f>IFERROR(__xludf.DUMMYFUNCTION("""COMPUTED_VALUE"""),"johnsan01")</f>
        <v>johnsan01</v>
      </c>
      <c r="D800" s="1" t="s">
        <v>28</v>
      </c>
      <c r="E800" s="1">
        <f t="shared" si="1"/>
        <v>19.5</v>
      </c>
      <c r="F800" s="1">
        <f t="shared" si="2"/>
        <v>2.17</v>
      </c>
      <c r="G800" s="1">
        <v>9.0</v>
      </c>
      <c r="H800" s="1">
        <v>2.0</v>
      </c>
      <c r="I800" s="1">
        <v>1.0</v>
      </c>
      <c r="J800" s="1">
        <v>3.0</v>
      </c>
      <c r="K800" s="1">
        <v>19.0</v>
      </c>
      <c r="L800" s="1">
        <v>5.0</v>
      </c>
      <c r="M800" s="1">
        <v>5.0</v>
      </c>
      <c r="N800" s="1">
        <v>0.0</v>
      </c>
      <c r="O800" s="1">
        <v>1.0</v>
      </c>
      <c r="P800" s="1">
        <v>0.0</v>
      </c>
      <c r="Q800" s="1">
        <v>0.0</v>
      </c>
      <c r="R800" s="1">
        <v>-2.0</v>
      </c>
      <c r="S800" s="1">
        <v>0.0</v>
      </c>
      <c r="T800" s="1">
        <v>0.0</v>
      </c>
    </row>
    <row r="801" ht="12.75" customHeight="1">
      <c r="A801" s="1" t="s">
        <v>834</v>
      </c>
      <c r="B801" s="1" t="str">
        <f>IFERROR(__xludf.DUMMYFUNCTION("split(A801, ""\"")"),"Seth Griffith")</f>
        <v>Seth Griffith</v>
      </c>
      <c r="C801" s="1" t="str">
        <f>IFERROR(__xludf.DUMMYFUNCTION("""COMPUTED_VALUE"""),"griffse01")</f>
        <v>griffse01</v>
      </c>
      <c r="D801" s="1" t="s">
        <v>31</v>
      </c>
      <c r="E801" s="1">
        <f t="shared" si="1"/>
        <v>19.35</v>
      </c>
      <c r="F801" s="1">
        <f t="shared" si="2"/>
        <v>0.92</v>
      </c>
      <c r="G801" s="1">
        <v>21.0</v>
      </c>
      <c r="H801" s="1">
        <v>2.0</v>
      </c>
      <c r="I801" s="1">
        <v>1.0</v>
      </c>
      <c r="J801" s="1">
        <v>3.0</v>
      </c>
      <c r="K801" s="1">
        <v>15.0</v>
      </c>
      <c r="L801" s="1">
        <v>10.0</v>
      </c>
      <c r="M801" s="1">
        <v>4.0</v>
      </c>
      <c r="N801" s="1">
        <v>0.0</v>
      </c>
      <c r="O801" s="1">
        <v>1.0</v>
      </c>
      <c r="P801" s="1">
        <v>0.0</v>
      </c>
      <c r="Q801" s="1">
        <v>0.0</v>
      </c>
      <c r="R801" s="1">
        <v>-6.0</v>
      </c>
      <c r="S801" s="1">
        <v>6.0</v>
      </c>
      <c r="T801" s="1">
        <v>0.0</v>
      </c>
    </row>
    <row r="802" ht="12.75" customHeight="1">
      <c r="A802" s="1" t="s">
        <v>835</v>
      </c>
      <c r="B802" s="1" t="str">
        <f>IFERROR(__xludf.DUMMYFUNCTION("split(A802, ""\"")"),"Daniel O'Regan")</f>
        <v>Daniel O'Regan</v>
      </c>
      <c r="C802" s="1" t="str">
        <f>IFERROR(__xludf.DUMMYFUNCTION("""COMPUTED_VALUE"""),"oregada01")</f>
        <v>oregada01</v>
      </c>
      <c r="D802" s="1" t="s">
        <v>31</v>
      </c>
      <c r="E802" s="1">
        <f t="shared" si="1"/>
        <v>18.9</v>
      </c>
      <c r="F802" s="1">
        <f t="shared" si="2"/>
        <v>0.9</v>
      </c>
      <c r="G802" s="1">
        <v>21.0</v>
      </c>
      <c r="H802" s="1">
        <v>0.0</v>
      </c>
      <c r="I802" s="1">
        <v>4.0</v>
      </c>
      <c r="J802" s="1">
        <v>4.0</v>
      </c>
      <c r="K802" s="1">
        <v>17.0</v>
      </c>
      <c r="L802" s="1">
        <v>5.0</v>
      </c>
      <c r="M802" s="1">
        <v>6.0</v>
      </c>
      <c r="N802" s="1">
        <v>0.0</v>
      </c>
      <c r="O802" s="1">
        <v>1.0</v>
      </c>
      <c r="P802" s="1">
        <v>0.0</v>
      </c>
      <c r="Q802" s="1">
        <v>0.0</v>
      </c>
      <c r="R802" s="1">
        <v>-2.0</v>
      </c>
      <c r="S802" s="1">
        <v>2.0</v>
      </c>
      <c r="T802" s="1">
        <v>0.0</v>
      </c>
    </row>
    <row r="803" ht="12.75" customHeight="1">
      <c r="A803" s="1" t="s">
        <v>836</v>
      </c>
      <c r="B803" s="1" t="str">
        <f>IFERROR(__xludf.DUMMYFUNCTION("split(A803, ""\"")"),"Jordan Szwarz")</f>
        <v>Jordan Szwarz</v>
      </c>
      <c r="C803" s="1" t="str">
        <f>IFERROR(__xludf.DUMMYFUNCTION("""COMPUTED_VALUE"""),"szwarjo01")</f>
        <v>szwarjo01</v>
      </c>
      <c r="D803" s="1" t="s">
        <v>36</v>
      </c>
      <c r="E803" s="1">
        <f t="shared" si="1"/>
        <v>18.7</v>
      </c>
      <c r="F803" s="1">
        <f t="shared" si="2"/>
        <v>1.56</v>
      </c>
      <c r="G803" s="1">
        <v>12.0</v>
      </c>
      <c r="H803" s="1">
        <v>0.0</v>
      </c>
      <c r="I803" s="1">
        <v>3.0</v>
      </c>
      <c r="J803" s="1">
        <v>3.0</v>
      </c>
      <c r="K803" s="1">
        <v>19.0</v>
      </c>
      <c r="L803" s="1">
        <v>9.0</v>
      </c>
      <c r="M803" s="1">
        <v>8.0</v>
      </c>
      <c r="N803" s="1">
        <v>0.0</v>
      </c>
      <c r="O803" s="1">
        <v>1.0</v>
      </c>
      <c r="P803" s="1">
        <v>0.0</v>
      </c>
      <c r="Q803" s="1">
        <v>0.0</v>
      </c>
      <c r="R803" s="1">
        <v>-4.0</v>
      </c>
      <c r="S803" s="1">
        <v>2.0</v>
      </c>
      <c r="T803" s="1">
        <v>0.0</v>
      </c>
    </row>
    <row r="804" ht="12.75" customHeight="1">
      <c r="A804" s="1" t="s">
        <v>837</v>
      </c>
      <c r="B804" s="1" t="str">
        <f>IFERROR(__xludf.DUMMYFUNCTION("split(A804, ""\"")"),"Casey Mittelstadt")</f>
        <v>Casey Mittelstadt</v>
      </c>
      <c r="C804" s="1" t="str">
        <f>IFERROR(__xludf.DUMMYFUNCTION("""COMPUTED_VALUE"""),"mitteca01")</f>
        <v>mitteca01</v>
      </c>
      <c r="D804" s="1" t="s">
        <v>31</v>
      </c>
      <c r="E804" s="1">
        <f t="shared" si="1"/>
        <v>18.55</v>
      </c>
      <c r="F804" s="1">
        <f t="shared" si="2"/>
        <v>3.09</v>
      </c>
      <c r="G804" s="1">
        <v>6.0</v>
      </c>
      <c r="H804" s="1">
        <v>1.0</v>
      </c>
      <c r="I804" s="1">
        <v>4.0</v>
      </c>
      <c r="J804" s="1">
        <v>5.0</v>
      </c>
      <c r="K804" s="1">
        <v>9.0</v>
      </c>
      <c r="L804" s="1">
        <v>2.0</v>
      </c>
      <c r="M804" s="1">
        <v>2.0</v>
      </c>
      <c r="N804" s="1">
        <v>1.0</v>
      </c>
      <c r="O804" s="1">
        <v>0.0</v>
      </c>
      <c r="P804" s="1">
        <v>0.0</v>
      </c>
      <c r="Q804" s="1">
        <v>0.0</v>
      </c>
      <c r="R804" s="1">
        <v>1.0</v>
      </c>
      <c r="S804" s="1">
        <v>2.0</v>
      </c>
      <c r="T804" s="1">
        <v>0.0</v>
      </c>
    </row>
    <row r="805" ht="12.75" customHeight="1">
      <c r="A805" s="1" t="s">
        <v>838</v>
      </c>
      <c r="B805" s="1" t="str">
        <f>IFERROR(__xludf.DUMMYFUNCTION("split(A805, ""\"")"),"Reto Berra")</f>
        <v>Reto Berra</v>
      </c>
      <c r="C805" s="2" t="str">
        <f>IFERROR(__xludf.DUMMYFUNCTION("""COMPUTED_VALUE"""),"berrare01")</f>
        <v>berrare01</v>
      </c>
      <c r="D805" s="1" t="s">
        <v>5</v>
      </c>
      <c r="E805" s="1">
        <f t="shared" si="1"/>
        <v>18</v>
      </c>
      <c r="F805" s="1">
        <f t="shared" si="2"/>
        <v>3.6</v>
      </c>
      <c r="G805" s="1">
        <v>5.0</v>
      </c>
      <c r="U805" s="1">
        <v>1.0</v>
      </c>
      <c r="V805" s="1">
        <v>1.0</v>
      </c>
      <c r="W805" s="1">
        <v>1.0</v>
      </c>
      <c r="X805" s="1">
        <v>7.0</v>
      </c>
      <c r="Y805" s="1">
        <v>95.0</v>
      </c>
      <c r="Z805" s="1">
        <v>88.0</v>
      </c>
      <c r="AA805" s="1">
        <v>0.0</v>
      </c>
    </row>
    <row r="806" ht="12.75" customHeight="1">
      <c r="A806" s="1" t="s">
        <v>839</v>
      </c>
      <c r="B806" s="1" t="str">
        <f>IFERROR(__xludf.DUMMYFUNCTION("split(A806, ""\"")"),"Andreas Martinsen")</f>
        <v>Andreas Martinsen</v>
      </c>
      <c r="C806" s="1" t="str">
        <f>IFERROR(__xludf.DUMMYFUNCTION("""COMPUTED_VALUE"""),"martian01")</f>
        <v>martian01</v>
      </c>
      <c r="D806" s="1" t="s">
        <v>28</v>
      </c>
      <c r="E806" s="1">
        <f t="shared" si="1"/>
        <v>17.85</v>
      </c>
      <c r="F806" s="1">
        <f t="shared" si="2"/>
        <v>1.98</v>
      </c>
      <c r="G806" s="1">
        <v>9.0</v>
      </c>
      <c r="H806" s="1">
        <v>1.0</v>
      </c>
      <c r="I806" s="1">
        <v>0.0</v>
      </c>
      <c r="J806" s="1">
        <v>1.0</v>
      </c>
      <c r="K806" s="1">
        <v>14.0</v>
      </c>
      <c r="L806" s="1">
        <v>35.0</v>
      </c>
      <c r="M806" s="1">
        <v>4.0</v>
      </c>
      <c r="N806" s="1">
        <v>0.0</v>
      </c>
      <c r="O806" s="1">
        <v>0.0</v>
      </c>
      <c r="P806" s="1">
        <v>0.0</v>
      </c>
      <c r="Q806" s="1">
        <v>0.0</v>
      </c>
      <c r="R806" s="1">
        <v>-1.0</v>
      </c>
      <c r="S806" s="1">
        <v>17.0</v>
      </c>
      <c r="T806" s="1">
        <v>0.0</v>
      </c>
    </row>
    <row r="807" ht="12.75" customHeight="1">
      <c r="A807" s="1" t="s">
        <v>840</v>
      </c>
      <c r="B807" s="1" t="str">
        <f>IFERROR(__xludf.DUMMYFUNCTION("split(A807, ""\"")"),"Adin Hill")</f>
        <v>Adin Hill</v>
      </c>
      <c r="C807" s="2" t="str">
        <f>IFERROR(__xludf.DUMMYFUNCTION("""COMPUTED_VALUE"""),"hillad01")</f>
        <v>hillad01</v>
      </c>
      <c r="D807" s="1" t="s">
        <v>5</v>
      </c>
      <c r="E807" s="1">
        <f t="shared" si="1"/>
        <v>17.75</v>
      </c>
      <c r="F807" s="1">
        <f t="shared" si="2"/>
        <v>4.44</v>
      </c>
      <c r="G807" s="1">
        <v>4.0</v>
      </c>
      <c r="U807" s="1">
        <v>4.0</v>
      </c>
      <c r="V807" s="1">
        <v>1.0</v>
      </c>
      <c r="W807" s="1">
        <v>3.0</v>
      </c>
      <c r="X807" s="1">
        <v>14.0</v>
      </c>
      <c r="Y807" s="1">
        <v>129.0</v>
      </c>
      <c r="Z807" s="1">
        <v>115.0</v>
      </c>
      <c r="AA807" s="1">
        <v>0.0</v>
      </c>
    </row>
    <row r="808" ht="12.75" customHeight="1">
      <c r="A808" s="1" t="s">
        <v>841</v>
      </c>
      <c r="B808" s="1" t="str">
        <f>IFERROR(__xludf.DUMMYFUNCTION("split(A808, ""\"")"),"Jaycob Megna")</f>
        <v>Jaycob Megna</v>
      </c>
      <c r="C808" s="1" t="str">
        <f>IFERROR(__xludf.DUMMYFUNCTION("""COMPUTED_VALUE"""),"megnaja02")</f>
        <v>megnaja02</v>
      </c>
      <c r="D808" s="1" t="s">
        <v>66</v>
      </c>
      <c r="E808" s="1">
        <f t="shared" si="1"/>
        <v>17.75</v>
      </c>
      <c r="F808" s="1">
        <f t="shared" si="2"/>
        <v>1.27</v>
      </c>
      <c r="G808" s="1">
        <v>14.0</v>
      </c>
      <c r="H808" s="1">
        <v>0.0</v>
      </c>
      <c r="I808" s="1">
        <v>1.0</v>
      </c>
      <c r="J808" s="1">
        <v>1.0</v>
      </c>
      <c r="K808" s="1">
        <v>7.0</v>
      </c>
      <c r="L808" s="1">
        <v>6.0</v>
      </c>
      <c r="M808" s="1">
        <v>30.0</v>
      </c>
      <c r="N808" s="1">
        <v>0.0</v>
      </c>
      <c r="O808" s="1">
        <v>0.0</v>
      </c>
      <c r="P808" s="1">
        <v>0.0</v>
      </c>
      <c r="Q808" s="1">
        <v>0.0</v>
      </c>
      <c r="R808" s="1">
        <v>-4.0</v>
      </c>
      <c r="S808" s="1">
        <v>2.0</v>
      </c>
      <c r="T808" s="1">
        <v>0.0</v>
      </c>
    </row>
    <row r="809" ht="12.75" customHeight="1">
      <c r="A809" s="1" t="s">
        <v>842</v>
      </c>
      <c r="B809" s="1" t="str">
        <f>IFERROR(__xludf.DUMMYFUNCTION("split(A809, ""\"")"),"Matt Read")</f>
        <v>Matt Read</v>
      </c>
      <c r="C809" s="1" t="str">
        <f>IFERROR(__xludf.DUMMYFUNCTION("""COMPUTED_VALUE"""),"readma01")</f>
        <v>readma01</v>
      </c>
      <c r="D809" s="1" t="s">
        <v>36</v>
      </c>
      <c r="E809" s="1">
        <f t="shared" si="1"/>
        <v>17.65</v>
      </c>
      <c r="F809" s="1">
        <f t="shared" si="2"/>
        <v>0.93</v>
      </c>
      <c r="G809" s="1">
        <v>19.0</v>
      </c>
      <c r="H809" s="1">
        <v>1.0</v>
      </c>
      <c r="I809" s="1">
        <v>0.0</v>
      </c>
      <c r="J809" s="1">
        <v>1.0</v>
      </c>
      <c r="K809" s="1">
        <v>16.0</v>
      </c>
      <c r="L809" s="1">
        <v>21.0</v>
      </c>
      <c r="M809" s="1">
        <v>11.0</v>
      </c>
      <c r="N809" s="1">
        <v>0.0</v>
      </c>
      <c r="O809" s="1">
        <v>0.0</v>
      </c>
      <c r="P809" s="1">
        <v>0.0</v>
      </c>
      <c r="Q809" s="1">
        <v>0.0</v>
      </c>
      <c r="R809" s="1">
        <v>-2.0</v>
      </c>
      <c r="S809" s="1">
        <v>2.0</v>
      </c>
      <c r="T809" s="1">
        <v>0.0</v>
      </c>
    </row>
    <row r="810" ht="12.75" customHeight="1">
      <c r="A810" s="1" t="s">
        <v>843</v>
      </c>
      <c r="B810" s="1" t="str">
        <f>IFERROR(__xludf.DUMMYFUNCTION("split(A810, ""\"")"),"Nikita Soshnikov")</f>
        <v>Nikita Soshnikov</v>
      </c>
      <c r="C810" s="1" t="str">
        <f>IFERROR(__xludf.DUMMYFUNCTION("""COMPUTED_VALUE"""),"soshnni01")</f>
        <v>soshnni01</v>
      </c>
      <c r="D810" s="1" t="s">
        <v>36</v>
      </c>
      <c r="E810" s="1">
        <f t="shared" si="1"/>
        <v>17.55</v>
      </c>
      <c r="F810" s="1">
        <f t="shared" si="2"/>
        <v>1.17</v>
      </c>
      <c r="G810" s="1">
        <v>15.0</v>
      </c>
      <c r="H810" s="1">
        <v>1.0</v>
      </c>
      <c r="I810" s="1">
        <v>1.0</v>
      </c>
      <c r="J810" s="1">
        <v>2.0</v>
      </c>
      <c r="K810" s="1">
        <v>17.0</v>
      </c>
      <c r="L810" s="1">
        <v>24.0</v>
      </c>
      <c r="M810" s="1">
        <v>2.0</v>
      </c>
      <c r="N810" s="1">
        <v>0.0</v>
      </c>
      <c r="O810" s="1">
        <v>0.0</v>
      </c>
      <c r="P810" s="1">
        <v>0.0</v>
      </c>
      <c r="Q810" s="1">
        <v>0.0</v>
      </c>
      <c r="R810" s="1">
        <v>-2.0</v>
      </c>
      <c r="S810" s="1">
        <v>4.0</v>
      </c>
      <c r="T810" s="1">
        <v>0.0</v>
      </c>
    </row>
    <row r="811" ht="12.75" customHeight="1">
      <c r="A811" s="1" t="s">
        <v>844</v>
      </c>
      <c r="B811" s="1" t="str">
        <f>IFERROR(__xludf.DUMMYFUNCTION("split(A811, ""\"")"),"Dean Kukan")</f>
        <v>Dean Kukan</v>
      </c>
      <c r="C811" s="1" t="str">
        <f>IFERROR(__xludf.DUMMYFUNCTION("""COMPUTED_VALUE"""),"kukande01")</f>
        <v>kukande01</v>
      </c>
      <c r="D811" s="1" t="s">
        <v>66</v>
      </c>
      <c r="E811" s="1">
        <f t="shared" si="1"/>
        <v>17.5</v>
      </c>
      <c r="F811" s="1">
        <f t="shared" si="2"/>
        <v>1.59</v>
      </c>
      <c r="G811" s="1">
        <v>11.0</v>
      </c>
      <c r="H811" s="1">
        <v>0.0</v>
      </c>
      <c r="I811" s="1">
        <v>4.0</v>
      </c>
      <c r="J811" s="1">
        <v>4.0</v>
      </c>
      <c r="K811" s="1">
        <v>12.0</v>
      </c>
      <c r="L811" s="1">
        <v>2.0</v>
      </c>
      <c r="M811" s="1">
        <v>10.0</v>
      </c>
      <c r="N811" s="1">
        <v>0.0</v>
      </c>
      <c r="O811" s="1">
        <v>0.0</v>
      </c>
      <c r="P811" s="1">
        <v>0.0</v>
      </c>
      <c r="Q811" s="1">
        <v>0.0</v>
      </c>
      <c r="R811" s="1">
        <v>2.0</v>
      </c>
      <c r="S811" s="1">
        <v>2.0</v>
      </c>
      <c r="T811" s="1">
        <v>0.0</v>
      </c>
    </row>
    <row r="812" ht="12.75" customHeight="1">
      <c r="A812" s="1" t="s">
        <v>845</v>
      </c>
      <c r="B812" s="1" t="str">
        <f>IFERROR(__xludf.DUMMYFUNCTION("split(A812, ""\"")"),"Jared Coreau")</f>
        <v>Jared Coreau</v>
      </c>
      <c r="C812" s="2" t="str">
        <f>IFERROR(__xludf.DUMMYFUNCTION("""COMPUTED_VALUE"""),"coreaja01")</f>
        <v>coreaja01</v>
      </c>
      <c r="D812" s="1" t="s">
        <v>5</v>
      </c>
      <c r="E812" s="1">
        <f t="shared" si="1"/>
        <v>17</v>
      </c>
      <c r="F812" s="1">
        <f t="shared" si="2"/>
        <v>2.43</v>
      </c>
      <c r="G812" s="1">
        <v>7.0</v>
      </c>
      <c r="U812" s="1">
        <v>7.0</v>
      </c>
      <c r="V812" s="1">
        <v>0.0</v>
      </c>
      <c r="W812" s="1">
        <v>5.0</v>
      </c>
      <c r="X812" s="1">
        <v>27.0</v>
      </c>
      <c r="Y812" s="1">
        <v>203.0</v>
      </c>
      <c r="Z812" s="1">
        <v>176.0</v>
      </c>
      <c r="AA812" s="1">
        <v>0.0</v>
      </c>
    </row>
    <row r="813" ht="12.75" customHeight="1">
      <c r="A813" s="1" t="s">
        <v>846</v>
      </c>
      <c r="B813" s="1" t="str">
        <f>IFERROR(__xludf.DUMMYFUNCTION("split(A813, ""\"")"),"Kailer Yamamoto")</f>
        <v>Kailer Yamamoto</v>
      </c>
      <c r="C813" s="1" t="str">
        <f>IFERROR(__xludf.DUMMYFUNCTION("""COMPUTED_VALUE"""),"yamamka01")</f>
        <v>yamamka01</v>
      </c>
      <c r="D813" s="1" t="s">
        <v>36</v>
      </c>
      <c r="E813" s="1">
        <f t="shared" si="1"/>
        <v>16.95</v>
      </c>
      <c r="F813" s="1">
        <f t="shared" si="2"/>
        <v>1.88</v>
      </c>
      <c r="G813" s="1">
        <v>9.0</v>
      </c>
      <c r="H813" s="1">
        <v>0.0</v>
      </c>
      <c r="I813" s="1">
        <v>3.0</v>
      </c>
      <c r="J813" s="1">
        <v>3.0</v>
      </c>
      <c r="K813" s="1">
        <v>23.0</v>
      </c>
      <c r="L813" s="1">
        <v>6.0</v>
      </c>
      <c r="M813" s="1">
        <v>3.0</v>
      </c>
      <c r="N813" s="1">
        <v>0.0</v>
      </c>
      <c r="O813" s="1">
        <v>1.0</v>
      </c>
      <c r="P813" s="1">
        <v>0.0</v>
      </c>
      <c r="Q813" s="1">
        <v>0.0</v>
      </c>
      <c r="R813" s="1">
        <v>-2.0</v>
      </c>
      <c r="S813" s="1">
        <v>2.0</v>
      </c>
      <c r="T813" s="1">
        <v>0.0</v>
      </c>
    </row>
    <row r="814" ht="12.75" customHeight="1">
      <c r="A814" s="1" t="s">
        <v>847</v>
      </c>
      <c r="B814" s="1" t="str">
        <f>IFERROR(__xludf.DUMMYFUNCTION("split(A814, ""\"")"),"Lawson Crouse")</f>
        <v>Lawson Crouse</v>
      </c>
      <c r="C814" s="1" t="str">
        <f>IFERROR(__xludf.DUMMYFUNCTION("""COMPUTED_VALUE"""),"crousla01")</f>
        <v>crousla01</v>
      </c>
      <c r="D814" s="1" t="s">
        <v>28</v>
      </c>
      <c r="E814" s="1">
        <f t="shared" si="1"/>
        <v>16.9</v>
      </c>
      <c r="F814" s="1">
        <f t="shared" si="2"/>
        <v>1.54</v>
      </c>
      <c r="G814" s="1">
        <v>11.0</v>
      </c>
      <c r="H814" s="1">
        <v>1.0</v>
      </c>
      <c r="I814" s="1">
        <v>0.0</v>
      </c>
      <c r="J814" s="1">
        <v>1.0</v>
      </c>
      <c r="K814" s="1">
        <v>13.0</v>
      </c>
      <c r="L814" s="1">
        <v>29.0</v>
      </c>
      <c r="M814" s="1">
        <v>6.0</v>
      </c>
      <c r="N814" s="1">
        <v>0.0</v>
      </c>
      <c r="O814" s="1">
        <v>0.0</v>
      </c>
      <c r="P814" s="1">
        <v>0.0</v>
      </c>
      <c r="Q814" s="1">
        <v>0.0</v>
      </c>
      <c r="R814" s="1">
        <v>-6.0</v>
      </c>
      <c r="S814" s="1">
        <v>7.0</v>
      </c>
      <c r="T814" s="1">
        <v>0.0</v>
      </c>
    </row>
    <row r="815" ht="12.75" customHeight="1">
      <c r="A815" s="1" t="s">
        <v>848</v>
      </c>
      <c r="B815" s="1" t="str">
        <f>IFERROR(__xludf.DUMMYFUNCTION("split(A815, ""\"")"),"Samuel Blais")</f>
        <v>Samuel Blais</v>
      </c>
      <c r="C815" s="1" t="str">
        <f>IFERROR(__xludf.DUMMYFUNCTION("""COMPUTED_VALUE"""),"blaissa01")</f>
        <v>blaissa01</v>
      </c>
      <c r="D815" s="1" t="s">
        <v>28</v>
      </c>
      <c r="E815" s="1">
        <f t="shared" si="1"/>
        <v>16.8</v>
      </c>
      <c r="F815" s="1">
        <f t="shared" si="2"/>
        <v>1.53</v>
      </c>
      <c r="G815" s="1">
        <v>11.0</v>
      </c>
      <c r="H815" s="1">
        <v>1.0</v>
      </c>
      <c r="I815" s="1">
        <v>2.0</v>
      </c>
      <c r="J815" s="1">
        <v>3.0</v>
      </c>
      <c r="K815" s="1">
        <v>9.0</v>
      </c>
      <c r="L815" s="1">
        <v>15.0</v>
      </c>
      <c r="M815" s="1">
        <v>2.0</v>
      </c>
      <c r="N815" s="1">
        <v>1.0</v>
      </c>
      <c r="O815" s="1">
        <v>0.0</v>
      </c>
      <c r="P815" s="1">
        <v>0.0</v>
      </c>
      <c r="Q815" s="1">
        <v>0.0</v>
      </c>
      <c r="R815" s="1">
        <v>1.0</v>
      </c>
      <c r="S815" s="1">
        <v>6.0</v>
      </c>
      <c r="T815" s="1">
        <v>0.0</v>
      </c>
    </row>
    <row r="816" ht="12.75" customHeight="1">
      <c r="A816" s="1" t="s">
        <v>849</v>
      </c>
      <c r="B816" s="1" t="str">
        <f>IFERROR(__xludf.DUMMYFUNCTION("split(A816, ""\"")"),"Tomas Hyka")</f>
        <v>Tomas Hyka</v>
      </c>
      <c r="C816" s="1" t="str">
        <f>IFERROR(__xludf.DUMMYFUNCTION("""COMPUTED_VALUE"""),"hykato01")</f>
        <v>hykato01</v>
      </c>
      <c r="D816" s="1" t="s">
        <v>36</v>
      </c>
      <c r="E816" s="1">
        <f t="shared" si="1"/>
        <v>16.45</v>
      </c>
      <c r="F816" s="1">
        <f t="shared" si="2"/>
        <v>1.65</v>
      </c>
      <c r="G816" s="1">
        <v>10.0</v>
      </c>
      <c r="H816" s="1">
        <v>1.0</v>
      </c>
      <c r="I816" s="1">
        <v>2.0</v>
      </c>
      <c r="J816" s="1">
        <v>3.0</v>
      </c>
      <c r="K816" s="1">
        <v>15.0</v>
      </c>
      <c r="L816" s="1">
        <v>6.0</v>
      </c>
      <c r="M816" s="1">
        <v>3.0</v>
      </c>
      <c r="N816" s="1">
        <v>0.0</v>
      </c>
      <c r="O816" s="1">
        <v>1.0</v>
      </c>
      <c r="P816" s="1">
        <v>0.0</v>
      </c>
      <c r="Q816" s="1">
        <v>0.0</v>
      </c>
      <c r="R816" s="1">
        <v>2.0</v>
      </c>
      <c r="S816" s="1">
        <v>0.0</v>
      </c>
      <c r="T816" s="1">
        <v>0.0</v>
      </c>
    </row>
    <row r="817" ht="12.75" customHeight="1">
      <c r="A817" s="1" t="s">
        <v>850</v>
      </c>
      <c r="B817" s="1" t="str">
        <f>IFERROR(__xludf.DUMMYFUNCTION("split(A817, ""\"")"),"Frederick Gaudreau")</f>
        <v>Frederick Gaudreau</v>
      </c>
      <c r="C817" s="1" t="str">
        <f>IFERROR(__xludf.DUMMYFUNCTION("""COMPUTED_VALUE"""),"gaudrfr01")</f>
        <v>gaudrfr01</v>
      </c>
      <c r="D817" s="1" t="s">
        <v>31</v>
      </c>
      <c r="E817" s="1">
        <f t="shared" si="1"/>
        <v>16.2</v>
      </c>
      <c r="F817" s="1">
        <f t="shared" si="2"/>
        <v>0.81</v>
      </c>
      <c r="G817" s="1">
        <v>20.0</v>
      </c>
      <c r="H817" s="1">
        <v>0.0</v>
      </c>
      <c r="I817" s="1">
        <v>3.0</v>
      </c>
      <c r="J817" s="1">
        <v>3.0</v>
      </c>
      <c r="K817" s="1">
        <v>14.0</v>
      </c>
      <c r="L817" s="1">
        <v>8.0</v>
      </c>
      <c r="M817" s="1">
        <v>8.0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2.0</v>
      </c>
      <c r="T817" s="1">
        <v>0.0</v>
      </c>
    </row>
    <row r="818" ht="12.75" customHeight="1">
      <c r="A818" s="1" t="s">
        <v>851</v>
      </c>
      <c r="B818" s="1" t="str">
        <f>IFERROR(__xludf.DUMMYFUNCTION("split(A818, ""\"")"),"Joe Hicketts")</f>
        <v>Joe Hicketts</v>
      </c>
      <c r="C818" s="1" t="str">
        <f>IFERROR(__xludf.DUMMYFUNCTION("""COMPUTED_VALUE"""),"hickejo01")</f>
        <v>hickejo01</v>
      </c>
      <c r="D818" s="1" t="s">
        <v>66</v>
      </c>
      <c r="E818" s="1">
        <f t="shared" si="1"/>
        <v>16.05</v>
      </c>
      <c r="F818" s="1">
        <f t="shared" si="2"/>
        <v>3.21</v>
      </c>
      <c r="G818" s="1">
        <v>5.0</v>
      </c>
      <c r="H818" s="1">
        <v>0.0</v>
      </c>
      <c r="I818" s="1">
        <v>3.0</v>
      </c>
      <c r="J818" s="1">
        <v>3.0</v>
      </c>
      <c r="K818" s="1">
        <v>2.0</v>
      </c>
      <c r="L818" s="1">
        <v>9.0</v>
      </c>
      <c r="M818" s="1">
        <v>12.0</v>
      </c>
      <c r="N818" s="1">
        <v>0.0</v>
      </c>
      <c r="O818" s="1">
        <v>1.0</v>
      </c>
      <c r="P818" s="1">
        <v>0.0</v>
      </c>
      <c r="Q818" s="1">
        <v>0.0</v>
      </c>
      <c r="R818" s="1">
        <v>5.0</v>
      </c>
      <c r="S818" s="1">
        <v>2.0</v>
      </c>
      <c r="T818" s="1">
        <v>0.0</v>
      </c>
    </row>
    <row r="819" ht="12.75" customHeight="1">
      <c r="A819" s="1" t="s">
        <v>852</v>
      </c>
      <c r="B819" s="1" t="str">
        <f>IFERROR(__xludf.DUMMYFUNCTION("split(A819, ""\"")"),"Michael Hutchinson")</f>
        <v>Michael Hutchinson</v>
      </c>
      <c r="C819" s="2" t="str">
        <f>IFERROR(__xludf.DUMMYFUNCTION("""COMPUTED_VALUE"""),"hutchmi01")</f>
        <v>hutchmi01</v>
      </c>
      <c r="D819" s="1" t="s">
        <v>5</v>
      </c>
      <c r="E819" s="1">
        <f t="shared" si="1"/>
        <v>16</v>
      </c>
      <c r="F819" s="1">
        <f t="shared" si="2"/>
        <v>5.33</v>
      </c>
      <c r="G819" s="1">
        <v>3.0</v>
      </c>
      <c r="U819" s="1">
        <v>3.0</v>
      </c>
      <c r="V819" s="1">
        <v>2.0</v>
      </c>
      <c r="W819" s="1">
        <v>1.0</v>
      </c>
      <c r="X819" s="1">
        <v>7.0</v>
      </c>
      <c r="Y819" s="1">
        <v>75.0</v>
      </c>
      <c r="Z819" s="1">
        <v>68.0</v>
      </c>
      <c r="AA819" s="1">
        <v>0.0</v>
      </c>
    </row>
    <row r="820" ht="12.75" customHeight="1">
      <c r="A820" s="1" t="s">
        <v>853</v>
      </c>
      <c r="B820" s="1" t="str">
        <f>IFERROR(__xludf.DUMMYFUNCTION("split(A820, ""\"")"),"Gabriel Carlsson")</f>
        <v>Gabriel Carlsson</v>
      </c>
      <c r="C820" s="1" t="str">
        <f>IFERROR(__xludf.DUMMYFUNCTION("""COMPUTED_VALUE"""),"carlsga01")</f>
        <v>carlsga01</v>
      </c>
      <c r="D820" s="1" t="s">
        <v>66</v>
      </c>
      <c r="E820" s="1">
        <f t="shared" si="1"/>
        <v>16</v>
      </c>
      <c r="F820" s="1">
        <f t="shared" si="2"/>
        <v>1.14</v>
      </c>
      <c r="G820" s="1">
        <v>14.0</v>
      </c>
      <c r="H820" s="1">
        <v>0.0</v>
      </c>
      <c r="I820" s="1">
        <v>2.0</v>
      </c>
      <c r="J820" s="1">
        <v>2.0</v>
      </c>
      <c r="K820" s="1">
        <v>18.0</v>
      </c>
      <c r="L820" s="1">
        <v>10.0</v>
      </c>
      <c r="M820" s="1">
        <v>10.0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4.0</v>
      </c>
      <c r="T820" s="1">
        <v>0.0</v>
      </c>
    </row>
    <row r="821" ht="12.75" customHeight="1">
      <c r="A821" s="1" t="s">
        <v>854</v>
      </c>
      <c r="B821" s="1" t="str">
        <f>IFERROR(__xludf.DUMMYFUNCTION("split(A821, ""\"")"),"Jordan Schroeder")</f>
        <v>Jordan Schroeder</v>
      </c>
      <c r="C821" s="1" t="str">
        <f>IFERROR(__xludf.DUMMYFUNCTION("""COMPUTED_VALUE"""),"schrojo01")</f>
        <v>schrojo01</v>
      </c>
      <c r="D821" s="1" t="s">
        <v>31</v>
      </c>
      <c r="E821" s="1">
        <f t="shared" si="1"/>
        <v>15.8</v>
      </c>
      <c r="F821" s="1">
        <f t="shared" si="2"/>
        <v>0.75</v>
      </c>
      <c r="G821" s="1">
        <v>21.0</v>
      </c>
      <c r="H821" s="1">
        <v>1.0</v>
      </c>
      <c r="I821" s="1">
        <v>1.0</v>
      </c>
      <c r="J821" s="1">
        <v>2.0</v>
      </c>
      <c r="K821" s="1">
        <v>20.0</v>
      </c>
      <c r="L821" s="1">
        <v>14.0</v>
      </c>
      <c r="M821" s="1">
        <v>2.0</v>
      </c>
      <c r="N821" s="1">
        <v>0.0</v>
      </c>
      <c r="O821" s="1">
        <v>0.0</v>
      </c>
      <c r="P821" s="1">
        <v>0.0</v>
      </c>
      <c r="Q821" s="1">
        <v>0.0</v>
      </c>
      <c r="R821" s="1">
        <v>-4.0</v>
      </c>
      <c r="S821" s="1">
        <v>4.0</v>
      </c>
      <c r="T821" s="1">
        <v>0.0</v>
      </c>
    </row>
    <row r="822" ht="12.75" customHeight="1">
      <c r="A822" s="1" t="s">
        <v>855</v>
      </c>
      <c r="B822" s="1" t="str">
        <f>IFERROR(__xludf.DUMMYFUNCTION("split(A822, ""\"")"),"Christian Wolanin")</f>
        <v>Christian Wolanin</v>
      </c>
      <c r="C822" s="1" t="str">
        <f>IFERROR(__xludf.DUMMYFUNCTION("""COMPUTED_VALUE"""),"wolanch01")</f>
        <v>wolanch01</v>
      </c>
      <c r="D822" s="1" t="s">
        <v>66</v>
      </c>
      <c r="E822" s="1">
        <f t="shared" si="1"/>
        <v>15.75</v>
      </c>
      <c r="F822" s="1">
        <f t="shared" si="2"/>
        <v>1.58</v>
      </c>
      <c r="G822" s="1">
        <v>10.0</v>
      </c>
      <c r="H822" s="1">
        <v>1.0</v>
      </c>
      <c r="I822" s="1">
        <v>2.0</v>
      </c>
      <c r="J822" s="1">
        <v>3.0</v>
      </c>
      <c r="K822" s="1">
        <v>14.0</v>
      </c>
      <c r="L822" s="1">
        <v>5.0</v>
      </c>
      <c r="M822" s="1">
        <v>5.0</v>
      </c>
      <c r="N822" s="1">
        <v>0.0</v>
      </c>
      <c r="O822" s="1">
        <v>0.0</v>
      </c>
      <c r="P822" s="1">
        <v>0.0</v>
      </c>
      <c r="Q822" s="1">
        <v>0.0</v>
      </c>
      <c r="R822" s="1">
        <v>-4.0</v>
      </c>
      <c r="S822" s="1">
        <v>0.0</v>
      </c>
      <c r="T822" s="1">
        <v>0.0</v>
      </c>
    </row>
    <row r="823" ht="12.75" customHeight="1">
      <c r="A823" s="1" t="s">
        <v>856</v>
      </c>
      <c r="B823" s="1" t="str">
        <f>IFERROR(__xludf.DUMMYFUNCTION("split(A823, ""\"")"),"Carl Dahlstrom")</f>
        <v>Carl Dahlstrom</v>
      </c>
      <c r="C823" s="1" t="str">
        <f>IFERROR(__xludf.DUMMYFUNCTION("""COMPUTED_VALUE"""),"dahlsca01")</f>
        <v>dahlsca01</v>
      </c>
      <c r="D823" s="1" t="s">
        <v>66</v>
      </c>
      <c r="E823" s="1">
        <f t="shared" si="1"/>
        <v>15.6</v>
      </c>
      <c r="F823" s="1">
        <f t="shared" si="2"/>
        <v>1.42</v>
      </c>
      <c r="G823" s="1">
        <v>11.0</v>
      </c>
      <c r="H823" s="1">
        <v>0.0</v>
      </c>
      <c r="I823" s="1">
        <v>3.0</v>
      </c>
      <c r="J823" s="1">
        <v>3.0</v>
      </c>
      <c r="K823" s="1">
        <v>12.0</v>
      </c>
      <c r="L823" s="1">
        <v>6.0</v>
      </c>
      <c r="M823" s="1">
        <v>9.0</v>
      </c>
      <c r="N823" s="1">
        <v>0.0</v>
      </c>
      <c r="O823" s="1">
        <v>0.0</v>
      </c>
      <c r="P823" s="1">
        <v>0.0</v>
      </c>
      <c r="Q823" s="1">
        <v>0.0</v>
      </c>
      <c r="R823" s="1">
        <v>-2.0</v>
      </c>
      <c r="S823" s="1">
        <v>0.0</v>
      </c>
      <c r="T823" s="1">
        <v>0.0</v>
      </c>
    </row>
    <row r="824" ht="12.75" customHeight="1">
      <c r="A824" s="1" t="s">
        <v>857</v>
      </c>
      <c r="B824" s="1" t="str">
        <f>IFERROR(__xludf.DUMMYFUNCTION("split(A824, ""\"")"),"Filip Chytil")</f>
        <v>Filip Chytil</v>
      </c>
      <c r="C824" s="1" t="str">
        <f>IFERROR(__xludf.DUMMYFUNCTION("""COMPUTED_VALUE"""),"chytifi01")</f>
        <v>chytifi01</v>
      </c>
      <c r="D824" s="1" t="s">
        <v>31</v>
      </c>
      <c r="E824" s="1">
        <f t="shared" si="1"/>
        <v>15.4</v>
      </c>
      <c r="F824" s="1">
        <f t="shared" si="2"/>
        <v>1.71</v>
      </c>
      <c r="G824" s="1">
        <v>9.0</v>
      </c>
      <c r="H824" s="1">
        <v>1.0</v>
      </c>
      <c r="I824" s="1">
        <v>2.0</v>
      </c>
      <c r="J824" s="1">
        <v>3.0</v>
      </c>
      <c r="K824" s="1">
        <v>21.0</v>
      </c>
      <c r="L824" s="1">
        <v>3.0</v>
      </c>
      <c r="M824" s="1">
        <v>1.0</v>
      </c>
      <c r="N824" s="1">
        <v>0.0</v>
      </c>
      <c r="O824" s="1">
        <v>0.0</v>
      </c>
      <c r="P824" s="1">
        <v>0.0</v>
      </c>
      <c r="Q824" s="1">
        <v>0.0</v>
      </c>
      <c r="R824" s="1">
        <v>-5.0</v>
      </c>
      <c r="S824" s="1">
        <v>4.0</v>
      </c>
      <c r="T824" s="1">
        <v>0.0</v>
      </c>
    </row>
    <row r="825" ht="12.75" customHeight="1">
      <c r="A825" s="1" t="s">
        <v>858</v>
      </c>
      <c r="B825" s="1" t="str">
        <f>IFERROR(__xludf.DUMMYFUNCTION("split(A825, ""\"")"),"Trevor Murphy")</f>
        <v>Trevor Murphy</v>
      </c>
      <c r="C825" s="1" t="str">
        <f>IFERROR(__xludf.DUMMYFUNCTION("""COMPUTED_VALUE"""),"murphtr01")</f>
        <v>murphtr01</v>
      </c>
      <c r="D825" s="1" t="s">
        <v>66</v>
      </c>
      <c r="E825" s="1">
        <f t="shared" si="1"/>
        <v>15.35</v>
      </c>
      <c r="F825" s="1">
        <f t="shared" si="2"/>
        <v>1.92</v>
      </c>
      <c r="G825" s="1">
        <v>8.0</v>
      </c>
      <c r="H825" s="1">
        <v>1.0</v>
      </c>
      <c r="I825" s="1">
        <v>2.0</v>
      </c>
      <c r="J825" s="1">
        <v>3.0</v>
      </c>
      <c r="K825" s="1">
        <v>5.0</v>
      </c>
      <c r="L825" s="1">
        <v>6.0</v>
      </c>
      <c r="M825" s="1">
        <v>9.0</v>
      </c>
      <c r="N825" s="1">
        <v>0.0</v>
      </c>
      <c r="O825" s="1">
        <v>0.0</v>
      </c>
      <c r="P825" s="1">
        <v>0.0</v>
      </c>
      <c r="Q825" s="1">
        <v>0.0</v>
      </c>
      <c r="R825" s="1">
        <v>5.0</v>
      </c>
      <c r="S825" s="1">
        <v>0.0</v>
      </c>
      <c r="T825" s="1">
        <v>0.0</v>
      </c>
    </row>
    <row r="826" ht="12.75" customHeight="1">
      <c r="A826" s="1" t="s">
        <v>859</v>
      </c>
      <c r="B826" s="1" t="str">
        <f>IFERROR(__xludf.DUMMYFUNCTION("split(A826, ""\"")"),"Paul Martin")</f>
        <v>Paul Martin</v>
      </c>
      <c r="C826" s="1" t="str">
        <f>IFERROR(__xludf.DUMMYFUNCTION("""COMPUTED_VALUE"""),"martipa01")</f>
        <v>martipa01</v>
      </c>
      <c r="D826" s="1" t="s">
        <v>66</v>
      </c>
      <c r="E826" s="1">
        <f t="shared" si="1"/>
        <v>15.3</v>
      </c>
      <c r="F826" s="1">
        <f t="shared" si="2"/>
        <v>1.09</v>
      </c>
      <c r="G826" s="1">
        <v>14.0</v>
      </c>
      <c r="H826" s="1">
        <v>0.0</v>
      </c>
      <c r="I826" s="1">
        <v>2.0</v>
      </c>
      <c r="J826" s="1">
        <v>2.0</v>
      </c>
      <c r="K826" s="1">
        <v>6.0</v>
      </c>
      <c r="L826" s="1">
        <v>8.0</v>
      </c>
      <c r="M826" s="1">
        <v>17.0</v>
      </c>
      <c r="N826" s="1">
        <v>0.0</v>
      </c>
      <c r="O826" s="1">
        <v>0.0</v>
      </c>
      <c r="P826" s="1">
        <v>0.0</v>
      </c>
      <c r="Q826" s="1">
        <v>0.0</v>
      </c>
      <c r="R826" s="1">
        <v>3.0</v>
      </c>
      <c r="S826" s="1">
        <v>2.0</v>
      </c>
      <c r="T826" s="1">
        <v>0.0</v>
      </c>
    </row>
    <row r="827" ht="12.75" customHeight="1">
      <c r="A827" s="1" t="s">
        <v>860</v>
      </c>
      <c r="B827" s="1" t="str">
        <f>IFERROR(__xludf.DUMMYFUNCTION("split(A827, ""\"")"),"Brandon Pirri")</f>
        <v>Brandon Pirri</v>
      </c>
      <c r="C827" s="1" t="str">
        <f>IFERROR(__xludf.DUMMYFUNCTION("""COMPUTED_VALUE"""),"pirribr01")</f>
        <v>pirribr01</v>
      </c>
      <c r="D827" s="1" t="s">
        <v>31</v>
      </c>
      <c r="E827" s="1">
        <f t="shared" si="1"/>
        <v>15.25</v>
      </c>
      <c r="F827" s="1">
        <f t="shared" si="2"/>
        <v>7.63</v>
      </c>
      <c r="G827" s="1">
        <v>2.0</v>
      </c>
      <c r="H827" s="1">
        <v>3.0</v>
      </c>
      <c r="I827" s="1">
        <v>0.0</v>
      </c>
      <c r="J827" s="1">
        <v>3.0</v>
      </c>
      <c r="K827" s="1">
        <v>11.0</v>
      </c>
      <c r="L827" s="1">
        <v>2.0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3.0</v>
      </c>
      <c r="S827" s="1">
        <v>0.0</v>
      </c>
      <c r="T827" s="1">
        <v>0.0</v>
      </c>
    </row>
    <row r="828" ht="12.75" customHeight="1">
      <c r="A828" s="1" t="s">
        <v>861</v>
      </c>
      <c r="B828" s="1" t="str">
        <f>IFERROR(__xludf.DUMMYFUNCTION("split(A828, ""\"")"),"Freddie Hamilton")</f>
        <v>Freddie Hamilton</v>
      </c>
      <c r="C828" s="1" t="str">
        <f>IFERROR(__xludf.DUMMYFUNCTION("""COMPUTED_VALUE"""),"hamilfr01")</f>
        <v>hamilfr01</v>
      </c>
      <c r="D828" s="1" t="s">
        <v>31</v>
      </c>
      <c r="E828" s="1">
        <f t="shared" si="1"/>
        <v>15.25</v>
      </c>
      <c r="F828" s="1">
        <f t="shared" si="2"/>
        <v>0.95</v>
      </c>
      <c r="G828" s="1">
        <v>16.0</v>
      </c>
      <c r="H828" s="1">
        <v>0.0</v>
      </c>
      <c r="I828" s="1">
        <v>1.0</v>
      </c>
      <c r="J828" s="1">
        <v>1.0</v>
      </c>
      <c r="K828" s="1">
        <v>12.0</v>
      </c>
      <c r="L828" s="1">
        <v>35.0</v>
      </c>
      <c r="M828" s="1">
        <v>0.0</v>
      </c>
      <c r="N828" s="1">
        <v>0.0</v>
      </c>
      <c r="O828" s="1">
        <v>0.0</v>
      </c>
      <c r="P828" s="1">
        <v>0.0</v>
      </c>
      <c r="Q828" s="1">
        <v>1.0</v>
      </c>
      <c r="R828" s="1">
        <v>0.0</v>
      </c>
      <c r="S828" s="1">
        <v>2.0</v>
      </c>
      <c r="T828" s="1">
        <v>0.0</v>
      </c>
    </row>
    <row r="829" ht="12.75" customHeight="1">
      <c r="A829" s="1" t="s">
        <v>862</v>
      </c>
      <c r="B829" s="1" t="str">
        <f>IFERROR(__xludf.DUMMYFUNCTION("split(A829, ""\"")"),"Jason Garrison")</f>
        <v>Jason Garrison</v>
      </c>
      <c r="C829" s="1" t="str">
        <f>IFERROR(__xludf.DUMMYFUNCTION("""COMPUTED_VALUE"""),"garrija01")</f>
        <v>garrija01</v>
      </c>
      <c r="D829" s="1" t="s">
        <v>66</v>
      </c>
      <c r="E829" s="1">
        <f t="shared" si="1"/>
        <v>15.2</v>
      </c>
      <c r="F829" s="1">
        <f t="shared" si="2"/>
        <v>1.9</v>
      </c>
      <c r="G829" s="1">
        <v>8.0</v>
      </c>
      <c r="H829" s="1">
        <v>0.0</v>
      </c>
      <c r="I829" s="1">
        <v>1.0</v>
      </c>
      <c r="J829" s="1">
        <v>1.0</v>
      </c>
      <c r="K829" s="1">
        <v>7.0</v>
      </c>
      <c r="L829" s="1">
        <v>7.0</v>
      </c>
      <c r="M829" s="1">
        <v>23.0</v>
      </c>
      <c r="N829" s="1">
        <v>0.0</v>
      </c>
      <c r="O829" s="1">
        <v>0.0</v>
      </c>
      <c r="P829" s="1">
        <v>0.0</v>
      </c>
      <c r="Q829" s="1">
        <v>0.0</v>
      </c>
      <c r="R829" s="1">
        <v>-2.0</v>
      </c>
      <c r="S829" s="1">
        <v>4.0</v>
      </c>
      <c r="T829" s="1">
        <v>0.0</v>
      </c>
    </row>
    <row r="830" ht="12.75" customHeight="1">
      <c r="A830" s="1" t="s">
        <v>863</v>
      </c>
      <c r="B830" s="1" t="str">
        <f>IFERROR(__xludf.DUMMYFUNCTION("split(A830, ""\"")"),"Shane Prince")</f>
        <v>Shane Prince</v>
      </c>
      <c r="C830" s="1" t="str">
        <f>IFERROR(__xludf.DUMMYFUNCTION("""COMPUTED_VALUE"""),"princsh01")</f>
        <v>princsh01</v>
      </c>
      <c r="D830" s="1" t="s">
        <v>31</v>
      </c>
      <c r="E830" s="1">
        <f t="shared" si="1"/>
        <v>15.2</v>
      </c>
      <c r="F830" s="1">
        <f t="shared" si="2"/>
        <v>1.09</v>
      </c>
      <c r="G830" s="1">
        <v>14.0</v>
      </c>
      <c r="H830" s="1">
        <v>1.0</v>
      </c>
      <c r="I830" s="1">
        <v>1.0</v>
      </c>
      <c r="J830" s="1">
        <v>2.0</v>
      </c>
      <c r="K830" s="1">
        <v>20.0</v>
      </c>
      <c r="L830" s="1">
        <v>10.0</v>
      </c>
      <c r="M830" s="1">
        <v>3.0</v>
      </c>
      <c r="N830" s="1">
        <v>0.0</v>
      </c>
      <c r="O830" s="1">
        <v>0.0</v>
      </c>
      <c r="P830" s="1">
        <v>0.0</v>
      </c>
      <c r="Q830" s="1">
        <v>0.0</v>
      </c>
      <c r="R830" s="1">
        <v>-3.0</v>
      </c>
      <c r="S830" s="1">
        <v>11.0</v>
      </c>
      <c r="T830" s="1">
        <v>0.0</v>
      </c>
    </row>
    <row r="831" ht="12.75" customHeight="1">
      <c r="A831" s="1" t="s">
        <v>864</v>
      </c>
      <c r="B831" s="1" t="str">
        <f>IFERROR(__xludf.DUMMYFUNCTION("split(A831, ""\"")"),"Tanner Glass")</f>
        <v>Tanner Glass</v>
      </c>
      <c r="C831" s="1" t="str">
        <f>IFERROR(__xludf.DUMMYFUNCTION("""COMPUTED_VALUE"""),"glassta01")</f>
        <v>glassta01</v>
      </c>
      <c r="D831" s="1" t="s">
        <v>28</v>
      </c>
      <c r="E831" s="1">
        <f t="shared" si="1"/>
        <v>15.05</v>
      </c>
      <c r="F831" s="1">
        <f t="shared" si="2"/>
        <v>0.94</v>
      </c>
      <c r="G831" s="1">
        <v>16.0</v>
      </c>
      <c r="H831" s="1">
        <v>0.0</v>
      </c>
      <c r="I831" s="1">
        <v>0.0</v>
      </c>
      <c r="J831" s="1">
        <v>0.0</v>
      </c>
      <c r="K831" s="1">
        <v>14.0</v>
      </c>
      <c r="L831" s="1">
        <v>35.0</v>
      </c>
      <c r="M831" s="1">
        <v>7.0</v>
      </c>
      <c r="N831" s="1">
        <v>0.0</v>
      </c>
      <c r="O831" s="1">
        <v>0.0</v>
      </c>
      <c r="P831" s="1">
        <v>0.0</v>
      </c>
      <c r="Q831" s="1">
        <v>0.0</v>
      </c>
      <c r="R831" s="1">
        <v>-4.0</v>
      </c>
      <c r="S831" s="1">
        <v>19.0</v>
      </c>
      <c r="T831" s="1">
        <v>0.0</v>
      </c>
    </row>
    <row r="832" ht="12.75" customHeight="1">
      <c r="A832" s="1" t="s">
        <v>865</v>
      </c>
      <c r="B832" s="1" t="str">
        <f>IFERROR(__xludf.DUMMYFUNCTION("split(A832, ""\"")"),"Matt Beleskey")</f>
        <v>Matt Beleskey</v>
      </c>
      <c r="C832" s="1" t="str">
        <f>IFERROR(__xludf.DUMMYFUNCTION("""COMPUTED_VALUE"""),"belesma01")</f>
        <v>belesma01</v>
      </c>
      <c r="D832" s="1" t="s">
        <v>28</v>
      </c>
      <c r="E832" s="1">
        <f t="shared" si="1"/>
        <v>14.75</v>
      </c>
      <c r="F832" s="1">
        <f t="shared" si="2"/>
        <v>0.98</v>
      </c>
      <c r="G832" s="1">
        <v>15.0</v>
      </c>
      <c r="H832" s="1">
        <v>0.0</v>
      </c>
      <c r="I832" s="1">
        <v>0.0</v>
      </c>
      <c r="J832" s="1">
        <v>0.0</v>
      </c>
      <c r="K832" s="1">
        <v>17.0</v>
      </c>
      <c r="L832" s="1">
        <v>34.0</v>
      </c>
      <c r="M832" s="1">
        <v>5.0</v>
      </c>
      <c r="N832" s="1">
        <v>0.0</v>
      </c>
      <c r="O832" s="1">
        <v>0.0</v>
      </c>
      <c r="P832" s="1">
        <v>0.0</v>
      </c>
      <c r="Q832" s="1">
        <v>0.0</v>
      </c>
      <c r="R832" s="1">
        <v>-9.0</v>
      </c>
      <c r="S832" s="1">
        <v>21.0</v>
      </c>
      <c r="T832" s="1">
        <v>0.0</v>
      </c>
    </row>
    <row r="833" ht="12.75" customHeight="1">
      <c r="A833" s="1" t="s">
        <v>866</v>
      </c>
      <c r="B833" s="1" t="str">
        <f>IFERROR(__xludf.DUMMYFUNCTION("split(A833, ""\"")"),"Spencer Foo")</f>
        <v>Spencer Foo</v>
      </c>
      <c r="C833" s="1" t="str">
        <f>IFERROR(__xludf.DUMMYFUNCTION("""COMPUTED_VALUE"""),"foosp01")</f>
        <v>foosp01</v>
      </c>
      <c r="D833" s="1" t="s">
        <v>36</v>
      </c>
      <c r="E833" s="1">
        <f t="shared" si="1"/>
        <v>14.7</v>
      </c>
      <c r="F833" s="1">
        <f t="shared" si="2"/>
        <v>3.68</v>
      </c>
      <c r="G833" s="1">
        <v>4.0</v>
      </c>
      <c r="H833" s="1">
        <v>2.0</v>
      </c>
      <c r="I833" s="1">
        <v>0.0</v>
      </c>
      <c r="J833" s="1">
        <v>2.0</v>
      </c>
      <c r="K833" s="1">
        <v>16.0</v>
      </c>
      <c r="L833" s="1">
        <v>6.0</v>
      </c>
      <c r="M833" s="1">
        <v>3.0</v>
      </c>
      <c r="N833" s="1">
        <v>0.0</v>
      </c>
      <c r="O833" s="1">
        <v>0.0</v>
      </c>
      <c r="P833" s="1">
        <v>0.0</v>
      </c>
      <c r="Q833" s="1">
        <v>0.0</v>
      </c>
      <c r="R833" s="1">
        <v>1.0</v>
      </c>
      <c r="S833" s="1">
        <v>0.0</v>
      </c>
      <c r="T833" s="1">
        <v>0.0</v>
      </c>
    </row>
    <row r="834" ht="12.75" customHeight="1">
      <c r="A834" s="1" t="s">
        <v>867</v>
      </c>
      <c r="B834" s="1" t="str">
        <f>IFERROR(__xludf.DUMMYFUNCTION("split(A834, ""\"")"),"Nic Petan")</f>
        <v>Nic Petan</v>
      </c>
      <c r="C834" s="1" t="str">
        <f>IFERROR(__xludf.DUMMYFUNCTION("""COMPUTED_VALUE"""),"petanni01")</f>
        <v>petanni01</v>
      </c>
      <c r="D834" s="1" t="s">
        <v>31</v>
      </c>
      <c r="E834" s="1">
        <f t="shared" si="1"/>
        <v>14.6</v>
      </c>
      <c r="F834" s="1">
        <f t="shared" si="2"/>
        <v>0.97</v>
      </c>
      <c r="G834" s="1">
        <v>15.0</v>
      </c>
      <c r="H834" s="1">
        <v>2.0</v>
      </c>
      <c r="I834" s="1">
        <v>0.0</v>
      </c>
      <c r="J834" s="1">
        <v>2.0</v>
      </c>
      <c r="K834" s="1">
        <v>16.0</v>
      </c>
      <c r="L834" s="1">
        <v>4.0</v>
      </c>
      <c r="M834" s="1">
        <v>4.0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6.0</v>
      </c>
      <c r="T834" s="1">
        <v>1.0</v>
      </c>
    </row>
    <row r="835" ht="12.75" customHeight="1">
      <c r="A835" s="1" t="s">
        <v>868</v>
      </c>
      <c r="B835" s="1" t="str">
        <f>IFERROR(__xludf.DUMMYFUNCTION("split(A835, ""\"")"),"Tanner Kero")</f>
        <v>Tanner Kero</v>
      </c>
      <c r="C835" s="1" t="str">
        <f>IFERROR(__xludf.DUMMYFUNCTION("""COMPUTED_VALUE"""),"kerota01")</f>
        <v>kerota01</v>
      </c>
      <c r="D835" s="1" t="s">
        <v>36</v>
      </c>
      <c r="E835" s="1">
        <f t="shared" si="1"/>
        <v>14.3</v>
      </c>
      <c r="F835" s="1">
        <f t="shared" si="2"/>
        <v>1.79</v>
      </c>
      <c r="G835" s="1">
        <v>8.0</v>
      </c>
      <c r="H835" s="1">
        <v>1.0</v>
      </c>
      <c r="I835" s="1">
        <v>2.0</v>
      </c>
      <c r="J835" s="1">
        <v>3.0</v>
      </c>
      <c r="K835" s="1">
        <v>7.0</v>
      </c>
      <c r="L835" s="1">
        <v>3.0</v>
      </c>
      <c r="M835" s="1">
        <v>7.0</v>
      </c>
      <c r="N835" s="1">
        <v>0.0</v>
      </c>
      <c r="O835" s="1">
        <v>0.0</v>
      </c>
      <c r="P835" s="1">
        <v>0.0</v>
      </c>
      <c r="Q835" s="1">
        <v>0.0</v>
      </c>
      <c r="R835" s="1">
        <v>1.0</v>
      </c>
      <c r="S835" s="1">
        <v>0.0</v>
      </c>
      <c r="T835" s="1">
        <v>0.0</v>
      </c>
    </row>
    <row r="836" ht="12.75" customHeight="1">
      <c r="A836" s="1" t="s">
        <v>869</v>
      </c>
      <c r="B836" s="1" t="str">
        <f>IFERROR(__xludf.DUMMYFUNCTION("split(A836, ""\"")"),"Mark Alt")</f>
        <v>Mark Alt</v>
      </c>
      <c r="C836" s="1" t="str">
        <f>IFERROR(__xludf.DUMMYFUNCTION("""COMPUTED_VALUE"""),"altma01")</f>
        <v>altma01</v>
      </c>
      <c r="D836" s="1" t="s">
        <v>66</v>
      </c>
      <c r="E836" s="1">
        <f t="shared" si="1"/>
        <v>14.2</v>
      </c>
      <c r="F836" s="1">
        <f t="shared" si="2"/>
        <v>0.95</v>
      </c>
      <c r="G836" s="1">
        <v>15.0</v>
      </c>
      <c r="H836" s="1">
        <v>0.0</v>
      </c>
      <c r="I836" s="1">
        <v>0.0</v>
      </c>
      <c r="J836" s="1">
        <v>0.0</v>
      </c>
      <c r="K836" s="1">
        <v>11.0</v>
      </c>
      <c r="L836" s="1">
        <v>17.0</v>
      </c>
      <c r="M836" s="1">
        <v>18.0</v>
      </c>
      <c r="N836" s="1">
        <v>0.0</v>
      </c>
      <c r="O836" s="1">
        <v>0.0</v>
      </c>
      <c r="P836" s="1">
        <v>0.0</v>
      </c>
      <c r="Q836" s="1">
        <v>0.0</v>
      </c>
      <c r="R836" s="1">
        <v>-1.0</v>
      </c>
      <c r="S836" s="1">
        <v>2.0</v>
      </c>
      <c r="T836" s="1">
        <v>0.0</v>
      </c>
    </row>
    <row r="837" ht="12.75" customHeight="1">
      <c r="A837" s="1" t="s">
        <v>870</v>
      </c>
      <c r="B837" s="1" t="str">
        <f>IFERROR(__xludf.DUMMYFUNCTION("split(A837, ""\"")"),"Matt Tennyson")</f>
        <v>Matt Tennyson</v>
      </c>
      <c r="C837" s="1" t="str">
        <f>IFERROR(__xludf.DUMMYFUNCTION("""COMPUTED_VALUE"""),"tennyma01")</f>
        <v>tennyma01</v>
      </c>
      <c r="D837" s="1" t="s">
        <v>66</v>
      </c>
      <c r="E837" s="1">
        <f t="shared" si="1"/>
        <v>13.9</v>
      </c>
      <c r="F837" s="1">
        <f t="shared" si="2"/>
        <v>0.93</v>
      </c>
      <c r="G837" s="1">
        <v>15.0</v>
      </c>
      <c r="H837" s="1">
        <v>0.0</v>
      </c>
      <c r="I837" s="1">
        <v>0.0</v>
      </c>
      <c r="J837" s="1">
        <v>0.0</v>
      </c>
      <c r="K837" s="1">
        <v>25.0</v>
      </c>
      <c r="L837" s="1">
        <v>13.0</v>
      </c>
      <c r="M837" s="1">
        <v>11.0</v>
      </c>
      <c r="N837" s="1">
        <v>0.0</v>
      </c>
      <c r="O837" s="1">
        <v>0.0</v>
      </c>
      <c r="P837" s="1">
        <v>0.0</v>
      </c>
      <c r="Q837" s="1">
        <v>0.0</v>
      </c>
      <c r="R837" s="1">
        <v>-8.0</v>
      </c>
      <c r="S837" s="1">
        <v>8.0</v>
      </c>
      <c r="T837" s="1">
        <v>0.0</v>
      </c>
    </row>
    <row r="838" ht="12.75" customHeight="1">
      <c r="A838" s="1" t="s">
        <v>871</v>
      </c>
      <c r="B838" s="1" t="str">
        <f>IFERROR(__xludf.DUMMYFUNCTION("split(A838, ""\"")"),"Austin Czarnik")</f>
        <v>Austin Czarnik</v>
      </c>
      <c r="C838" s="1" t="str">
        <f>IFERROR(__xludf.DUMMYFUNCTION("""COMPUTED_VALUE"""),"czarnau01")</f>
        <v>czarnau01</v>
      </c>
      <c r="D838" s="1" t="s">
        <v>31</v>
      </c>
      <c r="E838" s="1">
        <f t="shared" si="1"/>
        <v>13.75</v>
      </c>
      <c r="F838" s="1">
        <f t="shared" si="2"/>
        <v>1.38</v>
      </c>
      <c r="G838" s="1">
        <v>10.0</v>
      </c>
      <c r="H838" s="1">
        <v>0.0</v>
      </c>
      <c r="I838" s="1">
        <v>4.0</v>
      </c>
      <c r="J838" s="1">
        <v>4.0</v>
      </c>
      <c r="K838" s="1">
        <v>7.0</v>
      </c>
      <c r="L838" s="1">
        <v>4.0</v>
      </c>
      <c r="M838" s="1">
        <v>0.0</v>
      </c>
      <c r="N838" s="1">
        <v>0.0</v>
      </c>
      <c r="O838" s="1">
        <v>1.0</v>
      </c>
      <c r="P838" s="1">
        <v>0.0</v>
      </c>
      <c r="Q838" s="1">
        <v>0.0</v>
      </c>
      <c r="R838" s="1">
        <v>-1.0</v>
      </c>
      <c r="S838" s="1">
        <v>0.0</v>
      </c>
      <c r="T838" s="1">
        <v>0.0</v>
      </c>
    </row>
    <row r="839" ht="12.75" customHeight="1">
      <c r="A839" s="1" t="s">
        <v>872</v>
      </c>
      <c r="B839" s="1" t="str">
        <f>IFERROR(__xludf.DUMMYFUNCTION("split(A839, ""\"")"),"Warren Foegele")</f>
        <v>Warren Foegele</v>
      </c>
      <c r="C839" s="1" t="str">
        <f>IFERROR(__xludf.DUMMYFUNCTION("""COMPUTED_VALUE"""),"foegewa01")</f>
        <v>foegewa01</v>
      </c>
      <c r="D839" s="1" t="s">
        <v>28</v>
      </c>
      <c r="E839" s="1">
        <f t="shared" si="1"/>
        <v>13.65</v>
      </c>
      <c r="F839" s="1">
        <f t="shared" si="2"/>
        <v>6.83</v>
      </c>
      <c r="G839" s="1">
        <v>2.0</v>
      </c>
      <c r="H839" s="1">
        <v>2.0</v>
      </c>
      <c r="I839" s="1">
        <v>1.0</v>
      </c>
      <c r="J839" s="1">
        <v>3.0</v>
      </c>
      <c r="K839" s="1">
        <v>6.0</v>
      </c>
      <c r="L839" s="1">
        <v>5.0</v>
      </c>
      <c r="M839" s="1">
        <v>1.0</v>
      </c>
      <c r="N839" s="1">
        <v>0.0</v>
      </c>
      <c r="O839" s="1">
        <v>0.0</v>
      </c>
      <c r="P839" s="1">
        <v>0.0</v>
      </c>
      <c r="Q839" s="1">
        <v>0.0</v>
      </c>
      <c r="R839" s="1">
        <v>3.0</v>
      </c>
      <c r="S839" s="1">
        <v>0.0</v>
      </c>
      <c r="T839" s="1">
        <v>0.0</v>
      </c>
    </row>
    <row r="840" ht="12.75" customHeight="1">
      <c r="A840" s="1" t="s">
        <v>873</v>
      </c>
      <c r="B840" s="1" t="str">
        <f>IFERROR(__xludf.DUMMYFUNCTION("split(A840, ""\"")"),"Korbinian Holzer")</f>
        <v>Korbinian Holzer</v>
      </c>
      <c r="C840" s="1" t="str">
        <f>IFERROR(__xludf.DUMMYFUNCTION("""COMPUTED_VALUE"""),"holzeko01")</f>
        <v>holzeko01</v>
      </c>
      <c r="D840" s="1" t="s">
        <v>66</v>
      </c>
      <c r="E840" s="1">
        <f t="shared" si="1"/>
        <v>13.6</v>
      </c>
      <c r="F840" s="1">
        <f t="shared" si="2"/>
        <v>0.85</v>
      </c>
      <c r="G840" s="1">
        <v>16.0</v>
      </c>
      <c r="H840" s="1">
        <v>0.0</v>
      </c>
      <c r="I840" s="1">
        <v>0.0</v>
      </c>
      <c r="J840" s="1">
        <v>0.0</v>
      </c>
      <c r="K840" s="1">
        <v>10.0</v>
      </c>
      <c r="L840" s="1">
        <v>22.0</v>
      </c>
      <c r="M840" s="1">
        <v>14.0</v>
      </c>
      <c r="N840" s="1">
        <v>0.0</v>
      </c>
      <c r="O840" s="1">
        <v>0.0</v>
      </c>
      <c r="P840" s="1">
        <v>0.0</v>
      </c>
      <c r="Q840" s="1">
        <v>0.0</v>
      </c>
      <c r="R840" s="1">
        <v>-3.0</v>
      </c>
      <c r="S840" s="1">
        <v>6.0</v>
      </c>
      <c r="T840" s="1">
        <v>0.0</v>
      </c>
    </row>
    <row r="841" ht="12.75" customHeight="1">
      <c r="A841" s="1" t="s">
        <v>874</v>
      </c>
      <c r="B841" s="1" t="str">
        <f>IFERROR(__xludf.DUMMYFUNCTION("split(A841, ""\"")"),"Rocco Grimaldi")</f>
        <v>Rocco Grimaldi</v>
      </c>
      <c r="C841" s="1" t="str">
        <f>IFERROR(__xludf.DUMMYFUNCTION("""COMPUTED_VALUE"""),"grimaro01")</f>
        <v>grimaro01</v>
      </c>
      <c r="D841" s="1" t="s">
        <v>31</v>
      </c>
      <c r="E841" s="1">
        <f t="shared" si="1"/>
        <v>13.5</v>
      </c>
      <c r="F841" s="1">
        <f t="shared" si="2"/>
        <v>2.25</v>
      </c>
      <c r="G841" s="1">
        <v>6.0</v>
      </c>
      <c r="H841" s="1">
        <v>1.0</v>
      </c>
      <c r="I841" s="1">
        <v>2.0</v>
      </c>
      <c r="J841" s="1">
        <v>3.0</v>
      </c>
      <c r="K841" s="1">
        <v>7.0</v>
      </c>
      <c r="L841" s="1">
        <v>3.0</v>
      </c>
      <c r="M841" s="1">
        <v>5.0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</row>
    <row r="842" ht="12.75" customHeight="1">
      <c r="A842" s="1" t="s">
        <v>875</v>
      </c>
      <c r="B842" s="1" t="str">
        <f>IFERROR(__xludf.DUMMYFUNCTION("split(A842, ""\"")"),"Chris Bigras")</f>
        <v>Chris Bigras</v>
      </c>
      <c r="C842" s="1" t="str">
        <f>IFERROR(__xludf.DUMMYFUNCTION("""COMPUTED_VALUE"""),"bigrach01")</f>
        <v>bigrach01</v>
      </c>
      <c r="D842" s="1" t="s">
        <v>66</v>
      </c>
      <c r="E842" s="1">
        <f t="shared" si="1"/>
        <v>13.5</v>
      </c>
      <c r="F842" s="1">
        <f t="shared" si="2"/>
        <v>0.9</v>
      </c>
      <c r="G842" s="1">
        <v>15.0</v>
      </c>
      <c r="H842" s="1">
        <v>0.0</v>
      </c>
      <c r="I842" s="1">
        <v>1.0</v>
      </c>
      <c r="J842" s="1">
        <v>1.0</v>
      </c>
      <c r="K842" s="1">
        <v>8.0</v>
      </c>
      <c r="L842" s="1">
        <v>12.0</v>
      </c>
      <c r="M842" s="1">
        <v>15.0</v>
      </c>
      <c r="N842" s="1">
        <v>0.0</v>
      </c>
      <c r="O842" s="1">
        <v>0.0</v>
      </c>
      <c r="P842" s="1">
        <v>0.0</v>
      </c>
      <c r="Q842" s="1">
        <v>0.0</v>
      </c>
      <c r="R842" s="1">
        <v>-2.0</v>
      </c>
      <c r="S842" s="1">
        <v>2.0</v>
      </c>
      <c r="T842" s="1">
        <v>0.0</v>
      </c>
    </row>
    <row r="843" ht="12.75" customHeight="1">
      <c r="A843" s="1" t="s">
        <v>876</v>
      </c>
      <c r="B843" s="1" t="str">
        <f>IFERROR(__xludf.DUMMYFUNCTION("split(A843, ""\"")"),"Paul Postma")</f>
        <v>Paul Postma</v>
      </c>
      <c r="C843" s="1" t="str">
        <f>IFERROR(__xludf.DUMMYFUNCTION("""COMPUTED_VALUE"""),"postmpa01")</f>
        <v>postmpa01</v>
      </c>
      <c r="D843" s="1" t="s">
        <v>66</v>
      </c>
      <c r="E843" s="1">
        <f t="shared" si="1"/>
        <v>13.25</v>
      </c>
      <c r="F843" s="1">
        <f t="shared" si="2"/>
        <v>0.95</v>
      </c>
      <c r="G843" s="1">
        <v>14.0</v>
      </c>
      <c r="H843" s="1">
        <v>0.0</v>
      </c>
      <c r="I843" s="1">
        <v>1.0</v>
      </c>
      <c r="J843" s="1">
        <v>1.0</v>
      </c>
      <c r="K843" s="1">
        <v>14.0</v>
      </c>
      <c r="L843" s="1">
        <v>13.0</v>
      </c>
      <c r="M843" s="1">
        <v>10.0</v>
      </c>
      <c r="N843" s="1">
        <v>0.0</v>
      </c>
      <c r="O843" s="1">
        <v>0.0</v>
      </c>
      <c r="P843" s="1">
        <v>0.0</v>
      </c>
      <c r="Q843" s="1">
        <v>0.0</v>
      </c>
      <c r="R843" s="1">
        <v>-2.0</v>
      </c>
      <c r="S843" s="1">
        <v>2.0</v>
      </c>
      <c r="T843" s="1">
        <v>0.0</v>
      </c>
    </row>
    <row r="844" ht="12.75" customHeight="1">
      <c r="A844" s="1" t="s">
        <v>877</v>
      </c>
      <c r="B844" s="1" t="str">
        <f>IFERROR(__xludf.DUMMYFUNCTION("split(A844, ""\"")"),"Dryden Hunt")</f>
        <v>Dryden Hunt</v>
      </c>
      <c r="C844" s="1" t="str">
        <f>IFERROR(__xludf.DUMMYFUNCTION("""COMPUTED_VALUE"""),"huntdr01")</f>
        <v>huntdr01</v>
      </c>
      <c r="D844" s="1" t="s">
        <v>28</v>
      </c>
      <c r="E844" s="1">
        <f t="shared" si="1"/>
        <v>12.6</v>
      </c>
      <c r="F844" s="1">
        <f t="shared" si="2"/>
        <v>1.15</v>
      </c>
      <c r="G844" s="1">
        <v>11.0</v>
      </c>
      <c r="H844" s="1">
        <v>0.0</v>
      </c>
      <c r="I844" s="1">
        <v>1.0</v>
      </c>
      <c r="J844" s="1">
        <v>1.0</v>
      </c>
      <c r="K844" s="1">
        <v>12.0</v>
      </c>
      <c r="L844" s="1">
        <v>22.0</v>
      </c>
      <c r="M844" s="1">
        <v>4.0</v>
      </c>
      <c r="N844" s="1">
        <v>0.0</v>
      </c>
      <c r="O844" s="1">
        <v>0.0</v>
      </c>
      <c r="P844" s="1">
        <v>0.0</v>
      </c>
      <c r="Q844" s="1">
        <v>0.0</v>
      </c>
      <c r="R844" s="1">
        <v>-5.0</v>
      </c>
      <c r="S844" s="1">
        <v>2.0</v>
      </c>
      <c r="T844" s="1">
        <v>0.0</v>
      </c>
    </row>
    <row r="845" ht="12.75" customHeight="1">
      <c r="A845" s="1" t="s">
        <v>878</v>
      </c>
      <c r="B845" s="1" t="str">
        <f>IFERROR(__xludf.DUMMYFUNCTION("split(A845, ""\"")"),"Brooks Laich")</f>
        <v>Brooks Laich</v>
      </c>
      <c r="C845" s="1" t="str">
        <f>IFERROR(__xludf.DUMMYFUNCTION("""COMPUTED_VALUE"""),"laichbr01")</f>
        <v>laichbr01</v>
      </c>
      <c r="D845" s="1" t="s">
        <v>31</v>
      </c>
      <c r="E845" s="1">
        <f t="shared" si="1"/>
        <v>12.5</v>
      </c>
      <c r="F845" s="1">
        <f t="shared" si="2"/>
        <v>1.04</v>
      </c>
      <c r="G845" s="1">
        <v>12.0</v>
      </c>
      <c r="H845" s="1">
        <v>0.0</v>
      </c>
      <c r="I845" s="1">
        <v>1.0</v>
      </c>
      <c r="J845" s="1">
        <v>1.0</v>
      </c>
      <c r="K845" s="1">
        <v>10.0</v>
      </c>
      <c r="L845" s="1">
        <v>22.0</v>
      </c>
      <c r="M845" s="1">
        <v>5.0</v>
      </c>
      <c r="N845" s="1">
        <v>0.0</v>
      </c>
      <c r="O845" s="1">
        <v>0.0</v>
      </c>
      <c r="P845" s="1">
        <v>0.0</v>
      </c>
      <c r="Q845" s="1">
        <v>0.0</v>
      </c>
      <c r="R845" s="1">
        <v>-5.0</v>
      </c>
      <c r="S845" s="1">
        <v>6.0</v>
      </c>
      <c r="T845" s="1">
        <v>0.0</v>
      </c>
    </row>
    <row r="846" ht="12.75" customHeight="1">
      <c r="A846" s="1" t="s">
        <v>879</v>
      </c>
      <c r="B846" s="1" t="str">
        <f>IFERROR(__xludf.DUMMYFUNCTION("split(A846, ""\"")"),"Nick Paul")</f>
        <v>Nick Paul</v>
      </c>
      <c r="C846" s="1" t="str">
        <f>IFERROR(__xludf.DUMMYFUNCTION("""COMPUTED_VALUE"""),"paulni01")</f>
        <v>paulni01</v>
      </c>
      <c r="D846" s="1" t="s">
        <v>28</v>
      </c>
      <c r="E846" s="1">
        <f t="shared" si="1"/>
        <v>12.35</v>
      </c>
      <c r="F846" s="1">
        <f t="shared" si="2"/>
        <v>1.12</v>
      </c>
      <c r="G846" s="1">
        <v>11.0</v>
      </c>
      <c r="H846" s="1">
        <v>1.0</v>
      </c>
      <c r="I846" s="1">
        <v>0.0</v>
      </c>
      <c r="J846" s="1">
        <v>1.0</v>
      </c>
      <c r="K846" s="1">
        <v>11.0</v>
      </c>
      <c r="L846" s="1">
        <v>16.0</v>
      </c>
      <c r="M846" s="1">
        <v>4.0</v>
      </c>
      <c r="N846" s="1">
        <v>0.0</v>
      </c>
      <c r="O846" s="1">
        <v>0.0</v>
      </c>
      <c r="P846" s="1">
        <v>0.0</v>
      </c>
      <c r="Q846" s="1">
        <v>0.0</v>
      </c>
      <c r="R846" s="1">
        <v>-4.0</v>
      </c>
      <c r="S846" s="1">
        <v>0.0</v>
      </c>
      <c r="T846" s="1">
        <v>0.0</v>
      </c>
    </row>
    <row r="847" ht="12.75" customHeight="1">
      <c r="A847" s="1" t="s">
        <v>880</v>
      </c>
      <c r="B847" s="1" t="str">
        <f>IFERROR(__xludf.DUMMYFUNCTION("split(A847, ""\"")"),"Kerby Rychel")</f>
        <v>Kerby Rychel</v>
      </c>
      <c r="C847" s="1" t="str">
        <f>IFERROR(__xludf.DUMMYFUNCTION("""COMPUTED_VALUE"""),"rycheke01")</f>
        <v>rycheke01</v>
      </c>
      <c r="D847" s="1" t="s">
        <v>28</v>
      </c>
      <c r="E847" s="1">
        <f t="shared" si="1"/>
        <v>12.3</v>
      </c>
      <c r="F847" s="1">
        <f t="shared" si="2"/>
        <v>3.08</v>
      </c>
      <c r="G847" s="1">
        <v>4.0</v>
      </c>
      <c r="H847" s="1">
        <v>1.0</v>
      </c>
      <c r="I847" s="1">
        <v>1.0</v>
      </c>
      <c r="J847" s="1">
        <v>2.0</v>
      </c>
      <c r="K847" s="1">
        <v>7.0</v>
      </c>
      <c r="L847" s="1">
        <v>13.0</v>
      </c>
      <c r="M847" s="1">
        <v>2.0</v>
      </c>
      <c r="N847" s="1">
        <v>0.0</v>
      </c>
      <c r="O847" s="1">
        <v>0.0</v>
      </c>
      <c r="P847" s="1">
        <v>0.0</v>
      </c>
      <c r="Q847" s="1">
        <v>0.0</v>
      </c>
      <c r="R847" s="1">
        <v>-2.0</v>
      </c>
      <c r="S847" s="1">
        <v>2.0</v>
      </c>
      <c r="T847" s="1">
        <v>0.0</v>
      </c>
    </row>
    <row r="848" ht="12.75" customHeight="1">
      <c r="A848" s="1" t="s">
        <v>881</v>
      </c>
      <c r="B848" s="1" t="str">
        <f>IFERROR(__xludf.DUMMYFUNCTION("split(A848, ""\"")"),"Kalle Kossila")</f>
        <v>Kalle Kossila</v>
      </c>
      <c r="C848" s="1" t="str">
        <f>IFERROR(__xludf.DUMMYFUNCTION("""COMPUTED_VALUE"""),"kossika01")</f>
        <v>kossika01</v>
      </c>
      <c r="D848" s="1" t="s">
        <v>28</v>
      </c>
      <c r="E848" s="1">
        <f t="shared" si="1"/>
        <v>12.1</v>
      </c>
      <c r="F848" s="1">
        <f t="shared" si="2"/>
        <v>1.21</v>
      </c>
      <c r="G848" s="1">
        <v>10.0</v>
      </c>
      <c r="H848" s="1">
        <v>1.0</v>
      </c>
      <c r="I848" s="1">
        <v>1.0</v>
      </c>
      <c r="J848" s="1">
        <v>2.0</v>
      </c>
      <c r="K848" s="1">
        <v>9.0</v>
      </c>
      <c r="L848" s="1">
        <v>7.0</v>
      </c>
      <c r="M848" s="1">
        <v>4.0</v>
      </c>
      <c r="N848" s="1">
        <v>0.0</v>
      </c>
      <c r="O848" s="1">
        <v>0.0</v>
      </c>
      <c r="P848" s="1">
        <v>0.0</v>
      </c>
      <c r="Q848" s="1">
        <v>0.0</v>
      </c>
      <c r="R848" s="1">
        <v>-4.0</v>
      </c>
      <c r="S848" s="1">
        <v>0.0</v>
      </c>
      <c r="T848" s="1">
        <v>0.0</v>
      </c>
    </row>
    <row r="849" ht="12.75" customHeight="1">
      <c r="A849" s="1" t="s">
        <v>882</v>
      </c>
      <c r="B849" s="1" t="str">
        <f>IFERROR(__xludf.DUMMYFUNCTION("split(A849, ""\"")"),"Frederik Gauthier")</f>
        <v>Frederik Gauthier</v>
      </c>
      <c r="C849" s="1" t="str">
        <f>IFERROR(__xludf.DUMMYFUNCTION("""COMPUTED_VALUE"""),"gauthfr01")</f>
        <v>gauthfr01</v>
      </c>
      <c r="D849" s="1" t="s">
        <v>31</v>
      </c>
      <c r="E849" s="1">
        <f t="shared" si="1"/>
        <v>12</v>
      </c>
      <c r="F849" s="1">
        <f t="shared" si="2"/>
        <v>1.33</v>
      </c>
      <c r="G849" s="1">
        <v>9.0</v>
      </c>
      <c r="H849" s="1">
        <v>1.0</v>
      </c>
      <c r="I849" s="1">
        <v>0.0</v>
      </c>
      <c r="J849" s="1">
        <v>1.0</v>
      </c>
      <c r="K849" s="1">
        <v>12.0</v>
      </c>
      <c r="L849" s="1">
        <v>12.0</v>
      </c>
      <c r="M849" s="1">
        <v>5.0</v>
      </c>
      <c r="N849" s="1">
        <v>0.0</v>
      </c>
      <c r="O849" s="1">
        <v>0.0</v>
      </c>
      <c r="P849" s="1">
        <v>0.0</v>
      </c>
      <c r="Q849" s="1">
        <v>0.0</v>
      </c>
      <c r="R849" s="1">
        <v>-4.0</v>
      </c>
      <c r="S849" s="1">
        <v>0.0</v>
      </c>
      <c r="T849" s="1">
        <v>0.0</v>
      </c>
    </row>
    <row r="850" ht="12.75" customHeight="1">
      <c r="A850" s="1" t="s">
        <v>883</v>
      </c>
      <c r="B850" s="1" t="str">
        <f>IFERROR(__xludf.DUMMYFUNCTION("split(A850, ""\"")"),"Roland McKeown")</f>
        <v>Roland McKeown</v>
      </c>
      <c r="C850" s="1" t="str">
        <f>IFERROR(__xludf.DUMMYFUNCTION("""COMPUTED_VALUE"""),"mckeoro01")</f>
        <v>mckeoro01</v>
      </c>
      <c r="D850" s="1" t="s">
        <v>66</v>
      </c>
      <c r="E850" s="1">
        <f t="shared" si="1"/>
        <v>12</v>
      </c>
      <c r="F850" s="1">
        <f t="shared" si="2"/>
        <v>1.2</v>
      </c>
      <c r="G850" s="1">
        <v>10.0</v>
      </c>
      <c r="H850" s="1">
        <v>0.0</v>
      </c>
      <c r="I850" s="1">
        <v>3.0</v>
      </c>
      <c r="J850" s="1">
        <v>3.0</v>
      </c>
      <c r="K850" s="1">
        <v>7.0</v>
      </c>
      <c r="L850" s="1">
        <v>3.0</v>
      </c>
      <c r="M850" s="1">
        <v>5.0</v>
      </c>
      <c r="N850" s="1">
        <v>0.0</v>
      </c>
      <c r="O850" s="1">
        <v>0.0</v>
      </c>
      <c r="P850" s="1">
        <v>0.0</v>
      </c>
      <c r="Q850" s="1">
        <v>0.0</v>
      </c>
      <c r="R850" s="1">
        <v>3.0</v>
      </c>
      <c r="S850" s="1">
        <v>19.0</v>
      </c>
      <c r="T850" s="1">
        <v>0.0</v>
      </c>
    </row>
    <row r="851" ht="12.75" customHeight="1">
      <c r="A851" s="1" t="s">
        <v>884</v>
      </c>
      <c r="B851" s="1" t="str">
        <f>IFERROR(__xludf.DUMMYFUNCTION("split(A851, ""\"")"),"Lucas Wallmark")</f>
        <v>Lucas Wallmark</v>
      </c>
      <c r="C851" s="1" t="str">
        <f>IFERROR(__xludf.DUMMYFUNCTION("""COMPUTED_VALUE"""),"wallmlu01")</f>
        <v>wallmlu01</v>
      </c>
      <c r="D851" s="1" t="s">
        <v>31</v>
      </c>
      <c r="E851" s="1">
        <f t="shared" si="1"/>
        <v>11.65</v>
      </c>
      <c r="F851" s="1">
        <f t="shared" si="2"/>
        <v>1.06</v>
      </c>
      <c r="G851" s="1">
        <v>11.0</v>
      </c>
      <c r="H851" s="1">
        <v>1.0</v>
      </c>
      <c r="I851" s="1">
        <v>0.0</v>
      </c>
      <c r="J851" s="1">
        <v>1.0</v>
      </c>
      <c r="K851" s="1">
        <v>16.0</v>
      </c>
      <c r="L851" s="1">
        <v>13.0</v>
      </c>
      <c r="M851" s="1">
        <v>1.0</v>
      </c>
      <c r="N851" s="1">
        <v>0.0</v>
      </c>
      <c r="O851" s="1">
        <v>0.0</v>
      </c>
      <c r="P851" s="1">
        <v>0.0</v>
      </c>
      <c r="Q851" s="1">
        <v>0.0</v>
      </c>
      <c r="R851" s="1">
        <v>-4.0</v>
      </c>
      <c r="S851" s="1">
        <v>2.0</v>
      </c>
      <c r="T851" s="1">
        <v>0.0</v>
      </c>
    </row>
    <row r="852" ht="12.75" customHeight="1">
      <c r="A852" s="1" t="s">
        <v>885</v>
      </c>
      <c r="B852" s="1" t="str">
        <f>IFERROR(__xludf.DUMMYFUNCTION("split(A852, ""\"")"),"Eric Comrie")</f>
        <v>Eric Comrie</v>
      </c>
      <c r="C852" s="2" t="str">
        <f>IFERROR(__xludf.DUMMYFUNCTION("""COMPUTED_VALUE"""),"comrier01")</f>
        <v>comrier01</v>
      </c>
      <c r="D852" s="1" t="s">
        <v>5</v>
      </c>
      <c r="E852" s="1">
        <f t="shared" si="1"/>
        <v>11.5</v>
      </c>
      <c r="F852" s="1">
        <f t="shared" si="2"/>
        <v>3.83</v>
      </c>
      <c r="G852" s="1">
        <v>3.0</v>
      </c>
      <c r="U852" s="1">
        <v>3.0</v>
      </c>
      <c r="V852" s="1">
        <v>1.0</v>
      </c>
      <c r="W852" s="1">
        <v>2.0</v>
      </c>
      <c r="X852" s="1">
        <v>12.0</v>
      </c>
      <c r="Y852" s="1">
        <v>94.0</v>
      </c>
      <c r="Z852" s="1">
        <v>82.0</v>
      </c>
      <c r="AA852" s="1">
        <v>0.0</v>
      </c>
    </row>
    <row r="853" ht="12.75" customHeight="1">
      <c r="A853" s="1" t="s">
        <v>886</v>
      </c>
      <c r="B853" s="1" t="str">
        <f>IFERROR(__xludf.DUMMYFUNCTION("split(A853, ""\"")"),"Lias Andersson")</f>
        <v>Lias Andersson</v>
      </c>
      <c r="C853" s="1" t="str">
        <f>IFERROR(__xludf.DUMMYFUNCTION("""COMPUTED_VALUE"""),"anderli01")</f>
        <v>anderli01</v>
      </c>
      <c r="D853" s="1" t="s">
        <v>31</v>
      </c>
      <c r="E853" s="1">
        <f t="shared" si="1"/>
        <v>11.2</v>
      </c>
      <c r="F853" s="1">
        <f t="shared" si="2"/>
        <v>1.6</v>
      </c>
      <c r="G853" s="1">
        <v>7.0</v>
      </c>
      <c r="H853" s="1">
        <v>1.0</v>
      </c>
      <c r="I853" s="1">
        <v>1.0</v>
      </c>
      <c r="J853" s="1">
        <v>2.0</v>
      </c>
      <c r="K853" s="1">
        <v>5.0</v>
      </c>
      <c r="L853" s="1">
        <v>9.0</v>
      </c>
      <c r="M853" s="1">
        <v>3.0</v>
      </c>
      <c r="N853" s="1">
        <v>0.0</v>
      </c>
      <c r="O853" s="1">
        <v>0.0</v>
      </c>
      <c r="P853" s="1">
        <v>0.0</v>
      </c>
      <c r="Q853" s="1">
        <v>0.0</v>
      </c>
      <c r="R853" s="1">
        <v>1.0</v>
      </c>
      <c r="S853" s="1">
        <v>0.0</v>
      </c>
      <c r="T853" s="1">
        <v>0.0</v>
      </c>
    </row>
    <row r="854" ht="12.75" customHeight="1">
      <c r="A854" s="1" t="s">
        <v>887</v>
      </c>
      <c r="B854" s="1" t="str">
        <f>IFERROR(__xludf.DUMMYFUNCTION("split(A854, ""\"")"),"Blake Hillman")</f>
        <v>Blake Hillman</v>
      </c>
      <c r="C854" s="1" t="str">
        <f>IFERROR(__xludf.DUMMYFUNCTION("""COMPUTED_VALUE"""),"hillmbl01")</f>
        <v>hillmbl01</v>
      </c>
      <c r="D854" s="1" t="s">
        <v>66</v>
      </c>
      <c r="E854" s="1">
        <f t="shared" si="1"/>
        <v>10.7</v>
      </c>
      <c r="F854" s="1">
        <f t="shared" si="2"/>
        <v>2.68</v>
      </c>
      <c r="G854" s="1">
        <v>4.0</v>
      </c>
      <c r="H854" s="1">
        <v>1.0</v>
      </c>
      <c r="I854" s="1">
        <v>0.0</v>
      </c>
      <c r="J854" s="1">
        <v>1.0</v>
      </c>
      <c r="K854" s="1">
        <v>5.0</v>
      </c>
      <c r="L854" s="1">
        <v>5.0</v>
      </c>
      <c r="M854" s="1">
        <v>8.0</v>
      </c>
      <c r="N854" s="1">
        <v>0.0</v>
      </c>
      <c r="O854" s="1">
        <v>0.0</v>
      </c>
      <c r="P854" s="1">
        <v>1.0</v>
      </c>
      <c r="Q854" s="1">
        <v>0.0</v>
      </c>
      <c r="R854" s="1">
        <v>-1.0</v>
      </c>
      <c r="S854" s="1">
        <v>0.0</v>
      </c>
      <c r="T854" s="1">
        <v>0.0</v>
      </c>
    </row>
    <row r="855" ht="12.75" customHeight="1">
      <c r="A855" s="1" t="s">
        <v>888</v>
      </c>
      <c r="B855" s="1" t="str">
        <f>IFERROR(__xludf.DUMMYFUNCTION("split(A855, ""\"")"),"Andy Welinski")</f>
        <v>Andy Welinski</v>
      </c>
      <c r="C855" s="1" t="str">
        <f>IFERROR(__xludf.DUMMYFUNCTION("""COMPUTED_VALUE"""),"welinan01")</f>
        <v>welinan01</v>
      </c>
      <c r="D855" s="1" t="s">
        <v>66</v>
      </c>
      <c r="E855" s="1">
        <f t="shared" si="1"/>
        <v>10.7</v>
      </c>
      <c r="F855" s="1">
        <f t="shared" si="2"/>
        <v>1.53</v>
      </c>
      <c r="G855" s="1">
        <v>7.0</v>
      </c>
      <c r="H855" s="1">
        <v>0.0</v>
      </c>
      <c r="I855" s="1">
        <v>2.0</v>
      </c>
      <c r="J855" s="1">
        <v>2.0</v>
      </c>
      <c r="K855" s="1">
        <v>6.0</v>
      </c>
      <c r="L855" s="1">
        <v>4.0</v>
      </c>
      <c r="M855" s="1">
        <v>8.0</v>
      </c>
      <c r="N855" s="1">
        <v>0.0</v>
      </c>
      <c r="O855" s="1">
        <v>0.0</v>
      </c>
      <c r="P855" s="1">
        <v>0.0</v>
      </c>
      <c r="Q855" s="1">
        <v>0.0</v>
      </c>
      <c r="R855" s="1">
        <v>-1.0</v>
      </c>
      <c r="S855" s="1">
        <v>0.0</v>
      </c>
      <c r="T855" s="1">
        <v>0.0</v>
      </c>
    </row>
    <row r="856" ht="12.75" customHeight="1">
      <c r="A856" s="1" t="s">
        <v>889</v>
      </c>
      <c r="B856" s="1" t="str">
        <f>IFERROR(__xludf.DUMMYFUNCTION("split(A856, ""\"")"),"Owen Tippett")</f>
        <v>Owen Tippett</v>
      </c>
      <c r="C856" s="1" t="str">
        <f>IFERROR(__xludf.DUMMYFUNCTION("""COMPUTED_VALUE"""),"tippeow01")</f>
        <v>tippeow01</v>
      </c>
      <c r="D856" s="1" t="s">
        <v>36</v>
      </c>
      <c r="E856" s="1">
        <f t="shared" si="1"/>
        <v>10.6</v>
      </c>
      <c r="F856" s="1">
        <f t="shared" si="2"/>
        <v>1.51</v>
      </c>
      <c r="G856" s="1">
        <v>7.0</v>
      </c>
      <c r="H856" s="1">
        <v>1.0</v>
      </c>
      <c r="I856" s="1">
        <v>0.0</v>
      </c>
      <c r="J856" s="1">
        <v>1.0</v>
      </c>
      <c r="K856" s="1">
        <v>17.0</v>
      </c>
      <c r="L856" s="1">
        <v>3.0</v>
      </c>
      <c r="M856" s="1">
        <v>4.0</v>
      </c>
      <c r="N856" s="1">
        <v>0.0</v>
      </c>
      <c r="O856" s="1">
        <v>0.0</v>
      </c>
      <c r="P856" s="1">
        <v>0.0</v>
      </c>
      <c r="Q856" s="1">
        <v>0.0</v>
      </c>
      <c r="R856" s="1">
        <v>-6.0</v>
      </c>
      <c r="S856" s="1">
        <v>0.0</v>
      </c>
      <c r="T856" s="1">
        <v>0.0</v>
      </c>
    </row>
    <row r="857" ht="12.75" customHeight="1">
      <c r="A857" s="1" t="s">
        <v>890</v>
      </c>
      <c r="B857" s="1" t="str">
        <f>IFERROR(__xludf.DUMMYFUNCTION("split(A857, ""\"")"),"Dylan Sikura")</f>
        <v>Dylan Sikura</v>
      </c>
      <c r="C857" s="1" t="str">
        <f>IFERROR(__xludf.DUMMYFUNCTION("""COMPUTED_VALUE"""),"sikurdy01")</f>
        <v>sikurdy01</v>
      </c>
      <c r="D857" s="1" t="s">
        <v>31</v>
      </c>
      <c r="E857" s="1">
        <f t="shared" si="1"/>
        <v>10.55</v>
      </c>
      <c r="F857" s="1">
        <f t="shared" si="2"/>
        <v>2.11</v>
      </c>
      <c r="G857" s="1">
        <v>5.0</v>
      </c>
      <c r="H857" s="1">
        <v>0.0</v>
      </c>
      <c r="I857" s="1">
        <v>3.0</v>
      </c>
      <c r="J857" s="1">
        <v>3.0</v>
      </c>
      <c r="K857" s="1">
        <v>9.0</v>
      </c>
      <c r="L857" s="1">
        <v>0.0</v>
      </c>
      <c r="M857" s="1">
        <v>2.0</v>
      </c>
      <c r="N857" s="1">
        <v>0.0</v>
      </c>
      <c r="O857" s="1">
        <v>0.0</v>
      </c>
      <c r="P857" s="1">
        <v>0.0</v>
      </c>
      <c r="Q857" s="1">
        <v>0.0</v>
      </c>
      <c r="R857" s="1">
        <v>2.0</v>
      </c>
      <c r="S857" s="1">
        <v>0.0</v>
      </c>
      <c r="T857" s="1">
        <v>0.0</v>
      </c>
    </row>
    <row r="858" ht="12.75" customHeight="1">
      <c r="A858" s="1" t="s">
        <v>891</v>
      </c>
      <c r="B858" s="1" t="str">
        <f>IFERROR(__xludf.DUMMYFUNCTION("split(A858, ""\"")"),"Nathan Walker")</f>
        <v>Nathan Walker</v>
      </c>
      <c r="C858" s="1" t="str">
        <f>IFERROR(__xludf.DUMMYFUNCTION("""COMPUTED_VALUE"""),"walkena01")</f>
        <v>walkena01</v>
      </c>
      <c r="D858" s="1" t="s">
        <v>31</v>
      </c>
      <c r="E858" s="1">
        <f t="shared" si="1"/>
        <v>10.4</v>
      </c>
      <c r="F858" s="1">
        <f t="shared" si="2"/>
        <v>1.16</v>
      </c>
      <c r="G858" s="1">
        <v>9.0</v>
      </c>
      <c r="H858" s="1">
        <v>1.0</v>
      </c>
      <c r="I858" s="1">
        <v>0.0</v>
      </c>
      <c r="J858" s="1">
        <v>1.0</v>
      </c>
      <c r="K858" s="1">
        <v>6.0</v>
      </c>
      <c r="L858" s="1">
        <v>18.0</v>
      </c>
      <c r="M858" s="1">
        <v>1.0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6.0</v>
      </c>
      <c r="T858" s="1">
        <v>0.0</v>
      </c>
    </row>
    <row r="859" ht="12.75" customHeight="1">
      <c r="A859" s="1" t="s">
        <v>892</v>
      </c>
      <c r="B859" s="1" t="str">
        <f>IFERROR(__xludf.DUMMYFUNCTION("split(A859, ""\"")"),"Chris Kelly")</f>
        <v>Chris Kelly</v>
      </c>
      <c r="C859" s="1" t="str">
        <f>IFERROR(__xludf.DUMMYFUNCTION("""COMPUTED_VALUE"""),"kellych01")</f>
        <v>kellych01</v>
      </c>
      <c r="D859" s="1" t="s">
        <v>141</v>
      </c>
      <c r="E859" s="1">
        <f t="shared" si="1"/>
        <v>10.4</v>
      </c>
      <c r="F859" s="1">
        <f t="shared" si="2"/>
        <v>0.87</v>
      </c>
      <c r="G859" s="1">
        <v>12.0</v>
      </c>
      <c r="H859" s="1">
        <v>0.0</v>
      </c>
      <c r="I859" s="1">
        <v>2.0</v>
      </c>
      <c r="J859" s="1">
        <v>2.0</v>
      </c>
      <c r="K859" s="1">
        <v>5.0</v>
      </c>
      <c r="L859" s="1">
        <v>7.0</v>
      </c>
      <c r="M859" s="1">
        <v>6.0</v>
      </c>
      <c r="N859" s="1">
        <v>0.0</v>
      </c>
      <c r="O859" s="1">
        <v>0.0</v>
      </c>
      <c r="P859" s="1">
        <v>0.0</v>
      </c>
      <c r="Q859" s="1">
        <v>0.0</v>
      </c>
      <c r="R859" s="1">
        <v>1.0</v>
      </c>
      <c r="S859" s="1">
        <v>2.0</v>
      </c>
      <c r="T859" s="1">
        <v>0.0</v>
      </c>
    </row>
    <row r="860" ht="12.75" customHeight="1">
      <c r="A860" s="1" t="s">
        <v>893</v>
      </c>
      <c r="B860" s="1" t="str">
        <f>IFERROR(__xludf.DUMMYFUNCTION("split(A860, ""\"")"),"Justin Holl")</f>
        <v>Justin Holl</v>
      </c>
      <c r="C860" s="1" t="str">
        <f>IFERROR(__xludf.DUMMYFUNCTION("""COMPUTED_VALUE"""),"hollju01")</f>
        <v>hollju01</v>
      </c>
      <c r="D860" s="1" t="s">
        <v>66</v>
      </c>
      <c r="E860" s="1">
        <f t="shared" si="1"/>
        <v>10.2</v>
      </c>
      <c r="F860" s="1">
        <f t="shared" si="2"/>
        <v>5.1</v>
      </c>
      <c r="G860" s="1">
        <v>2.0</v>
      </c>
      <c r="H860" s="1">
        <v>2.0</v>
      </c>
      <c r="I860" s="1">
        <v>0.0</v>
      </c>
      <c r="J860" s="1">
        <v>2.0</v>
      </c>
      <c r="K860" s="1">
        <v>2.0</v>
      </c>
      <c r="L860" s="1">
        <v>2.0</v>
      </c>
      <c r="M860" s="1">
        <v>3.0</v>
      </c>
      <c r="N860" s="1">
        <v>0.0</v>
      </c>
      <c r="O860" s="1">
        <v>0.0</v>
      </c>
      <c r="P860" s="1">
        <v>0.0</v>
      </c>
      <c r="Q860" s="1">
        <v>0.0</v>
      </c>
      <c r="R860" s="1">
        <v>5.0</v>
      </c>
      <c r="S860" s="1">
        <v>0.0</v>
      </c>
      <c r="T860" s="1">
        <v>1.0</v>
      </c>
    </row>
    <row r="861" ht="12.75" customHeight="1">
      <c r="A861" s="1" t="s">
        <v>894</v>
      </c>
      <c r="B861" s="1" t="str">
        <f>IFERROR(__xludf.DUMMYFUNCTION("split(A861, ""\"")"),"Curtis McKenzie")</f>
        <v>Curtis McKenzie</v>
      </c>
      <c r="C861" s="1" t="str">
        <f>IFERROR(__xludf.DUMMYFUNCTION("""COMPUTED_VALUE"""),"mckencu01")</f>
        <v>mckencu01</v>
      </c>
      <c r="D861" s="1" t="s">
        <v>28</v>
      </c>
      <c r="E861" s="1">
        <f t="shared" si="1"/>
        <v>10.15</v>
      </c>
      <c r="F861" s="1">
        <f t="shared" si="2"/>
        <v>1.45</v>
      </c>
      <c r="G861" s="1">
        <v>7.0</v>
      </c>
      <c r="H861" s="1">
        <v>0.0</v>
      </c>
      <c r="I861" s="1">
        <v>2.0</v>
      </c>
      <c r="J861" s="1">
        <v>2.0</v>
      </c>
      <c r="K861" s="1">
        <v>11.0</v>
      </c>
      <c r="L861" s="1">
        <v>8.0</v>
      </c>
      <c r="M861" s="1">
        <v>1.0</v>
      </c>
      <c r="N861" s="1">
        <v>0.0</v>
      </c>
      <c r="O861" s="1">
        <v>0.0</v>
      </c>
      <c r="P861" s="1">
        <v>0.0</v>
      </c>
      <c r="Q861" s="1">
        <v>0.0</v>
      </c>
      <c r="R861" s="1">
        <v>3.0</v>
      </c>
      <c r="S861" s="1">
        <v>11.0</v>
      </c>
      <c r="T861" s="1">
        <v>0.0</v>
      </c>
    </row>
    <row r="862" ht="12.75" customHeight="1">
      <c r="A862" s="1" t="s">
        <v>895</v>
      </c>
      <c r="B862" s="1" t="str">
        <f>IFERROR(__xludf.DUMMYFUNCTION("split(A862, ""\"")"),"Collin Delia")</f>
        <v>Collin Delia</v>
      </c>
      <c r="C862" s="2" t="str">
        <f>IFERROR(__xludf.DUMMYFUNCTION("""COMPUTED_VALUE"""),"deliaco01")</f>
        <v>deliaco01</v>
      </c>
      <c r="D862" s="1" t="s">
        <v>5</v>
      </c>
      <c r="E862" s="1">
        <f t="shared" si="1"/>
        <v>10</v>
      </c>
      <c r="F862" s="1">
        <f t="shared" si="2"/>
        <v>5</v>
      </c>
      <c r="G862" s="1">
        <v>2.0</v>
      </c>
      <c r="U862" s="1">
        <v>2.0</v>
      </c>
      <c r="V862" s="1">
        <v>1.0</v>
      </c>
      <c r="W862" s="1">
        <v>1.0</v>
      </c>
      <c r="X862" s="1">
        <v>7.0</v>
      </c>
      <c r="Y862" s="1">
        <v>63.0</v>
      </c>
      <c r="Z862" s="1">
        <v>56.0</v>
      </c>
      <c r="AA862" s="1">
        <v>0.0</v>
      </c>
    </row>
    <row r="863" ht="12.75" customHeight="1">
      <c r="A863" s="1" t="s">
        <v>896</v>
      </c>
      <c r="B863" s="1" t="str">
        <f>IFERROR(__xludf.DUMMYFUNCTION("split(A863, ""\"")"),"Ken Appleby")</f>
        <v>Ken Appleby</v>
      </c>
      <c r="C863" s="2" t="str">
        <f>IFERROR(__xludf.DUMMYFUNCTION("""COMPUTED_VALUE"""),"appleke01")</f>
        <v>appleke01</v>
      </c>
      <c r="D863" s="1" t="s">
        <v>5</v>
      </c>
      <c r="E863" s="1">
        <f t="shared" si="1"/>
        <v>10</v>
      </c>
      <c r="F863" s="1">
        <f t="shared" si="2"/>
        <v>3.33</v>
      </c>
      <c r="G863" s="1">
        <v>3.0</v>
      </c>
      <c r="U863" s="1">
        <v>1.0</v>
      </c>
      <c r="V863" s="1">
        <v>0.0</v>
      </c>
      <c r="W863" s="1">
        <v>1.0</v>
      </c>
      <c r="X863" s="1">
        <v>3.0</v>
      </c>
      <c r="Y863" s="1">
        <v>55.0</v>
      </c>
      <c r="Z863" s="1">
        <v>52.0</v>
      </c>
      <c r="AA863" s="1">
        <v>0.0</v>
      </c>
    </row>
    <row r="864" ht="12.75" customHeight="1">
      <c r="A864" s="1" t="s">
        <v>897</v>
      </c>
      <c r="B864" s="1" t="str">
        <f>IFERROR(__xludf.DUMMYFUNCTION("split(A864, ""\"")"),"Ashton Sautner")</f>
        <v>Ashton Sautner</v>
      </c>
      <c r="C864" s="1" t="str">
        <f>IFERROR(__xludf.DUMMYFUNCTION("""COMPUTED_VALUE"""),"sautnas01")</f>
        <v>sautnas01</v>
      </c>
      <c r="D864" s="1" t="s">
        <v>66</v>
      </c>
      <c r="E864" s="1">
        <f t="shared" si="1"/>
        <v>10</v>
      </c>
      <c r="F864" s="1">
        <f t="shared" si="2"/>
        <v>2</v>
      </c>
      <c r="G864" s="1">
        <v>5.0</v>
      </c>
      <c r="H864" s="1">
        <v>0.0</v>
      </c>
      <c r="I864" s="1">
        <v>2.0</v>
      </c>
      <c r="J864" s="1">
        <v>2.0</v>
      </c>
      <c r="K864" s="1">
        <v>3.0</v>
      </c>
      <c r="L864" s="1">
        <v>9.0</v>
      </c>
      <c r="M864" s="1">
        <v>5.0</v>
      </c>
      <c r="N864" s="1">
        <v>0.0</v>
      </c>
      <c r="O864" s="1">
        <v>0.0</v>
      </c>
      <c r="P864" s="1">
        <v>0.0</v>
      </c>
      <c r="Q864" s="1">
        <v>0.0</v>
      </c>
      <c r="R864" s="1">
        <v>4.0</v>
      </c>
      <c r="S864" s="1">
        <v>2.0</v>
      </c>
      <c r="T864" s="1">
        <v>0.0</v>
      </c>
    </row>
    <row r="865" ht="12.75" customHeight="1">
      <c r="A865" s="1" t="s">
        <v>898</v>
      </c>
      <c r="B865" s="1" t="str">
        <f>IFERROR(__xludf.DUMMYFUNCTION("split(A865, ""\"")"),"Jim O'Brien")</f>
        <v>Jim O'Brien</v>
      </c>
      <c r="C865" s="1" t="str">
        <f>IFERROR(__xludf.DUMMYFUNCTION("""COMPUTED_VALUE"""),"obrieji01")</f>
        <v>obrieji01</v>
      </c>
      <c r="D865" s="1" t="s">
        <v>31</v>
      </c>
      <c r="E865" s="1">
        <f t="shared" si="1"/>
        <v>9.75</v>
      </c>
      <c r="F865" s="1">
        <f t="shared" si="2"/>
        <v>0.98</v>
      </c>
      <c r="G865" s="1">
        <v>10.0</v>
      </c>
      <c r="H865" s="1">
        <v>0.0</v>
      </c>
      <c r="I865" s="1">
        <v>1.0</v>
      </c>
      <c r="J865" s="1">
        <v>1.0</v>
      </c>
      <c r="K865" s="1">
        <v>11.0</v>
      </c>
      <c r="L865" s="1">
        <v>10.0</v>
      </c>
      <c r="M865" s="1">
        <v>5.0</v>
      </c>
      <c r="N865" s="1">
        <v>0.0</v>
      </c>
      <c r="O865" s="1">
        <v>0.0</v>
      </c>
      <c r="P865" s="1">
        <v>0.0</v>
      </c>
      <c r="Q865" s="1">
        <v>0.0</v>
      </c>
      <c r="R865" s="1">
        <v>-1.0</v>
      </c>
      <c r="S865" s="1">
        <v>0.0</v>
      </c>
      <c r="T865" s="1">
        <v>0.0</v>
      </c>
    </row>
    <row r="866" ht="12.75" customHeight="1">
      <c r="A866" s="1" t="s">
        <v>899</v>
      </c>
      <c r="B866" s="1" t="str">
        <f>IFERROR(__xludf.DUMMYFUNCTION("split(A866, ""\"")"),"Jordan Schmaltz")</f>
        <v>Jordan Schmaltz</v>
      </c>
      <c r="C866" s="1" t="str">
        <f>IFERROR(__xludf.DUMMYFUNCTION("""COMPUTED_VALUE"""),"schmajo01")</f>
        <v>schmajo01</v>
      </c>
      <c r="D866" s="1" t="s">
        <v>66</v>
      </c>
      <c r="E866" s="1">
        <f t="shared" si="1"/>
        <v>9.55</v>
      </c>
      <c r="F866" s="1">
        <f t="shared" si="2"/>
        <v>0.73</v>
      </c>
      <c r="G866" s="1">
        <v>13.0</v>
      </c>
      <c r="H866" s="1">
        <v>0.0</v>
      </c>
      <c r="I866" s="1">
        <v>1.0</v>
      </c>
      <c r="J866" s="1">
        <v>1.0</v>
      </c>
      <c r="K866" s="1">
        <v>5.0</v>
      </c>
      <c r="L866" s="1">
        <v>4.0</v>
      </c>
      <c r="M866" s="1">
        <v>12.0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6.0</v>
      </c>
      <c r="T866" s="1">
        <v>0.0</v>
      </c>
    </row>
    <row r="867" ht="12.75" customHeight="1">
      <c r="A867" s="1" t="s">
        <v>900</v>
      </c>
      <c r="B867" s="1" t="str">
        <f>IFERROR(__xludf.DUMMYFUNCTION("split(A867, ""\"")"),"Taylor Fedun")</f>
        <v>Taylor Fedun</v>
      </c>
      <c r="C867" s="1" t="str">
        <f>IFERROR(__xludf.DUMMYFUNCTION("""COMPUTED_VALUE"""),"fedunta01")</f>
        <v>fedunta01</v>
      </c>
      <c r="D867" s="1" t="s">
        <v>66</v>
      </c>
      <c r="E867" s="1">
        <f t="shared" si="1"/>
        <v>9.5</v>
      </c>
      <c r="F867" s="1">
        <f t="shared" si="2"/>
        <v>1.36</v>
      </c>
      <c r="G867" s="1">
        <v>7.0</v>
      </c>
      <c r="H867" s="1">
        <v>0.0</v>
      </c>
      <c r="I867" s="1">
        <v>1.0</v>
      </c>
      <c r="J867" s="1">
        <v>1.0</v>
      </c>
      <c r="K867" s="1">
        <v>8.0</v>
      </c>
      <c r="L867" s="1">
        <v>4.0</v>
      </c>
      <c r="M867" s="1">
        <v>10.0</v>
      </c>
      <c r="N867" s="1">
        <v>0.0</v>
      </c>
      <c r="O867" s="1">
        <v>0.0</v>
      </c>
      <c r="P867" s="1">
        <v>0.0</v>
      </c>
      <c r="Q867" s="1">
        <v>0.0</v>
      </c>
      <c r="R867" s="1">
        <v>-1.0</v>
      </c>
      <c r="S867" s="1">
        <v>2.0</v>
      </c>
      <c r="T867" s="1">
        <v>0.0</v>
      </c>
    </row>
    <row r="868" ht="12.75" customHeight="1">
      <c r="A868" s="1" t="s">
        <v>901</v>
      </c>
      <c r="B868" s="1" t="str">
        <f>IFERROR(__xludf.DUMMYFUNCTION("split(A868, ""\"")"),"Mike McKenna")</f>
        <v>Mike McKenna</v>
      </c>
      <c r="C868" s="2" t="str">
        <f>IFERROR(__xludf.DUMMYFUNCTION("""COMPUTED_VALUE"""),"mckenmi01")</f>
        <v>mckenmi01</v>
      </c>
      <c r="D868" s="1" t="s">
        <v>5</v>
      </c>
      <c r="E868" s="1">
        <f t="shared" si="1"/>
        <v>9.25</v>
      </c>
      <c r="F868" s="1">
        <f t="shared" si="2"/>
        <v>4.63</v>
      </c>
      <c r="G868" s="1">
        <v>2.0</v>
      </c>
      <c r="U868" s="1">
        <v>1.0</v>
      </c>
      <c r="V868" s="1">
        <v>1.0</v>
      </c>
      <c r="W868" s="1">
        <v>1.0</v>
      </c>
      <c r="X868" s="1">
        <v>5.0</v>
      </c>
      <c r="Y868" s="1">
        <v>50.0</v>
      </c>
      <c r="Z868" s="1">
        <v>45.0</v>
      </c>
      <c r="AA868" s="1">
        <v>0.0</v>
      </c>
    </row>
    <row r="869" ht="12.75" customHeight="1">
      <c r="A869" s="1" t="s">
        <v>902</v>
      </c>
      <c r="B869" s="1" t="str">
        <f>IFERROR(__xludf.DUMMYFUNCTION("split(A869, ""\"")"),"Peter Cehlarik")</f>
        <v>Peter Cehlarik</v>
      </c>
      <c r="C869" s="1" t="str">
        <f>IFERROR(__xludf.DUMMYFUNCTION("""COMPUTED_VALUE"""),"cehlape01")</f>
        <v>cehlape01</v>
      </c>
      <c r="D869" s="1" t="s">
        <v>28</v>
      </c>
      <c r="E869" s="1">
        <f t="shared" si="1"/>
        <v>9.2</v>
      </c>
      <c r="F869" s="1">
        <f t="shared" si="2"/>
        <v>1.53</v>
      </c>
      <c r="G869" s="1">
        <v>6.0</v>
      </c>
      <c r="H869" s="1">
        <v>1.0</v>
      </c>
      <c r="I869" s="1">
        <v>1.0</v>
      </c>
      <c r="J869" s="1">
        <v>2.0</v>
      </c>
      <c r="K869" s="1">
        <v>3.0</v>
      </c>
      <c r="L869" s="1">
        <v>3.0</v>
      </c>
      <c r="M869" s="1">
        <v>3.0</v>
      </c>
      <c r="N869" s="1">
        <v>0.0</v>
      </c>
      <c r="O869" s="1">
        <v>0.0</v>
      </c>
      <c r="P869" s="1">
        <v>0.0</v>
      </c>
      <c r="Q869" s="1">
        <v>0.0</v>
      </c>
      <c r="R869" s="1">
        <v>2.0</v>
      </c>
      <c r="S869" s="1">
        <v>2.0</v>
      </c>
      <c r="T869" s="1">
        <v>0.0</v>
      </c>
    </row>
    <row r="870" ht="12.75" customHeight="1">
      <c r="A870" s="1" t="s">
        <v>903</v>
      </c>
      <c r="B870" s="1" t="str">
        <f>IFERROR(__xludf.DUMMYFUNCTION("split(A870, ""\"")"),"Adam Clendening")</f>
        <v>Adam Clendening</v>
      </c>
      <c r="C870" s="1" t="str">
        <f>IFERROR(__xludf.DUMMYFUNCTION("""COMPUTED_VALUE"""),"clendad01")</f>
        <v>clendad01</v>
      </c>
      <c r="D870" s="1" t="s">
        <v>66</v>
      </c>
      <c r="E870" s="1">
        <f t="shared" si="1"/>
        <v>8.9</v>
      </c>
      <c r="F870" s="1">
        <f t="shared" si="2"/>
        <v>1.78</v>
      </c>
      <c r="G870" s="1">
        <v>5.0</v>
      </c>
      <c r="H870" s="1">
        <v>0.0</v>
      </c>
      <c r="I870" s="1">
        <v>2.0</v>
      </c>
      <c r="J870" s="1">
        <v>2.0</v>
      </c>
      <c r="K870" s="1">
        <v>4.0</v>
      </c>
      <c r="L870" s="1">
        <v>2.0</v>
      </c>
      <c r="M870" s="1">
        <v>6.0</v>
      </c>
      <c r="N870" s="1">
        <v>0.0</v>
      </c>
      <c r="O870" s="1">
        <v>0.0</v>
      </c>
      <c r="P870" s="1">
        <v>0.0</v>
      </c>
      <c r="Q870" s="1">
        <v>0.0</v>
      </c>
      <c r="R870" s="1">
        <v>-1.0</v>
      </c>
      <c r="S870" s="1">
        <v>2.0</v>
      </c>
      <c r="T870" s="1">
        <v>0.0</v>
      </c>
    </row>
    <row r="871" ht="12.75" customHeight="1">
      <c r="A871" s="1" t="s">
        <v>904</v>
      </c>
      <c r="B871" s="1" t="str">
        <f>IFERROR(__xludf.DUMMYFUNCTION("split(A871, ""\"")"),"Brendan Lemieux")</f>
        <v>Brendan Lemieux</v>
      </c>
      <c r="C871" s="1" t="str">
        <f>IFERROR(__xludf.DUMMYFUNCTION("""COMPUTED_VALUE"""),"lemiebr01")</f>
        <v>lemiebr01</v>
      </c>
      <c r="D871" s="1" t="s">
        <v>28</v>
      </c>
      <c r="E871" s="1">
        <f t="shared" si="1"/>
        <v>8.9</v>
      </c>
      <c r="F871" s="1">
        <f t="shared" si="2"/>
        <v>0.99</v>
      </c>
      <c r="G871" s="1">
        <v>9.0</v>
      </c>
      <c r="H871" s="1">
        <v>1.0</v>
      </c>
      <c r="I871" s="1">
        <v>0.0</v>
      </c>
      <c r="J871" s="1">
        <v>1.0</v>
      </c>
      <c r="K871" s="1">
        <v>6.0</v>
      </c>
      <c r="L871" s="1">
        <v>12.0</v>
      </c>
      <c r="M871" s="1">
        <v>1.0</v>
      </c>
      <c r="N871" s="1">
        <v>0.0</v>
      </c>
      <c r="O871" s="1">
        <v>0.0</v>
      </c>
      <c r="P871" s="1">
        <v>0.0</v>
      </c>
      <c r="Q871" s="1">
        <v>0.0</v>
      </c>
      <c r="R871" s="1">
        <v>2.0</v>
      </c>
      <c r="S871" s="1">
        <v>21.0</v>
      </c>
      <c r="T871" s="1">
        <v>0.0</v>
      </c>
    </row>
    <row r="872" ht="12.75" customHeight="1">
      <c r="A872" s="1" t="s">
        <v>905</v>
      </c>
      <c r="B872" s="1" t="str">
        <f>IFERROR(__xludf.DUMMYFUNCTION("split(A872, ""\"")"),"Nick Lappin")</f>
        <v>Nick Lappin</v>
      </c>
      <c r="C872" s="1" t="str">
        <f>IFERROR(__xludf.DUMMYFUNCTION("""COMPUTED_VALUE"""),"lappini01")</f>
        <v>lappini01</v>
      </c>
      <c r="D872" s="1" t="s">
        <v>36</v>
      </c>
      <c r="E872" s="1">
        <f t="shared" si="1"/>
        <v>8.55</v>
      </c>
      <c r="F872" s="1">
        <f t="shared" si="2"/>
        <v>1.43</v>
      </c>
      <c r="G872" s="1">
        <v>6.0</v>
      </c>
      <c r="H872" s="1">
        <v>1.0</v>
      </c>
      <c r="I872" s="1">
        <v>0.0</v>
      </c>
      <c r="J872" s="1">
        <v>1.0</v>
      </c>
      <c r="K872" s="1">
        <v>7.0</v>
      </c>
      <c r="L872" s="1">
        <v>8.0</v>
      </c>
      <c r="M872" s="1">
        <v>2.0</v>
      </c>
      <c r="N872" s="1">
        <v>0.0</v>
      </c>
      <c r="O872" s="1">
        <v>0.0</v>
      </c>
      <c r="P872" s="1">
        <v>0.0</v>
      </c>
      <c r="Q872" s="1">
        <v>0.0</v>
      </c>
      <c r="R872" s="1">
        <v>2.0</v>
      </c>
      <c r="S872" s="1">
        <v>4.0</v>
      </c>
      <c r="T872" s="1">
        <v>0.0</v>
      </c>
    </row>
    <row r="873" ht="12.75" customHeight="1">
      <c r="A873" s="1" t="s">
        <v>906</v>
      </c>
      <c r="B873" s="1" t="str">
        <f>IFERROR(__xludf.DUMMYFUNCTION("split(A873, ""\"")"),"Matt Moulson")</f>
        <v>Matt Moulson</v>
      </c>
      <c r="C873" s="1" t="str">
        <f>IFERROR(__xludf.DUMMYFUNCTION("""COMPUTED_VALUE"""),"moulsma01")</f>
        <v>moulsma01</v>
      </c>
      <c r="D873" s="1" t="s">
        <v>28</v>
      </c>
      <c r="E873" s="1">
        <f t="shared" si="1"/>
        <v>8.45</v>
      </c>
      <c r="F873" s="1">
        <f t="shared" si="2"/>
        <v>0.6</v>
      </c>
      <c r="G873" s="1">
        <v>14.0</v>
      </c>
      <c r="H873" s="1">
        <v>0.0</v>
      </c>
      <c r="I873" s="1">
        <v>0.0</v>
      </c>
      <c r="J873" s="1">
        <v>0.0</v>
      </c>
      <c r="K873" s="1">
        <v>13.0</v>
      </c>
      <c r="L873" s="1">
        <v>8.0</v>
      </c>
      <c r="M873" s="1">
        <v>8.0</v>
      </c>
      <c r="N873" s="1">
        <v>0.0</v>
      </c>
      <c r="O873" s="1">
        <v>0.0</v>
      </c>
      <c r="P873" s="1">
        <v>0.0</v>
      </c>
      <c r="Q873" s="1">
        <v>0.0</v>
      </c>
      <c r="R873" s="1">
        <v>-9.0</v>
      </c>
      <c r="S873" s="1">
        <v>2.0</v>
      </c>
      <c r="T873" s="1">
        <v>0.0</v>
      </c>
    </row>
    <row r="874" ht="12.75" customHeight="1">
      <c r="A874" s="1" t="s">
        <v>907</v>
      </c>
      <c r="B874" s="1" t="str">
        <f>IFERROR(__xludf.DUMMYFUNCTION("split(A874, ""\"")"),"Brad Malone")</f>
        <v>Brad Malone</v>
      </c>
      <c r="C874" s="1" t="str">
        <f>IFERROR(__xludf.DUMMYFUNCTION("""COMPUTED_VALUE"""),"malonbr01")</f>
        <v>malonbr01</v>
      </c>
      <c r="D874" s="1" t="s">
        <v>141</v>
      </c>
      <c r="E874" s="1">
        <f t="shared" si="1"/>
        <v>8.2</v>
      </c>
      <c r="F874" s="1">
        <f t="shared" si="2"/>
        <v>1.17</v>
      </c>
      <c r="G874" s="1">
        <v>7.0</v>
      </c>
      <c r="H874" s="1">
        <v>0.0</v>
      </c>
      <c r="I874" s="1">
        <v>0.0</v>
      </c>
      <c r="J874" s="1">
        <v>0.0</v>
      </c>
      <c r="K874" s="1">
        <v>9.0</v>
      </c>
      <c r="L874" s="1">
        <v>19.0</v>
      </c>
      <c r="M874" s="1">
        <v>3.0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6.0</v>
      </c>
      <c r="T874" s="1">
        <v>0.0</v>
      </c>
    </row>
    <row r="875" ht="12.75" customHeight="1">
      <c r="A875" s="1" t="s">
        <v>908</v>
      </c>
      <c r="B875" s="1" t="str">
        <f>IFERROR(__xludf.DUMMYFUNCTION("split(A875, ""\"")"),"Victor Ejdsell")</f>
        <v>Victor Ejdsell</v>
      </c>
      <c r="C875" s="1" t="str">
        <f>IFERROR(__xludf.DUMMYFUNCTION("""COMPUTED_VALUE"""),"ejdsevi01")</f>
        <v>ejdsevi01</v>
      </c>
      <c r="D875" s="1" t="s">
        <v>31</v>
      </c>
      <c r="E875" s="1">
        <f t="shared" si="1"/>
        <v>8.15</v>
      </c>
      <c r="F875" s="1">
        <f t="shared" si="2"/>
        <v>1.36</v>
      </c>
      <c r="G875" s="1">
        <v>6.0</v>
      </c>
      <c r="H875" s="1">
        <v>0.0</v>
      </c>
      <c r="I875" s="1">
        <v>1.0</v>
      </c>
      <c r="J875" s="1">
        <v>1.0</v>
      </c>
      <c r="K875" s="1">
        <v>7.0</v>
      </c>
      <c r="L875" s="1">
        <v>6.0</v>
      </c>
      <c r="M875" s="1">
        <v>6.0</v>
      </c>
      <c r="N875" s="1">
        <v>0.0</v>
      </c>
      <c r="O875" s="1">
        <v>0.0</v>
      </c>
      <c r="P875" s="1">
        <v>0.0</v>
      </c>
      <c r="Q875" s="1">
        <v>0.0</v>
      </c>
      <c r="R875" s="1">
        <v>-1.0</v>
      </c>
      <c r="S875" s="1">
        <v>0.0</v>
      </c>
      <c r="T875" s="1">
        <v>0.0</v>
      </c>
    </row>
    <row r="876" ht="12.75" customHeight="1">
      <c r="A876" s="1" t="s">
        <v>909</v>
      </c>
      <c r="B876" s="1" t="str">
        <f>IFERROR(__xludf.DUMMYFUNCTION("split(A876, ""\"")"),"Kenny Agostino")</f>
        <v>Kenny Agostino</v>
      </c>
      <c r="C876" s="1" t="str">
        <f>IFERROR(__xludf.DUMMYFUNCTION("""COMPUTED_VALUE"""),"agostke01")</f>
        <v>agostke01</v>
      </c>
      <c r="D876" s="1" t="s">
        <v>28</v>
      </c>
      <c r="E876" s="1">
        <f t="shared" si="1"/>
        <v>7.65</v>
      </c>
      <c r="F876" s="1">
        <f t="shared" si="2"/>
        <v>1.53</v>
      </c>
      <c r="G876" s="1">
        <v>5.0</v>
      </c>
      <c r="H876" s="1">
        <v>0.0</v>
      </c>
      <c r="I876" s="1">
        <v>1.0</v>
      </c>
      <c r="J876" s="1">
        <v>1.0</v>
      </c>
      <c r="K876" s="1">
        <v>11.0</v>
      </c>
      <c r="L876" s="1">
        <v>4.0</v>
      </c>
      <c r="M876" s="1">
        <v>1.0</v>
      </c>
      <c r="N876" s="1">
        <v>0.0</v>
      </c>
      <c r="O876" s="1">
        <v>1.0</v>
      </c>
      <c r="P876" s="1">
        <v>0.0</v>
      </c>
      <c r="Q876" s="1">
        <v>0.0</v>
      </c>
      <c r="R876" s="1">
        <v>-1.0</v>
      </c>
      <c r="S876" s="1">
        <v>4.0</v>
      </c>
      <c r="T876" s="1">
        <v>0.0</v>
      </c>
    </row>
    <row r="877" ht="12.75" customHeight="1">
      <c r="A877" s="1" t="s">
        <v>910</v>
      </c>
      <c r="B877" s="1" t="str">
        <f>IFERROR(__xludf.DUMMYFUNCTION("split(A877, ""\"")"),"Zac Dalpe")</f>
        <v>Zac Dalpe</v>
      </c>
      <c r="C877" s="1" t="str">
        <f>IFERROR(__xludf.DUMMYFUNCTION("""COMPUTED_VALUE"""),"dalpeza01")</f>
        <v>dalpeza01</v>
      </c>
      <c r="D877" s="1" t="s">
        <v>36</v>
      </c>
      <c r="E877" s="1">
        <f t="shared" si="1"/>
        <v>7.6</v>
      </c>
      <c r="F877" s="1">
        <f t="shared" si="2"/>
        <v>0.63</v>
      </c>
      <c r="G877" s="1">
        <v>12.0</v>
      </c>
      <c r="H877" s="1">
        <v>0.0</v>
      </c>
      <c r="I877" s="1">
        <v>0.0</v>
      </c>
      <c r="J877" s="1">
        <v>0.0</v>
      </c>
      <c r="K877" s="1">
        <v>18.0</v>
      </c>
      <c r="L877" s="1">
        <v>6.0</v>
      </c>
      <c r="M877" s="1">
        <v>4.0</v>
      </c>
      <c r="N877" s="1">
        <v>0.0</v>
      </c>
      <c r="O877" s="1">
        <v>0.0</v>
      </c>
      <c r="P877" s="1">
        <v>0.0</v>
      </c>
      <c r="Q877" s="1">
        <v>0.0</v>
      </c>
      <c r="R877" s="1">
        <v>-3.0</v>
      </c>
      <c r="S877" s="1">
        <v>13.0</v>
      </c>
      <c r="T877" s="1">
        <v>0.0</v>
      </c>
    </row>
    <row r="878" ht="12.75" customHeight="1">
      <c r="A878" s="1" t="s">
        <v>911</v>
      </c>
      <c r="B878" s="1" t="str">
        <f>IFERROR(__xludf.DUMMYFUNCTION("split(A878, ""\"")"),"Mike Liambas")</f>
        <v>Mike Liambas</v>
      </c>
      <c r="C878" s="1" t="str">
        <f>IFERROR(__xludf.DUMMYFUNCTION("""COMPUTED_VALUE"""),"liambmi01")</f>
        <v>liambmi01</v>
      </c>
      <c r="D878" s="1" t="s">
        <v>28</v>
      </c>
      <c r="E878" s="1">
        <f t="shared" si="1"/>
        <v>7.4</v>
      </c>
      <c r="F878" s="1">
        <f t="shared" si="2"/>
        <v>1.06</v>
      </c>
      <c r="G878" s="1">
        <v>7.0</v>
      </c>
      <c r="H878" s="1">
        <v>0.0</v>
      </c>
      <c r="I878" s="1">
        <v>1.0</v>
      </c>
      <c r="J878" s="1">
        <v>1.0</v>
      </c>
      <c r="K878" s="1">
        <v>3.0</v>
      </c>
      <c r="L878" s="1">
        <v>15.0</v>
      </c>
      <c r="M878" s="1">
        <v>1.0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21.0</v>
      </c>
      <c r="T878" s="1">
        <v>0.0</v>
      </c>
    </row>
    <row r="879" ht="12.75" customHeight="1">
      <c r="A879" s="1" t="s">
        <v>912</v>
      </c>
      <c r="B879" s="1" t="str">
        <f>IFERROR(__xludf.DUMMYFUNCTION("split(A879, ""\"")"),"Jared Boll")</f>
        <v>Jared Boll</v>
      </c>
      <c r="C879" s="1" t="str">
        <f>IFERROR(__xludf.DUMMYFUNCTION("""COMPUTED_VALUE"""),"bollja01")</f>
        <v>bollja01</v>
      </c>
      <c r="D879" s="1" t="s">
        <v>36</v>
      </c>
      <c r="E879" s="1">
        <f t="shared" si="1"/>
        <v>7.25</v>
      </c>
      <c r="F879" s="1">
        <f t="shared" si="2"/>
        <v>0.73</v>
      </c>
      <c r="G879" s="1">
        <v>10.0</v>
      </c>
      <c r="H879" s="1">
        <v>1.0</v>
      </c>
      <c r="I879" s="1">
        <v>0.0</v>
      </c>
      <c r="J879" s="1">
        <v>1.0</v>
      </c>
      <c r="K879" s="1">
        <v>4.0</v>
      </c>
      <c r="L879" s="1">
        <v>9.0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16.0</v>
      </c>
      <c r="T879" s="1">
        <v>0.0</v>
      </c>
    </row>
    <row r="880" ht="12.75" customHeight="1">
      <c r="A880" s="1" t="s">
        <v>913</v>
      </c>
      <c r="B880" s="1" t="str">
        <f>IFERROR(__xludf.DUMMYFUNCTION("split(A880, ""\"")"),"Jean-Sebastien Dea")</f>
        <v>Jean-Sebastien Dea</v>
      </c>
      <c r="C880" s="1" t="str">
        <f>IFERROR(__xludf.DUMMYFUNCTION("""COMPUTED_VALUE"""),"deaje01")</f>
        <v>deaje01</v>
      </c>
      <c r="D880" s="1" t="s">
        <v>31</v>
      </c>
      <c r="E880" s="1">
        <f t="shared" si="1"/>
        <v>6.9</v>
      </c>
      <c r="F880" s="1">
        <f t="shared" si="2"/>
        <v>1.38</v>
      </c>
      <c r="G880" s="1">
        <v>5.0</v>
      </c>
      <c r="H880" s="1">
        <v>1.0</v>
      </c>
      <c r="I880" s="1">
        <v>0.0</v>
      </c>
      <c r="J880" s="1">
        <v>1.0</v>
      </c>
      <c r="K880" s="1">
        <v>1.0</v>
      </c>
      <c r="L880" s="1">
        <v>9.0</v>
      </c>
      <c r="M880" s="1">
        <v>1.0</v>
      </c>
      <c r="N880" s="1">
        <v>0.0</v>
      </c>
      <c r="O880" s="1">
        <v>0.0</v>
      </c>
      <c r="P880" s="1">
        <v>0.0</v>
      </c>
      <c r="Q880" s="1">
        <v>0.0</v>
      </c>
      <c r="R880" s="1">
        <v>1.0</v>
      </c>
      <c r="S880" s="1">
        <v>2.0</v>
      </c>
      <c r="T880" s="1">
        <v>1.0</v>
      </c>
    </row>
    <row r="881" ht="12.75" customHeight="1">
      <c r="A881" s="1" t="s">
        <v>914</v>
      </c>
      <c r="B881" s="1" t="str">
        <f>IFERROR(__xludf.DUMMYFUNCTION("split(A881, ""\"")"),"Ryan Lomberg")</f>
        <v>Ryan Lomberg</v>
      </c>
      <c r="C881" s="1" t="str">
        <f>IFERROR(__xludf.DUMMYFUNCTION("""COMPUTED_VALUE"""),"lombery01")</f>
        <v>lombery01</v>
      </c>
      <c r="D881" s="1" t="s">
        <v>28</v>
      </c>
      <c r="E881" s="1">
        <f t="shared" si="1"/>
        <v>6.9</v>
      </c>
      <c r="F881" s="1">
        <f t="shared" si="2"/>
        <v>0.99</v>
      </c>
      <c r="G881" s="1">
        <v>7.0</v>
      </c>
      <c r="H881" s="1">
        <v>0.0</v>
      </c>
      <c r="I881" s="1">
        <v>1.0</v>
      </c>
      <c r="J881" s="1">
        <v>1.0</v>
      </c>
      <c r="K881" s="1">
        <v>5.0</v>
      </c>
      <c r="L881" s="1">
        <v>11.0</v>
      </c>
      <c r="M881" s="1">
        <v>1.0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15.0</v>
      </c>
      <c r="T881" s="1">
        <v>0.0</v>
      </c>
    </row>
    <row r="882" ht="12.75" customHeight="1">
      <c r="A882" s="1" t="s">
        <v>915</v>
      </c>
      <c r="B882" s="1" t="str">
        <f>IFERROR(__xludf.DUMMYFUNCTION("split(A882, ""\"")"),"Stefan Matteau")</f>
        <v>Stefan Matteau</v>
      </c>
      <c r="C882" s="1" t="str">
        <f>IFERROR(__xludf.DUMMYFUNCTION("""COMPUTED_VALUE"""),"mattest02")</f>
        <v>mattest02</v>
      </c>
      <c r="D882" s="1" t="s">
        <v>28</v>
      </c>
      <c r="E882" s="1">
        <f t="shared" si="1"/>
        <v>6.9</v>
      </c>
      <c r="F882" s="1">
        <f t="shared" si="2"/>
        <v>0.86</v>
      </c>
      <c r="G882" s="1">
        <v>8.0</v>
      </c>
      <c r="H882" s="1">
        <v>0.0</v>
      </c>
      <c r="I882" s="1">
        <v>1.0</v>
      </c>
      <c r="J882" s="1">
        <v>1.0</v>
      </c>
      <c r="K882" s="1">
        <v>8.0</v>
      </c>
      <c r="L882" s="1">
        <v>8.0</v>
      </c>
      <c r="M882" s="1">
        <v>1.0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</row>
    <row r="883" ht="12.75" customHeight="1">
      <c r="A883" s="1" t="s">
        <v>916</v>
      </c>
      <c r="B883" s="1" t="str">
        <f>IFERROR(__xludf.DUMMYFUNCTION("split(A883, ""\"")"),"Dillon Heatherington")</f>
        <v>Dillon Heatherington</v>
      </c>
      <c r="C883" s="1" t="str">
        <f>IFERROR(__xludf.DUMMYFUNCTION("""COMPUTED_VALUE"""),"heathdi01")</f>
        <v>heathdi01</v>
      </c>
      <c r="D883" s="1" t="s">
        <v>66</v>
      </c>
      <c r="E883" s="1">
        <f t="shared" si="1"/>
        <v>6.55</v>
      </c>
      <c r="F883" s="1">
        <f t="shared" si="2"/>
        <v>1.09</v>
      </c>
      <c r="G883" s="1">
        <v>6.0</v>
      </c>
      <c r="H883" s="1">
        <v>0.0</v>
      </c>
      <c r="I883" s="1">
        <v>1.0</v>
      </c>
      <c r="J883" s="1">
        <v>1.0</v>
      </c>
      <c r="K883" s="1">
        <v>6.0</v>
      </c>
      <c r="L883" s="1">
        <v>7.0</v>
      </c>
      <c r="M883" s="1">
        <v>2.0</v>
      </c>
      <c r="N883" s="1">
        <v>0.0</v>
      </c>
      <c r="O883" s="1">
        <v>0.0</v>
      </c>
      <c r="P883" s="1">
        <v>0.0</v>
      </c>
      <c r="Q883" s="1">
        <v>0.0</v>
      </c>
      <c r="R883" s="1">
        <v>3.0</v>
      </c>
      <c r="S883" s="1">
        <v>26.0</v>
      </c>
      <c r="T883" s="1">
        <v>0.0</v>
      </c>
    </row>
    <row r="884" ht="12.75" customHeight="1">
      <c r="A884" s="1" t="s">
        <v>917</v>
      </c>
      <c r="B884" s="1" t="str">
        <f>IFERROR(__xludf.DUMMYFUNCTION("split(A884, ""\"")"),"Rasmus Andersson")</f>
        <v>Rasmus Andersson</v>
      </c>
      <c r="C884" s="1" t="str">
        <f>IFERROR(__xludf.DUMMYFUNCTION("""COMPUTED_VALUE"""),"anderra01")</f>
        <v>anderra01</v>
      </c>
      <c r="D884" s="1" t="s">
        <v>66</v>
      </c>
      <c r="E884" s="1">
        <f t="shared" si="1"/>
        <v>6.5</v>
      </c>
      <c r="F884" s="1">
        <f t="shared" si="2"/>
        <v>0.65</v>
      </c>
      <c r="G884" s="1">
        <v>10.0</v>
      </c>
      <c r="H884" s="1">
        <v>0.0</v>
      </c>
      <c r="I884" s="1">
        <v>0.0</v>
      </c>
      <c r="J884" s="1">
        <v>0.0</v>
      </c>
      <c r="K884" s="1">
        <v>8.0</v>
      </c>
      <c r="L884" s="1">
        <v>2.0</v>
      </c>
      <c r="M884" s="1">
        <v>10.0</v>
      </c>
      <c r="N884" s="1">
        <v>0.0</v>
      </c>
      <c r="O884" s="1">
        <v>0.0</v>
      </c>
      <c r="P884" s="1">
        <v>0.0</v>
      </c>
      <c r="Q884" s="1">
        <v>0.0</v>
      </c>
      <c r="R884" s="1">
        <v>-1.0</v>
      </c>
      <c r="S884" s="1">
        <v>4.0</v>
      </c>
      <c r="T884" s="1">
        <v>0.0</v>
      </c>
    </row>
    <row r="885" ht="12.75" customHeight="1">
      <c r="A885" s="1" t="s">
        <v>918</v>
      </c>
      <c r="B885" s="1" t="str">
        <f>IFERROR(__xludf.DUMMYFUNCTION("split(A885, ""\"")"),"Aaron Ness")</f>
        <v>Aaron Ness</v>
      </c>
      <c r="C885" s="1" t="str">
        <f>IFERROR(__xludf.DUMMYFUNCTION("""COMPUTED_VALUE"""),"nessaa01")</f>
        <v>nessaa01</v>
      </c>
      <c r="D885" s="1" t="s">
        <v>66</v>
      </c>
      <c r="E885" s="1">
        <f t="shared" si="1"/>
        <v>6.45</v>
      </c>
      <c r="F885" s="1">
        <f t="shared" si="2"/>
        <v>0.81</v>
      </c>
      <c r="G885" s="1">
        <v>8.0</v>
      </c>
      <c r="H885" s="1">
        <v>0.0</v>
      </c>
      <c r="I885" s="1">
        <v>1.0</v>
      </c>
      <c r="J885" s="1">
        <v>1.0</v>
      </c>
      <c r="K885" s="1">
        <v>2.0</v>
      </c>
      <c r="L885" s="1">
        <v>1.0</v>
      </c>
      <c r="M885" s="1">
        <v>8.0</v>
      </c>
      <c r="N885" s="1">
        <v>0.0</v>
      </c>
      <c r="O885" s="1">
        <v>0.0</v>
      </c>
      <c r="P885" s="1">
        <v>0.0</v>
      </c>
      <c r="Q885" s="1">
        <v>0.0</v>
      </c>
      <c r="R885" s="1">
        <v>2.0</v>
      </c>
      <c r="S885" s="1">
        <v>8.0</v>
      </c>
      <c r="T885" s="1">
        <v>0.0</v>
      </c>
    </row>
    <row r="886" ht="12.75" customHeight="1">
      <c r="A886" s="1" t="s">
        <v>919</v>
      </c>
      <c r="B886" s="1" t="str">
        <f>IFERROR(__xludf.DUMMYFUNCTION("split(A886, ""\"")"),"Patrick Eaves")</f>
        <v>Patrick Eaves</v>
      </c>
      <c r="C886" s="1" t="str">
        <f>IFERROR(__xludf.DUMMYFUNCTION("""COMPUTED_VALUE"""),"eavespa01")</f>
        <v>eavespa01</v>
      </c>
      <c r="D886" s="1" t="s">
        <v>36</v>
      </c>
      <c r="E886" s="1">
        <f t="shared" si="1"/>
        <v>6.4</v>
      </c>
      <c r="F886" s="1">
        <f t="shared" si="2"/>
        <v>3.2</v>
      </c>
      <c r="G886" s="1">
        <v>2.0</v>
      </c>
      <c r="H886" s="1">
        <v>1.0</v>
      </c>
      <c r="I886" s="1">
        <v>0.0</v>
      </c>
      <c r="J886" s="1">
        <v>1.0</v>
      </c>
      <c r="K886" s="1">
        <v>3.0</v>
      </c>
      <c r="L886" s="1">
        <v>5.0</v>
      </c>
      <c r="M886" s="1">
        <v>1.0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1.0</v>
      </c>
    </row>
    <row r="887" ht="12.75" customHeight="1">
      <c r="A887" s="1" t="s">
        <v>920</v>
      </c>
      <c r="B887" s="1" t="str">
        <f>IFERROR(__xludf.DUMMYFUNCTION("split(A887, ""\"")"),"Henrik Borgström")</f>
        <v>Henrik Borgström</v>
      </c>
      <c r="C887" s="1" t="str">
        <f>IFERROR(__xludf.DUMMYFUNCTION("""COMPUTED_VALUE"""),"borgshe01")</f>
        <v>borgshe01</v>
      </c>
      <c r="D887" s="1" t="s">
        <v>31</v>
      </c>
      <c r="E887" s="1">
        <f t="shared" si="1"/>
        <v>6.15</v>
      </c>
      <c r="F887" s="1">
        <f t="shared" si="2"/>
        <v>1.54</v>
      </c>
      <c r="G887" s="1">
        <v>4.0</v>
      </c>
      <c r="H887" s="1">
        <v>1.0</v>
      </c>
      <c r="I887" s="1">
        <v>0.0</v>
      </c>
      <c r="J887" s="1">
        <v>1.0</v>
      </c>
      <c r="K887" s="1">
        <v>6.0</v>
      </c>
      <c r="L887" s="1">
        <v>1.0</v>
      </c>
      <c r="M887" s="1">
        <v>1.0</v>
      </c>
      <c r="N887" s="1">
        <v>0.0</v>
      </c>
      <c r="O887" s="1">
        <v>0.0</v>
      </c>
      <c r="P887" s="1">
        <v>0.0</v>
      </c>
      <c r="Q887" s="1">
        <v>0.0</v>
      </c>
      <c r="R887" s="1">
        <v>-1.0</v>
      </c>
      <c r="S887" s="1">
        <v>0.0</v>
      </c>
      <c r="T887" s="1">
        <v>0.0</v>
      </c>
    </row>
    <row r="888" ht="12.75" customHeight="1">
      <c r="A888" s="1" t="s">
        <v>921</v>
      </c>
      <c r="B888" s="1" t="str">
        <f>IFERROR(__xludf.DUMMYFUNCTION("split(A888, ""\"")"),"Jordan Greenway")</f>
        <v>Jordan Greenway</v>
      </c>
      <c r="C888" s="1" t="str">
        <f>IFERROR(__xludf.DUMMYFUNCTION("""COMPUTED_VALUE"""),"greenjo02")</f>
        <v>greenjo02</v>
      </c>
      <c r="D888" s="1" t="s">
        <v>28</v>
      </c>
      <c r="E888" s="1">
        <f t="shared" si="1"/>
        <v>5.95</v>
      </c>
      <c r="F888" s="1">
        <f t="shared" si="2"/>
        <v>0.99</v>
      </c>
      <c r="G888" s="1">
        <v>6.0</v>
      </c>
      <c r="H888" s="1">
        <v>0.0</v>
      </c>
      <c r="I888" s="1">
        <v>1.0</v>
      </c>
      <c r="J888" s="1">
        <v>1.0</v>
      </c>
      <c r="K888" s="1">
        <v>4.0</v>
      </c>
      <c r="L888" s="1">
        <v>5.0</v>
      </c>
      <c r="M888" s="1">
        <v>3.0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</row>
    <row r="889" ht="12.75" customHeight="1">
      <c r="A889" s="1" t="s">
        <v>922</v>
      </c>
      <c r="B889" s="1" t="str">
        <f>IFERROR(__xludf.DUMMYFUNCTION("split(A889, ""\"")"),"Andrew Hammond")</f>
        <v>Andrew Hammond</v>
      </c>
      <c r="C889" s="2" t="str">
        <f>IFERROR(__xludf.DUMMYFUNCTION("""COMPUTED_VALUE"""),"hammoan01")</f>
        <v>hammoan01</v>
      </c>
      <c r="D889" s="1" t="s">
        <v>5</v>
      </c>
      <c r="E889" s="1">
        <f t="shared" si="1"/>
        <v>5.75</v>
      </c>
      <c r="F889" s="1">
        <f t="shared" si="2"/>
        <v>5.75</v>
      </c>
      <c r="G889" s="1">
        <v>1.0</v>
      </c>
      <c r="U889" s="1">
        <v>1.0</v>
      </c>
      <c r="V889" s="1">
        <v>0.0</v>
      </c>
      <c r="W889" s="1">
        <v>1.0</v>
      </c>
      <c r="X889" s="1">
        <v>2.0</v>
      </c>
      <c r="Y889" s="1">
        <v>33.0</v>
      </c>
      <c r="Z889" s="1">
        <v>31.0</v>
      </c>
      <c r="AA889" s="1">
        <v>0.0</v>
      </c>
    </row>
    <row r="890" ht="12.75" customHeight="1">
      <c r="A890" s="1" t="s">
        <v>923</v>
      </c>
      <c r="B890" s="1" t="str">
        <f>IFERROR(__xludf.DUMMYFUNCTION("split(A890, ""\"")"),"Sami Niku")</f>
        <v>Sami Niku</v>
      </c>
      <c r="C890" s="1" t="str">
        <f>IFERROR(__xludf.DUMMYFUNCTION("""COMPUTED_VALUE"""),"nikusa01")</f>
        <v>nikusa01</v>
      </c>
      <c r="D890" s="1" t="s">
        <v>66</v>
      </c>
      <c r="E890" s="1">
        <f t="shared" si="1"/>
        <v>5.7</v>
      </c>
      <c r="F890" s="1">
        <f t="shared" si="2"/>
        <v>5.7</v>
      </c>
      <c r="G890" s="1">
        <v>1.0</v>
      </c>
      <c r="H890" s="1">
        <v>1.0</v>
      </c>
      <c r="I890" s="1">
        <v>0.0</v>
      </c>
      <c r="J890" s="1">
        <v>1.0</v>
      </c>
      <c r="K890" s="1">
        <v>2.0</v>
      </c>
      <c r="L890" s="1">
        <v>0.0</v>
      </c>
      <c r="M890" s="1">
        <v>3.0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</row>
    <row r="891" ht="12.75" customHeight="1">
      <c r="A891" s="1" t="s">
        <v>924</v>
      </c>
      <c r="B891" s="1" t="str">
        <f>IFERROR(__xludf.DUMMYFUNCTION("split(A891, ""\"")"),"Henrik Haapala")</f>
        <v>Henrik Haapala</v>
      </c>
      <c r="C891" s="1" t="str">
        <f>IFERROR(__xludf.DUMMYFUNCTION("""COMPUTED_VALUE"""),"haapahe01")</f>
        <v>haapahe01</v>
      </c>
      <c r="D891" s="1" t="s">
        <v>28</v>
      </c>
      <c r="E891" s="1">
        <f t="shared" si="1"/>
        <v>5.7</v>
      </c>
      <c r="F891" s="1">
        <f t="shared" si="2"/>
        <v>1.14</v>
      </c>
      <c r="G891" s="1">
        <v>5.0</v>
      </c>
      <c r="H891" s="1">
        <v>0.0</v>
      </c>
      <c r="I891" s="1">
        <v>1.0</v>
      </c>
      <c r="J891" s="1">
        <v>1.0</v>
      </c>
      <c r="K891" s="1">
        <v>3.0</v>
      </c>
      <c r="L891" s="1">
        <v>5.0</v>
      </c>
      <c r="M891" s="1">
        <v>3.0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</row>
    <row r="892" ht="12.75" customHeight="1">
      <c r="A892" s="1" t="s">
        <v>925</v>
      </c>
      <c r="B892" s="1" t="str">
        <f>IFERROR(__xludf.DUMMYFUNCTION("split(A892, ""\"")"),"Kyle Criscuolo")</f>
        <v>Kyle Criscuolo</v>
      </c>
      <c r="C892" s="1" t="str">
        <f>IFERROR(__xludf.DUMMYFUNCTION("""COMPUTED_VALUE"""),"criscky01")</f>
        <v>criscky01</v>
      </c>
      <c r="D892" s="1" t="s">
        <v>31</v>
      </c>
      <c r="E892" s="1">
        <f t="shared" si="1"/>
        <v>5.7</v>
      </c>
      <c r="F892" s="1">
        <f t="shared" si="2"/>
        <v>0.63</v>
      </c>
      <c r="G892" s="1">
        <v>9.0</v>
      </c>
      <c r="H892" s="1">
        <v>0.0</v>
      </c>
      <c r="I892" s="1">
        <v>0.0</v>
      </c>
      <c r="J892" s="1">
        <v>0.0</v>
      </c>
      <c r="K892" s="1">
        <v>5.0</v>
      </c>
      <c r="L892" s="1">
        <v>13.0</v>
      </c>
      <c r="M892" s="1">
        <v>3.0</v>
      </c>
      <c r="N892" s="1">
        <v>0.0</v>
      </c>
      <c r="O892" s="1">
        <v>0.0</v>
      </c>
      <c r="P892" s="1">
        <v>0.0</v>
      </c>
      <c r="Q892" s="1">
        <v>0.0</v>
      </c>
      <c r="R892" s="1">
        <v>-4.0</v>
      </c>
      <c r="S892" s="1">
        <v>4.0</v>
      </c>
      <c r="T892" s="1">
        <v>0.0</v>
      </c>
    </row>
    <row r="893">
      <c r="A893" s="1" t="s">
        <v>926</v>
      </c>
      <c r="B893" s="1" t="str">
        <f>IFERROR(__xludf.DUMMYFUNCTION("split(A893, ""\"")"),"Louis Belpedio")</f>
        <v>Louis Belpedio</v>
      </c>
      <c r="C893" s="1" t="str">
        <f>IFERROR(__xludf.DUMMYFUNCTION("""COMPUTED_VALUE"""),"belpelo01")</f>
        <v>belpelo01</v>
      </c>
      <c r="D893" s="1" t="s">
        <v>66</v>
      </c>
      <c r="E893" s="1">
        <f t="shared" si="1"/>
        <v>5.65</v>
      </c>
      <c r="F893" s="1">
        <f t="shared" si="2"/>
        <v>5.65</v>
      </c>
      <c r="G893" s="1">
        <v>1.0</v>
      </c>
      <c r="H893" s="1">
        <v>0.0</v>
      </c>
      <c r="I893" s="1">
        <v>2.0</v>
      </c>
      <c r="J893" s="1">
        <v>2.0</v>
      </c>
      <c r="K893" s="1">
        <v>0.0</v>
      </c>
      <c r="L893" s="1">
        <v>1.0</v>
      </c>
      <c r="M893" s="1">
        <v>1.0</v>
      </c>
      <c r="N893" s="1">
        <v>0.0</v>
      </c>
      <c r="O893" s="1">
        <v>0.0</v>
      </c>
      <c r="P893" s="1">
        <v>0.0</v>
      </c>
      <c r="Q893" s="1">
        <v>0.0</v>
      </c>
      <c r="R893" s="1">
        <v>1.0</v>
      </c>
      <c r="S893" s="1">
        <v>0.0</v>
      </c>
      <c r="T893" s="1">
        <v>0.0</v>
      </c>
    </row>
    <row r="894">
      <c r="A894" s="1" t="s">
        <v>927</v>
      </c>
      <c r="B894" s="1" t="str">
        <f>IFERROR(__xludf.DUMMYFUNCTION("split(A894, ""\"")"),"Danick Martel")</f>
        <v>Danick Martel</v>
      </c>
      <c r="C894" s="1" t="str">
        <f>IFERROR(__xludf.DUMMYFUNCTION("""COMPUTED_VALUE"""),"marteda01")</f>
        <v>marteda01</v>
      </c>
      <c r="D894" s="1" t="s">
        <v>28</v>
      </c>
      <c r="E894" s="1">
        <f t="shared" si="1"/>
        <v>5.6</v>
      </c>
      <c r="F894" s="1">
        <f t="shared" si="2"/>
        <v>1.4</v>
      </c>
      <c r="G894" s="1">
        <v>4.0</v>
      </c>
      <c r="H894" s="1">
        <v>0.0</v>
      </c>
      <c r="I894" s="1">
        <v>0.0</v>
      </c>
      <c r="J894" s="1">
        <v>0.0</v>
      </c>
      <c r="K894" s="1">
        <v>6.0</v>
      </c>
      <c r="L894" s="1">
        <v>2.0</v>
      </c>
      <c r="M894" s="1">
        <v>9.0</v>
      </c>
      <c r="N894" s="1">
        <v>0.0</v>
      </c>
      <c r="O894" s="1">
        <v>0.0</v>
      </c>
      <c r="P894" s="1">
        <v>0.0</v>
      </c>
      <c r="Q894" s="1">
        <v>0.0</v>
      </c>
      <c r="R894" s="1">
        <v>-1.0</v>
      </c>
      <c r="S894" s="1">
        <v>0.0</v>
      </c>
      <c r="T894" s="1">
        <v>0.0</v>
      </c>
    </row>
    <row r="895">
      <c r="A895" s="1" t="s">
        <v>928</v>
      </c>
      <c r="B895" s="1" t="str">
        <f>IFERROR(__xludf.DUMMYFUNCTION("split(A895, ""\"")"),"Andrew Mangiapane")</f>
        <v>Andrew Mangiapane</v>
      </c>
      <c r="C895" s="1" t="str">
        <f>IFERROR(__xludf.DUMMYFUNCTION("""COMPUTED_VALUE"""),"mangian01")</f>
        <v>mangian01</v>
      </c>
      <c r="D895" s="1" t="s">
        <v>28</v>
      </c>
      <c r="E895" s="1">
        <f t="shared" si="1"/>
        <v>5.6</v>
      </c>
      <c r="F895" s="1">
        <f t="shared" si="2"/>
        <v>0.56</v>
      </c>
      <c r="G895" s="1">
        <v>10.0</v>
      </c>
      <c r="H895" s="1">
        <v>0.0</v>
      </c>
      <c r="I895" s="1">
        <v>0.0</v>
      </c>
      <c r="J895" s="1">
        <v>0.0</v>
      </c>
      <c r="K895" s="1">
        <v>7.0</v>
      </c>
      <c r="L895" s="1">
        <v>9.0</v>
      </c>
      <c r="M895" s="1">
        <v>4.0</v>
      </c>
      <c r="N895" s="1">
        <v>0.0</v>
      </c>
      <c r="O895" s="1">
        <v>0.0</v>
      </c>
      <c r="P895" s="1">
        <v>0.0</v>
      </c>
      <c r="Q895" s="1">
        <v>0.0</v>
      </c>
      <c r="R895" s="1">
        <v>-3.0</v>
      </c>
      <c r="S895" s="1">
        <v>2.0</v>
      </c>
      <c r="T895" s="1">
        <v>0.0</v>
      </c>
    </row>
    <row r="896">
      <c r="A896" s="1" t="s">
        <v>929</v>
      </c>
      <c r="B896" s="1" t="str">
        <f>IFERROR(__xludf.DUMMYFUNCTION("split(A896, ""\"")"),"Thatcher Demko")</f>
        <v>Thatcher Demko</v>
      </c>
      <c r="C896" s="2" t="str">
        <f>IFERROR(__xludf.DUMMYFUNCTION("""COMPUTED_VALUE"""),"demkoth01")</f>
        <v>demkoth01</v>
      </c>
      <c r="D896" s="1" t="s">
        <v>5</v>
      </c>
      <c r="E896" s="1">
        <f t="shared" si="1"/>
        <v>5.5</v>
      </c>
      <c r="F896" s="1">
        <f t="shared" si="2"/>
        <v>5.5</v>
      </c>
      <c r="G896" s="1">
        <v>1.0</v>
      </c>
      <c r="U896" s="1">
        <v>1.0</v>
      </c>
      <c r="V896" s="1">
        <v>1.0</v>
      </c>
      <c r="W896" s="1">
        <v>0.0</v>
      </c>
      <c r="X896" s="1">
        <v>4.0</v>
      </c>
      <c r="Y896" s="1">
        <v>30.0</v>
      </c>
      <c r="Z896" s="1">
        <v>26.0</v>
      </c>
      <c r="AA896" s="1">
        <v>0.0</v>
      </c>
    </row>
    <row r="897">
      <c r="A897" s="1" t="s">
        <v>930</v>
      </c>
      <c r="B897" s="1" t="str">
        <f>IFERROR(__xludf.DUMMYFUNCTION("split(A897, ""\"")"),"Patrick Sieloff")</f>
        <v>Patrick Sieloff</v>
      </c>
      <c r="C897" s="1" t="str">
        <f>IFERROR(__xludf.DUMMYFUNCTION("""COMPUTED_VALUE"""),"sielopa01")</f>
        <v>sielopa01</v>
      </c>
      <c r="D897" s="1" t="s">
        <v>66</v>
      </c>
      <c r="E897" s="1">
        <f t="shared" si="1"/>
        <v>5.4</v>
      </c>
      <c r="F897" s="1">
        <f t="shared" si="2"/>
        <v>5.4</v>
      </c>
      <c r="G897" s="1">
        <v>1.0</v>
      </c>
      <c r="H897" s="1">
        <v>1.0</v>
      </c>
      <c r="I897" s="1">
        <v>0.0</v>
      </c>
      <c r="J897" s="1">
        <v>1.0</v>
      </c>
      <c r="K897" s="1">
        <v>3.0</v>
      </c>
      <c r="L897" s="1">
        <v>1.0</v>
      </c>
      <c r="M897" s="1">
        <v>1.0</v>
      </c>
      <c r="N897" s="1">
        <v>0.0</v>
      </c>
      <c r="O897" s="1">
        <v>0.0</v>
      </c>
      <c r="P897" s="1">
        <v>0.0</v>
      </c>
      <c r="Q897" s="1">
        <v>0.0</v>
      </c>
      <c r="R897" s="1">
        <v>-2.0</v>
      </c>
      <c r="S897" s="1">
        <v>0.0</v>
      </c>
      <c r="T897" s="1">
        <v>0.0</v>
      </c>
    </row>
    <row r="898">
      <c r="A898" s="1" t="s">
        <v>931</v>
      </c>
      <c r="B898" s="1" t="str">
        <f>IFERROR(__xludf.DUMMYFUNCTION("split(A898, ""\"")"),"Dakota Mermis")</f>
        <v>Dakota Mermis</v>
      </c>
      <c r="C898" s="1" t="str">
        <f>IFERROR(__xludf.DUMMYFUNCTION("""COMPUTED_VALUE"""),"mermida01")</f>
        <v>mermida01</v>
      </c>
      <c r="D898" s="1" t="s">
        <v>66</v>
      </c>
      <c r="E898" s="1">
        <f t="shared" si="1"/>
        <v>5.4</v>
      </c>
      <c r="F898" s="1">
        <f t="shared" si="2"/>
        <v>0.6</v>
      </c>
      <c r="G898" s="1">
        <v>9.0</v>
      </c>
      <c r="H898" s="1">
        <v>0.0</v>
      </c>
      <c r="I898" s="1">
        <v>0.0</v>
      </c>
      <c r="J898" s="1">
        <v>0.0</v>
      </c>
      <c r="K898" s="1">
        <v>7.0</v>
      </c>
      <c r="L898" s="1">
        <v>5.0</v>
      </c>
      <c r="M898" s="1">
        <v>6.0</v>
      </c>
      <c r="N898" s="1">
        <v>0.0</v>
      </c>
      <c r="O898" s="1">
        <v>0.0</v>
      </c>
      <c r="P898" s="1">
        <v>0.0</v>
      </c>
      <c r="Q898" s="1">
        <v>0.0</v>
      </c>
      <c r="R898" s="1">
        <v>-2.0</v>
      </c>
      <c r="S898" s="1">
        <v>0.0</v>
      </c>
      <c r="T898" s="1">
        <v>0.0</v>
      </c>
    </row>
    <row r="899">
      <c r="A899" s="1" t="s">
        <v>932</v>
      </c>
      <c r="B899" s="1" t="str">
        <f>IFERROR(__xludf.DUMMYFUNCTION("split(A899, ""\"")"),"Michael Chaput")</f>
        <v>Michael Chaput</v>
      </c>
      <c r="C899" s="1" t="str">
        <f>IFERROR(__xludf.DUMMYFUNCTION("""COMPUTED_VALUE"""),"chapumi01")</f>
        <v>chapumi01</v>
      </c>
      <c r="D899" s="1" t="s">
        <v>31</v>
      </c>
      <c r="E899" s="1">
        <f t="shared" si="1"/>
        <v>5.3</v>
      </c>
      <c r="F899" s="1">
        <f t="shared" si="2"/>
        <v>0.59</v>
      </c>
      <c r="G899" s="1">
        <v>9.0</v>
      </c>
      <c r="H899" s="1">
        <v>0.0</v>
      </c>
      <c r="I899" s="1">
        <v>0.0</v>
      </c>
      <c r="J899" s="1">
        <v>0.0</v>
      </c>
      <c r="K899" s="1">
        <v>2.0</v>
      </c>
      <c r="L899" s="1">
        <v>16.0</v>
      </c>
      <c r="M899" s="1">
        <v>2.0</v>
      </c>
      <c r="N899" s="1">
        <v>0.0</v>
      </c>
      <c r="O899" s="1">
        <v>0.0</v>
      </c>
      <c r="P899" s="1">
        <v>0.0</v>
      </c>
      <c r="Q899" s="1">
        <v>0.0</v>
      </c>
      <c r="R899" s="1">
        <v>-4.0</v>
      </c>
      <c r="S899" s="1">
        <v>5.0</v>
      </c>
      <c r="T899" s="1">
        <v>0.0</v>
      </c>
    </row>
    <row r="900">
      <c r="A900" s="1" t="s">
        <v>933</v>
      </c>
      <c r="B900" s="1" t="str">
        <f>IFERROR(__xludf.DUMMYFUNCTION("split(A900, ""\"")"),"Kyle Rau")</f>
        <v>Kyle Rau</v>
      </c>
      <c r="C900" s="1" t="str">
        <f>IFERROR(__xludf.DUMMYFUNCTION("""COMPUTED_VALUE"""),"rauky01")</f>
        <v>rauky01</v>
      </c>
      <c r="D900" s="1" t="s">
        <v>31</v>
      </c>
      <c r="E900" s="1">
        <f t="shared" si="1"/>
        <v>5.25</v>
      </c>
      <c r="F900" s="1">
        <f t="shared" si="2"/>
        <v>1.75</v>
      </c>
      <c r="G900" s="1">
        <v>3.0</v>
      </c>
      <c r="H900" s="1">
        <v>0.0</v>
      </c>
      <c r="I900" s="1">
        <v>1.0</v>
      </c>
      <c r="J900" s="1">
        <v>1.0</v>
      </c>
      <c r="K900" s="1">
        <v>4.0</v>
      </c>
      <c r="L900" s="1">
        <v>7.0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</row>
    <row r="901">
      <c r="A901" s="1" t="s">
        <v>934</v>
      </c>
      <c r="B901" s="1" t="str">
        <f>IFERROR(__xludf.DUMMYFUNCTION("split(A901, ""\"")"),"Michael Bournival")</f>
        <v>Michael Bournival</v>
      </c>
      <c r="C901" s="1" t="str">
        <f>IFERROR(__xludf.DUMMYFUNCTION("""COMPUTED_VALUE"""),"bournmi01")</f>
        <v>bournmi01</v>
      </c>
      <c r="D901" s="1" t="s">
        <v>28</v>
      </c>
      <c r="E901" s="1">
        <f t="shared" si="1"/>
        <v>5.25</v>
      </c>
      <c r="F901" s="1">
        <f t="shared" si="2"/>
        <v>1.05</v>
      </c>
      <c r="G901" s="1">
        <v>5.0</v>
      </c>
      <c r="H901" s="1">
        <v>0.0</v>
      </c>
      <c r="I901" s="1">
        <v>0.0</v>
      </c>
      <c r="J901" s="1">
        <v>0.0</v>
      </c>
      <c r="K901" s="1">
        <v>5.0</v>
      </c>
      <c r="L901" s="1">
        <v>8.0</v>
      </c>
      <c r="M901" s="1">
        <v>5.0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</row>
    <row r="902">
      <c r="A902" s="1" t="s">
        <v>935</v>
      </c>
      <c r="B902" s="1" t="str">
        <f>IFERROR(__xludf.DUMMYFUNCTION("split(A902, ""\"")"),"Frank Corrado")</f>
        <v>Frank Corrado</v>
      </c>
      <c r="C902" s="1" t="str">
        <f>IFERROR(__xludf.DUMMYFUNCTION("""COMPUTED_VALUE"""),"corrafr01")</f>
        <v>corrafr01</v>
      </c>
      <c r="D902" s="1" t="s">
        <v>66</v>
      </c>
      <c r="E902" s="1">
        <f t="shared" si="1"/>
        <v>5.15</v>
      </c>
      <c r="F902" s="1">
        <f t="shared" si="2"/>
        <v>1.03</v>
      </c>
      <c r="G902" s="1">
        <v>5.0</v>
      </c>
      <c r="H902" s="1">
        <v>0.0</v>
      </c>
      <c r="I902" s="1">
        <v>0.0</v>
      </c>
      <c r="J902" s="1">
        <v>0.0</v>
      </c>
      <c r="K902" s="1">
        <v>6.0</v>
      </c>
      <c r="L902" s="1">
        <v>5.0</v>
      </c>
      <c r="M902" s="1">
        <v>6.0</v>
      </c>
      <c r="N902" s="1">
        <v>0.0</v>
      </c>
      <c r="O902" s="1">
        <v>0.0</v>
      </c>
      <c r="P902" s="1">
        <v>0.0</v>
      </c>
      <c r="Q902" s="1">
        <v>0.0</v>
      </c>
      <c r="R902" s="1">
        <v>-1.0</v>
      </c>
      <c r="S902" s="1">
        <v>2.0</v>
      </c>
      <c r="T902" s="1">
        <v>0.0</v>
      </c>
    </row>
    <row r="903">
      <c r="A903" s="1" t="s">
        <v>936</v>
      </c>
      <c r="B903" s="1" t="str">
        <f>IFERROR(__xludf.DUMMYFUNCTION("split(A903, ""\"")"),"Erik Burgdoerfer")</f>
        <v>Erik Burgdoerfer</v>
      </c>
      <c r="C903" s="1" t="str">
        <f>IFERROR(__xludf.DUMMYFUNCTION("""COMPUTED_VALUE"""),"burgder01")</f>
        <v>burgder01</v>
      </c>
      <c r="D903" s="1" t="s">
        <v>66</v>
      </c>
      <c r="E903" s="1">
        <f t="shared" si="1"/>
        <v>5.05</v>
      </c>
      <c r="F903" s="1">
        <f t="shared" si="2"/>
        <v>2.53</v>
      </c>
      <c r="G903" s="1">
        <v>2.0</v>
      </c>
      <c r="H903" s="1">
        <v>0.0</v>
      </c>
      <c r="I903" s="1">
        <v>1.0</v>
      </c>
      <c r="J903" s="1">
        <v>1.0</v>
      </c>
      <c r="K903" s="1">
        <v>2.0</v>
      </c>
      <c r="L903" s="1">
        <v>5.0</v>
      </c>
      <c r="M903" s="1">
        <v>2.0</v>
      </c>
      <c r="N903" s="1">
        <v>0.0</v>
      </c>
      <c r="O903" s="1">
        <v>0.0</v>
      </c>
      <c r="P903" s="1">
        <v>0.0</v>
      </c>
      <c r="Q903" s="1">
        <v>0.0</v>
      </c>
      <c r="R903" s="1">
        <v>2.0</v>
      </c>
      <c r="S903" s="1">
        <v>0.0</v>
      </c>
      <c r="T903" s="1">
        <v>0.0</v>
      </c>
    </row>
    <row r="904">
      <c r="A904" s="1" t="s">
        <v>937</v>
      </c>
      <c r="B904" s="1" t="str">
        <f>IFERROR(__xludf.DUMMYFUNCTION("split(A904, ""\"")"),"Tyrell Goulbourne")</f>
        <v>Tyrell Goulbourne</v>
      </c>
      <c r="C904" s="1" t="str">
        <f>IFERROR(__xludf.DUMMYFUNCTION("""COMPUTED_VALUE"""),"goulbty01")</f>
        <v>goulbty01</v>
      </c>
      <c r="D904" s="1" t="s">
        <v>28</v>
      </c>
      <c r="E904" s="1">
        <f t="shared" si="1"/>
        <v>5.05</v>
      </c>
      <c r="F904" s="1">
        <f t="shared" si="2"/>
        <v>0.56</v>
      </c>
      <c r="G904" s="1">
        <v>9.0</v>
      </c>
      <c r="H904" s="1">
        <v>0.0</v>
      </c>
      <c r="I904" s="1">
        <v>0.0</v>
      </c>
      <c r="J904" s="1">
        <v>0.0</v>
      </c>
      <c r="K904" s="1">
        <v>2.0</v>
      </c>
      <c r="L904" s="1">
        <v>15.0</v>
      </c>
      <c r="M904" s="1">
        <v>2.0</v>
      </c>
      <c r="N904" s="1">
        <v>0.0</v>
      </c>
      <c r="O904" s="1">
        <v>0.0</v>
      </c>
      <c r="P904" s="1">
        <v>0.0</v>
      </c>
      <c r="Q904" s="1">
        <v>0.0</v>
      </c>
      <c r="R904" s="1">
        <v>-2.0</v>
      </c>
      <c r="S904" s="1">
        <v>2.0</v>
      </c>
      <c r="T904" s="1">
        <v>0.0</v>
      </c>
    </row>
    <row r="905">
      <c r="A905" s="1" t="s">
        <v>938</v>
      </c>
      <c r="B905" s="1" t="str">
        <f>IFERROR(__xludf.DUMMYFUNCTION("split(A905, ""\"")"),"Landon Ferraro")</f>
        <v>Landon Ferraro</v>
      </c>
      <c r="C905" s="1" t="str">
        <f>IFERROR(__xludf.DUMMYFUNCTION("""COMPUTED_VALUE"""),"ferrala01")</f>
        <v>ferrala01</v>
      </c>
      <c r="D905" s="1" t="s">
        <v>31</v>
      </c>
      <c r="E905" s="1">
        <f t="shared" si="1"/>
        <v>5</v>
      </c>
      <c r="F905" s="1">
        <f t="shared" si="2"/>
        <v>2.5</v>
      </c>
      <c r="G905" s="1">
        <v>2.0</v>
      </c>
      <c r="H905" s="1">
        <v>1.0</v>
      </c>
      <c r="I905" s="1">
        <v>0.0</v>
      </c>
      <c r="J905" s="1">
        <v>1.0</v>
      </c>
      <c r="K905" s="1">
        <v>3.0</v>
      </c>
      <c r="L905" s="1">
        <v>1.0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1.0</v>
      </c>
      <c r="S905" s="1">
        <v>0.0</v>
      </c>
      <c r="T905" s="1">
        <v>0.0</v>
      </c>
    </row>
    <row r="906">
      <c r="A906" s="1" t="s">
        <v>939</v>
      </c>
      <c r="B906" s="1" t="str">
        <f>IFERROR(__xludf.DUMMYFUNCTION("split(A906, ""\"")"),"Vadim Shipachyov")</f>
        <v>Vadim Shipachyov</v>
      </c>
      <c r="C906" s="1" t="str">
        <f>IFERROR(__xludf.DUMMYFUNCTION("""COMPUTED_VALUE"""),"shipava01")</f>
        <v>shipava01</v>
      </c>
      <c r="D906" s="1" t="s">
        <v>28</v>
      </c>
      <c r="E906" s="1">
        <f t="shared" si="1"/>
        <v>5</v>
      </c>
      <c r="F906" s="1">
        <f t="shared" si="2"/>
        <v>1.67</v>
      </c>
      <c r="G906" s="1">
        <v>3.0</v>
      </c>
      <c r="H906" s="1">
        <v>1.0</v>
      </c>
      <c r="I906" s="1">
        <v>0.0</v>
      </c>
      <c r="J906" s="1">
        <v>1.0</v>
      </c>
      <c r="K906" s="1">
        <v>3.0</v>
      </c>
      <c r="L906" s="1">
        <v>1.0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3.0</v>
      </c>
      <c r="S906" s="1">
        <v>2.0</v>
      </c>
      <c r="T906" s="1">
        <v>1.0</v>
      </c>
    </row>
    <row r="907">
      <c r="A907" s="1" t="s">
        <v>940</v>
      </c>
      <c r="B907" s="1" t="str">
        <f>IFERROR(__xludf.DUMMYFUNCTION("split(A907, ""\"")"),"Adam Cracknell")</f>
        <v>Adam Cracknell</v>
      </c>
      <c r="C907" s="1" t="str">
        <f>IFERROR(__xludf.DUMMYFUNCTION("""COMPUTED_VALUE"""),"crackad01")</f>
        <v>crackad01</v>
      </c>
      <c r="D907" s="1" t="s">
        <v>36</v>
      </c>
      <c r="E907" s="1">
        <f t="shared" si="1"/>
        <v>4.9</v>
      </c>
      <c r="F907" s="1">
        <f t="shared" si="2"/>
        <v>0.98</v>
      </c>
      <c r="G907" s="1">
        <v>5.0</v>
      </c>
      <c r="H907" s="1">
        <v>0.0</v>
      </c>
      <c r="I907" s="1">
        <v>0.0</v>
      </c>
      <c r="J907" s="1">
        <v>0.0</v>
      </c>
      <c r="K907" s="1">
        <v>6.0</v>
      </c>
      <c r="L907" s="1">
        <v>12.0</v>
      </c>
      <c r="M907" s="1">
        <v>1.0</v>
      </c>
      <c r="N907" s="1">
        <v>0.0</v>
      </c>
      <c r="O907" s="1">
        <v>0.0</v>
      </c>
      <c r="P907" s="1">
        <v>0.0</v>
      </c>
      <c r="Q907" s="1">
        <v>0.0</v>
      </c>
      <c r="R907" s="1">
        <v>-1.0</v>
      </c>
      <c r="S907" s="1">
        <v>0.0</v>
      </c>
      <c r="T907" s="1">
        <v>0.0</v>
      </c>
    </row>
    <row r="908">
      <c r="A908" s="1" t="s">
        <v>941</v>
      </c>
      <c r="B908" s="1" t="str">
        <f>IFERROR(__xludf.DUMMYFUNCTION("split(A908, ""\"")"),"Dominic Turgeon")</f>
        <v>Dominic Turgeon</v>
      </c>
      <c r="C908" s="1" t="str">
        <f>IFERROR(__xludf.DUMMYFUNCTION("""COMPUTED_VALUE"""),"turgedo01")</f>
        <v>turgedo01</v>
      </c>
      <c r="D908" s="1" t="s">
        <v>31</v>
      </c>
      <c r="E908" s="1">
        <f t="shared" si="1"/>
        <v>4.7</v>
      </c>
      <c r="F908" s="1">
        <f t="shared" si="2"/>
        <v>0.94</v>
      </c>
      <c r="G908" s="1">
        <v>5.0</v>
      </c>
      <c r="H908" s="1">
        <v>0.0</v>
      </c>
      <c r="I908" s="1">
        <v>0.0</v>
      </c>
      <c r="J908" s="1">
        <v>0.0</v>
      </c>
      <c r="K908" s="1">
        <v>3.0</v>
      </c>
      <c r="L908" s="1">
        <v>3.0</v>
      </c>
      <c r="M908" s="1">
        <v>8.0</v>
      </c>
      <c r="N908" s="1">
        <v>0.0</v>
      </c>
      <c r="O908" s="1">
        <v>0.0</v>
      </c>
      <c r="P908" s="1">
        <v>0.0</v>
      </c>
      <c r="Q908" s="1">
        <v>0.0</v>
      </c>
      <c r="R908" s="1">
        <v>-2.0</v>
      </c>
      <c r="S908" s="1">
        <v>2.0</v>
      </c>
      <c r="T908" s="1">
        <v>0.0</v>
      </c>
    </row>
    <row r="909">
      <c r="A909" s="1" t="s">
        <v>942</v>
      </c>
      <c r="B909" s="1" t="str">
        <f>IFERROR(__xludf.DUMMYFUNCTION("split(A909, ""\"")"),"Alexander Nylander")</f>
        <v>Alexander Nylander</v>
      </c>
      <c r="C909" s="1" t="str">
        <f>IFERROR(__xludf.DUMMYFUNCTION("""COMPUTED_VALUE"""),"nylanal01")</f>
        <v>nylanal01</v>
      </c>
      <c r="D909" s="1" t="s">
        <v>28</v>
      </c>
      <c r="E909" s="1">
        <f t="shared" si="1"/>
        <v>4.5</v>
      </c>
      <c r="F909" s="1">
        <f t="shared" si="2"/>
        <v>1.5</v>
      </c>
      <c r="G909" s="1">
        <v>3.0</v>
      </c>
      <c r="H909" s="1">
        <v>1.0</v>
      </c>
      <c r="I909" s="1">
        <v>0.0</v>
      </c>
      <c r="J909" s="1">
        <v>1.0</v>
      </c>
      <c r="K909" s="1">
        <v>2.0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-3.0</v>
      </c>
      <c r="S909" s="1">
        <v>0.0</v>
      </c>
      <c r="T909" s="1">
        <v>0.0</v>
      </c>
    </row>
    <row r="910">
      <c r="A910" s="1" t="s">
        <v>943</v>
      </c>
      <c r="B910" s="1" t="str">
        <f>IFERROR(__xludf.DUMMYFUNCTION("split(A910, ""\"")"),"Shane Gersich")</f>
        <v>Shane Gersich</v>
      </c>
      <c r="C910" s="1" t="str">
        <f>IFERROR(__xludf.DUMMYFUNCTION("""COMPUTED_VALUE"""),"gersish01")</f>
        <v>gersish01</v>
      </c>
      <c r="D910" s="1" t="s">
        <v>141</v>
      </c>
      <c r="E910" s="1">
        <f t="shared" si="1"/>
        <v>4.3</v>
      </c>
      <c r="F910" s="1">
        <f t="shared" si="2"/>
        <v>1.43</v>
      </c>
      <c r="G910" s="1">
        <v>3.0</v>
      </c>
      <c r="H910" s="1">
        <v>0.0</v>
      </c>
      <c r="I910" s="1">
        <v>1.0</v>
      </c>
      <c r="J910" s="1">
        <v>1.0</v>
      </c>
      <c r="K910" s="1">
        <v>4.0</v>
      </c>
      <c r="L910" s="1">
        <v>0.0</v>
      </c>
      <c r="M910" s="1">
        <v>2.0</v>
      </c>
      <c r="N910" s="1">
        <v>0.0</v>
      </c>
      <c r="O910" s="1">
        <v>0.0</v>
      </c>
      <c r="P910" s="1">
        <v>0.0</v>
      </c>
      <c r="Q910" s="1">
        <v>0.0</v>
      </c>
      <c r="R910" s="1">
        <v>-1.0</v>
      </c>
      <c r="S910" s="1">
        <v>0.0</v>
      </c>
      <c r="T910" s="1">
        <v>0.0</v>
      </c>
    </row>
    <row r="911">
      <c r="A911" s="1" t="s">
        <v>944</v>
      </c>
      <c r="B911" s="1" t="str">
        <f>IFERROR(__xludf.DUMMYFUNCTION("split(A911, ""\"")"),"Dalton Prout")</f>
        <v>Dalton Prout</v>
      </c>
      <c r="C911" s="1" t="str">
        <f>IFERROR(__xludf.DUMMYFUNCTION("""COMPUTED_VALUE"""),"proutda01")</f>
        <v>proutda01</v>
      </c>
      <c r="D911" s="1" t="s">
        <v>66</v>
      </c>
      <c r="E911" s="1">
        <f t="shared" si="1"/>
        <v>4.2</v>
      </c>
      <c r="F911" s="1">
        <f t="shared" si="2"/>
        <v>1.05</v>
      </c>
      <c r="G911" s="1">
        <v>4.0</v>
      </c>
      <c r="H911" s="1">
        <v>0.0</v>
      </c>
      <c r="I911" s="1">
        <v>0.0</v>
      </c>
      <c r="J911" s="1">
        <v>0.0</v>
      </c>
      <c r="K911" s="1">
        <v>5.0</v>
      </c>
      <c r="L911" s="1">
        <v>7.0</v>
      </c>
      <c r="M911" s="1">
        <v>3.0</v>
      </c>
      <c r="N911" s="1">
        <v>0.0</v>
      </c>
      <c r="O911" s="1">
        <v>0.0</v>
      </c>
      <c r="P911" s="1">
        <v>0.0</v>
      </c>
      <c r="Q911" s="1">
        <v>0.0</v>
      </c>
      <c r="R911" s="1">
        <v>-2.0</v>
      </c>
      <c r="S911" s="1">
        <v>13.0</v>
      </c>
      <c r="T911" s="1">
        <v>0.0</v>
      </c>
    </row>
    <row r="912">
      <c r="A912" s="1" t="s">
        <v>945</v>
      </c>
      <c r="B912" s="1" t="str">
        <f>IFERROR(__xludf.DUMMYFUNCTION("split(A912, ""\"")"),"Steve Bernier")</f>
        <v>Steve Bernier</v>
      </c>
      <c r="C912" s="1" t="str">
        <f>IFERROR(__xludf.DUMMYFUNCTION("""COMPUTED_VALUE"""),"bernist01")</f>
        <v>bernist01</v>
      </c>
      <c r="D912" s="1" t="s">
        <v>36</v>
      </c>
      <c r="E912" s="1">
        <f t="shared" si="1"/>
        <v>4.15</v>
      </c>
      <c r="F912" s="1">
        <f t="shared" si="2"/>
        <v>1.04</v>
      </c>
      <c r="G912" s="1">
        <v>4.0</v>
      </c>
      <c r="H912" s="1">
        <v>0.0</v>
      </c>
      <c r="I912" s="1">
        <v>0.0</v>
      </c>
      <c r="J912" s="1">
        <v>0.0</v>
      </c>
      <c r="K912" s="1">
        <v>4.0</v>
      </c>
      <c r="L912" s="1">
        <v>11.0</v>
      </c>
      <c r="M912" s="1">
        <v>1.0</v>
      </c>
      <c r="N912" s="1">
        <v>0.0</v>
      </c>
      <c r="O912" s="1">
        <v>0.0</v>
      </c>
      <c r="P912" s="1">
        <v>0.0</v>
      </c>
      <c r="Q912" s="1">
        <v>0.0</v>
      </c>
      <c r="R912" s="1">
        <v>-2.0</v>
      </c>
      <c r="S912" s="1">
        <v>0.0</v>
      </c>
      <c r="T912" s="1">
        <v>0.0</v>
      </c>
    </row>
    <row r="913">
      <c r="A913" s="1" t="s">
        <v>946</v>
      </c>
      <c r="B913" s="1" t="str">
        <f>IFERROR(__xludf.DUMMYFUNCTION("split(A913, ""\"")"),"Logan Brown")</f>
        <v>Logan Brown</v>
      </c>
      <c r="C913" s="1" t="str">
        <f>IFERROR(__xludf.DUMMYFUNCTION("""COMPUTED_VALUE"""),"brownlo01")</f>
        <v>brownlo01</v>
      </c>
      <c r="D913" s="1" t="s">
        <v>31</v>
      </c>
      <c r="E913" s="1">
        <f t="shared" si="1"/>
        <v>4.15</v>
      </c>
      <c r="F913" s="1">
        <f t="shared" si="2"/>
        <v>1.04</v>
      </c>
      <c r="G913" s="1">
        <v>4.0</v>
      </c>
      <c r="H913" s="1">
        <v>0.0</v>
      </c>
      <c r="I913" s="1">
        <v>1.0</v>
      </c>
      <c r="J913" s="1">
        <v>1.0</v>
      </c>
      <c r="K913" s="1">
        <v>4.0</v>
      </c>
      <c r="L913" s="1">
        <v>1.0</v>
      </c>
      <c r="M913" s="1">
        <v>1.0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</row>
    <row r="914">
      <c r="A914" s="1" t="s">
        <v>947</v>
      </c>
      <c r="B914" s="1" t="str">
        <f>IFERROR(__xludf.DUMMYFUNCTION("split(A914, ""\"")"),"Beau Bennett")</f>
        <v>Beau Bennett</v>
      </c>
      <c r="C914" s="1" t="str">
        <f>IFERROR(__xludf.DUMMYFUNCTION("""COMPUTED_VALUE"""),"bennebe01")</f>
        <v>bennebe01</v>
      </c>
      <c r="D914" s="1" t="s">
        <v>36</v>
      </c>
      <c r="E914" s="1">
        <f t="shared" si="1"/>
        <v>4.15</v>
      </c>
      <c r="F914" s="1">
        <f t="shared" si="2"/>
        <v>0.69</v>
      </c>
      <c r="G914" s="1">
        <v>6.0</v>
      </c>
      <c r="H914" s="1">
        <v>0.0</v>
      </c>
      <c r="I914" s="1">
        <v>0.0</v>
      </c>
      <c r="J914" s="1">
        <v>0.0</v>
      </c>
      <c r="K914" s="1">
        <v>6.0</v>
      </c>
      <c r="L914" s="1">
        <v>9.0</v>
      </c>
      <c r="M914" s="1">
        <v>1.0</v>
      </c>
      <c r="N914" s="1">
        <v>0.0</v>
      </c>
      <c r="O914" s="1">
        <v>0.0</v>
      </c>
      <c r="P914" s="1">
        <v>0.0</v>
      </c>
      <c r="Q914" s="1">
        <v>0.0</v>
      </c>
      <c r="R914" s="1">
        <v>-2.0</v>
      </c>
      <c r="S914" s="1">
        <v>0.0</v>
      </c>
      <c r="T914" s="1">
        <v>0.0</v>
      </c>
    </row>
    <row r="915">
      <c r="A915" s="1" t="s">
        <v>948</v>
      </c>
      <c r="B915" s="1" t="str">
        <f>IFERROR(__xludf.DUMMYFUNCTION("split(A915, ""\"")"),"Calle Rosen")</f>
        <v>Calle Rosen</v>
      </c>
      <c r="C915" s="1" t="str">
        <f>IFERROR(__xludf.DUMMYFUNCTION("""COMPUTED_VALUE"""),"rosenca01")</f>
        <v>rosenca01</v>
      </c>
      <c r="D915" s="1" t="s">
        <v>66</v>
      </c>
      <c r="E915" s="1">
        <f t="shared" si="1"/>
        <v>4</v>
      </c>
      <c r="F915" s="1">
        <f t="shared" si="2"/>
        <v>1</v>
      </c>
      <c r="G915" s="1">
        <v>4.0</v>
      </c>
      <c r="H915" s="1">
        <v>0.0</v>
      </c>
      <c r="I915" s="1">
        <v>1.0</v>
      </c>
      <c r="J915" s="1">
        <v>1.0</v>
      </c>
      <c r="K915" s="1">
        <v>5.0</v>
      </c>
      <c r="L915" s="1">
        <v>1.0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-3.0</v>
      </c>
      <c r="S915" s="1">
        <v>4.0</v>
      </c>
      <c r="T915" s="1">
        <v>0.0</v>
      </c>
    </row>
    <row r="916">
      <c r="A916" s="1" t="s">
        <v>949</v>
      </c>
      <c r="B916" s="1" t="str">
        <f>IFERROR(__xludf.DUMMYFUNCTION("split(A916, ""\"")"),"Adam Gaudette")</f>
        <v>Adam Gaudette</v>
      </c>
      <c r="C916" s="1" t="str">
        <f>IFERROR(__xludf.DUMMYFUNCTION("""COMPUTED_VALUE"""),"gaudead01")</f>
        <v>gaudead01</v>
      </c>
      <c r="D916" s="1" t="s">
        <v>31</v>
      </c>
      <c r="E916" s="1">
        <f t="shared" si="1"/>
        <v>3.95</v>
      </c>
      <c r="F916" s="1">
        <f t="shared" si="2"/>
        <v>0.79</v>
      </c>
      <c r="G916" s="1">
        <v>5.0</v>
      </c>
      <c r="H916" s="1">
        <v>0.0</v>
      </c>
      <c r="I916" s="1">
        <v>0.0</v>
      </c>
      <c r="J916" s="1">
        <v>0.0</v>
      </c>
      <c r="K916" s="1">
        <v>9.0</v>
      </c>
      <c r="L916" s="1">
        <v>2.0</v>
      </c>
      <c r="M916" s="1">
        <v>3.0</v>
      </c>
      <c r="N916" s="1">
        <v>0.0</v>
      </c>
      <c r="O916" s="1">
        <v>0.0</v>
      </c>
      <c r="P916" s="1">
        <v>0.0</v>
      </c>
      <c r="Q916" s="1">
        <v>0.0</v>
      </c>
      <c r="R916" s="1">
        <v>2.0</v>
      </c>
      <c r="S916" s="1">
        <v>0.0</v>
      </c>
      <c r="T916" s="1">
        <v>0.0</v>
      </c>
    </row>
    <row r="917">
      <c r="A917" s="1" t="s">
        <v>950</v>
      </c>
      <c r="B917" s="1" t="str">
        <f>IFERROR(__xludf.DUMMYFUNCTION("split(A917, ""\"")"),"Travis Boyd")</f>
        <v>Travis Boyd</v>
      </c>
      <c r="C917" s="1" t="str">
        <f>IFERROR(__xludf.DUMMYFUNCTION("""COMPUTED_VALUE"""),"boydtr01")</f>
        <v>boydtr01</v>
      </c>
      <c r="D917" s="1" t="s">
        <v>31</v>
      </c>
      <c r="E917" s="1">
        <f t="shared" si="1"/>
        <v>3.9</v>
      </c>
      <c r="F917" s="1">
        <f t="shared" si="2"/>
        <v>0.49</v>
      </c>
      <c r="G917" s="1">
        <v>8.0</v>
      </c>
      <c r="H917" s="1">
        <v>0.0</v>
      </c>
      <c r="I917" s="1">
        <v>1.0</v>
      </c>
      <c r="J917" s="1">
        <v>1.0</v>
      </c>
      <c r="K917" s="1">
        <v>2.0</v>
      </c>
      <c r="L917" s="1">
        <v>2.0</v>
      </c>
      <c r="M917" s="1">
        <v>1.0</v>
      </c>
      <c r="N917" s="1">
        <v>0.0</v>
      </c>
      <c r="O917" s="1">
        <v>0.0</v>
      </c>
      <c r="P917" s="1">
        <v>0.0</v>
      </c>
      <c r="Q917" s="1">
        <v>0.0</v>
      </c>
      <c r="R917" s="1">
        <v>2.0</v>
      </c>
      <c r="S917" s="1">
        <v>2.0</v>
      </c>
      <c r="T917" s="1">
        <v>0.0</v>
      </c>
    </row>
    <row r="918">
      <c r="A918" s="1" t="s">
        <v>951</v>
      </c>
      <c r="B918" s="1" t="str">
        <f>IFERROR(__xludf.DUMMYFUNCTION("split(A918, ""\"")"),"Zach Redmond")</f>
        <v>Zach Redmond</v>
      </c>
      <c r="C918" s="1" t="str">
        <f>IFERROR(__xludf.DUMMYFUNCTION("""COMPUTED_VALUE"""),"redmoza01")</f>
        <v>redmoza01</v>
      </c>
      <c r="D918" s="1" t="s">
        <v>66</v>
      </c>
      <c r="E918" s="1">
        <f t="shared" si="1"/>
        <v>3.55</v>
      </c>
      <c r="F918" s="1">
        <f t="shared" si="2"/>
        <v>1.18</v>
      </c>
      <c r="G918" s="1">
        <v>3.0</v>
      </c>
      <c r="H918" s="1">
        <v>0.0</v>
      </c>
      <c r="I918" s="1">
        <v>0.0</v>
      </c>
      <c r="J918" s="1">
        <v>0.0</v>
      </c>
      <c r="K918" s="1">
        <v>7.0</v>
      </c>
      <c r="L918" s="1">
        <v>4.0</v>
      </c>
      <c r="M918" s="1">
        <v>2.0</v>
      </c>
      <c r="N918" s="1">
        <v>0.0</v>
      </c>
      <c r="O918" s="1">
        <v>0.0</v>
      </c>
      <c r="P918" s="1">
        <v>0.0</v>
      </c>
      <c r="Q918" s="1">
        <v>0.0</v>
      </c>
      <c r="R918" s="1">
        <v>1.0</v>
      </c>
      <c r="S918" s="1">
        <v>2.0</v>
      </c>
      <c r="T918" s="1">
        <v>0.0</v>
      </c>
    </row>
    <row r="919">
      <c r="A919" s="1" t="s">
        <v>952</v>
      </c>
      <c r="B919" s="1" t="str">
        <f>IFERROR(__xludf.DUMMYFUNCTION("split(A919, ""\"")"),"Daniel Taylor")</f>
        <v>Daniel Taylor</v>
      </c>
      <c r="C919" s="2" t="str">
        <f>IFERROR(__xludf.DUMMYFUNCTION("""COMPUTED_VALUE"""),"tayloda02")</f>
        <v>tayloda02</v>
      </c>
      <c r="D919" s="1" t="s">
        <v>5</v>
      </c>
      <c r="E919" s="1">
        <f t="shared" si="1"/>
        <v>3.5</v>
      </c>
      <c r="F919" s="1">
        <f t="shared" si="2"/>
        <v>3.5</v>
      </c>
      <c r="G919" s="1">
        <v>1.0</v>
      </c>
      <c r="U919" s="1">
        <v>1.0</v>
      </c>
      <c r="V919" s="1">
        <v>0.0</v>
      </c>
      <c r="W919" s="1">
        <v>1.0</v>
      </c>
      <c r="X919" s="1">
        <v>4.0</v>
      </c>
      <c r="Y919" s="1">
        <v>34.0</v>
      </c>
      <c r="Z919" s="1">
        <v>30.0</v>
      </c>
      <c r="AA919" s="1">
        <v>0.0</v>
      </c>
    </row>
    <row r="920">
      <c r="A920" s="1" t="s">
        <v>953</v>
      </c>
      <c r="B920" s="1" t="str">
        <f>IFERROR(__xludf.DUMMYFUNCTION("split(A920, ""\"")"),"Adam Wilcox")</f>
        <v>Adam Wilcox</v>
      </c>
      <c r="C920" s="2" t="str">
        <f>IFERROR(__xludf.DUMMYFUNCTION("""COMPUTED_VALUE"""),"wilcoad01")</f>
        <v>wilcoad01</v>
      </c>
      <c r="D920" s="1" t="s">
        <v>5</v>
      </c>
      <c r="E920" s="1">
        <f t="shared" si="1"/>
        <v>3.5</v>
      </c>
      <c r="F920" s="1">
        <f t="shared" si="2"/>
        <v>3.5</v>
      </c>
      <c r="G920" s="1">
        <v>1.0</v>
      </c>
      <c r="U920" s="1">
        <v>0.0</v>
      </c>
      <c r="V920" s="1">
        <v>0.0</v>
      </c>
      <c r="W920" s="1">
        <v>1.0</v>
      </c>
      <c r="X920" s="1">
        <v>0.0</v>
      </c>
      <c r="Y920" s="1">
        <v>14.0</v>
      </c>
      <c r="Z920" s="1">
        <v>14.0</v>
      </c>
      <c r="AA920" s="1">
        <v>0.0</v>
      </c>
    </row>
    <row r="921">
      <c r="A921" s="1" t="s">
        <v>954</v>
      </c>
      <c r="B921" s="1" t="str">
        <f>IFERROR(__xludf.DUMMYFUNCTION("split(A921, ""\"")"),"Chase Balisy")</f>
        <v>Chase Balisy</v>
      </c>
      <c r="C921" s="1" t="str">
        <f>IFERROR(__xludf.DUMMYFUNCTION("""COMPUTED_VALUE"""),"balisch01")</f>
        <v>balisch01</v>
      </c>
      <c r="D921" s="1" t="s">
        <v>31</v>
      </c>
      <c r="E921" s="1">
        <f t="shared" si="1"/>
        <v>3.3</v>
      </c>
      <c r="F921" s="1">
        <f t="shared" si="2"/>
        <v>0.41</v>
      </c>
      <c r="G921" s="1">
        <v>8.0</v>
      </c>
      <c r="H921" s="1">
        <v>0.0</v>
      </c>
      <c r="I921" s="1">
        <v>0.0</v>
      </c>
      <c r="J921" s="1">
        <v>0.0</v>
      </c>
      <c r="K921" s="1">
        <v>6.0</v>
      </c>
      <c r="L921" s="1">
        <v>4.0</v>
      </c>
      <c r="M921" s="1">
        <v>2.0</v>
      </c>
      <c r="N921" s="1">
        <v>0.0</v>
      </c>
      <c r="O921" s="1">
        <v>0.0</v>
      </c>
      <c r="P921" s="1">
        <v>0.0</v>
      </c>
      <c r="Q921" s="1">
        <v>0.0</v>
      </c>
      <c r="R921" s="1">
        <v>-2.0</v>
      </c>
      <c r="S921" s="1">
        <v>0.0</v>
      </c>
      <c r="T921" s="1">
        <v>0.0</v>
      </c>
    </row>
    <row r="922">
      <c r="A922" s="1" t="s">
        <v>955</v>
      </c>
      <c r="B922" s="1" t="str">
        <f>IFERROR(__xludf.DUMMYFUNCTION("split(A922, ""\"")"),"Carson Soucy")</f>
        <v>Carson Soucy</v>
      </c>
      <c r="C922" s="1" t="str">
        <f>IFERROR(__xludf.DUMMYFUNCTION("""COMPUTED_VALUE"""),"soucyca01")</f>
        <v>soucyca01</v>
      </c>
      <c r="D922" s="1" t="s">
        <v>66</v>
      </c>
      <c r="E922" s="1">
        <f t="shared" si="1"/>
        <v>3.2</v>
      </c>
      <c r="F922" s="1">
        <f t="shared" si="2"/>
        <v>1.07</v>
      </c>
      <c r="G922" s="1">
        <v>3.0</v>
      </c>
      <c r="H922" s="1">
        <v>0.0</v>
      </c>
      <c r="I922" s="1">
        <v>0.0</v>
      </c>
      <c r="J922" s="1">
        <v>0.0</v>
      </c>
      <c r="K922" s="1">
        <v>4.0</v>
      </c>
      <c r="L922" s="1">
        <v>4.0</v>
      </c>
      <c r="M922" s="1">
        <v>3.0</v>
      </c>
      <c r="N922" s="1">
        <v>0.0</v>
      </c>
      <c r="O922" s="1">
        <v>0.0</v>
      </c>
      <c r="P922" s="1">
        <v>0.0</v>
      </c>
      <c r="Q922" s="1">
        <v>0.0</v>
      </c>
      <c r="R922" s="1">
        <v>-2.0</v>
      </c>
      <c r="S922" s="1">
        <v>2.0</v>
      </c>
      <c r="T922" s="1">
        <v>0.0</v>
      </c>
    </row>
    <row r="923">
      <c r="A923" s="1" t="s">
        <v>956</v>
      </c>
      <c r="B923" s="1" t="str">
        <f>IFERROR(__xludf.DUMMYFUNCTION("split(A923, ""\"")"),"Daniel Brickley")</f>
        <v>Daniel Brickley</v>
      </c>
      <c r="C923" s="1" t="str">
        <f>IFERROR(__xludf.DUMMYFUNCTION("""COMPUTED_VALUE"""),"brickda01")</f>
        <v>brickda01</v>
      </c>
      <c r="D923" s="1" t="s">
        <v>66</v>
      </c>
      <c r="E923" s="1">
        <f t="shared" si="1"/>
        <v>3.15</v>
      </c>
      <c r="F923" s="1">
        <f t="shared" si="2"/>
        <v>3.15</v>
      </c>
      <c r="G923" s="1">
        <v>1.0</v>
      </c>
      <c r="H923" s="1">
        <v>0.0</v>
      </c>
      <c r="I923" s="1">
        <v>1.0</v>
      </c>
      <c r="J923" s="1">
        <v>1.0</v>
      </c>
      <c r="K923" s="1">
        <v>0.0</v>
      </c>
      <c r="L923" s="1">
        <v>1.0</v>
      </c>
      <c r="M923" s="1">
        <v>1.0</v>
      </c>
      <c r="N923" s="1">
        <v>0.0</v>
      </c>
      <c r="O923" s="1">
        <v>0.0</v>
      </c>
      <c r="P923" s="1">
        <v>0.0</v>
      </c>
      <c r="Q923" s="1">
        <v>0.0</v>
      </c>
      <c r="R923" s="1">
        <v>1.0</v>
      </c>
      <c r="S923" s="1">
        <v>0.0</v>
      </c>
      <c r="T923" s="1">
        <v>0.0</v>
      </c>
    </row>
    <row r="924">
      <c r="A924" s="1" t="s">
        <v>957</v>
      </c>
      <c r="B924" s="1" t="str">
        <f>IFERROR(__xludf.DUMMYFUNCTION("split(A924, ""\"")"),"Hudson Fasching")</f>
        <v>Hudson Fasching</v>
      </c>
      <c r="C924" s="1" t="str">
        <f>IFERROR(__xludf.DUMMYFUNCTION("""COMPUTED_VALUE"""),"faschhu01")</f>
        <v>faschhu01</v>
      </c>
      <c r="D924" s="1" t="s">
        <v>36</v>
      </c>
      <c r="E924" s="1">
        <f t="shared" si="1"/>
        <v>2.8</v>
      </c>
      <c r="F924" s="1">
        <f t="shared" si="2"/>
        <v>0.56</v>
      </c>
      <c r="G924" s="1">
        <v>5.0</v>
      </c>
      <c r="H924" s="1">
        <v>0.0</v>
      </c>
      <c r="I924" s="1">
        <v>0.0</v>
      </c>
      <c r="J924" s="1">
        <v>0.0</v>
      </c>
      <c r="K924" s="1">
        <v>1.0</v>
      </c>
      <c r="L924" s="1">
        <v>7.0</v>
      </c>
      <c r="M924" s="1">
        <v>2.0</v>
      </c>
      <c r="N924" s="1">
        <v>0.0</v>
      </c>
      <c r="O924" s="1">
        <v>0.0</v>
      </c>
      <c r="P924" s="1">
        <v>0.0</v>
      </c>
      <c r="Q924" s="1">
        <v>0.0</v>
      </c>
      <c r="R924" s="1">
        <v>-1.0</v>
      </c>
      <c r="S924" s="1">
        <v>2.0</v>
      </c>
      <c r="T924" s="1">
        <v>0.0</v>
      </c>
    </row>
    <row r="925">
      <c r="A925" s="1" t="s">
        <v>958</v>
      </c>
      <c r="B925" s="1" t="str">
        <f>IFERROR(__xludf.DUMMYFUNCTION("split(A925, ""\"")"),"Zach Trotman")</f>
        <v>Zach Trotman</v>
      </c>
      <c r="C925" s="1" t="str">
        <f>IFERROR(__xludf.DUMMYFUNCTION("""COMPUTED_VALUE"""),"trotmza01")</f>
        <v>trotmza01</v>
      </c>
      <c r="D925" s="1" t="s">
        <v>66</v>
      </c>
      <c r="E925" s="1">
        <f t="shared" si="1"/>
        <v>2.55</v>
      </c>
      <c r="F925" s="1">
        <f t="shared" si="2"/>
        <v>0.85</v>
      </c>
      <c r="G925" s="1">
        <v>3.0</v>
      </c>
      <c r="H925" s="1">
        <v>0.0</v>
      </c>
      <c r="I925" s="1">
        <v>0.0</v>
      </c>
      <c r="J925" s="1">
        <v>0.0</v>
      </c>
      <c r="K925" s="1">
        <v>6.0</v>
      </c>
      <c r="L925" s="1">
        <v>1.0</v>
      </c>
      <c r="M925" s="1">
        <v>2.0</v>
      </c>
      <c r="N925" s="1">
        <v>0.0</v>
      </c>
      <c r="O925" s="1">
        <v>0.0</v>
      </c>
      <c r="P925" s="1">
        <v>0.0</v>
      </c>
      <c r="Q925" s="1">
        <v>0.0</v>
      </c>
      <c r="R925" s="1">
        <v>-3.0</v>
      </c>
      <c r="S925" s="1">
        <v>0.0</v>
      </c>
      <c r="T925" s="1">
        <v>0.0</v>
      </c>
    </row>
    <row r="926">
      <c r="A926" s="1" t="s">
        <v>959</v>
      </c>
      <c r="B926" s="1" t="str">
        <f>IFERROR(__xludf.DUMMYFUNCTION("split(A926, ""\"")"),"Marek Langhamer")</f>
        <v>Marek Langhamer</v>
      </c>
      <c r="C926" s="2" t="str">
        <f>IFERROR(__xludf.DUMMYFUNCTION("""COMPUTED_VALUE"""),"langhma01")</f>
        <v>langhma01</v>
      </c>
      <c r="D926" s="1" t="s">
        <v>5</v>
      </c>
      <c r="E926" s="1">
        <f t="shared" si="1"/>
        <v>2.5</v>
      </c>
      <c r="F926" s="1">
        <f t="shared" si="2"/>
        <v>2.5</v>
      </c>
      <c r="G926" s="1">
        <v>1.0</v>
      </c>
      <c r="U926" s="1">
        <v>0.0</v>
      </c>
      <c r="V926" s="1">
        <v>0.0</v>
      </c>
      <c r="W926" s="1">
        <v>0.0</v>
      </c>
      <c r="X926" s="1">
        <v>0.0</v>
      </c>
      <c r="Y926" s="1">
        <v>10.0</v>
      </c>
      <c r="Z926" s="1">
        <v>10.0</v>
      </c>
      <c r="AA926" s="1">
        <v>0.0</v>
      </c>
    </row>
    <row r="927">
      <c r="A927" s="1" t="s">
        <v>960</v>
      </c>
      <c r="B927" s="1" t="str">
        <f>IFERROR(__xludf.DUMMYFUNCTION("split(A927, ""\"")"),"Chris Butler")</f>
        <v>Chris Butler</v>
      </c>
      <c r="C927" s="1" t="str">
        <f>IFERROR(__xludf.DUMMYFUNCTION("""COMPUTED_VALUE"""),"butlech01")</f>
        <v>butlech01</v>
      </c>
      <c r="D927" s="1" t="s">
        <v>66</v>
      </c>
      <c r="E927" s="1">
        <f t="shared" si="1"/>
        <v>2.45</v>
      </c>
      <c r="F927" s="1">
        <f t="shared" si="2"/>
        <v>0.41</v>
      </c>
      <c r="G927" s="1">
        <v>6.0</v>
      </c>
      <c r="H927" s="1">
        <v>0.0</v>
      </c>
      <c r="I927" s="1">
        <v>0.0</v>
      </c>
      <c r="J927" s="1">
        <v>0.0</v>
      </c>
      <c r="K927" s="1">
        <v>2.0</v>
      </c>
      <c r="L927" s="1">
        <v>3.0</v>
      </c>
      <c r="M927" s="1">
        <v>3.0</v>
      </c>
      <c r="N927" s="1">
        <v>0.0</v>
      </c>
      <c r="O927" s="1">
        <v>0.0</v>
      </c>
      <c r="P927" s="1">
        <v>0.0</v>
      </c>
      <c r="Q927" s="1">
        <v>0.0</v>
      </c>
      <c r="R927" s="1">
        <v>1.0</v>
      </c>
      <c r="S927" s="1">
        <v>2.0</v>
      </c>
      <c r="T927" s="1">
        <v>0.0</v>
      </c>
    </row>
    <row r="928">
      <c r="A928" s="1" t="s">
        <v>961</v>
      </c>
      <c r="B928" s="1" t="str">
        <f>IFERROR(__xludf.DUMMYFUNCTION("split(A928, ""\"")"),"Samuel Morin")</f>
        <v>Samuel Morin</v>
      </c>
      <c r="C928" s="1" t="str">
        <f>IFERROR(__xludf.DUMMYFUNCTION("""COMPUTED_VALUE"""),"morinsa01")</f>
        <v>morinsa01</v>
      </c>
      <c r="D928" s="1" t="s">
        <v>66</v>
      </c>
      <c r="E928" s="1">
        <f t="shared" si="1"/>
        <v>2.4</v>
      </c>
      <c r="F928" s="1">
        <f t="shared" si="2"/>
        <v>1.2</v>
      </c>
      <c r="G928" s="1">
        <v>2.0</v>
      </c>
      <c r="H928" s="1">
        <v>0.0</v>
      </c>
      <c r="I928" s="1">
        <v>0.0</v>
      </c>
      <c r="J928" s="1">
        <v>0.0</v>
      </c>
      <c r="K928" s="1">
        <v>1.0</v>
      </c>
      <c r="L928" s="1">
        <v>7.0</v>
      </c>
      <c r="M928" s="1">
        <v>1.0</v>
      </c>
      <c r="N928" s="1">
        <v>0.0</v>
      </c>
      <c r="O928" s="1">
        <v>0.0</v>
      </c>
      <c r="P928" s="1">
        <v>0.0</v>
      </c>
      <c r="Q928" s="1">
        <v>0.0</v>
      </c>
      <c r="R928" s="1">
        <v>1.0</v>
      </c>
      <c r="S928" s="1">
        <v>4.0</v>
      </c>
      <c r="T928" s="1">
        <v>0.0</v>
      </c>
    </row>
    <row r="929">
      <c r="A929" s="1" t="s">
        <v>962</v>
      </c>
      <c r="B929" s="1" t="str">
        <f>IFERROR(__xludf.DUMMYFUNCTION("split(A929, ""\"")"),"Joel Hanley")</f>
        <v>Joel Hanley</v>
      </c>
      <c r="C929" s="1" t="str">
        <f>IFERROR(__xludf.DUMMYFUNCTION("""COMPUTED_VALUE"""),"hanlejo01")</f>
        <v>hanlejo01</v>
      </c>
      <c r="D929" s="1" t="s">
        <v>66</v>
      </c>
      <c r="E929" s="1">
        <f t="shared" si="1"/>
        <v>2.35</v>
      </c>
      <c r="F929" s="1">
        <f t="shared" si="2"/>
        <v>0.47</v>
      </c>
      <c r="G929" s="1">
        <v>5.0</v>
      </c>
      <c r="H929" s="1">
        <v>0.0</v>
      </c>
      <c r="I929" s="1">
        <v>0.0</v>
      </c>
      <c r="J929" s="1">
        <v>0.0</v>
      </c>
      <c r="K929" s="1">
        <v>2.0</v>
      </c>
      <c r="L929" s="1">
        <v>1.0</v>
      </c>
      <c r="M929" s="1">
        <v>4.0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</row>
    <row r="930">
      <c r="A930" s="1" t="s">
        <v>963</v>
      </c>
      <c r="B930" s="1" t="str">
        <f>IFERROR(__xludf.DUMMYFUNCTION("split(A930, ""\"")"),"Joseph Blandisi")</f>
        <v>Joseph Blandisi</v>
      </c>
      <c r="C930" s="1" t="str">
        <f>IFERROR(__xludf.DUMMYFUNCTION("""COMPUTED_VALUE"""),"blandjo01")</f>
        <v>blandjo01</v>
      </c>
      <c r="D930" s="1" t="s">
        <v>31</v>
      </c>
      <c r="E930" s="1">
        <f t="shared" si="1"/>
        <v>2.3</v>
      </c>
      <c r="F930" s="1">
        <f t="shared" si="2"/>
        <v>0.77</v>
      </c>
      <c r="G930" s="1">
        <v>3.0</v>
      </c>
      <c r="H930" s="1">
        <v>0.0</v>
      </c>
      <c r="I930" s="1">
        <v>0.0</v>
      </c>
      <c r="J930" s="1">
        <v>0.0</v>
      </c>
      <c r="K930" s="1">
        <v>4.0</v>
      </c>
      <c r="L930" s="1">
        <v>2.0</v>
      </c>
      <c r="M930" s="1">
        <v>2.0</v>
      </c>
      <c r="N930" s="1">
        <v>0.0</v>
      </c>
      <c r="O930" s="1">
        <v>0.0</v>
      </c>
      <c r="P930" s="1">
        <v>0.0</v>
      </c>
      <c r="Q930" s="1">
        <v>0.0</v>
      </c>
      <c r="R930" s="1">
        <v>2.0</v>
      </c>
      <c r="S930" s="1">
        <v>2.0</v>
      </c>
      <c r="T930" s="1">
        <v>0.0</v>
      </c>
    </row>
    <row r="931">
      <c r="A931" s="1" t="s">
        <v>964</v>
      </c>
      <c r="B931" s="1" t="str">
        <f>IFERROR(__xludf.DUMMYFUNCTION("split(A931, ""\"")"),"John Quenneville")</f>
        <v>John Quenneville</v>
      </c>
      <c r="C931" s="1" t="str">
        <f>IFERROR(__xludf.DUMMYFUNCTION("""COMPUTED_VALUE"""),"quennjo02")</f>
        <v>quennjo02</v>
      </c>
      <c r="D931" s="1" t="s">
        <v>31</v>
      </c>
      <c r="E931" s="1">
        <f t="shared" si="1"/>
        <v>2.25</v>
      </c>
      <c r="F931" s="1">
        <f t="shared" si="2"/>
        <v>1.13</v>
      </c>
      <c r="G931" s="1">
        <v>2.0</v>
      </c>
      <c r="H931" s="1">
        <v>0.0</v>
      </c>
      <c r="I931" s="1">
        <v>0.0</v>
      </c>
      <c r="J931" s="1">
        <v>0.0</v>
      </c>
      <c r="K931" s="1">
        <v>5.0</v>
      </c>
      <c r="L931" s="1">
        <v>4.0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-3.0</v>
      </c>
      <c r="S931" s="1">
        <v>0.0</v>
      </c>
      <c r="T931" s="1">
        <v>0.0</v>
      </c>
    </row>
    <row r="932">
      <c r="A932" s="1" t="s">
        <v>965</v>
      </c>
      <c r="B932" s="1" t="str">
        <f>IFERROR(__xludf.DUMMYFUNCTION("split(A932, ""\"")"),"Janne Kuokkanen")</f>
        <v>Janne Kuokkanen</v>
      </c>
      <c r="C932" s="1" t="str">
        <f>IFERROR(__xludf.DUMMYFUNCTION("""COMPUTED_VALUE"""),"kuokkja01")</f>
        <v>kuokkja01</v>
      </c>
      <c r="D932" s="1" t="s">
        <v>141</v>
      </c>
      <c r="E932" s="1">
        <f t="shared" si="1"/>
        <v>2.15</v>
      </c>
      <c r="F932" s="1">
        <f t="shared" si="2"/>
        <v>0.54</v>
      </c>
      <c r="G932" s="1">
        <v>4.0</v>
      </c>
      <c r="H932" s="1">
        <v>0.0</v>
      </c>
      <c r="I932" s="1">
        <v>0.0</v>
      </c>
      <c r="J932" s="1">
        <v>0.0</v>
      </c>
      <c r="K932" s="1">
        <v>6.0</v>
      </c>
      <c r="L932" s="1">
        <v>1.0</v>
      </c>
      <c r="M932" s="1">
        <v>1.0</v>
      </c>
      <c r="N932" s="1">
        <v>0.0</v>
      </c>
      <c r="O932" s="1">
        <v>0.0</v>
      </c>
      <c r="P932" s="1">
        <v>0.0</v>
      </c>
      <c r="Q932" s="1">
        <v>0.0</v>
      </c>
      <c r="R932" s="1">
        <v>-3.0</v>
      </c>
      <c r="S932" s="1">
        <v>0.0</v>
      </c>
      <c r="T932" s="1">
        <v>0.0</v>
      </c>
    </row>
    <row r="933">
      <c r="A933" s="1" t="s">
        <v>966</v>
      </c>
      <c r="B933" s="1" t="str">
        <f>IFERROR(__xludf.DUMMYFUNCTION("split(A933, ""\"")"),"Colby Cave")</f>
        <v>Colby Cave</v>
      </c>
      <c r="C933" s="1" t="str">
        <f>IFERROR(__xludf.DUMMYFUNCTION("""COMPUTED_VALUE"""),"caveco01")</f>
        <v>caveco01</v>
      </c>
      <c r="D933" s="1" t="s">
        <v>31</v>
      </c>
      <c r="E933" s="1">
        <f t="shared" si="1"/>
        <v>2.05</v>
      </c>
      <c r="F933" s="1">
        <f t="shared" si="2"/>
        <v>0.68</v>
      </c>
      <c r="G933" s="1">
        <v>3.0</v>
      </c>
      <c r="H933" s="1">
        <v>0.0</v>
      </c>
      <c r="I933" s="1">
        <v>0.0</v>
      </c>
      <c r="J933" s="1">
        <v>0.0</v>
      </c>
      <c r="K933" s="1">
        <v>2.0</v>
      </c>
      <c r="L933" s="1">
        <v>3.0</v>
      </c>
      <c r="M933" s="1">
        <v>2.0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2.0</v>
      </c>
      <c r="T933" s="1">
        <v>0.0</v>
      </c>
    </row>
    <row r="934">
      <c r="A934" s="1" t="s">
        <v>967</v>
      </c>
      <c r="B934" s="1" t="str">
        <f>IFERROR(__xludf.DUMMYFUNCTION("split(A934, ""\"")"),"Jack Rodewald")</f>
        <v>Jack Rodewald</v>
      </c>
      <c r="C934" s="1" t="str">
        <f>IFERROR(__xludf.DUMMYFUNCTION("""COMPUTED_VALUE"""),"rodewja01")</f>
        <v>rodewja01</v>
      </c>
      <c r="D934" s="1" t="s">
        <v>36</v>
      </c>
      <c r="E934" s="1">
        <f t="shared" si="1"/>
        <v>2.05</v>
      </c>
      <c r="F934" s="1">
        <f t="shared" si="2"/>
        <v>0.51</v>
      </c>
      <c r="G934" s="1">
        <v>4.0</v>
      </c>
      <c r="H934" s="1">
        <v>0.0</v>
      </c>
      <c r="I934" s="1">
        <v>0.0</v>
      </c>
      <c r="J934" s="1">
        <v>0.0</v>
      </c>
      <c r="K934" s="1">
        <v>0.0</v>
      </c>
      <c r="L934" s="1">
        <v>5.0</v>
      </c>
      <c r="M934" s="1">
        <v>2.0</v>
      </c>
      <c r="N934" s="1">
        <v>0.0</v>
      </c>
      <c r="O934" s="1">
        <v>0.0</v>
      </c>
      <c r="P934" s="1">
        <v>0.0</v>
      </c>
      <c r="Q934" s="1">
        <v>0.0</v>
      </c>
      <c r="R934" s="1">
        <v>-1.0</v>
      </c>
      <c r="S934" s="1">
        <v>2.0</v>
      </c>
      <c r="T934" s="1">
        <v>0.0</v>
      </c>
    </row>
    <row r="935">
      <c r="A935" s="1" t="s">
        <v>968</v>
      </c>
      <c r="B935" s="1" t="str">
        <f>IFERROR(__xludf.DUMMYFUNCTION("split(A935, ""\"")"),"Ales Hemsky")</f>
        <v>Ales Hemsky</v>
      </c>
      <c r="C935" s="1" t="str">
        <f>IFERROR(__xludf.DUMMYFUNCTION("""COMPUTED_VALUE"""),"hemskal01")</f>
        <v>hemskal01</v>
      </c>
      <c r="D935" s="1" t="s">
        <v>36</v>
      </c>
      <c r="E935" s="1">
        <f t="shared" si="1"/>
        <v>2.05</v>
      </c>
      <c r="F935" s="1">
        <f t="shared" si="2"/>
        <v>0.29</v>
      </c>
      <c r="G935" s="1">
        <v>7.0</v>
      </c>
      <c r="H935" s="1">
        <v>0.0</v>
      </c>
      <c r="I935" s="1">
        <v>0.0</v>
      </c>
      <c r="J935" s="1">
        <v>0.0</v>
      </c>
      <c r="K935" s="1">
        <v>5.0</v>
      </c>
      <c r="L935" s="1">
        <v>0.0</v>
      </c>
      <c r="M935" s="1">
        <v>2.0</v>
      </c>
      <c r="N935" s="1">
        <v>0.0</v>
      </c>
      <c r="O935" s="1">
        <v>0.0</v>
      </c>
      <c r="P935" s="1">
        <v>0.0</v>
      </c>
      <c r="Q935" s="1">
        <v>0.0</v>
      </c>
      <c r="R935" s="1">
        <v>-1.0</v>
      </c>
      <c r="S935" s="1">
        <v>10.0</v>
      </c>
      <c r="T935" s="1">
        <v>0.0</v>
      </c>
    </row>
    <row r="936">
      <c r="A936" s="1" t="s">
        <v>969</v>
      </c>
      <c r="B936" s="1" t="str">
        <f>IFERROR(__xludf.DUMMYFUNCTION("split(A936, ""\"")"),"Calvin Pickard")</f>
        <v>Calvin Pickard</v>
      </c>
      <c r="C936" s="2" t="str">
        <f>IFERROR(__xludf.DUMMYFUNCTION("""COMPUTED_VALUE"""),"pickaca01")</f>
        <v>pickaca01</v>
      </c>
      <c r="D936" s="1" t="s">
        <v>5</v>
      </c>
      <c r="E936" s="1">
        <f t="shared" si="1"/>
        <v>2</v>
      </c>
      <c r="F936" s="1">
        <f t="shared" si="2"/>
        <v>2</v>
      </c>
      <c r="G936" s="1">
        <v>1.0</v>
      </c>
      <c r="U936" s="1">
        <v>1.0</v>
      </c>
      <c r="V936" s="1">
        <v>0.0</v>
      </c>
      <c r="W936" s="1">
        <v>0.0</v>
      </c>
      <c r="X936" s="1">
        <v>4.0</v>
      </c>
      <c r="Y936" s="1">
        <v>28.0</v>
      </c>
      <c r="Z936" s="1">
        <v>24.0</v>
      </c>
      <c r="AA936" s="1">
        <v>0.0</v>
      </c>
    </row>
    <row r="937">
      <c r="A937" s="1" t="s">
        <v>970</v>
      </c>
      <c r="B937" s="1" t="str">
        <f>IFERROR(__xludf.DUMMYFUNCTION("split(A937, ""\"")"),"Marek Hrivik")</f>
        <v>Marek Hrivik</v>
      </c>
      <c r="C937" s="1" t="str">
        <f>IFERROR(__xludf.DUMMYFUNCTION("""COMPUTED_VALUE"""),"hrivima01")</f>
        <v>hrivima01</v>
      </c>
      <c r="D937" s="1" t="s">
        <v>28</v>
      </c>
      <c r="E937" s="1">
        <f t="shared" si="1"/>
        <v>1.9</v>
      </c>
      <c r="F937" s="1">
        <f t="shared" si="2"/>
        <v>0.63</v>
      </c>
      <c r="G937" s="1">
        <v>3.0</v>
      </c>
      <c r="H937" s="1">
        <v>0.0</v>
      </c>
      <c r="I937" s="1">
        <v>0.0</v>
      </c>
      <c r="J937" s="1">
        <v>0.0</v>
      </c>
      <c r="K937" s="1">
        <v>2.0</v>
      </c>
      <c r="L937" s="1">
        <v>4.0</v>
      </c>
      <c r="M937" s="1">
        <v>1.0</v>
      </c>
      <c r="N937" s="1">
        <v>0.0</v>
      </c>
      <c r="O937" s="1">
        <v>0.0</v>
      </c>
      <c r="P937" s="1">
        <v>0.0</v>
      </c>
      <c r="Q937" s="1">
        <v>0.0</v>
      </c>
      <c r="R937" s="1">
        <v>1.0</v>
      </c>
      <c r="S937" s="1">
        <v>0.0</v>
      </c>
      <c r="T937" s="1">
        <v>0.0</v>
      </c>
    </row>
    <row r="938">
      <c r="A938" s="1" t="s">
        <v>971</v>
      </c>
      <c r="B938" s="1" t="str">
        <f>IFERROR(__xludf.DUMMYFUNCTION("split(A938, ""\"")"),"Tyler Graovac")</f>
        <v>Tyler Graovac</v>
      </c>
      <c r="C938" s="1" t="str">
        <f>IFERROR(__xludf.DUMMYFUNCTION("""COMPUTED_VALUE"""),"graovty01")</f>
        <v>graovty01</v>
      </c>
      <c r="D938" s="1" t="s">
        <v>31</v>
      </c>
      <c r="E938" s="1">
        <f t="shared" si="1"/>
        <v>1.9</v>
      </c>
      <c r="F938" s="1">
        <f t="shared" si="2"/>
        <v>0.38</v>
      </c>
      <c r="G938" s="1">
        <v>5.0</v>
      </c>
      <c r="H938" s="1">
        <v>0.0</v>
      </c>
      <c r="I938" s="1">
        <v>0.0</v>
      </c>
      <c r="J938" s="1">
        <v>0.0</v>
      </c>
      <c r="K938" s="1">
        <v>1.0</v>
      </c>
      <c r="L938" s="1">
        <v>5.0</v>
      </c>
      <c r="M938" s="1">
        <v>1.0</v>
      </c>
      <c r="N938" s="1">
        <v>0.0</v>
      </c>
      <c r="O938" s="1">
        <v>0.0</v>
      </c>
      <c r="P938" s="1">
        <v>0.0</v>
      </c>
      <c r="Q938" s="1">
        <v>0.0</v>
      </c>
      <c r="R938" s="1">
        <v>-3.0</v>
      </c>
      <c r="S938" s="1">
        <v>2.0</v>
      </c>
      <c r="T938" s="1">
        <v>0.0</v>
      </c>
    </row>
    <row r="939">
      <c r="A939" s="1" t="s">
        <v>972</v>
      </c>
      <c r="B939" s="1" t="str">
        <f>IFERROR(__xludf.DUMMYFUNCTION("split(A939, ""\"")"),"Martin Marincin")</f>
        <v>Martin Marincin</v>
      </c>
      <c r="C939" s="1" t="str">
        <f>IFERROR(__xludf.DUMMYFUNCTION("""COMPUTED_VALUE"""),"marinma01")</f>
        <v>marinma01</v>
      </c>
      <c r="D939" s="1" t="s">
        <v>66</v>
      </c>
      <c r="E939" s="1">
        <f t="shared" si="1"/>
        <v>1.85</v>
      </c>
      <c r="F939" s="1">
        <f t="shared" si="2"/>
        <v>0.93</v>
      </c>
      <c r="G939" s="1">
        <v>2.0</v>
      </c>
      <c r="H939" s="1">
        <v>0.0</v>
      </c>
      <c r="I939" s="1">
        <v>0.0</v>
      </c>
      <c r="J939" s="1">
        <v>0.0</v>
      </c>
      <c r="K939" s="1">
        <v>0.0</v>
      </c>
      <c r="L939" s="1">
        <v>1.0</v>
      </c>
      <c r="M939" s="1">
        <v>4.0</v>
      </c>
      <c r="N939" s="1">
        <v>0.0</v>
      </c>
      <c r="O939" s="1">
        <v>0.0</v>
      </c>
      <c r="P939" s="1">
        <v>0.0</v>
      </c>
      <c r="Q939" s="1">
        <v>0.0</v>
      </c>
      <c r="R939" s="1">
        <v>-2.0</v>
      </c>
      <c r="S939" s="1">
        <v>2.0</v>
      </c>
      <c r="T939" s="1">
        <v>0.0</v>
      </c>
    </row>
    <row r="940">
      <c r="A940" s="1" t="s">
        <v>973</v>
      </c>
      <c r="B940" s="1" t="str">
        <f>IFERROR(__xludf.DUMMYFUNCTION("split(A940, ""\"")"),"Mike Blunden")</f>
        <v>Mike Blunden</v>
      </c>
      <c r="C940" s="1" t="str">
        <f>IFERROR(__xludf.DUMMYFUNCTION("""COMPUTED_VALUE"""),"blundmi01")</f>
        <v>blundmi01</v>
      </c>
      <c r="D940" s="1" t="s">
        <v>36</v>
      </c>
      <c r="E940" s="1">
        <f t="shared" si="1"/>
        <v>1.75</v>
      </c>
      <c r="F940" s="1">
        <f t="shared" si="2"/>
        <v>1.75</v>
      </c>
      <c r="G940" s="1">
        <v>1.0</v>
      </c>
      <c r="H940" s="1">
        <v>0.0</v>
      </c>
      <c r="I940" s="1">
        <v>0.0</v>
      </c>
      <c r="J940" s="1">
        <v>0.0</v>
      </c>
      <c r="K940" s="1">
        <v>1.0</v>
      </c>
      <c r="L940" s="1">
        <v>6.0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</row>
    <row r="941">
      <c r="A941" s="1" t="s">
        <v>974</v>
      </c>
      <c r="B941" s="1" t="str">
        <f>IFERROR(__xludf.DUMMYFUNCTION("split(A941, ""\"")"),"Scott Foster")</f>
        <v>Scott Foster</v>
      </c>
      <c r="C941" s="2" t="str">
        <f>IFERROR(__xludf.DUMMYFUNCTION("""COMPUTED_VALUE"""),"fostesc01")</f>
        <v>fostesc01</v>
      </c>
      <c r="D941" s="1" t="s">
        <v>5</v>
      </c>
      <c r="E941" s="1">
        <f t="shared" si="1"/>
        <v>1.75</v>
      </c>
      <c r="F941" s="1">
        <f t="shared" si="2"/>
        <v>1.75</v>
      </c>
      <c r="G941" s="1">
        <v>1.0</v>
      </c>
      <c r="U941" s="1">
        <v>0.0</v>
      </c>
      <c r="V941" s="1">
        <v>0.0</v>
      </c>
      <c r="W941" s="1">
        <v>0.0</v>
      </c>
      <c r="X941" s="1">
        <v>0.0</v>
      </c>
      <c r="Y941" s="1">
        <v>7.0</v>
      </c>
      <c r="Z941" s="1">
        <v>7.0</v>
      </c>
      <c r="AA941" s="1">
        <v>0.0</v>
      </c>
    </row>
    <row r="942">
      <c r="A942" s="1" t="s">
        <v>975</v>
      </c>
      <c r="B942" s="1" t="str">
        <f>IFERROR(__xludf.DUMMYFUNCTION("split(A942, ""\"")"),"Ben Sexton")</f>
        <v>Ben Sexton</v>
      </c>
      <c r="C942" s="1" t="str">
        <f>IFERROR(__xludf.DUMMYFUNCTION("""COMPUTED_VALUE"""),"sextobe01")</f>
        <v>sextobe01</v>
      </c>
      <c r="D942" s="1" t="s">
        <v>31</v>
      </c>
      <c r="E942" s="1">
        <f t="shared" si="1"/>
        <v>1.75</v>
      </c>
      <c r="F942" s="1">
        <f t="shared" si="2"/>
        <v>0.88</v>
      </c>
      <c r="G942" s="1">
        <v>2.0</v>
      </c>
      <c r="H942" s="1">
        <v>0.0</v>
      </c>
      <c r="I942" s="1">
        <v>0.0</v>
      </c>
      <c r="J942" s="1">
        <v>0.0</v>
      </c>
      <c r="K942" s="1">
        <v>1.0</v>
      </c>
      <c r="L942" s="1">
        <v>6.0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-1.0</v>
      </c>
      <c r="S942" s="1">
        <v>0.0</v>
      </c>
      <c r="T942" s="1">
        <v>0.0</v>
      </c>
    </row>
    <row r="943">
      <c r="A943" s="1" t="s">
        <v>976</v>
      </c>
      <c r="B943" s="1" t="str">
        <f>IFERROR(__xludf.DUMMYFUNCTION("split(A943, ""\"")"),"Keegan Lowe")</f>
        <v>Keegan Lowe</v>
      </c>
      <c r="C943" s="1" t="str">
        <f>IFERROR(__xludf.DUMMYFUNCTION("""COMPUTED_VALUE"""),"loweke02")</f>
        <v>loweke02</v>
      </c>
      <c r="D943" s="1" t="s">
        <v>66</v>
      </c>
      <c r="E943" s="1">
        <f t="shared" si="1"/>
        <v>1.65</v>
      </c>
      <c r="F943" s="1">
        <f t="shared" si="2"/>
        <v>0.83</v>
      </c>
      <c r="G943" s="1">
        <v>2.0</v>
      </c>
      <c r="H943" s="1">
        <v>0.0</v>
      </c>
      <c r="I943" s="1">
        <v>0.0</v>
      </c>
      <c r="J943" s="1">
        <v>0.0</v>
      </c>
      <c r="K943" s="1">
        <v>4.0</v>
      </c>
      <c r="L943" s="1">
        <v>1.0</v>
      </c>
      <c r="M943" s="1">
        <v>1.0</v>
      </c>
      <c r="N943" s="1">
        <v>0.0</v>
      </c>
      <c r="O943" s="1">
        <v>0.0</v>
      </c>
      <c r="P943" s="1">
        <v>0.0</v>
      </c>
      <c r="Q943" s="1">
        <v>0.0</v>
      </c>
      <c r="R943" s="1">
        <v>-1.0</v>
      </c>
      <c r="S943" s="1">
        <v>0.0</v>
      </c>
      <c r="T943" s="1">
        <v>0.0</v>
      </c>
    </row>
    <row r="944">
      <c r="A944" s="1" t="s">
        <v>977</v>
      </c>
      <c r="B944" s="1" t="str">
        <f>IFERROR(__xludf.DUMMYFUNCTION("split(A944, ""\"")"),"Eeli Tolvanen")</f>
        <v>Eeli Tolvanen</v>
      </c>
      <c r="C944" s="1" t="str">
        <f>IFERROR(__xludf.DUMMYFUNCTION("""COMPUTED_VALUE"""),"tolvaee01")</f>
        <v>tolvaee01</v>
      </c>
      <c r="D944" s="1" t="s">
        <v>36</v>
      </c>
      <c r="E944" s="1">
        <f t="shared" si="1"/>
        <v>1.65</v>
      </c>
      <c r="F944" s="1">
        <f t="shared" si="2"/>
        <v>0.55</v>
      </c>
      <c r="G944" s="1">
        <v>3.0</v>
      </c>
      <c r="H944" s="1">
        <v>0.0</v>
      </c>
      <c r="I944" s="1">
        <v>0.0</v>
      </c>
      <c r="J944" s="1">
        <v>0.0</v>
      </c>
      <c r="K944" s="1">
        <v>3.0</v>
      </c>
      <c r="L944" s="1">
        <v>2.0</v>
      </c>
      <c r="M944" s="1">
        <v>1.0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</row>
    <row r="945">
      <c r="A945" s="1" t="s">
        <v>978</v>
      </c>
      <c r="B945" s="1" t="str">
        <f>IFERROR(__xludf.DUMMYFUNCTION("split(A945, ""\"")"),"Andreas Englund")</f>
        <v>Andreas Englund</v>
      </c>
      <c r="C945" s="1" t="str">
        <f>IFERROR(__xludf.DUMMYFUNCTION("""COMPUTED_VALUE"""),"engluan01")</f>
        <v>engluan01</v>
      </c>
      <c r="D945" s="1" t="s">
        <v>66</v>
      </c>
      <c r="E945" s="1">
        <f t="shared" si="1"/>
        <v>1.55</v>
      </c>
      <c r="F945" s="1">
        <f t="shared" si="2"/>
        <v>1.55</v>
      </c>
      <c r="G945" s="1">
        <v>1.0</v>
      </c>
      <c r="H945" s="1">
        <v>0.0</v>
      </c>
      <c r="I945" s="1">
        <v>0.0</v>
      </c>
      <c r="J945" s="1">
        <v>0.0</v>
      </c>
      <c r="K945" s="1">
        <v>0.0</v>
      </c>
      <c r="L945" s="1">
        <v>3.0</v>
      </c>
      <c r="M945" s="1">
        <v>2.0</v>
      </c>
      <c r="N945" s="1">
        <v>0.0</v>
      </c>
      <c r="O945" s="1">
        <v>0.0</v>
      </c>
      <c r="P945" s="1">
        <v>0.0</v>
      </c>
      <c r="Q945" s="1">
        <v>0.0</v>
      </c>
      <c r="R945" s="1">
        <v>1.0</v>
      </c>
      <c r="S945" s="1">
        <v>0.0</v>
      </c>
      <c r="T945" s="1">
        <v>0.0</v>
      </c>
    </row>
    <row r="946">
      <c r="A946" s="1" t="s">
        <v>979</v>
      </c>
      <c r="B946" s="1" t="str">
        <f>IFERROR(__xludf.DUMMYFUNCTION("split(A946, ""\"")"),"Justin Auger")</f>
        <v>Justin Auger</v>
      </c>
      <c r="C946" s="1" t="str">
        <f>IFERROR(__xludf.DUMMYFUNCTION("""COMPUTED_VALUE"""),"augerju01")</f>
        <v>augerju01</v>
      </c>
      <c r="D946" s="1" t="s">
        <v>36</v>
      </c>
      <c r="E946" s="1">
        <f t="shared" si="1"/>
        <v>1.55</v>
      </c>
      <c r="F946" s="1">
        <f t="shared" si="2"/>
        <v>0.78</v>
      </c>
      <c r="G946" s="1">
        <v>2.0</v>
      </c>
      <c r="H946" s="1">
        <v>0.0</v>
      </c>
      <c r="I946" s="1">
        <v>0.0</v>
      </c>
      <c r="J946" s="1">
        <v>0.0</v>
      </c>
      <c r="K946" s="1">
        <v>1.0</v>
      </c>
      <c r="L946" s="1">
        <v>2.0</v>
      </c>
      <c r="M946" s="1">
        <v>2.0</v>
      </c>
      <c r="N946" s="1">
        <v>0.0</v>
      </c>
      <c r="O946" s="1">
        <v>0.0</v>
      </c>
      <c r="P946" s="1">
        <v>0.0</v>
      </c>
      <c r="Q946" s="1">
        <v>0.0</v>
      </c>
      <c r="R946" s="1">
        <v>-1.0</v>
      </c>
      <c r="S946" s="1">
        <v>0.0</v>
      </c>
      <c r="T946" s="1">
        <v>0.0</v>
      </c>
    </row>
    <row r="947">
      <c r="A947" s="1" t="s">
        <v>980</v>
      </c>
      <c r="B947" s="1" t="str">
        <f>IFERROR(__xludf.DUMMYFUNCTION("split(A947, ""\"")"),"Troy Terry")</f>
        <v>Troy Terry</v>
      </c>
      <c r="C947" s="1" t="str">
        <f>IFERROR(__xludf.DUMMYFUNCTION("""COMPUTED_VALUE"""),"terrytr01")</f>
        <v>terrytr01</v>
      </c>
      <c r="D947" s="1" t="s">
        <v>42</v>
      </c>
      <c r="E947" s="1">
        <f t="shared" si="1"/>
        <v>1.55</v>
      </c>
      <c r="F947" s="1">
        <f t="shared" si="2"/>
        <v>0.78</v>
      </c>
      <c r="G947" s="1">
        <v>2.0</v>
      </c>
      <c r="H947" s="1">
        <v>0.0</v>
      </c>
      <c r="I947" s="1">
        <v>0.0</v>
      </c>
      <c r="J947" s="1">
        <v>0.0</v>
      </c>
      <c r="K947" s="1">
        <v>3.0</v>
      </c>
      <c r="L947" s="1">
        <v>0.0</v>
      </c>
      <c r="M947" s="1">
        <v>2.0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</row>
    <row r="948">
      <c r="A948" s="1" t="s">
        <v>981</v>
      </c>
      <c r="B948" s="1" t="str">
        <f>IFERROR(__xludf.DUMMYFUNCTION("split(A948, ""\"")"),"Blake Pietila")</f>
        <v>Blake Pietila</v>
      </c>
      <c r="C948" s="1" t="str">
        <f>IFERROR(__xludf.DUMMYFUNCTION("""COMPUTED_VALUE"""),"pietibl01")</f>
        <v>pietibl01</v>
      </c>
      <c r="D948" s="1" t="s">
        <v>28</v>
      </c>
      <c r="E948" s="1">
        <f t="shared" si="1"/>
        <v>1.5</v>
      </c>
      <c r="F948" s="1">
        <f t="shared" si="2"/>
        <v>0.75</v>
      </c>
      <c r="G948" s="1">
        <v>2.0</v>
      </c>
      <c r="H948" s="1">
        <v>0.0</v>
      </c>
      <c r="I948" s="1">
        <v>0.0</v>
      </c>
      <c r="J948" s="1">
        <v>0.0</v>
      </c>
      <c r="K948" s="1">
        <v>1.0</v>
      </c>
      <c r="L948" s="1">
        <v>5.0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</row>
    <row r="949">
      <c r="A949" s="1" t="s">
        <v>982</v>
      </c>
      <c r="B949" s="1" t="str">
        <f>IFERROR(__xludf.DUMMYFUNCTION("split(A949, ""\"")"),"Laurent Dauphin")</f>
        <v>Laurent Dauphin</v>
      </c>
      <c r="C949" s="1" t="str">
        <f>IFERROR(__xludf.DUMMYFUNCTION("""COMPUTED_VALUE"""),"dauphla01")</f>
        <v>dauphla01</v>
      </c>
      <c r="D949" s="1" t="s">
        <v>31</v>
      </c>
      <c r="E949" s="1">
        <f t="shared" si="1"/>
        <v>1.3</v>
      </c>
      <c r="F949" s="1">
        <f t="shared" si="2"/>
        <v>0.65</v>
      </c>
      <c r="G949" s="1">
        <v>2.0</v>
      </c>
      <c r="H949" s="1">
        <v>0.0</v>
      </c>
      <c r="I949" s="1">
        <v>0.0</v>
      </c>
      <c r="J949" s="1">
        <v>0.0</v>
      </c>
      <c r="K949" s="1">
        <v>1.0</v>
      </c>
      <c r="L949" s="1">
        <v>1.0</v>
      </c>
      <c r="M949" s="1">
        <v>2.0</v>
      </c>
      <c r="N949" s="1">
        <v>0.0</v>
      </c>
      <c r="O949" s="1">
        <v>0.0</v>
      </c>
      <c r="P949" s="1">
        <v>0.0</v>
      </c>
      <c r="Q949" s="1">
        <v>0.0</v>
      </c>
      <c r="R949" s="1">
        <v>-1.0</v>
      </c>
      <c r="S949" s="1">
        <v>2.0</v>
      </c>
      <c r="T949" s="1">
        <v>0.0</v>
      </c>
    </row>
    <row r="950">
      <c r="A950" s="1" t="s">
        <v>983</v>
      </c>
      <c r="B950" s="1" t="str">
        <f>IFERROR(__xludf.DUMMYFUNCTION("split(A950, ""\"")"),"Rinat Valiev")</f>
        <v>Rinat Valiev</v>
      </c>
      <c r="C950" s="1" t="str">
        <f>IFERROR(__xludf.DUMMYFUNCTION("""COMPUTED_VALUE"""),"valieri01")</f>
        <v>valieri01</v>
      </c>
      <c r="D950" s="1" t="s">
        <v>66</v>
      </c>
      <c r="E950" s="1">
        <f t="shared" si="1"/>
        <v>1.3</v>
      </c>
      <c r="F950" s="1">
        <f t="shared" si="2"/>
        <v>0.65</v>
      </c>
      <c r="G950" s="1">
        <v>2.0</v>
      </c>
      <c r="H950" s="1">
        <v>0.0</v>
      </c>
      <c r="I950" s="1">
        <v>0.0</v>
      </c>
      <c r="J950" s="1">
        <v>0.0</v>
      </c>
      <c r="K950" s="1">
        <v>2.0</v>
      </c>
      <c r="L950" s="1">
        <v>0.0</v>
      </c>
      <c r="M950" s="1">
        <v>2.0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2.0</v>
      </c>
      <c r="T950" s="1">
        <v>0.0</v>
      </c>
    </row>
    <row r="951">
      <c r="A951" s="1" t="s">
        <v>984</v>
      </c>
      <c r="B951" s="1" t="str">
        <f>IFERROR(__xludf.DUMMYFUNCTION("split(A951, ""\"")"),"Kevin Rooney")</f>
        <v>Kevin Rooney</v>
      </c>
      <c r="C951" s="1" t="str">
        <f>IFERROR(__xludf.DUMMYFUNCTION("""COMPUTED_VALUE"""),"rooneke01")</f>
        <v>rooneke01</v>
      </c>
      <c r="D951" s="1" t="s">
        <v>31</v>
      </c>
      <c r="E951" s="1">
        <f t="shared" si="1"/>
        <v>1.25</v>
      </c>
      <c r="F951" s="1">
        <f t="shared" si="2"/>
        <v>1.25</v>
      </c>
      <c r="G951" s="1">
        <v>1.0</v>
      </c>
      <c r="H951" s="1">
        <v>0.0</v>
      </c>
      <c r="I951" s="1">
        <v>0.0</v>
      </c>
      <c r="J951" s="1">
        <v>0.0</v>
      </c>
      <c r="K951" s="1">
        <v>3.0</v>
      </c>
      <c r="L951" s="1">
        <v>2.0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</row>
    <row r="952">
      <c r="A952" s="1" t="s">
        <v>985</v>
      </c>
      <c r="B952" s="1" t="str">
        <f>IFERROR(__xludf.DUMMYFUNCTION("split(A952, ""\"")"),"Nathan Gerbe")</f>
        <v>Nathan Gerbe</v>
      </c>
      <c r="C952" s="1" t="str">
        <f>IFERROR(__xludf.DUMMYFUNCTION("""COMPUTED_VALUE"""),"gerbena01")</f>
        <v>gerbena01</v>
      </c>
      <c r="D952" s="1" t="s">
        <v>31</v>
      </c>
      <c r="E952" s="1">
        <f t="shared" si="1"/>
        <v>1.25</v>
      </c>
      <c r="F952" s="1">
        <f t="shared" si="2"/>
        <v>0.63</v>
      </c>
      <c r="G952" s="1">
        <v>2.0</v>
      </c>
      <c r="H952" s="1">
        <v>0.0</v>
      </c>
      <c r="I952" s="1">
        <v>0.0</v>
      </c>
      <c r="J952" s="1">
        <v>0.0</v>
      </c>
      <c r="K952" s="1">
        <v>1.0</v>
      </c>
      <c r="L952" s="1">
        <v>4.0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-1.0</v>
      </c>
      <c r="S952" s="1">
        <v>0.0</v>
      </c>
      <c r="T952" s="1">
        <v>0.0</v>
      </c>
    </row>
    <row r="953">
      <c r="A953" s="1" t="s">
        <v>986</v>
      </c>
      <c r="B953" s="1" t="str">
        <f>IFERROR(__xludf.DUMMYFUNCTION("split(A953, ""\"")"),"Mark Streit")</f>
        <v>Mark Streit</v>
      </c>
      <c r="C953" s="1" t="str">
        <f>IFERROR(__xludf.DUMMYFUNCTION("""COMPUTED_VALUE"""),"streima01")</f>
        <v>streima01</v>
      </c>
      <c r="D953" s="1" t="s">
        <v>66</v>
      </c>
      <c r="E953" s="1">
        <f t="shared" si="1"/>
        <v>1.25</v>
      </c>
      <c r="F953" s="1">
        <f t="shared" si="2"/>
        <v>0.63</v>
      </c>
      <c r="G953" s="1">
        <v>2.0</v>
      </c>
      <c r="H953" s="1">
        <v>0.0</v>
      </c>
      <c r="I953" s="1">
        <v>0.0</v>
      </c>
      <c r="J953" s="1">
        <v>0.0</v>
      </c>
      <c r="K953" s="1">
        <v>3.0</v>
      </c>
      <c r="L953" s="1">
        <v>2.0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-2.0</v>
      </c>
      <c r="S953" s="1">
        <v>0.0</v>
      </c>
      <c r="T953" s="1">
        <v>0.0</v>
      </c>
    </row>
    <row r="954">
      <c r="A954" s="1" t="s">
        <v>987</v>
      </c>
      <c r="B954" s="1" t="str">
        <f>IFERROR(__xludf.DUMMYFUNCTION("split(A954, ""\"")"),"Liam O'Brien")</f>
        <v>Liam O'Brien</v>
      </c>
      <c r="C954" s="1" t="str">
        <f>IFERROR(__xludf.DUMMYFUNCTION("""COMPUTED_VALUE"""),"obrieli01")</f>
        <v>obrieli01</v>
      </c>
      <c r="D954" s="1" t="s">
        <v>31</v>
      </c>
      <c r="E954" s="1">
        <f t="shared" si="1"/>
        <v>1.25</v>
      </c>
      <c r="F954" s="1">
        <f t="shared" si="2"/>
        <v>0.42</v>
      </c>
      <c r="G954" s="1">
        <v>3.0</v>
      </c>
      <c r="H954" s="1">
        <v>0.0</v>
      </c>
      <c r="I954" s="1">
        <v>0.0</v>
      </c>
      <c r="J954" s="1">
        <v>0.0</v>
      </c>
      <c r="K954" s="1">
        <v>1.0</v>
      </c>
      <c r="L954" s="1">
        <v>4.0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5.0</v>
      </c>
      <c r="T954" s="1">
        <v>0.0</v>
      </c>
    </row>
    <row r="955">
      <c r="A955" s="1" t="s">
        <v>988</v>
      </c>
      <c r="B955" s="1" t="str">
        <f>IFERROR(__xludf.DUMMYFUNCTION("split(A955, ""\"")"),"Kyle Capobianco")</f>
        <v>Kyle Capobianco</v>
      </c>
      <c r="C955" s="1" t="str">
        <f>IFERROR(__xludf.DUMMYFUNCTION("""COMPUTED_VALUE"""),"capobky01")</f>
        <v>capobky01</v>
      </c>
      <c r="D955" s="1" t="s">
        <v>66</v>
      </c>
      <c r="E955" s="1">
        <f t="shared" si="1"/>
        <v>1.15</v>
      </c>
      <c r="F955" s="1">
        <f t="shared" si="2"/>
        <v>1.15</v>
      </c>
      <c r="G955" s="1">
        <v>1.0</v>
      </c>
      <c r="H955" s="1">
        <v>0.0</v>
      </c>
      <c r="I955" s="1">
        <v>0.0</v>
      </c>
      <c r="J955" s="1">
        <v>0.0</v>
      </c>
      <c r="K955" s="1">
        <v>0.0</v>
      </c>
      <c r="L955" s="1">
        <v>3.0</v>
      </c>
      <c r="M955" s="1">
        <v>1.0</v>
      </c>
      <c r="N955" s="1">
        <v>0.0</v>
      </c>
      <c r="O955" s="1">
        <v>0.0</v>
      </c>
      <c r="P955" s="1">
        <v>0.0</v>
      </c>
      <c r="Q955" s="1">
        <v>0.0</v>
      </c>
      <c r="R955" s="1">
        <v>-1.0</v>
      </c>
      <c r="S955" s="1">
        <v>0.0</v>
      </c>
      <c r="T955" s="1">
        <v>0.0</v>
      </c>
    </row>
    <row r="956">
      <c r="A956" s="1" t="s">
        <v>989</v>
      </c>
      <c r="B956" s="1" t="str">
        <f>IFERROR(__xludf.DUMMYFUNCTION("split(A956, ""\"")"),"Mitch Reinke")</f>
        <v>Mitch Reinke</v>
      </c>
      <c r="C956" s="1" t="str">
        <f>IFERROR(__xludf.DUMMYFUNCTION("""COMPUTED_VALUE"""),"reinkmi01")</f>
        <v>reinkmi01</v>
      </c>
      <c r="D956" s="1" t="s">
        <v>66</v>
      </c>
      <c r="E956" s="1">
        <f t="shared" si="1"/>
        <v>1.05</v>
      </c>
      <c r="F956" s="1">
        <f t="shared" si="2"/>
        <v>1.05</v>
      </c>
      <c r="G956" s="1">
        <v>1.0</v>
      </c>
      <c r="H956" s="1">
        <v>0.0</v>
      </c>
      <c r="I956" s="1">
        <v>0.0</v>
      </c>
      <c r="J956" s="1">
        <v>0.0</v>
      </c>
      <c r="K956" s="1">
        <v>1.0</v>
      </c>
      <c r="L956" s="1">
        <v>0.0</v>
      </c>
      <c r="M956" s="1">
        <v>2.0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</row>
    <row r="957">
      <c r="A957" s="1" t="s">
        <v>990</v>
      </c>
      <c r="B957" s="1" t="str">
        <f>IFERROR(__xludf.DUMMYFUNCTION("split(A957, ""\"")"),"Dylan Gambrell")</f>
        <v>Dylan Gambrell</v>
      </c>
      <c r="C957" s="1" t="str">
        <f>IFERROR(__xludf.DUMMYFUNCTION("""COMPUTED_VALUE"""),"gambrdy01")</f>
        <v>gambrdy01</v>
      </c>
      <c r="D957" s="1" t="s">
        <v>31</v>
      </c>
      <c r="E957" s="1">
        <f t="shared" si="1"/>
        <v>1.05</v>
      </c>
      <c r="F957" s="1">
        <f t="shared" si="2"/>
        <v>0.35</v>
      </c>
      <c r="G957" s="1">
        <v>3.0</v>
      </c>
      <c r="H957" s="1">
        <v>0.0</v>
      </c>
      <c r="I957" s="1">
        <v>0.0</v>
      </c>
      <c r="J957" s="1">
        <v>0.0</v>
      </c>
      <c r="K957" s="1">
        <v>1.0</v>
      </c>
      <c r="L957" s="1">
        <v>0.0</v>
      </c>
      <c r="M957" s="1">
        <v>2.0</v>
      </c>
      <c r="N957" s="1">
        <v>0.0</v>
      </c>
      <c r="O957" s="1">
        <v>0.0</v>
      </c>
      <c r="P957" s="1">
        <v>0.0</v>
      </c>
      <c r="Q957" s="1">
        <v>0.0</v>
      </c>
      <c r="R957" s="1">
        <v>-1.0</v>
      </c>
      <c r="S957" s="1">
        <v>0.0</v>
      </c>
      <c r="T957" s="1">
        <v>0.0</v>
      </c>
    </row>
    <row r="958">
      <c r="A958" s="1" t="s">
        <v>991</v>
      </c>
      <c r="B958" s="1" t="str">
        <f>IFERROR(__xludf.DUMMYFUNCTION("split(A958, ""\"")"),"Andrew Crescenzi")</f>
        <v>Andrew Crescenzi</v>
      </c>
      <c r="C958" s="1" t="str">
        <f>IFERROR(__xludf.DUMMYFUNCTION("""COMPUTED_VALUE"""),"crescan01")</f>
        <v>crescan01</v>
      </c>
      <c r="D958" s="1" t="s">
        <v>31</v>
      </c>
      <c r="E958" s="1">
        <f t="shared" si="1"/>
        <v>1</v>
      </c>
      <c r="F958" s="1">
        <f t="shared" si="2"/>
        <v>0.5</v>
      </c>
      <c r="G958" s="1">
        <v>2.0</v>
      </c>
      <c r="H958" s="1">
        <v>0.0</v>
      </c>
      <c r="I958" s="1">
        <v>0.0</v>
      </c>
      <c r="J958" s="1">
        <v>0.0</v>
      </c>
      <c r="K958" s="1">
        <v>0.0</v>
      </c>
      <c r="L958" s="1">
        <v>4.0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2.0</v>
      </c>
      <c r="T958" s="1">
        <v>0.0</v>
      </c>
    </row>
    <row r="959">
      <c r="A959" s="1" t="s">
        <v>992</v>
      </c>
      <c r="B959" s="1" t="str">
        <f>IFERROR(__xludf.DUMMYFUNCTION("split(A959, ""\"")"),"Christian Jaros")</f>
        <v>Christian Jaros</v>
      </c>
      <c r="C959" s="1" t="str">
        <f>IFERROR(__xludf.DUMMYFUNCTION("""COMPUTED_VALUE"""),"jarosch01")</f>
        <v>jarosch01</v>
      </c>
      <c r="D959" s="1" t="s">
        <v>66</v>
      </c>
      <c r="E959" s="1">
        <f t="shared" si="1"/>
        <v>1</v>
      </c>
      <c r="F959" s="1">
        <f t="shared" si="2"/>
        <v>0.5</v>
      </c>
      <c r="G959" s="1">
        <v>2.0</v>
      </c>
      <c r="H959" s="1">
        <v>0.0</v>
      </c>
      <c r="I959" s="1">
        <v>0.0</v>
      </c>
      <c r="J959" s="1">
        <v>0.0</v>
      </c>
      <c r="K959" s="1">
        <v>0.0</v>
      </c>
      <c r="L959" s="1">
        <v>4.0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</row>
    <row r="960">
      <c r="A960" s="1" t="s">
        <v>993</v>
      </c>
      <c r="B960" s="1" t="str">
        <f>IFERROR(__xludf.DUMMYFUNCTION("split(A960, ""\"")"),"Anthony Peluso")</f>
        <v>Anthony Peluso</v>
      </c>
      <c r="C960" s="1" t="str">
        <f>IFERROR(__xludf.DUMMYFUNCTION("""COMPUTED_VALUE"""),"pelusan01")</f>
        <v>pelusan01</v>
      </c>
      <c r="D960" s="1" t="s">
        <v>36</v>
      </c>
      <c r="E960" s="1">
        <f t="shared" si="1"/>
        <v>1</v>
      </c>
      <c r="F960" s="1">
        <f t="shared" si="2"/>
        <v>0.5</v>
      </c>
      <c r="G960" s="1">
        <v>2.0</v>
      </c>
      <c r="H960" s="1">
        <v>0.0</v>
      </c>
      <c r="I960" s="1">
        <v>0.0</v>
      </c>
      <c r="J960" s="1">
        <v>0.0</v>
      </c>
      <c r="K960" s="1">
        <v>0.0</v>
      </c>
      <c r="L960" s="1">
        <v>4.0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4.0</v>
      </c>
      <c r="T960" s="1">
        <v>0.0</v>
      </c>
    </row>
    <row r="961">
      <c r="A961" s="1" t="s">
        <v>994</v>
      </c>
      <c r="B961" s="1" t="str">
        <f>IFERROR(__xludf.DUMMYFUNCTION("split(A961, ""\"")"),"Vladislav Kamenev")</f>
        <v>Vladislav Kamenev</v>
      </c>
      <c r="C961" s="1" t="str">
        <f>IFERROR(__xludf.DUMMYFUNCTION("""COMPUTED_VALUE"""),"kamenvl01")</f>
        <v>kamenvl01</v>
      </c>
      <c r="D961" s="1" t="s">
        <v>28</v>
      </c>
      <c r="E961" s="1">
        <f t="shared" si="1"/>
        <v>1</v>
      </c>
      <c r="F961" s="1">
        <f t="shared" si="2"/>
        <v>0.33</v>
      </c>
      <c r="G961" s="1">
        <v>3.0</v>
      </c>
      <c r="H961" s="1">
        <v>0.0</v>
      </c>
      <c r="I961" s="1">
        <v>0.0</v>
      </c>
      <c r="J961" s="1">
        <v>0.0</v>
      </c>
      <c r="K961" s="1">
        <v>1.0</v>
      </c>
      <c r="L961" s="1">
        <v>3.0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-2.0</v>
      </c>
      <c r="S961" s="1">
        <v>0.0</v>
      </c>
      <c r="T961" s="1">
        <v>0.0</v>
      </c>
    </row>
    <row r="962">
      <c r="A962" s="1" t="s">
        <v>995</v>
      </c>
      <c r="B962" s="1" t="str">
        <f>IFERROR(__xludf.DUMMYFUNCTION("split(A962, ""\"")"),"Daniel Catenacci")</f>
        <v>Daniel Catenacci</v>
      </c>
      <c r="C962" s="1" t="str">
        <f>IFERROR(__xludf.DUMMYFUNCTION("""COMPUTED_VALUE"""),"catenda01")</f>
        <v>catenda01</v>
      </c>
      <c r="D962" s="1" t="s">
        <v>31</v>
      </c>
      <c r="E962" s="1">
        <f t="shared" si="1"/>
        <v>0.9</v>
      </c>
      <c r="F962" s="1">
        <f t="shared" si="2"/>
        <v>0.9</v>
      </c>
      <c r="G962" s="1">
        <v>1.0</v>
      </c>
      <c r="H962" s="1">
        <v>0.0</v>
      </c>
      <c r="I962" s="1">
        <v>0.0</v>
      </c>
      <c r="J962" s="1">
        <v>0.0</v>
      </c>
      <c r="K962" s="1">
        <v>1.0</v>
      </c>
      <c r="L962" s="1">
        <v>1.0</v>
      </c>
      <c r="M962" s="1">
        <v>1.0</v>
      </c>
      <c r="N962" s="1">
        <v>0.0</v>
      </c>
      <c r="O962" s="1">
        <v>0.0</v>
      </c>
      <c r="P962" s="1">
        <v>0.0</v>
      </c>
      <c r="Q962" s="1">
        <v>0.0</v>
      </c>
      <c r="R962" s="1">
        <v>-1.0</v>
      </c>
      <c r="S962" s="1">
        <v>0.0</v>
      </c>
      <c r="T962" s="1">
        <v>0.0</v>
      </c>
    </row>
    <row r="963">
      <c r="A963" s="1" t="s">
        <v>996</v>
      </c>
      <c r="B963" s="1" t="str">
        <f>IFERROR(__xludf.DUMMYFUNCTION("split(A963, ""\"")"),"Michael Dal Colle")</f>
        <v>Michael Dal Colle</v>
      </c>
      <c r="C963" s="1" t="str">
        <f>IFERROR(__xludf.DUMMYFUNCTION("""COMPUTED_VALUE"""),"dalcomi01")</f>
        <v>dalcomi01</v>
      </c>
      <c r="D963" s="1" t="s">
        <v>28</v>
      </c>
      <c r="E963" s="1">
        <f t="shared" si="1"/>
        <v>0.9</v>
      </c>
      <c r="F963" s="1">
        <f t="shared" si="2"/>
        <v>0.23</v>
      </c>
      <c r="G963" s="1">
        <v>4.0</v>
      </c>
      <c r="H963" s="1">
        <v>0.0</v>
      </c>
      <c r="I963" s="1">
        <v>0.0</v>
      </c>
      <c r="J963" s="1">
        <v>0.0</v>
      </c>
      <c r="K963" s="1">
        <v>1.0</v>
      </c>
      <c r="L963" s="1">
        <v>1.0</v>
      </c>
      <c r="M963" s="1">
        <v>1.0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</row>
    <row r="964">
      <c r="A964" s="1" t="s">
        <v>997</v>
      </c>
      <c r="B964" s="1" t="str">
        <f>IFERROR(__xludf.DUMMYFUNCTION("split(A964, ""\"")"),"Anton Blidh")</f>
        <v>Anton Blidh</v>
      </c>
      <c r="C964" s="1" t="str">
        <f>IFERROR(__xludf.DUMMYFUNCTION("""COMPUTED_VALUE"""),"blidhan01")</f>
        <v>blidhan01</v>
      </c>
      <c r="D964" s="1" t="s">
        <v>28</v>
      </c>
      <c r="E964" s="1">
        <f t="shared" si="1"/>
        <v>0.75</v>
      </c>
      <c r="F964" s="1">
        <f t="shared" si="2"/>
        <v>0.75</v>
      </c>
      <c r="G964" s="1">
        <v>1.0</v>
      </c>
      <c r="H964" s="1">
        <v>0.0</v>
      </c>
      <c r="I964" s="1">
        <v>0.0</v>
      </c>
      <c r="J964" s="1">
        <v>0.0</v>
      </c>
      <c r="K964" s="1">
        <v>0.0</v>
      </c>
      <c r="L964" s="1">
        <v>3.0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</row>
    <row r="965">
      <c r="A965" s="1" t="s">
        <v>998</v>
      </c>
      <c r="B965" s="1" t="str">
        <f>IFERROR(__xludf.DUMMYFUNCTION("split(A965, ""\"")"),"Steven Fogarty")</f>
        <v>Steven Fogarty</v>
      </c>
      <c r="C965" s="1" t="str">
        <f>IFERROR(__xludf.DUMMYFUNCTION("""COMPUTED_VALUE"""),"fogarst01")</f>
        <v>fogarst01</v>
      </c>
      <c r="D965" s="1" t="s">
        <v>31</v>
      </c>
      <c r="E965" s="1">
        <f t="shared" si="1"/>
        <v>0.75</v>
      </c>
      <c r="F965" s="1">
        <f t="shared" si="2"/>
        <v>0.75</v>
      </c>
      <c r="G965" s="1">
        <v>1.0</v>
      </c>
      <c r="H965" s="1">
        <v>0.0</v>
      </c>
      <c r="I965" s="1">
        <v>0.0</v>
      </c>
      <c r="J965" s="1">
        <v>0.0</v>
      </c>
      <c r="K965" s="1">
        <v>1.0</v>
      </c>
      <c r="L965" s="1">
        <v>2.0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2.0</v>
      </c>
      <c r="T965" s="1">
        <v>0.0</v>
      </c>
    </row>
    <row r="966">
      <c r="A966" s="1" t="s">
        <v>999</v>
      </c>
      <c r="B966" s="1" t="str">
        <f>IFERROR(__xludf.DUMMYFUNCTION("split(A966, ""\"")"),"Nicolas Roy")</f>
        <v>Nicolas Roy</v>
      </c>
      <c r="C966" s="1" t="str">
        <f>IFERROR(__xludf.DUMMYFUNCTION("""COMPUTED_VALUE"""),"royni01")</f>
        <v>royni01</v>
      </c>
      <c r="D966" s="1" t="s">
        <v>31</v>
      </c>
      <c r="E966" s="1">
        <f t="shared" si="1"/>
        <v>0.75</v>
      </c>
      <c r="F966" s="1">
        <f t="shared" si="2"/>
        <v>0.75</v>
      </c>
      <c r="G966" s="1">
        <v>1.0</v>
      </c>
      <c r="H966" s="1">
        <v>0.0</v>
      </c>
      <c r="I966" s="1">
        <v>0.0</v>
      </c>
      <c r="J966" s="1">
        <v>0.0</v>
      </c>
      <c r="K966" s="1">
        <v>1.0</v>
      </c>
      <c r="L966" s="1">
        <v>2.0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-1.0</v>
      </c>
      <c r="S966" s="1">
        <v>0.0</v>
      </c>
      <c r="T966" s="1">
        <v>0.0</v>
      </c>
    </row>
    <row r="967">
      <c r="A967" s="1" t="s">
        <v>1000</v>
      </c>
      <c r="B967" s="1" t="str">
        <f>IFERROR(__xludf.DUMMYFUNCTION("split(A967, ""\"")"),"Will O'Neill")</f>
        <v>Will O'Neill</v>
      </c>
      <c r="C967" s="1" t="str">
        <f>IFERROR(__xludf.DUMMYFUNCTION("""COMPUTED_VALUE"""),"oneilwi01")</f>
        <v>oneilwi01</v>
      </c>
      <c r="D967" s="1" t="s">
        <v>66</v>
      </c>
      <c r="E967" s="1">
        <f t="shared" si="1"/>
        <v>0.75</v>
      </c>
      <c r="F967" s="1">
        <f t="shared" si="2"/>
        <v>0.75</v>
      </c>
      <c r="G967" s="1">
        <v>1.0</v>
      </c>
      <c r="H967" s="1">
        <v>0.0</v>
      </c>
      <c r="I967" s="1">
        <v>0.0</v>
      </c>
      <c r="J967" s="1">
        <v>0.0</v>
      </c>
      <c r="K967" s="1">
        <v>3.0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</row>
    <row r="968">
      <c r="A968" s="1" t="s">
        <v>1001</v>
      </c>
      <c r="B968" s="1" t="str">
        <f>IFERROR(__xludf.DUMMYFUNCTION("split(A968, ""\"")"),"Alex Formenton")</f>
        <v>Alex Formenton</v>
      </c>
      <c r="C968" s="1" t="str">
        <f>IFERROR(__xludf.DUMMYFUNCTION("""COMPUTED_VALUE"""),"formeal01")</f>
        <v>formeal01</v>
      </c>
      <c r="D968" s="1" t="s">
        <v>28</v>
      </c>
      <c r="E968" s="1">
        <f t="shared" si="1"/>
        <v>0.65</v>
      </c>
      <c r="F968" s="1">
        <f t="shared" si="2"/>
        <v>0.65</v>
      </c>
      <c r="G968" s="1">
        <v>1.0</v>
      </c>
      <c r="H968" s="1">
        <v>0.0</v>
      </c>
      <c r="I968" s="1">
        <v>0.0</v>
      </c>
      <c r="J968" s="1">
        <v>0.0</v>
      </c>
      <c r="K968" s="1">
        <v>0.0</v>
      </c>
      <c r="L968" s="1">
        <v>1.0</v>
      </c>
      <c r="M968" s="1">
        <v>1.0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</row>
    <row r="969">
      <c r="A969" s="1" t="s">
        <v>1002</v>
      </c>
      <c r="B969" s="1" t="str">
        <f>IFERROR(__xludf.DUMMYFUNCTION("split(A969, ""\"")"),"Cal O'Reilly")</f>
        <v>Cal O'Reilly</v>
      </c>
      <c r="C969" s="1" t="str">
        <f>IFERROR(__xludf.DUMMYFUNCTION("""COMPUTED_VALUE"""),"oreilca01")</f>
        <v>oreilca01</v>
      </c>
      <c r="D969" s="1" t="s">
        <v>31</v>
      </c>
      <c r="E969" s="1">
        <f t="shared" si="1"/>
        <v>0.65</v>
      </c>
      <c r="F969" s="1">
        <f t="shared" si="2"/>
        <v>0.65</v>
      </c>
      <c r="G969" s="1">
        <v>1.0</v>
      </c>
      <c r="H969" s="1">
        <v>0.0</v>
      </c>
      <c r="I969" s="1">
        <v>0.0</v>
      </c>
      <c r="J969" s="1">
        <v>0.0</v>
      </c>
      <c r="K969" s="1">
        <v>1.0</v>
      </c>
      <c r="L969" s="1">
        <v>0.0</v>
      </c>
      <c r="M969" s="1">
        <v>1.0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</row>
    <row r="970">
      <c r="A970" s="1" t="s">
        <v>1003</v>
      </c>
      <c r="B970" s="1" t="str">
        <f>IFERROR(__xludf.DUMMYFUNCTION("split(A970, ""\"")"),"Eric Robinson")</f>
        <v>Eric Robinson</v>
      </c>
      <c r="C970" s="1" t="str">
        <f>IFERROR(__xludf.DUMMYFUNCTION("""COMPUTED_VALUE"""),"robiner01")</f>
        <v>robiner01</v>
      </c>
      <c r="D970" s="1" t="s">
        <v>28</v>
      </c>
      <c r="E970" s="1">
        <f t="shared" si="1"/>
        <v>0.5</v>
      </c>
      <c r="F970" s="1">
        <f t="shared" si="2"/>
        <v>0.5</v>
      </c>
      <c r="G970" s="1">
        <v>1.0</v>
      </c>
      <c r="H970" s="1">
        <v>0.0</v>
      </c>
      <c r="I970" s="1">
        <v>0.0</v>
      </c>
      <c r="J970" s="1">
        <v>0.0</v>
      </c>
      <c r="K970" s="1">
        <v>2.0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1.0</v>
      </c>
      <c r="S970" s="1">
        <v>0.0</v>
      </c>
      <c r="T970" s="1">
        <v>0.0</v>
      </c>
    </row>
    <row r="971">
      <c r="A971" s="1" t="s">
        <v>1004</v>
      </c>
      <c r="B971" s="1" t="str">
        <f>IFERROR(__xludf.DUMMYFUNCTION("split(A971, ""\"")"),"Zach Whitecloud")</f>
        <v>Zach Whitecloud</v>
      </c>
      <c r="C971" s="1" t="str">
        <f>IFERROR(__xludf.DUMMYFUNCTION("""COMPUTED_VALUE"""),"whiteza01")</f>
        <v>whiteza01</v>
      </c>
      <c r="D971" s="1" t="s">
        <v>66</v>
      </c>
      <c r="E971" s="1">
        <f t="shared" si="1"/>
        <v>0.4</v>
      </c>
      <c r="F971" s="1">
        <f t="shared" si="2"/>
        <v>0.4</v>
      </c>
      <c r="G971" s="1">
        <v>1.0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1.0</v>
      </c>
      <c r="N971" s="1">
        <v>0.0</v>
      </c>
      <c r="O971" s="1">
        <v>0.0</v>
      </c>
      <c r="P971" s="1">
        <v>0.0</v>
      </c>
      <c r="Q971" s="1">
        <v>0.0</v>
      </c>
      <c r="R971" s="1">
        <v>3.0</v>
      </c>
      <c r="S971" s="1">
        <v>0.0</v>
      </c>
      <c r="T971" s="1">
        <v>0.0</v>
      </c>
    </row>
    <row r="972">
      <c r="A972" s="1" t="s">
        <v>1005</v>
      </c>
      <c r="B972" s="1" t="str">
        <f>IFERROR(__xludf.DUMMYFUNCTION("split(A972, ""\"")"),"Philip Holm")</f>
        <v>Philip Holm</v>
      </c>
      <c r="C972" s="1" t="str">
        <f>IFERROR(__xludf.DUMMYFUNCTION("""COMPUTED_VALUE"""),"holmph01")</f>
        <v>holmph01</v>
      </c>
      <c r="D972" s="1" t="s">
        <v>66</v>
      </c>
      <c r="E972" s="1">
        <f t="shared" si="1"/>
        <v>0.25</v>
      </c>
      <c r="F972" s="1">
        <f t="shared" si="2"/>
        <v>0.25</v>
      </c>
      <c r="G972" s="1">
        <v>1.0</v>
      </c>
      <c r="H972" s="1">
        <v>0.0</v>
      </c>
      <c r="I972" s="1">
        <v>0.0</v>
      </c>
      <c r="J972" s="1">
        <v>0.0</v>
      </c>
      <c r="K972" s="1">
        <v>0.0</v>
      </c>
      <c r="L972" s="1">
        <v>1.0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-2.0</v>
      </c>
      <c r="S972" s="1">
        <v>0.0</v>
      </c>
      <c r="T972" s="1">
        <v>0.0</v>
      </c>
    </row>
    <row r="973">
      <c r="A973" s="1" t="s">
        <v>1006</v>
      </c>
      <c r="B973" s="1" t="str">
        <f>IFERROR(__xludf.DUMMYFUNCTION("split(A973, ""\"")"),"Morgan Klimchuk")</f>
        <v>Morgan Klimchuk</v>
      </c>
      <c r="C973" s="1" t="str">
        <f>IFERROR(__xludf.DUMMYFUNCTION("""COMPUTED_VALUE"""),"klimcmo01")</f>
        <v>klimcmo01</v>
      </c>
      <c r="D973" s="1" t="s">
        <v>28</v>
      </c>
      <c r="E973" s="1">
        <f t="shared" si="1"/>
        <v>0.25</v>
      </c>
      <c r="F973" s="1">
        <f t="shared" si="2"/>
        <v>0.25</v>
      </c>
      <c r="G973" s="1">
        <v>1.0</v>
      </c>
      <c r="H973" s="1">
        <v>0.0</v>
      </c>
      <c r="I973" s="1">
        <v>0.0</v>
      </c>
      <c r="J973" s="1">
        <v>0.0</v>
      </c>
      <c r="K973" s="1">
        <v>0.0</v>
      </c>
      <c r="L973" s="1">
        <v>1.0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</row>
    <row r="974">
      <c r="A974" s="1" t="s">
        <v>1007</v>
      </c>
      <c r="B974" s="1" t="str">
        <f>IFERROR(__xludf.DUMMYFUNCTION("split(A974, ""\"")"),"Curtis Valk")</f>
        <v>Curtis Valk</v>
      </c>
      <c r="C974" s="1" t="str">
        <f>IFERROR(__xludf.DUMMYFUNCTION("""COMPUTED_VALUE"""),"valkcu01")</f>
        <v>valkcu01</v>
      </c>
      <c r="D974" s="1" t="s">
        <v>28</v>
      </c>
      <c r="E974" s="1">
        <f t="shared" si="1"/>
        <v>0.25</v>
      </c>
      <c r="F974" s="1">
        <f t="shared" si="2"/>
        <v>0.25</v>
      </c>
      <c r="G974" s="1">
        <v>1.0</v>
      </c>
      <c r="H974" s="1">
        <v>0.0</v>
      </c>
      <c r="I974" s="1">
        <v>0.0</v>
      </c>
      <c r="J974" s="1">
        <v>0.0</v>
      </c>
      <c r="K974" s="1">
        <v>0.0</v>
      </c>
      <c r="L974" s="1">
        <v>1.0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</row>
    <row r="975">
      <c r="A975" s="1" t="s">
        <v>1008</v>
      </c>
      <c r="B975" s="1" t="str">
        <f>IFERROR(__xludf.DUMMYFUNCTION("split(A975, ""\"")"),"Trevor Carrick")</f>
        <v>Trevor Carrick</v>
      </c>
      <c r="C975" s="1" t="str">
        <f>IFERROR(__xludf.DUMMYFUNCTION("""COMPUTED_VALUE"""),"carritr01")</f>
        <v>carritr01</v>
      </c>
      <c r="D975" s="1" t="s">
        <v>66</v>
      </c>
      <c r="E975" s="1">
        <f t="shared" si="1"/>
        <v>0.25</v>
      </c>
      <c r="F975" s="1">
        <f t="shared" si="2"/>
        <v>0.25</v>
      </c>
      <c r="G975" s="1">
        <v>1.0</v>
      </c>
      <c r="H975" s="1">
        <v>0.0</v>
      </c>
      <c r="I975" s="1">
        <v>0.0</v>
      </c>
      <c r="J975" s="1">
        <v>0.0</v>
      </c>
      <c r="K975" s="1">
        <v>1.0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2.0</v>
      </c>
      <c r="T975" s="1">
        <v>0.0</v>
      </c>
    </row>
    <row r="976">
      <c r="A976" s="1" t="s">
        <v>1009</v>
      </c>
      <c r="B976" s="1" t="str">
        <f>IFERROR(__xludf.DUMMYFUNCTION("split(A976, ""\"")"),"Wade Megan")</f>
        <v>Wade Megan</v>
      </c>
      <c r="C976" s="1" t="str">
        <f>IFERROR(__xludf.DUMMYFUNCTION("""COMPUTED_VALUE"""),"meganwa01")</f>
        <v>meganwa01</v>
      </c>
      <c r="D976" s="1" t="s">
        <v>31</v>
      </c>
      <c r="E976" s="1">
        <f t="shared" si="1"/>
        <v>0.25</v>
      </c>
      <c r="F976" s="1">
        <f t="shared" si="2"/>
        <v>0.25</v>
      </c>
      <c r="G976" s="1">
        <v>1.0</v>
      </c>
      <c r="H976" s="1">
        <v>0.0</v>
      </c>
      <c r="I976" s="1">
        <v>0.0</v>
      </c>
      <c r="J976" s="1">
        <v>0.0</v>
      </c>
      <c r="K976" s="1">
        <v>1.0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</row>
    <row r="977">
      <c r="A977" s="1" t="s">
        <v>1010</v>
      </c>
      <c r="B977" s="1" t="str">
        <f>IFERROR(__xludf.DUMMYFUNCTION("split(A977, ""\"")"),"Brandon Halverson")</f>
        <v>Brandon Halverson</v>
      </c>
      <c r="C977" s="2" t="str">
        <f>IFERROR(__xludf.DUMMYFUNCTION("""COMPUTED_VALUE"""),"halvebr01")</f>
        <v>halvebr01</v>
      </c>
      <c r="D977" s="1" t="s">
        <v>5</v>
      </c>
      <c r="E977" s="1">
        <f t="shared" si="1"/>
        <v>0.25</v>
      </c>
      <c r="F977" s="1">
        <f t="shared" si="2"/>
        <v>0.25</v>
      </c>
      <c r="G977" s="1">
        <v>1.0</v>
      </c>
      <c r="U977" s="1">
        <v>0.0</v>
      </c>
      <c r="V977" s="1">
        <v>0.0</v>
      </c>
      <c r="W977" s="1">
        <v>0.0</v>
      </c>
      <c r="X977" s="1">
        <v>1.0</v>
      </c>
      <c r="Y977" s="1">
        <v>6.0</v>
      </c>
      <c r="Z977" s="1">
        <v>5.0</v>
      </c>
      <c r="AA977" s="1">
        <v>0.0</v>
      </c>
    </row>
    <row r="978">
      <c r="A978" s="1" t="s">
        <v>1011</v>
      </c>
      <c r="B978" s="1" t="str">
        <f>IFERROR(__xludf.DUMMYFUNCTION("split(A978, ""\"")"),"Nicolas Kerdiles")</f>
        <v>Nicolas Kerdiles</v>
      </c>
      <c r="C978" s="1" t="str">
        <f>IFERROR(__xludf.DUMMYFUNCTION("""COMPUTED_VALUE"""),"kerdini01")</f>
        <v>kerdini01</v>
      </c>
      <c r="D978" s="1" t="s">
        <v>28</v>
      </c>
      <c r="E978" s="1">
        <f t="shared" si="1"/>
        <v>0.25</v>
      </c>
      <c r="F978" s="1">
        <f t="shared" si="2"/>
        <v>0.13</v>
      </c>
      <c r="G978" s="1">
        <v>2.0</v>
      </c>
      <c r="H978" s="1">
        <v>0.0</v>
      </c>
      <c r="I978" s="1">
        <v>0.0</v>
      </c>
      <c r="J978" s="1">
        <v>0.0</v>
      </c>
      <c r="K978" s="1">
        <v>0.0</v>
      </c>
      <c r="L978" s="1">
        <v>1.0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</row>
    <row r="979">
      <c r="A979" s="1" t="s">
        <v>1012</v>
      </c>
      <c r="B979" s="1" t="str">
        <f>IFERROR(__xludf.DUMMYFUNCTION("split(A979, ""\"")"),"Alex Broadhurst")</f>
        <v>Alex Broadhurst</v>
      </c>
      <c r="C979" s="1" t="str">
        <f>IFERROR(__xludf.DUMMYFUNCTION("""COMPUTED_VALUE"""),"broadal01")</f>
        <v>broadal01</v>
      </c>
      <c r="D979" s="1" t="s">
        <v>31</v>
      </c>
      <c r="E979" s="1">
        <f t="shared" si="1"/>
        <v>0.25</v>
      </c>
      <c r="F979" s="1">
        <f t="shared" si="2"/>
        <v>0.13</v>
      </c>
      <c r="G979" s="1">
        <v>2.0</v>
      </c>
      <c r="H979" s="1">
        <v>0.0</v>
      </c>
      <c r="I979" s="1">
        <v>0.0</v>
      </c>
      <c r="J979" s="1">
        <v>0.0</v>
      </c>
      <c r="K979" s="1">
        <v>1.0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2.0</v>
      </c>
      <c r="T979" s="1">
        <v>0.0</v>
      </c>
    </row>
    <row r="980">
      <c r="A980" s="1" t="s">
        <v>1013</v>
      </c>
      <c r="B980" s="1" t="str">
        <f>IFERROR(__xludf.DUMMYFUNCTION("split(A980, ""\"")"),"Christoph Bertschy")</f>
        <v>Christoph Bertschy</v>
      </c>
      <c r="C980" s="1" t="str">
        <f>IFERROR(__xludf.DUMMYFUNCTION("""COMPUTED_VALUE"""),"bertsch02")</f>
        <v>bertsch02</v>
      </c>
      <c r="D980" s="1" t="s">
        <v>31</v>
      </c>
      <c r="E980" s="1">
        <f t="shared" si="1"/>
        <v>0</v>
      </c>
      <c r="F980" s="1">
        <f t="shared" si="2"/>
        <v>0</v>
      </c>
      <c r="G980" s="1">
        <v>1.0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1.0</v>
      </c>
      <c r="S980" s="1">
        <v>4.0</v>
      </c>
      <c r="T980" s="1">
        <v>0.0</v>
      </c>
    </row>
    <row r="981">
      <c r="A981" s="1" t="s">
        <v>1014</v>
      </c>
      <c r="B981" s="1" t="str">
        <f>IFERROR(__xludf.DUMMYFUNCTION("split(A981, ""\"")"),"Giovanni Fiore")</f>
        <v>Giovanni Fiore</v>
      </c>
      <c r="C981" s="1" t="str">
        <f>IFERROR(__xludf.DUMMYFUNCTION("""COMPUTED_VALUE"""),"fioregi01")</f>
        <v>fioregi01</v>
      </c>
      <c r="D981" s="1" t="s">
        <v>28</v>
      </c>
      <c r="E981" s="1">
        <f t="shared" si="1"/>
        <v>0</v>
      </c>
      <c r="F981" s="1">
        <f t="shared" si="2"/>
        <v>0</v>
      </c>
      <c r="G981" s="1">
        <v>1.0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-1.0</v>
      </c>
      <c r="S981" s="1">
        <v>0.0</v>
      </c>
      <c r="T981" s="1">
        <v>0.0</v>
      </c>
    </row>
    <row r="982">
      <c r="A982" s="1" t="s">
        <v>1015</v>
      </c>
      <c r="B982" s="1" t="str">
        <f>IFERROR(__xludf.DUMMYFUNCTION("split(A982, ""\"")"),"Justin Kloos")</f>
        <v>Justin Kloos</v>
      </c>
      <c r="C982" s="1" t="str">
        <f>IFERROR(__xludf.DUMMYFUNCTION("""COMPUTED_VALUE"""),"kloosju01")</f>
        <v>kloosju01</v>
      </c>
      <c r="D982" s="1" t="s">
        <v>31</v>
      </c>
      <c r="E982" s="1">
        <f t="shared" si="1"/>
        <v>0</v>
      </c>
      <c r="F982" s="1">
        <f t="shared" si="2"/>
        <v>0</v>
      </c>
      <c r="G982" s="1">
        <v>1.0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2.0</v>
      </c>
      <c r="T982" s="1">
        <v>0.0</v>
      </c>
    </row>
    <row r="983">
      <c r="A983" s="1" t="s">
        <v>1016</v>
      </c>
      <c r="B983" s="1" t="str">
        <f>IFERROR(__xludf.DUMMYFUNCTION("split(A983, ""\"")"),"Brian Lashoff")</f>
        <v>Brian Lashoff</v>
      </c>
      <c r="C983" s="1" t="str">
        <f>IFERROR(__xludf.DUMMYFUNCTION("""COMPUTED_VALUE"""),"lashobr01")</f>
        <v>lashobr01</v>
      </c>
      <c r="D983" s="1" t="s">
        <v>66</v>
      </c>
      <c r="E983" s="1">
        <f t="shared" si="1"/>
        <v>0</v>
      </c>
      <c r="F983" s="1">
        <f t="shared" si="2"/>
        <v>0</v>
      </c>
      <c r="G983" s="1">
        <v>1.0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/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</row>
    <row r="984">
      <c r="A984" s="1" t="s">
        <v>1017</v>
      </c>
      <c r="B984" s="1" t="str">
        <f>IFERROR(__xludf.DUMMYFUNCTION("split(A984, ""\"")"),"Jayson Megna")</f>
        <v>Jayson Megna</v>
      </c>
      <c r="C984" s="1" t="str">
        <f>IFERROR(__xludf.DUMMYFUNCTION("""COMPUTED_VALUE"""),"megnaja01")</f>
        <v>megnaja01</v>
      </c>
      <c r="D984" s="1" t="s">
        <v>31</v>
      </c>
      <c r="E984" s="1">
        <f t="shared" si="1"/>
        <v>0</v>
      </c>
      <c r="F984" s="1">
        <f t="shared" si="2"/>
        <v>0</v>
      </c>
      <c r="G984" s="1">
        <v>1.0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</row>
    <row r="985">
      <c r="A985" s="1" t="s">
        <v>1018</v>
      </c>
      <c r="B985" s="1" t="str">
        <f>IFERROR(__xludf.DUMMYFUNCTION("split(A985, ""\"")"),"Nicholas Merkley")</f>
        <v>Nicholas Merkley</v>
      </c>
      <c r="C985" s="1" t="str">
        <f>IFERROR(__xludf.DUMMYFUNCTION("""COMPUTED_VALUE"""),"merklni01")</f>
        <v>merklni01</v>
      </c>
      <c r="D985" s="1" t="s">
        <v>36</v>
      </c>
      <c r="E985" s="1">
        <f t="shared" si="1"/>
        <v>0</v>
      </c>
      <c r="F985" s="1">
        <f t="shared" si="2"/>
        <v>0</v>
      </c>
      <c r="G985" s="1">
        <v>1.0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2.0</v>
      </c>
      <c r="T985" s="1">
        <v>0.0</v>
      </c>
    </row>
    <row r="986">
      <c r="A986" s="1" t="s">
        <v>1019</v>
      </c>
      <c r="B986" s="1" t="str">
        <f>IFERROR(__xludf.DUMMYFUNCTION("split(A986, ""\"")"),"Martin Necas")</f>
        <v>Martin Necas</v>
      </c>
      <c r="C986" s="1" t="str">
        <f>IFERROR(__xludf.DUMMYFUNCTION("""COMPUTED_VALUE"""),"necasma01")</f>
        <v>necasma01</v>
      </c>
      <c r="D986" s="1" t="s">
        <v>31</v>
      </c>
      <c r="E986" s="1">
        <f t="shared" si="1"/>
        <v>0</v>
      </c>
      <c r="F986" s="1">
        <f t="shared" si="2"/>
        <v>0</v>
      </c>
      <c r="G986" s="1">
        <v>1.0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</row>
    <row r="987">
      <c r="A987" s="1" t="s">
        <v>1020</v>
      </c>
      <c r="B987" s="1" t="str">
        <f>IFERROR(__xludf.DUMMYFUNCTION("split(A987, ""\"")"),"Dylan Ferguson")</f>
        <v>Dylan Ferguson</v>
      </c>
      <c r="C987" s="2" t="str">
        <f>IFERROR(__xludf.DUMMYFUNCTION("""COMPUTED_VALUE"""),"fergudy01")</f>
        <v>fergudy01</v>
      </c>
      <c r="D987" s="1" t="s">
        <v>5</v>
      </c>
      <c r="E987" s="1">
        <f t="shared" si="1"/>
        <v>-0.75</v>
      </c>
      <c r="F987" s="1">
        <f t="shared" si="2"/>
        <v>-0.75</v>
      </c>
      <c r="G987" s="1">
        <v>1.0</v>
      </c>
      <c r="U987" s="1">
        <v>0.0</v>
      </c>
      <c r="V987" s="1">
        <v>0.0</v>
      </c>
      <c r="W987" s="1">
        <v>0.0</v>
      </c>
      <c r="X987" s="1">
        <v>1.0</v>
      </c>
      <c r="Y987" s="1">
        <v>2.0</v>
      </c>
      <c r="Z987" s="1">
        <v>1.0</v>
      </c>
      <c r="AA987" s="1">
        <v>0.0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3.0"/>
    <col customWidth="1" min="2" max="2" width="26.25"/>
    <col customWidth="1" min="3" max="3" width="7.38"/>
    <col customWidth="1" min="4" max="4" width="8.13"/>
    <col customWidth="1" min="5" max="5" width="8.88"/>
    <col customWidth="1" min="6" max="6" width="10.88"/>
    <col customWidth="1" min="7" max="21" width="5.75"/>
    <col customWidth="1" min="22" max="22" width="13.5"/>
  </cols>
  <sheetData>
    <row r="1">
      <c r="A1" s="3" t="s">
        <v>1021</v>
      </c>
      <c r="B1" s="3" t="s">
        <v>1022</v>
      </c>
      <c r="C1" s="3" t="s">
        <v>1023</v>
      </c>
      <c r="D1" s="3" t="s">
        <v>1</v>
      </c>
      <c r="E1" s="4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1024</v>
      </c>
      <c r="K1" s="3" t="s">
        <v>1025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1026</v>
      </c>
      <c r="Q1" s="3" t="s">
        <v>1027</v>
      </c>
      <c r="R1" s="5" t="s">
        <v>19</v>
      </c>
      <c r="S1" s="5" t="s">
        <v>21</v>
      </c>
      <c r="T1" s="5" t="s">
        <v>23</v>
      </c>
      <c r="U1" s="5" t="s">
        <v>24</v>
      </c>
      <c r="V1" s="6" t="s">
        <v>1028</v>
      </c>
    </row>
    <row r="2">
      <c r="A2" s="5" t="s">
        <v>25</v>
      </c>
      <c r="B2" s="5"/>
      <c r="C2" s="5"/>
      <c r="D2" s="5"/>
      <c r="E2" s="7"/>
      <c r="F2" s="7"/>
      <c r="G2" s="8">
        <v>0.0</v>
      </c>
      <c r="H2" s="8">
        <v>4.5</v>
      </c>
      <c r="I2" s="8">
        <v>3.0</v>
      </c>
      <c r="J2" s="8">
        <v>0.0</v>
      </c>
      <c r="K2" s="8">
        <v>0.5</v>
      </c>
      <c r="L2" s="8">
        <v>0.0</v>
      </c>
      <c r="M2" s="8">
        <v>0.0</v>
      </c>
      <c r="N2" s="8">
        <v>2.0</v>
      </c>
      <c r="O2" s="8">
        <v>2.0</v>
      </c>
      <c r="P2" s="9">
        <v>0.35</v>
      </c>
      <c r="Q2" s="8">
        <v>0.5</v>
      </c>
      <c r="R2" s="10">
        <v>3.0</v>
      </c>
      <c r="S2" s="10">
        <v>-1.5</v>
      </c>
      <c r="T2" s="10">
        <v>0.3</v>
      </c>
      <c r="U2" s="10">
        <v>3.0</v>
      </c>
      <c r="V2" s="10"/>
    </row>
    <row r="3">
      <c r="A3" s="1">
        <f t="shared" ref="A3:A1024" si="1">rank(E3, E:E)</f>
        <v>1</v>
      </c>
      <c r="B3" s="1" t="s">
        <v>1029</v>
      </c>
      <c r="C3" s="1" t="s">
        <v>1030</v>
      </c>
      <c r="D3" s="1" t="s">
        <v>31</v>
      </c>
      <c r="E3" s="11">
        <f t="shared" ref="E3:E1024" si="2">SUMPRODUCT(G$2:U$2,G3:U3)</f>
        <v>752.4</v>
      </c>
      <c r="F3" s="11">
        <f t="shared" ref="F3:F1024" si="3">E3/G3</f>
        <v>9.175609756</v>
      </c>
      <c r="G3" s="1">
        <v>82.0</v>
      </c>
      <c r="H3" s="1">
        <v>51.0</v>
      </c>
      <c r="I3" s="1">
        <v>89.0</v>
      </c>
      <c r="J3" s="1">
        <v>140.0</v>
      </c>
      <c r="K3" s="1">
        <v>405.0</v>
      </c>
      <c r="L3" s="1">
        <v>10.0</v>
      </c>
      <c r="M3" s="1">
        <v>38.0</v>
      </c>
      <c r="N3" s="1">
        <v>0.0</v>
      </c>
      <c r="O3" s="1">
        <v>0.0</v>
      </c>
      <c r="P3" s="1">
        <v>54.0</v>
      </c>
      <c r="Q3" s="1">
        <v>69.0</v>
      </c>
      <c r="V3" s="2">
        <f>VLOOKUP(B3,'202324'!B:C,2,FALSE)-A3</f>
        <v>0</v>
      </c>
    </row>
    <row r="4">
      <c r="A4" s="1">
        <f t="shared" si="1"/>
        <v>2</v>
      </c>
      <c r="B4" s="1" t="s">
        <v>1031</v>
      </c>
      <c r="C4" s="1" t="s">
        <v>1032</v>
      </c>
      <c r="D4" s="1" t="s">
        <v>31</v>
      </c>
      <c r="E4" s="11">
        <f t="shared" si="2"/>
        <v>688.65</v>
      </c>
      <c r="F4" s="11">
        <f t="shared" si="3"/>
        <v>8.501851852</v>
      </c>
      <c r="G4" s="1">
        <v>81.0</v>
      </c>
      <c r="H4" s="1">
        <v>69.0</v>
      </c>
      <c r="I4" s="1">
        <v>38.0</v>
      </c>
      <c r="J4" s="1">
        <v>107.0</v>
      </c>
      <c r="K4" s="1">
        <v>369.0</v>
      </c>
      <c r="L4" s="1">
        <v>18.0</v>
      </c>
      <c r="M4" s="1">
        <v>11.0</v>
      </c>
      <c r="N4" s="1">
        <v>0.0</v>
      </c>
      <c r="O4" s="1">
        <v>1.0</v>
      </c>
      <c r="P4" s="1">
        <v>89.0</v>
      </c>
      <c r="Q4" s="1">
        <v>93.0</v>
      </c>
      <c r="V4" s="2">
        <f>VLOOKUP(B4,'202324'!B:C,2,FALSE)-A4</f>
        <v>0</v>
      </c>
    </row>
    <row r="5">
      <c r="A5" s="1">
        <f t="shared" si="1"/>
        <v>3</v>
      </c>
      <c r="B5" s="1" t="s">
        <v>1033</v>
      </c>
      <c r="C5" s="1" t="s">
        <v>1034</v>
      </c>
      <c r="D5" s="1" t="s">
        <v>36</v>
      </c>
      <c r="E5" s="11">
        <f t="shared" si="2"/>
        <v>684.25</v>
      </c>
      <c r="F5" s="11">
        <f t="shared" si="3"/>
        <v>8.447530864</v>
      </c>
      <c r="G5" s="1">
        <v>81.0</v>
      </c>
      <c r="H5" s="1">
        <v>44.0</v>
      </c>
      <c r="I5" s="1">
        <v>100.0</v>
      </c>
      <c r="J5" s="1">
        <v>144.0</v>
      </c>
      <c r="K5" s="1">
        <v>306.0</v>
      </c>
      <c r="L5" s="1">
        <v>13.0</v>
      </c>
      <c r="M5" s="1">
        <v>40.0</v>
      </c>
      <c r="N5" s="1">
        <v>0.0</v>
      </c>
      <c r="O5" s="1">
        <v>0.0</v>
      </c>
      <c r="P5" s="1">
        <v>45.0</v>
      </c>
      <c r="Q5" s="1">
        <v>35.0</v>
      </c>
      <c r="V5" s="2">
        <f>VLOOKUP(B5,'202324'!B:C,2,FALSE)-A5</f>
        <v>-1</v>
      </c>
    </row>
    <row r="6">
      <c r="A6" s="1">
        <f t="shared" si="1"/>
        <v>4</v>
      </c>
      <c r="B6" s="1" t="s">
        <v>1035</v>
      </c>
      <c r="C6" s="1" t="s">
        <v>1036</v>
      </c>
      <c r="D6" s="1" t="s">
        <v>31</v>
      </c>
      <c r="E6" s="11">
        <f t="shared" si="2"/>
        <v>638.3</v>
      </c>
      <c r="F6" s="11">
        <f t="shared" si="3"/>
        <v>8.398684211</v>
      </c>
      <c r="G6" s="1">
        <v>76.0</v>
      </c>
      <c r="H6" s="1">
        <v>32.0</v>
      </c>
      <c r="I6" s="1">
        <v>100.0</v>
      </c>
      <c r="J6" s="1">
        <v>132.0</v>
      </c>
      <c r="K6" s="1">
        <v>263.0</v>
      </c>
      <c r="L6" s="1">
        <v>7.0</v>
      </c>
      <c r="M6" s="1">
        <v>37.0</v>
      </c>
      <c r="N6" s="1">
        <v>1.0</v>
      </c>
      <c r="O6" s="1">
        <v>0.0</v>
      </c>
      <c r="P6" s="1">
        <v>118.0</v>
      </c>
      <c r="Q6" s="1">
        <v>39.0</v>
      </c>
      <c r="V6" s="2">
        <f>VLOOKUP(B6,'202324'!B:C,2,FALSE)-A6</f>
        <v>0</v>
      </c>
    </row>
    <row r="7">
      <c r="A7" s="1">
        <f t="shared" si="1"/>
        <v>5</v>
      </c>
      <c r="B7" s="1" t="s">
        <v>1037</v>
      </c>
      <c r="C7" s="1" t="s">
        <v>1038</v>
      </c>
      <c r="D7" s="1" t="s">
        <v>36</v>
      </c>
      <c r="E7" s="11">
        <f t="shared" si="2"/>
        <v>625.5</v>
      </c>
      <c r="F7" s="11">
        <f t="shared" si="3"/>
        <v>7.62804878</v>
      </c>
      <c r="G7" s="1">
        <v>82.0</v>
      </c>
      <c r="H7" s="1">
        <v>47.0</v>
      </c>
      <c r="I7" s="1">
        <v>63.0</v>
      </c>
      <c r="J7" s="1">
        <v>110.0</v>
      </c>
      <c r="K7" s="1">
        <v>382.0</v>
      </c>
      <c r="L7" s="1">
        <v>12.0</v>
      </c>
      <c r="M7" s="1">
        <v>23.0</v>
      </c>
      <c r="N7" s="1">
        <v>0.0</v>
      </c>
      <c r="O7" s="1">
        <v>0.0</v>
      </c>
      <c r="P7" s="1">
        <v>70.0</v>
      </c>
      <c r="Q7" s="1">
        <v>19.0</v>
      </c>
      <c r="V7" s="2">
        <f>VLOOKUP(B7,'202324'!B:C,2,FALSE)-A7</f>
        <v>0</v>
      </c>
    </row>
    <row r="8">
      <c r="A8" s="1">
        <f t="shared" si="1"/>
        <v>6</v>
      </c>
      <c r="B8" s="1" t="s">
        <v>1039</v>
      </c>
      <c r="C8" s="1" t="s">
        <v>1040</v>
      </c>
      <c r="D8" s="1" t="s">
        <v>28</v>
      </c>
      <c r="E8" s="11">
        <f t="shared" si="2"/>
        <v>600.8</v>
      </c>
      <c r="F8" s="11">
        <f t="shared" si="3"/>
        <v>7.326829268</v>
      </c>
      <c r="G8" s="1">
        <v>82.0</v>
      </c>
      <c r="H8" s="1">
        <v>49.0</v>
      </c>
      <c r="I8" s="1">
        <v>71.0</v>
      </c>
      <c r="J8" s="1">
        <v>120.0</v>
      </c>
      <c r="K8" s="1">
        <v>303.0</v>
      </c>
      <c r="L8" s="1">
        <v>11.0</v>
      </c>
      <c r="M8" s="1">
        <v>33.0</v>
      </c>
      <c r="N8" s="1">
        <v>0.0</v>
      </c>
      <c r="O8" s="1">
        <v>1.0</v>
      </c>
      <c r="P8" s="1">
        <v>18.0</v>
      </c>
      <c r="Q8" s="1">
        <v>15.0</v>
      </c>
      <c r="V8" s="2">
        <f>VLOOKUP(B8,'202324'!B:C,2,FALSE)-A8</f>
        <v>0</v>
      </c>
    </row>
    <row r="9">
      <c r="A9" s="1">
        <f t="shared" si="1"/>
        <v>7</v>
      </c>
      <c r="B9" s="1" t="s">
        <v>1041</v>
      </c>
      <c r="C9" s="1" t="s">
        <v>1042</v>
      </c>
      <c r="D9" s="1" t="s">
        <v>36</v>
      </c>
      <c r="E9" s="11">
        <f t="shared" si="2"/>
        <v>598.85</v>
      </c>
      <c r="F9" s="11">
        <f t="shared" si="3"/>
        <v>7.30304878</v>
      </c>
      <c r="G9" s="1">
        <v>82.0</v>
      </c>
      <c r="H9" s="1">
        <v>48.0</v>
      </c>
      <c r="I9" s="1">
        <v>46.0</v>
      </c>
      <c r="J9" s="1">
        <v>94.0</v>
      </c>
      <c r="K9" s="1">
        <v>347.0</v>
      </c>
      <c r="L9" s="1">
        <v>13.0</v>
      </c>
      <c r="M9" s="1">
        <v>19.0</v>
      </c>
      <c r="N9" s="1">
        <v>0.0</v>
      </c>
      <c r="O9" s="1">
        <v>0.0</v>
      </c>
      <c r="P9" s="1">
        <v>141.0</v>
      </c>
      <c r="Q9" s="1">
        <v>44.0</v>
      </c>
      <c r="V9" s="2">
        <f>VLOOKUP(B9,'202324'!B:C,2,FALSE)-A9</f>
        <v>0</v>
      </c>
    </row>
    <row r="10">
      <c r="A10" s="1">
        <f t="shared" si="1"/>
        <v>8</v>
      </c>
      <c r="B10" s="1" t="s">
        <v>1043</v>
      </c>
      <c r="C10" s="1" t="s">
        <v>1044</v>
      </c>
      <c r="D10" s="1" t="s">
        <v>28</v>
      </c>
      <c r="E10" s="11">
        <f t="shared" si="2"/>
        <v>575.55</v>
      </c>
      <c r="F10" s="11">
        <f t="shared" si="3"/>
        <v>7.105555556</v>
      </c>
      <c r="G10" s="1">
        <v>81.0</v>
      </c>
      <c r="H10" s="1">
        <v>37.0</v>
      </c>
      <c r="I10" s="1">
        <v>37.0</v>
      </c>
      <c r="J10" s="1">
        <v>74.0</v>
      </c>
      <c r="K10" s="1">
        <v>357.0</v>
      </c>
      <c r="L10" s="1">
        <v>12.0</v>
      </c>
      <c r="M10" s="1">
        <v>10.0</v>
      </c>
      <c r="N10" s="1">
        <v>0.0</v>
      </c>
      <c r="O10" s="1">
        <v>0.0</v>
      </c>
      <c r="P10" s="1">
        <v>293.0</v>
      </c>
      <c r="Q10" s="1">
        <v>34.0</v>
      </c>
      <c r="V10" s="2">
        <f>VLOOKUP(B10,'202324'!B:C,2,FALSE)-A10</f>
        <v>2</v>
      </c>
    </row>
    <row r="11">
      <c r="A11" s="1">
        <f t="shared" si="1"/>
        <v>9</v>
      </c>
      <c r="B11" s="1" t="s">
        <v>1045</v>
      </c>
      <c r="C11" s="1" t="s">
        <v>1046</v>
      </c>
      <c r="D11" s="1" t="s">
        <v>31</v>
      </c>
      <c r="E11" s="11">
        <f t="shared" si="2"/>
        <v>571.6</v>
      </c>
      <c r="F11" s="11">
        <f t="shared" si="3"/>
        <v>7.056790123</v>
      </c>
      <c r="G11" s="1">
        <v>81.0</v>
      </c>
      <c r="H11" s="1">
        <v>37.0</v>
      </c>
      <c r="I11" s="1">
        <v>66.0</v>
      </c>
      <c r="J11" s="1">
        <v>103.0</v>
      </c>
      <c r="K11" s="1">
        <v>194.0</v>
      </c>
      <c r="L11" s="1">
        <v>10.0</v>
      </c>
      <c r="M11" s="1">
        <v>30.0</v>
      </c>
      <c r="N11" s="1">
        <v>2.0</v>
      </c>
      <c r="O11" s="1">
        <v>0.0</v>
      </c>
      <c r="P11" s="1">
        <v>216.0</v>
      </c>
      <c r="Q11" s="1">
        <v>61.0</v>
      </c>
      <c r="V11" s="2">
        <f>VLOOKUP(B11,'202324'!B:C,2,FALSE)-A11</f>
        <v>-1</v>
      </c>
    </row>
    <row r="12">
      <c r="A12" s="1">
        <f t="shared" si="1"/>
        <v>10</v>
      </c>
      <c r="B12" s="1" t="s">
        <v>1047</v>
      </c>
      <c r="C12" s="1" t="s">
        <v>1048</v>
      </c>
      <c r="D12" s="1" t="s">
        <v>36</v>
      </c>
      <c r="E12" s="11">
        <f t="shared" si="2"/>
        <v>553.6</v>
      </c>
      <c r="F12" s="11">
        <f t="shared" si="3"/>
        <v>6.751219512</v>
      </c>
      <c r="G12" s="1">
        <v>82.0</v>
      </c>
      <c r="H12" s="1">
        <v>57.0</v>
      </c>
      <c r="I12" s="1">
        <v>37.0</v>
      </c>
      <c r="J12" s="1">
        <v>94.0</v>
      </c>
      <c r="K12" s="1">
        <v>233.0</v>
      </c>
      <c r="L12" s="1">
        <v>27.0</v>
      </c>
      <c r="M12" s="1">
        <v>7.0</v>
      </c>
      <c r="N12" s="1">
        <v>5.0</v>
      </c>
      <c r="O12" s="1">
        <v>0.0</v>
      </c>
      <c r="P12" s="1">
        <v>76.0</v>
      </c>
      <c r="Q12" s="1">
        <v>66.0</v>
      </c>
      <c r="V12" s="2">
        <f>VLOOKUP(B12,'202324'!B:C,2,FALSE)-A12</f>
        <v>1</v>
      </c>
    </row>
    <row r="13">
      <c r="A13" s="1">
        <f t="shared" si="1"/>
        <v>11</v>
      </c>
      <c r="B13" s="1" t="s">
        <v>1049</v>
      </c>
      <c r="C13" s="1" t="s">
        <v>1030</v>
      </c>
      <c r="D13" s="1" t="s">
        <v>36</v>
      </c>
      <c r="E13" s="11">
        <f t="shared" si="2"/>
        <v>553.55</v>
      </c>
      <c r="F13" s="11">
        <f t="shared" si="3"/>
        <v>6.919375</v>
      </c>
      <c r="G13" s="1">
        <v>80.0</v>
      </c>
      <c r="H13" s="1">
        <v>42.0</v>
      </c>
      <c r="I13" s="1">
        <v>62.0</v>
      </c>
      <c r="J13" s="1">
        <v>104.0</v>
      </c>
      <c r="K13" s="1">
        <v>271.0</v>
      </c>
      <c r="L13" s="1">
        <v>14.0</v>
      </c>
      <c r="M13" s="1">
        <v>26.0</v>
      </c>
      <c r="N13" s="1">
        <v>0.0</v>
      </c>
      <c r="O13" s="1">
        <v>0.0</v>
      </c>
      <c r="P13" s="1">
        <v>53.0</v>
      </c>
      <c r="Q13" s="1">
        <v>49.0</v>
      </c>
      <c r="V13" s="2">
        <f>VLOOKUP(B13,'202324'!B:C,2,FALSE)-A13</f>
        <v>-2</v>
      </c>
    </row>
    <row r="14">
      <c r="A14" s="1">
        <f t="shared" si="1"/>
        <v>12</v>
      </c>
      <c r="B14" s="1" t="s">
        <v>1050</v>
      </c>
      <c r="C14" s="1" t="s">
        <v>1032</v>
      </c>
      <c r="D14" s="1" t="s">
        <v>31</v>
      </c>
      <c r="E14" s="11">
        <f t="shared" si="2"/>
        <v>545.7</v>
      </c>
      <c r="F14" s="11">
        <f t="shared" si="3"/>
        <v>6.654878049</v>
      </c>
      <c r="G14" s="1">
        <v>82.0</v>
      </c>
      <c r="H14" s="1">
        <v>40.0</v>
      </c>
      <c r="I14" s="1">
        <v>58.0</v>
      </c>
      <c r="J14" s="1">
        <v>98.0</v>
      </c>
      <c r="K14" s="1">
        <v>316.0</v>
      </c>
      <c r="L14" s="1">
        <v>11.0</v>
      </c>
      <c r="M14" s="1">
        <v>24.0</v>
      </c>
      <c r="N14" s="1">
        <v>3.0</v>
      </c>
      <c r="O14" s="1">
        <v>1.0</v>
      </c>
      <c r="P14" s="1">
        <v>32.0</v>
      </c>
      <c r="Q14" s="1">
        <v>29.0</v>
      </c>
      <c r="V14" s="2">
        <f>VLOOKUP(B14,'202324'!B:C,2,FALSE)-A14</f>
        <v>0</v>
      </c>
    </row>
    <row r="15">
      <c r="A15" s="1">
        <f t="shared" si="1"/>
        <v>13</v>
      </c>
      <c r="B15" s="1" t="s">
        <v>1051</v>
      </c>
      <c r="C15" s="1" t="s">
        <v>1052</v>
      </c>
      <c r="D15" s="1" t="s">
        <v>31</v>
      </c>
      <c r="E15" s="11">
        <f t="shared" si="2"/>
        <v>537.5</v>
      </c>
      <c r="F15" s="11">
        <f t="shared" si="3"/>
        <v>6.554878049</v>
      </c>
      <c r="G15" s="1">
        <v>82.0</v>
      </c>
      <c r="H15" s="1">
        <v>42.0</v>
      </c>
      <c r="I15" s="1">
        <v>52.0</v>
      </c>
      <c r="J15" s="1">
        <v>94.0</v>
      </c>
      <c r="K15" s="1">
        <v>278.0</v>
      </c>
      <c r="L15" s="1">
        <v>10.0</v>
      </c>
      <c r="M15" s="1">
        <v>13.0</v>
      </c>
      <c r="N15" s="1">
        <v>0.0</v>
      </c>
      <c r="O15" s="1">
        <v>0.0</v>
      </c>
      <c r="P15" s="1">
        <v>100.0</v>
      </c>
      <c r="Q15" s="1">
        <v>37.0</v>
      </c>
      <c r="V15" s="2">
        <f>VLOOKUP(B15,'202324'!B:C,2,FALSE)-A15</f>
        <v>1</v>
      </c>
    </row>
    <row r="16">
      <c r="A16" s="1">
        <f t="shared" si="1"/>
        <v>14</v>
      </c>
      <c r="B16" s="1" t="s">
        <v>1053</v>
      </c>
      <c r="C16" s="1" t="s">
        <v>1054</v>
      </c>
      <c r="D16" s="1" t="s">
        <v>28</v>
      </c>
      <c r="E16" s="11">
        <f t="shared" si="2"/>
        <v>533.4</v>
      </c>
      <c r="F16" s="11">
        <f t="shared" si="3"/>
        <v>7.112</v>
      </c>
      <c r="G16" s="1">
        <v>75.0</v>
      </c>
      <c r="H16" s="1">
        <v>46.0</v>
      </c>
      <c r="I16" s="1">
        <v>50.0</v>
      </c>
      <c r="J16" s="1">
        <v>96.0</v>
      </c>
      <c r="K16" s="1">
        <v>277.0</v>
      </c>
      <c r="L16" s="1">
        <v>19.0</v>
      </c>
      <c r="M16" s="1">
        <v>22.0</v>
      </c>
      <c r="N16" s="1">
        <v>0.0</v>
      </c>
      <c r="O16" s="1">
        <v>0.0</v>
      </c>
      <c r="P16" s="1">
        <v>54.0</v>
      </c>
      <c r="Q16" s="1">
        <v>38.0</v>
      </c>
      <c r="V16" s="2">
        <f>VLOOKUP(B16,'202324'!B:C,2,FALSE)-A16</f>
        <v>-1</v>
      </c>
    </row>
    <row r="17">
      <c r="A17" s="1">
        <f t="shared" si="1"/>
        <v>15</v>
      </c>
      <c r="B17" s="1" t="s">
        <v>1055</v>
      </c>
      <c r="C17" s="1" t="s">
        <v>1036</v>
      </c>
      <c r="D17" s="1" t="s">
        <v>31</v>
      </c>
      <c r="E17" s="11">
        <f t="shared" si="2"/>
        <v>525.3</v>
      </c>
      <c r="F17" s="11">
        <f t="shared" si="3"/>
        <v>6.485185185</v>
      </c>
      <c r="G17" s="1">
        <v>81.0</v>
      </c>
      <c r="H17" s="1">
        <v>41.0</v>
      </c>
      <c r="I17" s="1">
        <v>65.0</v>
      </c>
      <c r="J17" s="1">
        <v>106.0</v>
      </c>
      <c r="K17" s="1">
        <v>217.0</v>
      </c>
      <c r="L17" s="1">
        <v>21.0</v>
      </c>
      <c r="M17" s="1">
        <v>18.0</v>
      </c>
      <c r="N17" s="1">
        <v>0.0</v>
      </c>
      <c r="O17" s="1">
        <v>2.0</v>
      </c>
      <c r="P17" s="1">
        <v>58.0</v>
      </c>
      <c r="Q17" s="1">
        <v>26.0</v>
      </c>
      <c r="V17" s="2">
        <f>VLOOKUP(B17,'202324'!B:C,2,FALSE)-A17</f>
        <v>0</v>
      </c>
    </row>
    <row r="18">
      <c r="A18" s="1">
        <f t="shared" si="1"/>
        <v>16</v>
      </c>
      <c r="B18" s="1" t="s">
        <v>1056</v>
      </c>
      <c r="C18" s="1" t="s">
        <v>1042</v>
      </c>
      <c r="D18" s="1" t="s">
        <v>66</v>
      </c>
      <c r="E18" s="11">
        <f t="shared" si="2"/>
        <v>517.1</v>
      </c>
      <c r="F18" s="11">
        <f t="shared" si="3"/>
        <v>6.306097561</v>
      </c>
      <c r="G18" s="1">
        <v>82.0</v>
      </c>
      <c r="H18" s="1">
        <v>23.0</v>
      </c>
      <c r="I18" s="1">
        <v>62.0</v>
      </c>
      <c r="J18" s="1">
        <v>85.0</v>
      </c>
      <c r="K18" s="1">
        <v>268.0</v>
      </c>
      <c r="L18" s="1">
        <v>9.0</v>
      </c>
      <c r="M18" s="1">
        <v>24.0</v>
      </c>
      <c r="N18" s="1">
        <v>0.0</v>
      </c>
      <c r="O18" s="1">
        <v>1.0</v>
      </c>
      <c r="P18" s="1">
        <v>46.0</v>
      </c>
      <c r="Q18" s="1">
        <v>151.0</v>
      </c>
      <c r="V18" s="2">
        <f>VLOOKUP(B18,'202324'!B:C,2,FALSE)-A18</f>
        <v>0</v>
      </c>
    </row>
    <row r="19">
      <c r="A19" s="1">
        <f t="shared" si="1"/>
        <v>17</v>
      </c>
      <c r="B19" s="1" t="s">
        <v>1057</v>
      </c>
      <c r="C19" s="1" t="s">
        <v>1030</v>
      </c>
      <c r="D19" s="1" t="s">
        <v>66</v>
      </c>
      <c r="E19" s="11">
        <f t="shared" si="2"/>
        <v>511.95</v>
      </c>
      <c r="F19" s="11">
        <f t="shared" si="3"/>
        <v>6.648701299</v>
      </c>
      <c r="G19" s="1">
        <v>77.0</v>
      </c>
      <c r="H19" s="1">
        <v>21.0</v>
      </c>
      <c r="I19" s="1">
        <v>69.0</v>
      </c>
      <c r="J19" s="1">
        <v>90.0</v>
      </c>
      <c r="K19" s="1">
        <v>231.0</v>
      </c>
      <c r="L19" s="1">
        <v>7.0</v>
      </c>
      <c r="M19" s="1">
        <v>32.0</v>
      </c>
      <c r="N19" s="1">
        <v>1.0</v>
      </c>
      <c r="O19" s="1">
        <v>3.0</v>
      </c>
      <c r="P19" s="1">
        <v>37.0</v>
      </c>
      <c r="Q19" s="1">
        <v>148.0</v>
      </c>
      <c r="V19" s="2">
        <f>VLOOKUP(B19,'202324'!B:C,2,FALSE)-A19</f>
        <v>0</v>
      </c>
    </row>
    <row r="20">
      <c r="A20" s="1">
        <f t="shared" si="1"/>
        <v>18</v>
      </c>
      <c r="B20" s="1" t="s">
        <v>1058</v>
      </c>
      <c r="C20" s="1" t="s">
        <v>1048</v>
      </c>
      <c r="D20" s="1" t="s">
        <v>28</v>
      </c>
      <c r="E20" s="11">
        <f t="shared" si="2"/>
        <v>511.5</v>
      </c>
      <c r="F20" s="11">
        <f t="shared" si="3"/>
        <v>6.39375</v>
      </c>
      <c r="G20" s="1">
        <v>80.0</v>
      </c>
      <c r="H20" s="1">
        <v>26.0</v>
      </c>
      <c r="I20" s="1">
        <v>62.0</v>
      </c>
      <c r="J20" s="1">
        <v>88.0</v>
      </c>
      <c r="K20" s="1">
        <v>280.0</v>
      </c>
      <c r="L20" s="1">
        <v>6.0</v>
      </c>
      <c r="M20" s="1">
        <v>26.0</v>
      </c>
      <c r="N20" s="1">
        <v>1.0</v>
      </c>
      <c r="O20" s="1">
        <v>0.0</v>
      </c>
      <c r="P20" s="1">
        <v>150.0</v>
      </c>
      <c r="Q20" s="1">
        <v>28.0</v>
      </c>
      <c r="V20" s="2">
        <f>VLOOKUP(B20,'202324'!B:C,2,FALSE)-A20</f>
        <v>1</v>
      </c>
    </row>
    <row r="21">
      <c r="A21" s="1">
        <f t="shared" si="1"/>
        <v>19</v>
      </c>
      <c r="B21" s="1" t="s">
        <v>1059</v>
      </c>
      <c r="C21" s="1" t="s">
        <v>1036</v>
      </c>
      <c r="D21" s="1" t="s">
        <v>36</v>
      </c>
      <c r="E21" s="11">
        <f t="shared" si="2"/>
        <v>505.95</v>
      </c>
      <c r="F21" s="11">
        <f t="shared" si="3"/>
        <v>6.324375</v>
      </c>
      <c r="G21" s="1">
        <v>80.0</v>
      </c>
      <c r="H21" s="1">
        <v>54.0</v>
      </c>
      <c r="I21" s="1">
        <v>23.0</v>
      </c>
      <c r="J21" s="1">
        <v>77.0</v>
      </c>
      <c r="K21" s="1">
        <v>290.0</v>
      </c>
      <c r="L21" s="1">
        <v>15.0</v>
      </c>
      <c r="M21" s="1">
        <v>5.0</v>
      </c>
      <c r="N21" s="1">
        <v>0.0</v>
      </c>
      <c r="O21" s="1">
        <v>0.0</v>
      </c>
      <c r="P21" s="1">
        <v>87.0</v>
      </c>
      <c r="Q21" s="1">
        <v>37.0</v>
      </c>
      <c r="V21" s="2">
        <f>VLOOKUP(B21,'202324'!B:C,2,FALSE)-A21</f>
        <v>-1</v>
      </c>
    </row>
    <row r="22">
      <c r="A22" s="1">
        <f t="shared" si="1"/>
        <v>20</v>
      </c>
      <c r="B22" s="1" t="s">
        <v>1060</v>
      </c>
      <c r="C22" s="1" t="s">
        <v>1046</v>
      </c>
      <c r="D22" s="1" t="s">
        <v>31</v>
      </c>
      <c r="E22" s="11">
        <f t="shared" si="2"/>
        <v>503.25</v>
      </c>
      <c r="F22" s="11">
        <f t="shared" si="3"/>
        <v>6.137195122</v>
      </c>
      <c r="G22" s="1">
        <v>82.0</v>
      </c>
      <c r="H22" s="1">
        <v>34.0</v>
      </c>
      <c r="I22" s="1">
        <v>55.0</v>
      </c>
      <c r="J22" s="1">
        <v>89.0</v>
      </c>
      <c r="K22" s="1">
        <v>207.0</v>
      </c>
      <c r="L22" s="1">
        <v>13.0</v>
      </c>
      <c r="M22" s="1">
        <v>18.0</v>
      </c>
      <c r="N22" s="1">
        <v>0.0</v>
      </c>
      <c r="O22" s="1">
        <v>2.0</v>
      </c>
      <c r="P22" s="1">
        <v>125.0</v>
      </c>
      <c r="Q22" s="1">
        <v>68.0</v>
      </c>
      <c r="V22" s="2">
        <f>VLOOKUP(B22,'202324'!B:C,2,FALSE)-A22</f>
        <v>0</v>
      </c>
    </row>
    <row r="23">
      <c r="A23" s="1">
        <f t="shared" si="1"/>
        <v>21</v>
      </c>
      <c r="B23" s="1" t="s">
        <v>1061</v>
      </c>
      <c r="C23" s="1" t="s">
        <v>1034</v>
      </c>
      <c r="D23" s="1" t="s">
        <v>31</v>
      </c>
      <c r="E23" s="11">
        <f t="shared" si="2"/>
        <v>482.8</v>
      </c>
      <c r="F23" s="11">
        <f t="shared" si="3"/>
        <v>6.111392405</v>
      </c>
      <c r="G23" s="1">
        <v>79.0</v>
      </c>
      <c r="H23" s="1">
        <v>40.0</v>
      </c>
      <c r="I23" s="1">
        <v>41.0</v>
      </c>
      <c r="J23" s="1">
        <v>81.0</v>
      </c>
      <c r="K23" s="1">
        <v>262.0</v>
      </c>
      <c r="L23" s="1">
        <v>19.0</v>
      </c>
      <c r="M23" s="1">
        <v>20.0</v>
      </c>
      <c r="N23" s="1">
        <v>0.0</v>
      </c>
      <c r="O23" s="1">
        <v>0.0</v>
      </c>
      <c r="P23" s="1">
        <v>78.0</v>
      </c>
      <c r="Q23" s="1">
        <v>43.0</v>
      </c>
      <c r="V23" s="2">
        <f>VLOOKUP(B23,'202324'!B:C,2,FALSE)-A23</f>
        <v>1</v>
      </c>
    </row>
    <row r="24">
      <c r="A24" s="1">
        <f t="shared" si="1"/>
        <v>22</v>
      </c>
      <c r="B24" s="1" t="s">
        <v>1062</v>
      </c>
      <c r="C24" s="1" t="s">
        <v>1040</v>
      </c>
      <c r="D24" s="1" t="s">
        <v>31</v>
      </c>
      <c r="E24" s="11">
        <f t="shared" si="2"/>
        <v>482.25</v>
      </c>
      <c r="F24" s="11">
        <f t="shared" si="3"/>
        <v>5.881097561</v>
      </c>
      <c r="G24" s="1">
        <v>82.0</v>
      </c>
      <c r="H24" s="1">
        <v>25.0</v>
      </c>
      <c r="I24" s="1">
        <v>52.0</v>
      </c>
      <c r="J24" s="1">
        <v>77.0</v>
      </c>
      <c r="K24" s="1">
        <v>215.0</v>
      </c>
      <c r="L24" s="1">
        <v>11.0</v>
      </c>
      <c r="M24" s="1">
        <v>13.0</v>
      </c>
      <c r="N24" s="1">
        <v>1.0</v>
      </c>
      <c r="O24" s="1">
        <v>0.0</v>
      </c>
      <c r="P24" s="1">
        <v>175.0</v>
      </c>
      <c r="Q24" s="1">
        <v>86.0</v>
      </c>
      <c r="V24" s="2">
        <f>VLOOKUP(B24,'202324'!B:C,2,FALSE)-A24</f>
        <v>1</v>
      </c>
    </row>
    <row r="25">
      <c r="A25" s="1">
        <f t="shared" si="1"/>
        <v>23</v>
      </c>
      <c r="B25" s="1" t="s">
        <v>1063</v>
      </c>
      <c r="C25" s="1" t="s">
        <v>1034</v>
      </c>
      <c r="D25" s="1" t="s">
        <v>31</v>
      </c>
      <c r="E25" s="11">
        <f t="shared" si="2"/>
        <v>480.1</v>
      </c>
      <c r="F25" s="11">
        <f t="shared" si="3"/>
        <v>5.927160494</v>
      </c>
      <c r="G25" s="1">
        <v>81.0</v>
      </c>
      <c r="H25" s="1">
        <v>46.0</v>
      </c>
      <c r="I25" s="1">
        <v>44.0</v>
      </c>
      <c r="J25" s="1">
        <v>90.0</v>
      </c>
      <c r="K25" s="1">
        <v>227.0</v>
      </c>
      <c r="L25" s="1">
        <v>15.0</v>
      </c>
      <c r="M25" s="1">
        <v>17.0</v>
      </c>
      <c r="N25" s="1">
        <v>0.0</v>
      </c>
      <c r="O25" s="1">
        <v>0.0</v>
      </c>
      <c r="P25" s="1">
        <v>16.0</v>
      </c>
      <c r="Q25" s="1">
        <v>44.0</v>
      </c>
      <c r="V25" s="2">
        <f>VLOOKUP(B25,'202324'!B:C,2,FALSE)-A25</f>
        <v>-2</v>
      </c>
    </row>
    <row r="26">
      <c r="A26" s="1">
        <f t="shared" si="1"/>
        <v>24</v>
      </c>
      <c r="B26" s="1" t="s">
        <v>1064</v>
      </c>
      <c r="C26" s="1" t="s">
        <v>1065</v>
      </c>
      <c r="D26" s="1" t="s">
        <v>28</v>
      </c>
      <c r="E26" s="11">
        <f t="shared" si="2"/>
        <v>473.1</v>
      </c>
      <c r="F26" s="11">
        <f t="shared" si="3"/>
        <v>5.769512195</v>
      </c>
      <c r="G26" s="1">
        <v>82.0</v>
      </c>
      <c r="H26" s="1">
        <v>37.0</v>
      </c>
      <c r="I26" s="1">
        <v>23.0</v>
      </c>
      <c r="J26" s="1">
        <v>60.0</v>
      </c>
      <c r="K26" s="1">
        <v>272.0</v>
      </c>
      <c r="L26" s="1">
        <v>13.0</v>
      </c>
      <c r="M26" s="1">
        <v>7.0</v>
      </c>
      <c r="N26" s="1">
        <v>3.0</v>
      </c>
      <c r="O26" s="1">
        <v>1.0</v>
      </c>
      <c r="P26" s="1">
        <v>156.0</v>
      </c>
      <c r="Q26" s="1">
        <v>78.0</v>
      </c>
      <c r="V26" s="2">
        <f>VLOOKUP(B26,'202324'!B:C,2,FALSE)-A26</f>
        <v>0</v>
      </c>
    </row>
    <row r="27">
      <c r="A27" s="1">
        <f t="shared" si="1"/>
        <v>25</v>
      </c>
      <c r="B27" s="1" t="s">
        <v>1066</v>
      </c>
      <c r="C27" s="1" t="s">
        <v>1067</v>
      </c>
      <c r="D27" s="1" t="s">
        <v>66</v>
      </c>
      <c r="E27" s="11">
        <f t="shared" si="2"/>
        <v>469.4</v>
      </c>
      <c r="F27" s="11">
        <f t="shared" si="3"/>
        <v>5.795061728</v>
      </c>
      <c r="G27" s="1">
        <v>81.0</v>
      </c>
      <c r="H27" s="1">
        <v>20.0</v>
      </c>
      <c r="I27" s="1">
        <v>39.0</v>
      </c>
      <c r="J27" s="1">
        <v>59.0</v>
      </c>
      <c r="K27" s="1">
        <v>235.0</v>
      </c>
      <c r="L27" s="1">
        <v>6.0</v>
      </c>
      <c r="M27" s="1">
        <v>14.0</v>
      </c>
      <c r="N27" s="1">
        <v>0.0</v>
      </c>
      <c r="O27" s="1">
        <v>0.0</v>
      </c>
      <c r="P27" s="1">
        <v>194.0</v>
      </c>
      <c r="Q27" s="1">
        <v>154.0</v>
      </c>
      <c r="V27" s="2">
        <f>VLOOKUP(B27,'202324'!B:C,2,FALSE)-A27</f>
        <v>3</v>
      </c>
    </row>
    <row r="28">
      <c r="A28" s="1">
        <f t="shared" si="1"/>
        <v>26</v>
      </c>
      <c r="B28" s="1" t="s">
        <v>1068</v>
      </c>
      <c r="C28" s="1" t="s">
        <v>1069</v>
      </c>
      <c r="D28" s="1" t="s">
        <v>66</v>
      </c>
      <c r="E28" s="11">
        <f t="shared" si="2"/>
        <v>460.85</v>
      </c>
      <c r="F28" s="11">
        <f t="shared" si="3"/>
        <v>5.620121951</v>
      </c>
      <c r="G28" s="1">
        <v>82.0</v>
      </c>
      <c r="H28" s="1">
        <v>20.0</v>
      </c>
      <c r="I28" s="1">
        <v>32.0</v>
      </c>
      <c r="J28" s="1">
        <v>52.0</v>
      </c>
      <c r="K28" s="1">
        <v>208.0</v>
      </c>
      <c r="L28" s="1">
        <v>3.0</v>
      </c>
      <c r="M28" s="1">
        <v>12.0</v>
      </c>
      <c r="N28" s="1">
        <v>0.0</v>
      </c>
      <c r="O28" s="1">
        <v>2.0</v>
      </c>
      <c r="P28" s="1">
        <v>191.0</v>
      </c>
      <c r="Q28" s="1">
        <v>200.0</v>
      </c>
      <c r="V28" s="2">
        <f>VLOOKUP(B28,'202324'!B:C,2,FALSE)-A28</f>
        <v>5</v>
      </c>
    </row>
    <row r="29">
      <c r="A29" s="1">
        <f t="shared" si="1"/>
        <v>27</v>
      </c>
      <c r="B29" s="1" t="s">
        <v>1070</v>
      </c>
      <c r="C29" s="1" t="s">
        <v>1040</v>
      </c>
      <c r="D29" s="1" t="s">
        <v>28</v>
      </c>
      <c r="E29" s="11">
        <f t="shared" si="2"/>
        <v>460.45</v>
      </c>
      <c r="F29" s="11">
        <f t="shared" si="3"/>
        <v>5.615243902</v>
      </c>
      <c r="G29" s="1">
        <v>82.0</v>
      </c>
      <c r="H29" s="1">
        <v>39.0</v>
      </c>
      <c r="I29" s="1">
        <v>36.0</v>
      </c>
      <c r="J29" s="1">
        <v>75.0</v>
      </c>
      <c r="K29" s="1">
        <v>246.0</v>
      </c>
      <c r="L29" s="1">
        <v>18.0</v>
      </c>
      <c r="M29" s="1">
        <v>11.0</v>
      </c>
      <c r="N29" s="1">
        <v>2.0</v>
      </c>
      <c r="O29" s="1">
        <v>3.0</v>
      </c>
      <c r="P29" s="1">
        <v>97.0</v>
      </c>
      <c r="Q29" s="1">
        <v>20.0</v>
      </c>
      <c r="V29" s="2">
        <f>VLOOKUP(B29,'202324'!B:C,2,FALSE)-A29</f>
        <v>0</v>
      </c>
    </row>
    <row r="30">
      <c r="A30" s="1">
        <f t="shared" si="1"/>
        <v>28</v>
      </c>
      <c r="B30" s="1" t="s">
        <v>1071</v>
      </c>
      <c r="C30" s="1" t="s">
        <v>1036</v>
      </c>
      <c r="D30" s="1" t="s">
        <v>66</v>
      </c>
      <c r="E30" s="11">
        <f t="shared" si="2"/>
        <v>460.35</v>
      </c>
      <c r="F30" s="11">
        <f t="shared" si="3"/>
        <v>5.683333333</v>
      </c>
      <c r="G30" s="1">
        <v>81.0</v>
      </c>
      <c r="H30" s="1">
        <v>18.0</v>
      </c>
      <c r="I30" s="1">
        <v>64.0</v>
      </c>
      <c r="J30" s="1">
        <v>82.0</v>
      </c>
      <c r="K30" s="1">
        <v>220.0</v>
      </c>
      <c r="L30" s="1">
        <v>8.0</v>
      </c>
      <c r="M30" s="1">
        <v>27.0</v>
      </c>
      <c r="N30" s="1">
        <v>0.0</v>
      </c>
      <c r="O30" s="1">
        <v>0.0</v>
      </c>
      <c r="P30" s="1">
        <v>71.0</v>
      </c>
      <c r="Q30" s="1">
        <v>105.0</v>
      </c>
      <c r="V30" s="2">
        <f>VLOOKUP(B30,'202324'!B:C,2,FALSE)-A30</f>
        <v>-2</v>
      </c>
    </row>
    <row r="31">
      <c r="A31" s="1">
        <f t="shared" si="1"/>
        <v>29</v>
      </c>
      <c r="B31" s="1" t="s">
        <v>1072</v>
      </c>
      <c r="C31" s="1" t="s">
        <v>1073</v>
      </c>
      <c r="D31" s="1" t="s">
        <v>28</v>
      </c>
      <c r="E31" s="11">
        <f t="shared" si="2"/>
        <v>458.45</v>
      </c>
      <c r="F31" s="11">
        <f t="shared" si="3"/>
        <v>5.877564103</v>
      </c>
      <c r="G31" s="1">
        <v>78.0</v>
      </c>
      <c r="H31" s="1">
        <v>36.0</v>
      </c>
      <c r="I31" s="1">
        <v>53.0</v>
      </c>
      <c r="J31" s="1">
        <v>89.0</v>
      </c>
      <c r="K31" s="1">
        <v>216.0</v>
      </c>
      <c r="L31" s="1">
        <v>11.0</v>
      </c>
      <c r="M31" s="1">
        <v>21.0</v>
      </c>
      <c r="N31" s="1">
        <v>1.0</v>
      </c>
      <c r="O31" s="1">
        <v>1.0</v>
      </c>
      <c r="P31" s="1">
        <v>47.0</v>
      </c>
      <c r="Q31" s="1">
        <v>18.0</v>
      </c>
      <c r="V31" s="2">
        <f>VLOOKUP(B31,'202324'!B:C,2,FALSE)-A31</f>
        <v>-4</v>
      </c>
    </row>
    <row r="32">
      <c r="A32" s="1">
        <f t="shared" si="1"/>
        <v>30</v>
      </c>
      <c r="B32" s="1" t="s">
        <v>1074</v>
      </c>
      <c r="C32" s="1" t="s">
        <v>1054</v>
      </c>
      <c r="D32" s="1" t="s">
        <v>31</v>
      </c>
      <c r="E32" s="11">
        <f t="shared" si="2"/>
        <v>458.1</v>
      </c>
      <c r="F32" s="11">
        <f t="shared" si="3"/>
        <v>5.949350649</v>
      </c>
      <c r="G32" s="1">
        <v>77.0</v>
      </c>
      <c r="H32" s="1">
        <v>30.0</v>
      </c>
      <c r="I32" s="1">
        <v>34.0</v>
      </c>
      <c r="J32" s="1">
        <v>64.0</v>
      </c>
      <c r="K32" s="1">
        <v>267.0</v>
      </c>
      <c r="L32" s="1">
        <v>12.0</v>
      </c>
      <c r="M32" s="1">
        <v>9.0</v>
      </c>
      <c r="N32" s="1">
        <v>1.0</v>
      </c>
      <c r="O32" s="1">
        <v>0.0</v>
      </c>
      <c r="P32" s="1">
        <v>166.0</v>
      </c>
      <c r="Q32" s="1">
        <v>55.0</v>
      </c>
      <c r="V32" s="2">
        <f>VLOOKUP(B32,'202324'!B:C,2,FALSE)-A32</f>
        <v>2</v>
      </c>
    </row>
    <row r="33">
      <c r="A33" s="1">
        <f t="shared" si="1"/>
        <v>31</v>
      </c>
      <c r="B33" s="1" t="s">
        <v>1075</v>
      </c>
      <c r="C33" s="1" t="s">
        <v>1076</v>
      </c>
      <c r="D33" s="1" t="s">
        <v>28</v>
      </c>
      <c r="E33" s="11">
        <f t="shared" si="2"/>
        <v>455.1</v>
      </c>
      <c r="F33" s="11">
        <f t="shared" si="3"/>
        <v>5.55</v>
      </c>
      <c r="G33" s="1">
        <v>82.0</v>
      </c>
      <c r="H33" s="1">
        <v>27.0</v>
      </c>
      <c r="I33" s="1">
        <v>56.0</v>
      </c>
      <c r="J33" s="1">
        <v>83.0</v>
      </c>
      <c r="K33" s="1">
        <v>248.0</v>
      </c>
      <c r="L33" s="1">
        <v>7.0</v>
      </c>
      <c r="M33" s="1">
        <v>20.0</v>
      </c>
      <c r="N33" s="1">
        <v>0.0</v>
      </c>
      <c r="O33" s="1">
        <v>1.0</v>
      </c>
      <c r="P33" s="1">
        <v>66.0</v>
      </c>
      <c r="Q33" s="1">
        <v>33.0</v>
      </c>
      <c r="V33" s="2">
        <f>VLOOKUP(B33,'202324'!B:C,2,FALSE)-A33</f>
        <v>-2</v>
      </c>
    </row>
    <row r="34">
      <c r="A34" s="1">
        <f t="shared" si="1"/>
        <v>32</v>
      </c>
      <c r="B34" s="1" t="s">
        <v>1077</v>
      </c>
      <c r="C34" s="1" t="s">
        <v>1078</v>
      </c>
      <c r="D34" s="1" t="s">
        <v>31</v>
      </c>
      <c r="E34" s="11">
        <f t="shared" si="2"/>
        <v>453.55</v>
      </c>
      <c r="F34" s="11">
        <f t="shared" si="3"/>
        <v>5.89025974</v>
      </c>
      <c r="G34" s="1">
        <v>77.0</v>
      </c>
      <c r="H34" s="1">
        <v>28.0</v>
      </c>
      <c r="I34" s="1">
        <v>47.0</v>
      </c>
      <c r="J34" s="1">
        <v>75.0</v>
      </c>
      <c r="K34" s="1">
        <v>246.0</v>
      </c>
      <c r="L34" s="1">
        <v>5.0</v>
      </c>
      <c r="M34" s="1">
        <v>22.0</v>
      </c>
      <c r="N34" s="1">
        <v>3.0</v>
      </c>
      <c r="O34" s="1">
        <v>1.0</v>
      </c>
      <c r="P34" s="1">
        <v>113.0</v>
      </c>
      <c r="Q34" s="1">
        <v>32.0</v>
      </c>
      <c r="V34" s="2">
        <f>VLOOKUP(B34,'202324'!B:C,2,FALSE)-A34</f>
        <v>-2</v>
      </c>
    </row>
    <row r="35">
      <c r="A35" s="1">
        <f t="shared" si="1"/>
        <v>33</v>
      </c>
      <c r="B35" s="1" t="s">
        <v>1079</v>
      </c>
      <c r="C35" s="1" t="s">
        <v>1080</v>
      </c>
      <c r="D35" s="1" t="s">
        <v>28</v>
      </c>
      <c r="E35" s="11">
        <f t="shared" si="2"/>
        <v>451.95</v>
      </c>
      <c r="F35" s="11">
        <f t="shared" si="3"/>
        <v>5.511585366</v>
      </c>
      <c r="G35" s="1">
        <v>82.0</v>
      </c>
      <c r="H35" s="1">
        <v>42.0</v>
      </c>
      <c r="I35" s="1">
        <v>27.0</v>
      </c>
      <c r="J35" s="1">
        <v>69.0</v>
      </c>
      <c r="K35" s="1">
        <v>266.0</v>
      </c>
      <c r="L35" s="1">
        <v>8.0</v>
      </c>
      <c r="M35" s="1">
        <v>9.0</v>
      </c>
      <c r="N35" s="1">
        <v>0.0</v>
      </c>
      <c r="O35" s="1">
        <v>0.0</v>
      </c>
      <c r="P35" s="1">
        <v>107.0</v>
      </c>
      <c r="Q35" s="1">
        <v>23.0</v>
      </c>
      <c r="V35" s="2">
        <f>VLOOKUP(B35,'202324'!B:C,2,FALSE)-A35</f>
        <v>0</v>
      </c>
    </row>
    <row r="36">
      <c r="A36" s="1">
        <f t="shared" si="1"/>
        <v>34</v>
      </c>
      <c r="B36" s="1" t="s">
        <v>1081</v>
      </c>
      <c r="C36" s="1" t="s">
        <v>1082</v>
      </c>
      <c r="D36" s="1" t="s">
        <v>28</v>
      </c>
      <c r="E36" s="11">
        <f t="shared" si="2"/>
        <v>447.35</v>
      </c>
      <c r="F36" s="11">
        <f t="shared" si="3"/>
        <v>5.662658228</v>
      </c>
      <c r="G36" s="1">
        <v>79.0</v>
      </c>
      <c r="H36" s="1">
        <v>31.0</v>
      </c>
      <c r="I36" s="1">
        <v>34.0</v>
      </c>
      <c r="J36" s="1">
        <v>65.0</v>
      </c>
      <c r="K36" s="1">
        <v>272.0</v>
      </c>
      <c r="L36" s="1">
        <v>13.0</v>
      </c>
      <c r="M36" s="1">
        <v>15.0</v>
      </c>
      <c r="N36" s="1">
        <v>0.0</v>
      </c>
      <c r="O36" s="1">
        <v>0.0</v>
      </c>
      <c r="P36" s="1">
        <v>161.0</v>
      </c>
      <c r="Q36" s="1">
        <v>27.0</v>
      </c>
      <c r="V36" s="2">
        <f>VLOOKUP(B36,'202324'!B:C,2,FALSE)-A36</f>
        <v>4</v>
      </c>
    </row>
    <row r="37">
      <c r="A37" s="1">
        <f t="shared" si="1"/>
        <v>35</v>
      </c>
      <c r="B37" s="1" t="s">
        <v>1083</v>
      </c>
      <c r="C37" s="1" t="s">
        <v>1032</v>
      </c>
      <c r="D37" s="1" t="s">
        <v>31</v>
      </c>
      <c r="E37" s="11">
        <f t="shared" si="2"/>
        <v>443.4</v>
      </c>
      <c r="F37" s="11">
        <f t="shared" si="3"/>
        <v>5.5425</v>
      </c>
      <c r="G37" s="1">
        <v>80.0</v>
      </c>
      <c r="H37" s="1">
        <v>29.0</v>
      </c>
      <c r="I37" s="1">
        <v>36.0</v>
      </c>
      <c r="J37" s="1">
        <v>65.0</v>
      </c>
      <c r="K37" s="1">
        <v>279.0</v>
      </c>
      <c r="L37" s="1">
        <v>9.0</v>
      </c>
      <c r="M37" s="1">
        <v>11.0</v>
      </c>
      <c r="N37" s="1">
        <v>0.0</v>
      </c>
      <c r="O37" s="1">
        <v>0.0</v>
      </c>
      <c r="P37" s="1">
        <v>134.0</v>
      </c>
      <c r="Q37" s="1">
        <v>37.0</v>
      </c>
      <c r="V37" s="2">
        <f>VLOOKUP(B37,'202324'!B:C,2,FALSE)-A37</f>
        <v>5</v>
      </c>
    </row>
    <row r="38">
      <c r="A38" s="1">
        <f t="shared" si="1"/>
        <v>36</v>
      </c>
      <c r="B38" s="1" t="s">
        <v>1084</v>
      </c>
      <c r="C38" s="1" t="s">
        <v>1085</v>
      </c>
      <c r="D38" s="1" t="s">
        <v>28</v>
      </c>
      <c r="E38" s="11">
        <f t="shared" si="2"/>
        <v>441.45</v>
      </c>
      <c r="F38" s="11">
        <f t="shared" si="3"/>
        <v>5.383536585</v>
      </c>
      <c r="G38" s="1">
        <v>82.0</v>
      </c>
      <c r="H38" s="1">
        <v>29.0</v>
      </c>
      <c r="I38" s="1">
        <v>51.0</v>
      </c>
      <c r="J38" s="1">
        <v>80.0</v>
      </c>
      <c r="K38" s="1">
        <v>231.0</v>
      </c>
      <c r="L38" s="1">
        <v>9.0</v>
      </c>
      <c r="M38" s="1">
        <v>19.0</v>
      </c>
      <c r="N38" s="1">
        <v>0.0</v>
      </c>
      <c r="O38" s="1">
        <v>0.0</v>
      </c>
      <c r="P38" s="1">
        <v>77.0</v>
      </c>
      <c r="Q38" s="1">
        <v>31.0</v>
      </c>
      <c r="V38" s="2">
        <f>VLOOKUP(B38,'202324'!B:C,2,FALSE)-A38</f>
        <v>0</v>
      </c>
    </row>
    <row r="39">
      <c r="A39" s="1">
        <f t="shared" si="1"/>
        <v>37</v>
      </c>
      <c r="B39" s="1" t="s">
        <v>1086</v>
      </c>
      <c r="C39" s="1" t="s">
        <v>1087</v>
      </c>
      <c r="D39" s="1" t="s">
        <v>31</v>
      </c>
      <c r="E39" s="11">
        <f t="shared" si="2"/>
        <v>439.4</v>
      </c>
      <c r="F39" s="11">
        <f t="shared" si="3"/>
        <v>5.4925</v>
      </c>
      <c r="G39" s="1">
        <v>80.0</v>
      </c>
      <c r="H39" s="1">
        <v>23.0</v>
      </c>
      <c r="I39" s="1">
        <v>57.0</v>
      </c>
      <c r="J39" s="1">
        <v>80.0</v>
      </c>
      <c r="K39" s="1">
        <v>240.0</v>
      </c>
      <c r="L39" s="1">
        <v>5.0</v>
      </c>
      <c r="M39" s="1">
        <v>20.0</v>
      </c>
      <c r="N39" s="1">
        <v>0.0</v>
      </c>
      <c r="O39" s="1">
        <v>0.0</v>
      </c>
      <c r="P39" s="1">
        <v>54.0</v>
      </c>
      <c r="Q39" s="1">
        <v>52.0</v>
      </c>
      <c r="V39" s="2">
        <f>VLOOKUP(B39,'202324'!B:C,2,FALSE)-A39</f>
        <v>-2</v>
      </c>
    </row>
    <row r="40">
      <c r="A40" s="1">
        <f t="shared" si="1"/>
        <v>38</v>
      </c>
      <c r="B40" s="1" t="s">
        <v>1088</v>
      </c>
      <c r="C40" s="1" t="s">
        <v>1069</v>
      </c>
      <c r="D40" s="1" t="s">
        <v>31</v>
      </c>
      <c r="E40" s="11">
        <f t="shared" si="2"/>
        <v>438.95</v>
      </c>
      <c r="F40" s="11">
        <f t="shared" si="3"/>
        <v>5.35304878</v>
      </c>
      <c r="G40" s="1">
        <v>82.0</v>
      </c>
      <c r="H40" s="1">
        <v>29.0</v>
      </c>
      <c r="I40" s="1">
        <v>46.0</v>
      </c>
      <c r="J40" s="1">
        <v>75.0</v>
      </c>
      <c r="K40" s="1">
        <v>277.0</v>
      </c>
      <c r="L40" s="1">
        <v>10.0</v>
      </c>
      <c r="M40" s="1">
        <v>12.0</v>
      </c>
      <c r="N40" s="1">
        <v>0.0</v>
      </c>
      <c r="O40" s="1">
        <v>0.0</v>
      </c>
      <c r="P40" s="1">
        <v>57.0</v>
      </c>
      <c r="Q40" s="1">
        <v>24.0</v>
      </c>
      <c r="V40" s="2">
        <f>VLOOKUP(B40,'202324'!B:C,2,FALSE)-A40</f>
        <v>-1</v>
      </c>
    </row>
    <row r="41">
      <c r="A41" s="1">
        <f t="shared" si="1"/>
        <v>39</v>
      </c>
      <c r="B41" s="1" t="s">
        <v>1089</v>
      </c>
      <c r="C41" s="1" t="s">
        <v>1046</v>
      </c>
      <c r="D41" s="1" t="s">
        <v>66</v>
      </c>
      <c r="E41" s="11">
        <f t="shared" si="2"/>
        <v>438.65</v>
      </c>
      <c r="F41" s="11">
        <f t="shared" si="3"/>
        <v>5.349390244</v>
      </c>
      <c r="G41" s="1">
        <v>82.0</v>
      </c>
      <c r="H41" s="1">
        <v>17.0</v>
      </c>
      <c r="I41" s="1">
        <v>75.0</v>
      </c>
      <c r="J41" s="1">
        <v>92.0</v>
      </c>
      <c r="K41" s="1">
        <v>199.0</v>
      </c>
      <c r="L41" s="1">
        <v>5.0</v>
      </c>
      <c r="M41" s="1">
        <v>33.0</v>
      </c>
      <c r="N41" s="1">
        <v>0.0</v>
      </c>
      <c r="O41" s="1">
        <v>0.0</v>
      </c>
      <c r="P41" s="1">
        <v>29.0</v>
      </c>
      <c r="Q41" s="1">
        <v>55.0</v>
      </c>
      <c r="V41" s="2">
        <f>VLOOKUP(B41,'202324'!B:C,2,FALSE)-A41</f>
        <v>-5</v>
      </c>
    </row>
    <row r="42">
      <c r="A42" s="1">
        <f t="shared" si="1"/>
        <v>40</v>
      </c>
      <c r="B42" s="1" t="s">
        <v>1090</v>
      </c>
      <c r="C42" s="1" t="s">
        <v>1091</v>
      </c>
      <c r="D42" s="1" t="s">
        <v>31</v>
      </c>
      <c r="E42" s="11">
        <f t="shared" si="2"/>
        <v>437</v>
      </c>
      <c r="F42" s="11">
        <f t="shared" si="3"/>
        <v>5.75</v>
      </c>
      <c r="G42" s="1">
        <v>76.0</v>
      </c>
      <c r="H42" s="1">
        <v>33.0</v>
      </c>
      <c r="I42" s="1">
        <v>35.0</v>
      </c>
      <c r="J42" s="1">
        <v>68.0</v>
      </c>
      <c r="K42" s="1">
        <v>244.0</v>
      </c>
      <c r="L42" s="1">
        <v>4.0</v>
      </c>
      <c r="M42" s="1">
        <v>5.0</v>
      </c>
      <c r="N42" s="1">
        <v>6.0</v>
      </c>
      <c r="O42" s="1">
        <v>1.0</v>
      </c>
      <c r="P42" s="1">
        <v>90.0</v>
      </c>
      <c r="Q42" s="1">
        <v>32.0</v>
      </c>
      <c r="V42" s="2">
        <f>VLOOKUP(B42,'202324'!B:C,2,FALSE)-A42</f>
        <v>1</v>
      </c>
    </row>
    <row r="43">
      <c r="A43" s="1">
        <f t="shared" si="1"/>
        <v>41</v>
      </c>
      <c r="B43" s="1" t="s">
        <v>1092</v>
      </c>
      <c r="C43" s="1" t="s">
        <v>1048</v>
      </c>
      <c r="D43" s="1" t="s">
        <v>31</v>
      </c>
      <c r="E43" s="11">
        <f t="shared" si="2"/>
        <v>436.4</v>
      </c>
      <c r="F43" s="11">
        <f t="shared" si="3"/>
        <v>5.978082192</v>
      </c>
      <c r="G43" s="1">
        <v>73.0</v>
      </c>
      <c r="H43" s="1">
        <v>23.0</v>
      </c>
      <c r="I43" s="1">
        <v>57.0</v>
      </c>
      <c r="J43" s="1">
        <v>80.0</v>
      </c>
      <c r="K43" s="1">
        <v>193.0</v>
      </c>
      <c r="L43" s="1">
        <v>5.0</v>
      </c>
      <c r="M43" s="1">
        <v>24.0</v>
      </c>
      <c r="N43" s="1">
        <v>0.0</v>
      </c>
      <c r="O43" s="1">
        <v>2.0</v>
      </c>
      <c r="P43" s="1">
        <v>104.0</v>
      </c>
      <c r="Q43" s="1">
        <v>50.0</v>
      </c>
      <c r="V43" s="2">
        <f>VLOOKUP(B43,'202324'!B:C,2,FALSE)-A43</f>
        <v>1</v>
      </c>
    </row>
    <row r="44">
      <c r="A44" s="1">
        <f t="shared" si="1"/>
        <v>42</v>
      </c>
      <c r="B44" s="1" t="s">
        <v>1093</v>
      </c>
      <c r="C44" s="1" t="s">
        <v>1087</v>
      </c>
      <c r="D44" s="1" t="s">
        <v>66</v>
      </c>
      <c r="E44" s="11">
        <f t="shared" si="2"/>
        <v>433.4</v>
      </c>
      <c r="F44" s="11">
        <f t="shared" si="3"/>
        <v>5.486075949</v>
      </c>
      <c r="G44" s="1">
        <v>79.0</v>
      </c>
      <c r="H44" s="1">
        <v>10.0</v>
      </c>
      <c r="I44" s="1">
        <v>60.0</v>
      </c>
      <c r="J44" s="1">
        <v>70.0</v>
      </c>
      <c r="K44" s="1">
        <v>174.0</v>
      </c>
      <c r="L44" s="1">
        <v>1.0</v>
      </c>
      <c r="M44" s="1">
        <v>23.0</v>
      </c>
      <c r="N44" s="1">
        <v>0.0</v>
      </c>
      <c r="O44" s="1">
        <v>1.0</v>
      </c>
      <c r="P44" s="1">
        <v>84.0</v>
      </c>
      <c r="Q44" s="1">
        <v>180.0</v>
      </c>
      <c r="V44" s="2">
        <f>VLOOKUP(B44,'202324'!B:C,2,FALSE)-A44</f>
        <v>1</v>
      </c>
    </row>
    <row r="45">
      <c r="A45" s="1">
        <f t="shared" si="1"/>
        <v>43</v>
      </c>
      <c r="B45" s="1" t="s">
        <v>1094</v>
      </c>
      <c r="C45" s="1" t="s">
        <v>1080</v>
      </c>
      <c r="D45" s="1" t="s">
        <v>31</v>
      </c>
      <c r="E45" s="11">
        <f t="shared" si="2"/>
        <v>432.75</v>
      </c>
      <c r="F45" s="11">
        <f t="shared" si="3"/>
        <v>6.869047619</v>
      </c>
      <c r="G45" s="1">
        <v>63.0</v>
      </c>
      <c r="H45" s="1">
        <v>31.0</v>
      </c>
      <c r="I45" s="1">
        <v>37.0</v>
      </c>
      <c r="J45" s="1">
        <v>68.0</v>
      </c>
      <c r="K45" s="1">
        <v>278.0</v>
      </c>
      <c r="L45" s="1">
        <v>11.0</v>
      </c>
      <c r="M45" s="1">
        <v>11.0</v>
      </c>
      <c r="N45" s="1">
        <v>0.0</v>
      </c>
      <c r="O45" s="1">
        <v>2.0</v>
      </c>
      <c r="P45" s="1">
        <v>25.0</v>
      </c>
      <c r="Q45" s="1">
        <v>61.0</v>
      </c>
      <c r="V45" s="2">
        <f>VLOOKUP(B45,'202324'!B:C,2,FALSE)-A45</f>
        <v>-4</v>
      </c>
    </row>
    <row r="46">
      <c r="A46" s="1">
        <f t="shared" si="1"/>
        <v>44</v>
      </c>
      <c r="B46" s="1" t="s">
        <v>1095</v>
      </c>
      <c r="C46" s="1" t="s">
        <v>1073</v>
      </c>
      <c r="D46" s="1" t="s">
        <v>28</v>
      </c>
      <c r="E46" s="11">
        <f t="shared" si="2"/>
        <v>425.8</v>
      </c>
      <c r="F46" s="11">
        <f t="shared" si="3"/>
        <v>6.355223881</v>
      </c>
      <c r="G46" s="1">
        <v>67.0</v>
      </c>
      <c r="H46" s="1">
        <v>30.0</v>
      </c>
      <c r="I46" s="1">
        <v>47.0</v>
      </c>
      <c r="J46" s="1">
        <v>77.0</v>
      </c>
      <c r="K46" s="1">
        <v>238.0</v>
      </c>
      <c r="L46" s="1">
        <v>5.0</v>
      </c>
      <c r="M46" s="1">
        <v>17.0</v>
      </c>
      <c r="N46" s="1">
        <v>0.0</v>
      </c>
      <c r="O46" s="1">
        <v>0.0</v>
      </c>
      <c r="P46" s="1">
        <v>48.0</v>
      </c>
      <c r="Q46" s="1">
        <v>28.0</v>
      </c>
      <c r="V46" s="2">
        <f>VLOOKUP(B46,'202324'!B:C,2,FALSE)-A46</f>
        <v>0</v>
      </c>
    </row>
    <row r="47">
      <c r="A47" s="1">
        <f t="shared" si="1"/>
        <v>45</v>
      </c>
      <c r="B47" s="1" t="s">
        <v>1096</v>
      </c>
      <c r="C47" s="1" t="s">
        <v>1097</v>
      </c>
      <c r="D47" s="1" t="s">
        <v>36</v>
      </c>
      <c r="E47" s="11">
        <f t="shared" si="2"/>
        <v>424.6</v>
      </c>
      <c r="F47" s="11">
        <f t="shared" si="3"/>
        <v>5.17804878</v>
      </c>
      <c r="G47" s="1">
        <v>82.0</v>
      </c>
      <c r="H47" s="1">
        <v>28.0</v>
      </c>
      <c r="I47" s="1">
        <v>37.0</v>
      </c>
      <c r="J47" s="1">
        <v>65.0</v>
      </c>
      <c r="K47" s="1">
        <v>314.0</v>
      </c>
      <c r="L47" s="1">
        <v>9.0</v>
      </c>
      <c r="M47" s="1">
        <v>12.0</v>
      </c>
      <c r="N47" s="1">
        <v>0.0</v>
      </c>
      <c r="O47" s="1">
        <v>0.0</v>
      </c>
      <c r="P47" s="1">
        <v>56.0</v>
      </c>
      <c r="Q47" s="1">
        <v>22.0</v>
      </c>
      <c r="V47" s="2">
        <f>VLOOKUP(B47,'202324'!B:C,2,FALSE)-A47</f>
        <v>1</v>
      </c>
    </row>
    <row r="48">
      <c r="A48" s="1">
        <f t="shared" si="1"/>
        <v>46</v>
      </c>
      <c r="B48" s="1" t="s">
        <v>1098</v>
      </c>
      <c r="C48" s="1" t="s">
        <v>1087</v>
      </c>
      <c r="D48" s="1" t="s">
        <v>31</v>
      </c>
      <c r="E48" s="11">
        <f t="shared" si="2"/>
        <v>423.8</v>
      </c>
      <c r="F48" s="11">
        <f t="shared" si="3"/>
        <v>5.168292683</v>
      </c>
      <c r="G48" s="1">
        <v>82.0</v>
      </c>
      <c r="H48" s="1">
        <v>34.0</v>
      </c>
      <c r="I48" s="1">
        <v>35.0</v>
      </c>
      <c r="J48" s="1">
        <v>69.0</v>
      </c>
      <c r="K48" s="1">
        <v>250.0</v>
      </c>
      <c r="L48" s="1">
        <v>9.0</v>
      </c>
      <c r="M48" s="1">
        <v>10.0</v>
      </c>
      <c r="N48" s="1">
        <v>1.0</v>
      </c>
      <c r="O48" s="1">
        <v>1.0</v>
      </c>
      <c r="P48" s="1">
        <v>38.0</v>
      </c>
      <c r="Q48" s="1">
        <v>47.0</v>
      </c>
      <c r="V48" s="2">
        <f>VLOOKUP(B48,'202324'!B:C,2,FALSE)-A48</f>
        <v>-1</v>
      </c>
    </row>
    <row r="49">
      <c r="A49" s="1">
        <f t="shared" si="1"/>
        <v>47</v>
      </c>
      <c r="B49" s="1" t="s">
        <v>1099</v>
      </c>
      <c r="C49" s="1" t="s">
        <v>1087</v>
      </c>
      <c r="D49" s="1" t="s">
        <v>31</v>
      </c>
      <c r="E49" s="11">
        <f t="shared" si="2"/>
        <v>423.5</v>
      </c>
      <c r="F49" s="11">
        <f t="shared" si="3"/>
        <v>5.228395062</v>
      </c>
      <c r="G49" s="1">
        <v>81.0</v>
      </c>
      <c r="H49" s="1">
        <v>33.0</v>
      </c>
      <c r="I49" s="1">
        <v>35.0</v>
      </c>
      <c r="J49" s="1">
        <v>68.0</v>
      </c>
      <c r="K49" s="1">
        <v>248.0</v>
      </c>
      <c r="L49" s="1">
        <v>10.0</v>
      </c>
      <c r="M49" s="1">
        <v>8.0</v>
      </c>
      <c r="N49" s="1">
        <v>1.0</v>
      </c>
      <c r="O49" s="1">
        <v>1.0</v>
      </c>
      <c r="P49" s="1">
        <v>60.0</v>
      </c>
      <c r="Q49" s="1">
        <v>42.0</v>
      </c>
      <c r="V49" s="2">
        <f>VLOOKUP(B49,'202324'!B:C,2,FALSE)-A49</f>
        <v>0</v>
      </c>
    </row>
    <row r="50">
      <c r="A50" s="1">
        <f t="shared" si="1"/>
        <v>48</v>
      </c>
      <c r="B50" s="1" t="s">
        <v>1100</v>
      </c>
      <c r="C50" s="1" t="s">
        <v>1040</v>
      </c>
      <c r="D50" s="1" t="s">
        <v>31</v>
      </c>
      <c r="E50" s="11">
        <f t="shared" si="2"/>
        <v>422.15</v>
      </c>
      <c r="F50" s="11">
        <f t="shared" si="3"/>
        <v>5.211728395</v>
      </c>
      <c r="G50" s="1">
        <v>81.0</v>
      </c>
      <c r="H50" s="1">
        <v>26.0</v>
      </c>
      <c r="I50" s="1">
        <v>46.0</v>
      </c>
      <c r="J50" s="1">
        <v>72.0</v>
      </c>
      <c r="K50" s="1">
        <v>221.0</v>
      </c>
      <c r="L50" s="1">
        <v>12.0</v>
      </c>
      <c r="M50" s="1">
        <v>19.0</v>
      </c>
      <c r="N50" s="1">
        <v>2.0</v>
      </c>
      <c r="O50" s="1">
        <v>4.0</v>
      </c>
      <c r="P50" s="1">
        <v>49.0</v>
      </c>
      <c r="Q50" s="1">
        <v>55.0</v>
      </c>
      <c r="V50" s="2">
        <f>VLOOKUP(B50,'202324'!B:C,2,FALSE)-A50</f>
        <v>0</v>
      </c>
    </row>
    <row r="51">
      <c r="A51" s="1">
        <f t="shared" si="1"/>
        <v>49</v>
      </c>
      <c r="B51" s="1" t="s">
        <v>1101</v>
      </c>
      <c r="C51" s="1" t="s">
        <v>1048</v>
      </c>
      <c r="D51" s="1" t="s">
        <v>31</v>
      </c>
      <c r="E51" s="11">
        <f t="shared" si="2"/>
        <v>422.05</v>
      </c>
      <c r="F51" s="11">
        <f t="shared" si="3"/>
        <v>5.553289474</v>
      </c>
      <c r="G51" s="1">
        <v>76.0</v>
      </c>
      <c r="H51" s="1">
        <v>34.0</v>
      </c>
      <c r="I51" s="1">
        <v>38.0</v>
      </c>
      <c r="J51" s="1">
        <v>72.0</v>
      </c>
      <c r="K51" s="1">
        <v>246.0</v>
      </c>
      <c r="L51" s="1">
        <v>8.0</v>
      </c>
      <c r="M51" s="1">
        <v>13.0</v>
      </c>
      <c r="N51" s="1">
        <v>0.0</v>
      </c>
      <c r="O51" s="1">
        <v>0.0</v>
      </c>
      <c r="P51" s="1">
        <v>63.0</v>
      </c>
      <c r="Q51" s="1">
        <v>20.0</v>
      </c>
      <c r="V51" s="2">
        <f>VLOOKUP(B51,'202324'!B:C,2,FALSE)-A51</f>
        <v>0</v>
      </c>
    </row>
    <row r="52">
      <c r="A52" s="1">
        <f t="shared" si="1"/>
        <v>50</v>
      </c>
      <c r="B52" s="1" t="s">
        <v>1102</v>
      </c>
      <c r="C52" s="1" t="s">
        <v>1032</v>
      </c>
      <c r="D52" s="1" t="s">
        <v>36</v>
      </c>
      <c r="E52" s="11">
        <f t="shared" si="2"/>
        <v>421.15</v>
      </c>
      <c r="F52" s="11">
        <f t="shared" si="3"/>
        <v>6.103623188</v>
      </c>
      <c r="G52" s="1">
        <v>69.0</v>
      </c>
      <c r="H52" s="1">
        <v>26.0</v>
      </c>
      <c r="I52" s="1">
        <v>59.0</v>
      </c>
      <c r="J52" s="1">
        <v>85.0</v>
      </c>
      <c r="K52" s="1">
        <v>158.0</v>
      </c>
      <c r="L52" s="1">
        <v>8.0</v>
      </c>
      <c r="M52" s="1">
        <v>19.0</v>
      </c>
      <c r="N52" s="1">
        <v>1.0</v>
      </c>
      <c r="O52" s="1">
        <v>0.0</v>
      </c>
      <c r="P52" s="1">
        <v>59.0</v>
      </c>
      <c r="Q52" s="1">
        <v>51.0</v>
      </c>
      <c r="V52" s="2">
        <f>VLOOKUP(B52,'202324'!B:C,2,FALSE)-A52</f>
        <v>1</v>
      </c>
    </row>
    <row r="53">
      <c r="A53" s="1">
        <f t="shared" si="1"/>
        <v>51</v>
      </c>
      <c r="B53" s="1" t="s">
        <v>1103</v>
      </c>
      <c r="C53" s="1" t="s">
        <v>1097</v>
      </c>
      <c r="D53" s="1" t="s">
        <v>31</v>
      </c>
      <c r="E53" s="11">
        <f t="shared" si="2"/>
        <v>420.8</v>
      </c>
      <c r="F53" s="11">
        <f t="shared" si="3"/>
        <v>5.131707317</v>
      </c>
      <c r="G53" s="1">
        <v>82.0</v>
      </c>
      <c r="H53" s="1">
        <v>33.0</v>
      </c>
      <c r="I53" s="1">
        <v>44.0</v>
      </c>
      <c r="J53" s="1">
        <v>77.0</v>
      </c>
      <c r="K53" s="1">
        <v>185.0</v>
      </c>
      <c r="L53" s="1">
        <v>12.0</v>
      </c>
      <c r="M53" s="1">
        <v>19.0</v>
      </c>
      <c r="N53" s="1">
        <v>0.0</v>
      </c>
      <c r="O53" s="1">
        <v>0.0</v>
      </c>
      <c r="P53" s="1">
        <v>68.0</v>
      </c>
      <c r="Q53" s="1">
        <v>48.0</v>
      </c>
      <c r="V53" s="2">
        <f>VLOOKUP(B53,'202324'!B:C,2,FALSE)-A53</f>
        <v>1</v>
      </c>
    </row>
    <row r="54">
      <c r="A54" s="1">
        <f t="shared" si="1"/>
        <v>52</v>
      </c>
      <c r="B54" s="1" t="s">
        <v>1104</v>
      </c>
      <c r="C54" s="1" t="s">
        <v>1091</v>
      </c>
      <c r="D54" s="1" t="s">
        <v>36</v>
      </c>
      <c r="E54" s="11">
        <f t="shared" si="2"/>
        <v>420.45</v>
      </c>
      <c r="F54" s="11">
        <f t="shared" si="3"/>
        <v>5.390384615</v>
      </c>
      <c r="G54" s="1">
        <v>78.0</v>
      </c>
      <c r="H54" s="1">
        <v>28.0</v>
      </c>
      <c r="I54" s="1">
        <v>25.0</v>
      </c>
      <c r="J54" s="1">
        <v>53.0</v>
      </c>
      <c r="K54" s="1">
        <v>289.0</v>
      </c>
      <c r="L54" s="1">
        <v>5.0</v>
      </c>
      <c r="M54" s="1">
        <v>3.0</v>
      </c>
      <c r="N54" s="1">
        <v>0.0</v>
      </c>
      <c r="O54" s="1">
        <v>0.0</v>
      </c>
      <c r="P54" s="1">
        <v>147.0</v>
      </c>
      <c r="Q54" s="1">
        <v>47.0</v>
      </c>
      <c r="V54" s="2">
        <f>VLOOKUP(B54,'202324'!B:C,2,FALSE)-A54</f>
        <v>6</v>
      </c>
    </row>
    <row r="55">
      <c r="A55" s="1">
        <f t="shared" si="1"/>
        <v>53</v>
      </c>
      <c r="B55" s="1" t="s">
        <v>1105</v>
      </c>
      <c r="C55" s="1" t="s">
        <v>1106</v>
      </c>
      <c r="D55" s="1" t="s">
        <v>31</v>
      </c>
      <c r="E55" s="11">
        <f t="shared" si="2"/>
        <v>417.45</v>
      </c>
      <c r="F55" s="11">
        <f t="shared" si="3"/>
        <v>5.090853659</v>
      </c>
      <c r="G55" s="1">
        <v>82.0</v>
      </c>
      <c r="H55" s="1">
        <v>26.0</v>
      </c>
      <c r="I55" s="1">
        <v>60.0</v>
      </c>
      <c r="J55" s="1">
        <v>86.0</v>
      </c>
      <c r="K55" s="1">
        <v>170.0</v>
      </c>
      <c r="L55" s="1">
        <v>8.0</v>
      </c>
      <c r="M55" s="1">
        <v>19.0</v>
      </c>
      <c r="N55" s="1">
        <v>1.0</v>
      </c>
      <c r="O55" s="1">
        <v>2.0</v>
      </c>
      <c r="P55" s="1">
        <v>17.0</v>
      </c>
      <c r="Q55" s="1">
        <v>47.0</v>
      </c>
      <c r="V55" s="2">
        <f>VLOOKUP(B55,'202324'!B:C,2,FALSE)-A55</f>
        <v>-4</v>
      </c>
    </row>
    <row r="56">
      <c r="A56" s="1">
        <f t="shared" si="1"/>
        <v>54</v>
      </c>
      <c r="B56" s="1" t="s">
        <v>1107</v>
      </c>
      <c r="C56" s="1" t="s">
        <v>1046</v>
      </c>
      <c r="D56" s="1" t="s">
        <v>36</v>
      </c>
      <c r="E56" s="11">
        <f t="shared" si="2"/>
        <v>415.1</v>
      </c>
      <c r="F56" s="11">
        <f t="shared" si="3"/>
        <v>5.124691358</v>
      </c>
      <c r="G56" s="1">
        <v>81.0</v>
      </c>
      <c r="H56" s="1">
        <v>40.0</v>
      </c>
      <c r="I56" s="1">
        <v>33.0</v>
      </c>
      <c r="J56" s="1">
        <v>73.0</v>
      </c>
      <c r="K56" s="1">
        <v>204.0</v>
      </c>
      <c r="L56" s="1">
        <v>16.0</v>
      </c>
      <c r="M56" s="1">
        <v>9.0</v>
      </c>
      <c r="N56" s="1">
        <v>0.0</v>
      </c>
      <c r="O56" s="1">
        <v>0.0</v>
      </c>
      <c r="P56" s="1">
        <v>56.0</v>
      </c>
      <c r="Q56" s="1">
        <v>29.0</v>
      </c>
      <c r="V56" s="2">
        <f>VLOOKUP(B56,'202324'!B:C,2,FALSE)-A56</f>
        <v>2</v>
      </c>
    </row>
    <row r="57">
      <c r="A57" s="1">
        <f t="shared" si="1"/>
        <v>55</v>
      </c>
      <c r="B57" s="1" t="s">
        <v>1108</v>
      </c>
      <c r="C57" s="1" t="s">
        <v>1076</v>
      </c>
      <c r="D57" s="1" t="s">
        <v>31</v>
      </c>
      <c r="E57" s="11">
        <f t="shared" si="2"/>
        <v>415</v>
      </c>
      <c r="F57" s="11">
        <f t="shared" si="3"/>
        <v>6.693548387</v>
      </c>
      <c r="G57" s="1">
        <v>62.0</v>
      </c>
      <c r="H57" s="1">
        <v>27.0</v>
      </c>
      <c r="I57" s="1">
        <v>47.0</v>
      </c>
      <c r="J57" s="1">
        <v>74.0</v>
      </c>
      <c r="K57" s="1">
        <v>274.0</v>
      </c>
      <c r="L57" s="1">
        <v>9.0</v>
      </c>
      <c r="M57" s="1">
        <v>22.0</v>
      </c>
      <c r="N57" s="1">
        <v>0.0</v>
      </c>
      <c r="O57" s="1">
        <v>0.0</v>
      </c>
      <c r="P57" s="1">
        <v>10.0</v>
      </c>
      <c r="Q57" s="1">
        <v>24.0</v>
      </c>
      <c r="V57" s="2">
        <f>VLOOKUP(B57,'202324'!B:C,2,FALSE)-A57</f>
        <v>-3</v>
      </c>
    </row>
    <row r="58">
      <c r="A58" s="1">
        <f t="shared" si="1"/>
        <v>56</v>
      </c>
      <c r="B58" s="1" t="s">
        <v>1109</v>
      </c>
      <c r="C58" s="1" t="s">
        <v>1097</v>
      </c>
      <c r="D58" s="1" t="s">
        <v>66</v>
      </c>
      <c r="E58" s="11">
        <f t="shared" si="2"/>
        <v>414.35</v>
      </c>
      <c r="F58" s="11">
        <f t="shared" si="3"/>
        <v>5.05304878</v>
      </c>
      <c r="G58" s="1">
        <v>82.0</v>
      </c>
      <c r="H58" s="1">
        <v>11.0</v>
      </c>
      <c r="I58" s="1">
        <v>51.0</v>
      </c>
      <c r="J58" s="1">
        <v>62.0</v>
      </c>
      <c r="K58" s="1">
        <v>187.0</v>
      </c>
      <c r="L58" s="1">
        <v>5.0</v>
      </c>
      <c r="M58" s="1">
        <v>23.0</v>
      </c>
      <c r="N58" s="1">
        <v>2.0</v>
      </c>
      <c r="O58" s="1">
        <v>0.0</v>
      </c>
      <c r="P58" s="1">
        <v>61.0</v>
      </c>
      <c r="Q58" s="1">
        <v>186.0</v>
      </c>
      <c r="V58" s="2">
        <f>VLOOKUP(B58,'202324'!B:C,2,FALSE)-A58</f>
        <v>1</v>
      </c>
    </row>
    <row r="59">
      <c r="A59" s="1">
        <f t="shared" si="1"/>
        <v>57</v>
      </c>
      <c r="B59" s="1" t="s">
        <v>1110</v>
      </c>
      <c r="C59" s="1" t="s">
        <v>1111</v>
      </c>
      <c r="D59" s="1" t="s">
        <v>31</v>
      </c>
      <c r="E59" s="11">
        <f t="shared" si="2"/>
        <v>413.5</v>
      </c>
      <c r="F59" s="11">
        <f t="shared" si="3"/>
        <v>5.301282051</v>
      </c>
      <c r="G59" s="1">
        <v>78.0</v>
      </c>
      <c r="H59" s="1">
        <v>33.0</v>
      </c>
      <c r="I59" s="1">
        <v>43.0</v>
      </c>
      <c r="J59" s="1">
        <v>76.0</v>
      </c>
      <c r="K59" s="1">
        <v>228.0</v>
      </c>
      <c r="L59" s="1">
        <v>9.0</v>
      </c>
      <c r="M59" s="1">
        <v>21.0</v>
      </c>
      <c r="N59" s="1">
        <v>0.0</v>
      </c>
      <c r="O59" s="1">
        <v>0.0</v>
      </c>
      <c r="P59" s="1">
        <v>20.0</v>
      </c>
      <c r="Q59" s="1">
        <v>30.0</v>
      </c>
      <c r="V59" s="2">
        <f>VLOOKUP(B59,'202324'!B:C,2,FALSE)-A59</f>
        <v>-3</v>
      </c>
    </row>
    <row r="60">
      <c r="A60" s="1">
        <f t="shared" si="1"/>
        <v>58</v>
      </c>
      <c r="B60" s="1" t="s">
        <v>1112</v>
      </c>
      <c r="C60" s="1" t="s">
        <v>1038</v>
      </c>
      <c r="D60" s="1" t="s">
        <v>28</v>
      </c>
      <c r="E60" s="11">
        <f t="shared" si="2"/>
        <v>413.4</v>
      </c>
      <c r="F60" s="11">
        <f t="shared" si="3"/>
        <v>5.041463415</v>
      </c>
      <c r="G60" s="1">
        <v>82.0</v>
      </c>
      <c r="H60" s="1">
        <v>29.0</v>
      </c>
      <c r="I60" s="1">
        <v>38.0</v>
      </c>
      <c r="J60" s="1">
        <v>67.0</v>
      </c>
      <c r="K60" s="1">
        <v>207.0</v>
      </c>
      <c r="L60" s="1">
        <v>7.0</v>
      </c>
      <c r="M60" s="1">
        <v>19.0</v>
      </c>
      <c r="N60" s="1">
        <v>3.0</v>
      </c>
      <c r="O60" s="1">
        <v>1.0</v>
      </c>
      <c r="P60" s="1">
        <v>114.0</v>
      </c>
      <c r="Q60" s="1">
        <v>35.0</v>
      </c>
      <c r="V60" s="2">
        <f>VLOOKUP(B60,'202324'!B:C,2,FALSE)-A60</f>
        <v>2</v>
      </c>
    </row>
    <row r="61">
      <c r="A61" s="1">
        <f t="shared" si="1"/>
        <v>59</v>
      </c>
      <c r="B61" s="1" t="s">
        <v>1113</v>
      </c>
      <c r="C61" s="1" t="s">
        <v>1078</v>
      </c>
      <c r="D61" s="1" t="s">
        <v>28</v>
      </c>
      <c r="E61" s="11">
        <f t="shared" si="2"/>
        <v>412.45</v>
      </c>
      <c r="F61" s="11">
        <f t="shared" si="3"/>
        <v>5.029878049</v>
      </c>
      <c r="G61" s="1">
        <v>82.0</v>
      </c>
      <c r="H61" s="1">
        <v>29.0</v>
      </c>
      <c r="I61" s="1">
        <v>44.0</v>
      </c>
      <c r="J61" s="1">
        <v>73.0</v>
      </c>
      <c r="K61" s="1">
        <v>225.0</v>
      </c>
      <c r="L61" s="1">
        <v>11.0</v>
      </c>
      <c r="M61" s="1">
        <v>19.0</v>
      </c>
      <c r="N61" s="1">
        <v>0.0</v>
      </c>
      <c r="O61" s="1">
        <v>0.0</v>
      </c>
      <c r="P61" s="1">
        <v>67.0</v>
      </c>
      <c r="Q61" s="1">
        <v>28.0</v>
      </c>
      <c r="V61" s="2">
        <f>VLOOKUP(B61,'202324'!B:C,2,FALSE)-A61</f>
        <v>-1</v>
      </c>
    </row>
    <row r="62">
      <c r="A62" s="1">
        <f t="shared" si="1"/>
        <v>60</v>
      </c>
      <c r="B62" s="1" t="s">
        <v>1114</v>
      </c>
      <c r="C62" s="1" t="s">
        <v>1073</v>
      </c>
      <c r="D62" s="1" t="s">
        <v>36</v>
      </c>
      <c r="E62" s="11">
        <f t="shared" si="2"/>
        <v>410.75</v>
      </c>
      <c r="F62" s="11">
        <f t="shared" si="3"/>
        <v>5.070987654</v>
      </c>
      <c r="G62" s="1">
        <v>81.0</v>
      </c>
      <c r="H62" s="1">
        <v>33.0</v>
      </c>
      <c r="I62" s="1">
        <v>34.0</v>
      </c>
      <c r="J62" s="1">
        <v>67.0</v>
      </c>
      <c r="K62" s="1">
        <v>176.0</v>
      </c>
      <c r="L62" s="1">
        <v>13.0</v>
      </c>
      <c r="M62" s="1">
        <v>7.0</v>
      </c>
      <c r="N62" s="1">
        <v>2.0</v>
      </c>
      <c r="O62" s="1">
        <v>1.0</v>
      </c>
      <c r="P62" s="1">
        <v>115.0</v>
      </c>
      <c r="Q62" s="1">
        <v>52.0</v>
      </c>
      <c r="V62" s="2">
        <f>VLOOKUP(B62,'202324'!B:C,2,FALSE)-A62</f>
        <v>1</v>
      </c>
    </row>
    <row r="63">
      <c r="A63" s="1">
        <f t="shared" si="1"/>
        <v>61</v>
      </c>
      <c r="B63" s="1" t="s">
        <v>1115</v>
      </c>
      <c r="C63" s="1" t="s">
        <v>1116</v>
      </c>
      <c r="D63" s="1" t="s">
        <v>5</v>
      </c>
      <c r="E63" s="11">
        <f t="shared" si="2"/>
        <v>409.8</v>
      </c>
      <c r="F63" s="11">
        <f t="shared" si="3"/>
        <v>6.83</v>
      </c>
      <c r="G63" s="1">
        <v>60.0</v>
      </c>
      <c r="R63" s="1">
        <v>37.0</v>
      </c>
      <c r="S63" s="1">
        <v>142.0</v>
      </c>
      <c r="T63" s="12">
        <v>1656.0</v>
      </c>
      <c r="U63" s="1">
        <v>5.0</v>
      </c>
      <c r="V63" s="2">
        <f>VLOOKUP(B63,'202324'!B:C,2,FALSE)-A63</f>
        <v>-6</v>
      </c>
    </row>
    <row r="64">
      <c r="A64" s="1">
        <f t="shared" si="1"/>
        <v>62</v>
      </c>
      <c r="B64" s="1" t="s">
        <v>1117</v>
      </c>
      <c r="C64" s="1" t="s">
        <v>1034</v>
      </c>
      <c r="D64" s="1" t="s">
        <v>66</v>
      </c>
      <c r="E64" s="11">
        <f t="shared" si="2"/>
        <v>405.25</v>
      </c>
      <c r="F64" s="11">
        <f t="shared" si="3"/>
        <v>5.195512821</v>
      </c>
      <c r="G64" s="1">
        <v>78.0</v>
      </c>
      <c r="H64" s="1">
        <v>13.0</v>
      </c>
      <c r="I64" s="1">
        <v>63.0</v>
      </c>
      <c r="J64" s="1">
        <v>76.0</v>
      </c>
      <c r="K64" s="1">
        <v>168.0</v>
      </c>
      <c r="L64" s="1">
        <v>4.0</v>
      </c>
      <c r="M64" s="1">
        <v>27.0</v>
      </c>
      <c r="N64" s="1">
        <v>0.0</v>
      </c>
      <c r="O64" s="1">
        <v>0.0</v>
      </c>
      <c r="P64" s="1">
        <v>65.0</v>
      </c>
      <c r="Q64" s="1">
        <v>102.0</v>
      </c>
      <c r="V64" s="2">
        <f>VLOOKUP(B64,'202324'!B:C,2,FALSE)-A64</f>
        <v>1</v>
      </c>
    </row>
    <row r="65">
      <c r="A65" s="1">
        <f t="shared" si="1"/>
        <v>63</v>
      </c>
      <c r="B65" s="1" t="s">
        <v>1118</v>
      </c>
      <c r="C65" s="1" t="s">
        <v>1078</v>
      </c>
      <c r="D65" s="1" t="s">
        <v>28</v>
      </c>
      <c r="E65" s="11">
        <f t="shared" si="2"/>
        <v>404.35</v>
      </c>
      <c r="F65" s="11">
        <f t="shared" si="3"/>
        <v>4.931097561</v>
      </c>
      <c r="G65" s="1">
        <v>82.0</v>
      </c>
      <c r="H65" s="1">
        <v>31.0</v>
      </c>
      <c r="I65" s="1">
        <v>26.0</v>
      </c>
      <c r="J65" s="1">
        <v>57.0</v>
      </c>
      <c r="K65" s="1">
        <v>244.0</v>
      </c>
      <c r="L65" s="1">
        <v>2.0</v>
      </c>
      <c r="M65" s="1">
        <v>5.0</v>
      </c>
      <c r="N65" s="1">
        <v>2.0</v>
      </c>
      <c r="O65" s="1">
        <v>0.0</v>
      </c>
      <c r="P65" s="1">
        <v>91.0</v>
      </c>
      <c r="Q65" s="1">
        <v>58.0</v>
      </c>
      <c r="V65" s="2">
        <f>VLOOKUP(B65,'202324'!B:C,2,FALSE)-A65</f>
        <v>3</v>
      </c>
    </row>
    <row r="66">
      <c r="A66" s="1">
        <f t="shared" si="1"/>
        <v>64</v>
      </c>
      <c r="B66" s="1" t="s">
        <v>1119</v>
      </c>
      <c r="C66" s="1" t="s">
        <v>1120</v>
      </c>
      <c r="D66" s="1" t="s">
        <v>31</v>
      </c>
      <c r="E66" s="11">
        <f t="shared" si="2"/>
        <v>403.4</v>
      </c>
      <c r="F66" s="11">
        <f t="shared" si="3"/>
        <v>5.932352941</v>
      </c>
      <c r="G66" s="1">
        <v>68.0</v>
      </c>
      <c r="H66" s="1">
        <v>33.0</v>
      </c>
      <c r="I66" s="1">
        <v>36.0</v>
      </c>
      <c r="J66" s="1">
        <v>69.0</v>
      </c>
      <c r="K66" s="1">
        <v>221.0</v>
      </c>
      <c r="L66" s="1">
        <v>14.0</v>
      </c>
      <c r="M66" s="1">
        <v>12.0</v>
      </c>
      <c r="N66" s="1">
        <v>2.0</v>
      </c>
      <c r="O66" s="1">
        <v>0.0</v>
      </c>
      <c r="P66" s="1">
        <v>44.0</v>
      </c>
      <c r="Q66" s="1">
        <v>34.0</v>
      </c>
      <c r="V66" s="2">
        <f>VLOOKUP(B66,'202324'!B:C,2,FALSE)-A66</f>
        <v>-2</v>
      </c>
    </row>
    <row r="67">
      <c r="A67" s="1">
        <f t="shared" si="1"/>
        <v>65</v>
      </c>
      <c r="B67" s="1" t="s">
        <v>1121</v>
      </c>
      <c r="C67" s="1" t="s">
        <v>1116</v>
      </c>
      <c r="D67" s="1" t="s">
        <v>66</v>
      </c>
      <c r="E67" s="11">
        <f t="shared" si="2"/>
        <v>403</v>
      </c>
      <c r="F67" s="11">
        <f t="shared" si="3"/>
        <v>4.975308642</v>
      </c>
      <c r="G67" s="1">
        <v>81.0</v>
      </c>
      <c r="H67" s="1">
        <v>10.0</v>
      </c>
      <c r="I67" s="1">
        <v>59.0</v>
      </c>
      <c r="J67" s="1">
        <v>69.0</v>
      </c>
      <c r="K67" s="1">
        <v>196.0</v>
      </c>
      <c r="L67" s="1">
        <v>2.0</v>
      </c>
      <c r="M67" s="1">
        <v>17.0</v>
      </c>
      <c r="N67" s="1">
        <v>0.0</v>
      </c>
      <c r="O67" s="1">
        <v>0.0</v>
      </c>
      <c r="P67" s="1">
        <v>90.0</v>
      </c>
      <c r="Q67" s="1">
        <v>103.0</v>
      </c>
      <c r="V67" s="2">
        <f>VLOOKUP(B67,'202324'!B:C,2,FALSE)-A67</f>
        <v>2</v>
      </c>
    </row>
    <row r="68">
      <c r="A68" s="1">
        <f t="shared" si="1"/>
        <v>66</v>
      </c>
      <c r="B68" s="1" t="s">
        <v>1122</v>
      </c>
      <c r="C68" s="1" t="s">
        <v>1034</v>
      </c>
      <c r="D68" s="1" t="s">
        <v>28</v>
      </c>
      <c r="E68" s="11">
        <f t="shared" si="2"/>
        <v>401.75</v>
      </c>
      <c r="F68" s="11">
        <f t="shared" si="3"/>
        <v>4.899390244</v>
      </c>
      <c r="G68" s="1">
        <v>82.0</v>
      </c>
      <c r="H68" s="1">
        <v>26.0</v>
      </c>
      <c r="I68" s="1">
        <v>49.0</v>
      </c>
      <c r="J68" s="1">
        <v>75.0</v>
      </c>
      <c r="K68" s="1">
        <v>184.0</v>
      </c>
      <c r="L68" s="1">
        <v>2.0</v>
      </c>
      <c r="M68" s="1">
        <v>5.0</v>
      </c>
      <c r="N68" s="1">
        <v>0.0</v>
      </c>
      <c r="O68" s="1">
        <v>2.0</v>
      </c>
      <c r="P68" s="1">
        <v>55.0</v>
      </c>
      <c r="Q68" s="1">
        <v>45.0</v>
      </c>
      <c r="V68" s="2">
        <f>VLOOKUP(B68,'202324'!B:C,2,FALSE)-A68</f>
        <v>-2</v>
      </c>
    </row>
    <row r="69">
      <c r="A69" s="1">
        <f t="shared" si="1"/>
        <v>67</v>
      </c>
      <c r="B69" s="1" t="s">
        <v>1123</v>
      </c>
      <c r="C69" s="1" t="s">
        <v>1120</v>
      </c>
      <c r="D69" s="1" t="s">
        <v>36</v>
      </c>
      <c r="E69" s="11">
        <f t="shared" si="2"/>
        <v>400.25</v>
      </c>
      <c r="F69" s="11">
        <f t="shared" si="3"/>
        <v>4.881097561</v>
      </c>
      <c r="G69" s="1">
        <v>82.0</v>
      </c>
      <c r="H69" s="1">
        <v>27.0</v>
      </c>
      <c r="I69" s="1">
        <v>40.0</v>
      </c>
      <c r="J69" s="1">
        <v>67.0</v>
      </c>
      <c r="K69" s="1">
        <v>237.0</v>
      </c>
      <c r="L69" s="1">
        <v>11.0</v>
      </c>
      <c r="M69" s="1">
        <v>8.0</v>
      </c>
      <c r="N69" s="1">
        <v>0.0</v>
      </c>
      <c r="O69" s="1">
        <v>0.0</v>
      </c>
      <c r="P69" s="1">
        <v>65.0</v>
      </c>
      <c r="Q69" s="1">
        <v>35.0</v>
      </c>
      <c r="V69" s="2">
        <f>VLOOKUP(B69,'202324'!B:C,2,FALSE)-A69</f>
        <v>1</v>
      </c>
    </row>
    <row r="70">
      <c r="A70" s="1">
        <f t="shared" si="1"/>
        <v>68</v>
      </c>
      <c r="B70" s="1" t="s">
        <v>1124</v>
      </c>
      <c r="C70" s="1" t="s">
        <v>1085</v>
      </c>
      <c r="D70" s="1" t="s">
        <v>36</v>
      </c>
      <c r="E70" s="11">
        <f t="shared" si="2"/>
        <v>399.75</v>
      </c>
      <c r="F70" s="11">
        <f t="shared" si="3"/>
        <v>4.875</v>
      </c>
      <c r="G70" s="1">
        <v>82.0</v>
      </c>
      <c r="H70" s="1">
        <v>27.0</v>
      </c>
      <c r="I70" s="1">
        <v>40.0</v>
      </c>
      <c r="J70" s="1">
        <v>67.0</v>
      </c>
      <c r="K70" s="1">
        <v>194.0</v>
      </c>
      <c r="L70" s="1">
        <v>11.0</v>
      </c>
      <c r="M70" s="1">
        <v>10.0</v>
      </c>
      <c r="N70" s="1">
        <v>0.0</v>
      </c>
      <c r="O70" s="1">
        <v>0.0</v>
      </c>
      <c r="P70" s="1">
        <v>75.0</v>
      </c>
      <c r="Q70" s="1">
        <v>70.0</v>
      </c>
      <c r="V70" s="2">
        <f>VLOOKUP(B70,'202324'!B:C,2,FALSE)-A70</f>
        <v>1</v>
      </c>
    </row>
    <row r="71">
      <c r="A71" s="1">
        <f t="shared" si="1"/>
        <v>69</v>
      </c>
      <c r="B71" s="1" t="s">
        <v>1125</v>
      </c>
      <c r="C71" s="1" t="s">
        <v>1106</v>
      </c>
      <c r="D71" s="1" t="s">
        <v>36</v>
      </c>
      <c r="E71" s="11">
        <f t="shared" si="2"/>
        <v>398.1</v>
      </c>
      <c r="F71" s="11">
        <f t="shared" si="3"/>
        <v>4.854878049</v>
      </c>
      <c r="G71" s="1">
        <v>82.0</v>
      </c>
      <c r="H71" s="1">
        <v>31.0</v>
      </c>
      <c r="I71" s="1">
        <v>36.0</v>
      </c>
      <c r="J71" s="1">
        <v>67.0</v>
      </c>
      <c r="K71" s="1">
        <v>251.0</v>
      </c>
      <c r="L71" s="1">
        <v>8.0</v>
      </c>
      <c r="M71" s="1">
        <v>13.0</v>
      </c>
      <c r="N71" s="1">
        <v>0.0</v>
      </c>
      <c r="O71" s="1">
        <v>0.0</v>
      </c>
      <c r="P71" s="1">
        <v>26.0</v>
      </c>
      <c r="Q71" s="1">
        <v>32.0</v>
      </c>
      <c r="V71" s="2">
        <f>VLOOKUP(B71,'202324'!B:C,2,FALSE)-A71</f>
        <v>-4</v>
      </c>
    </row>
    <row r="72">
      <c r="A72" s="1">
        <f t="shared" si="1"/>
        <v>70</v>
      </c>
      <c r="B72" s="1" t="s">
        <v>1126</v>
      </c>
      <c r="C72" s="1" t="s">
        <v>1085</v>
      </c>
      <c r="D72" s="1" t="s">
        <v>31</v>
      </c>
      <c r="E72" s="11">
        <f t="shared" si="2"/>
        <v>396.2</v>
      </c>
      <c r="F72" s="11">
        <f t="shared" si="3"/>
        <v>4.831707317</v>
      </c>
      <c r="G72" s="1">
        <v>82.0</v>
      </c>
      <c r="H72" s="1">
        <v>32.0</v>
      </c>
      <c r="I72" s="1">
        <v>33.0</v>
      </c>
      <c r="J72" s="1">
        <v>65.0</v>
      </c>
      <c r="K72" s="1">
        <v>216.0</v>
      </c>
      <c r="L72" s="1">
        <v>3.0</v>
      </c>
      <c r="M72" s="1">
        <v>7.0</v>
      </c>
      <c r="N72" s="1">
        <v>3.0</v>
      </c>
      <c r="O72" s="1">
        <v>0.0</v>
      </c>
      <c r="P72" s="1">
        <v>52.0</v>
      </c>
      <c r="Q72" s="1">
        <v>42.0</v>
      </c>
      <c r="V72" s="2">
        <f>VLOOKUP(B72,'202324'!B:C,2,FALSE)-A72</f>
        <v>0</v>
      </c>
    </row>
    <row r="73">
      <c r="A73" s="1">
        <f t="shared" si="1"/>
        <v>71</v>
      </c>
      <c r="B73" s="1" t="s">
        <v>1127</v>
      </c>
      <c r="C73" s="1" t="s">
        <v>1040</v>
      </c>
      <c r="D73" s="1" t="s">
        <v>66</v>
      </c>
      <c r="E73" s="11">
        <f t="shared" si="2"/>
        <v>393.9</v>
      </c>
      <c r="F73" s="11">
        <f t="shared" si="3"/>
        <v>5.470833333</v>
      </c>
      <c r="G73" s="1">
        <v>72.0</v>
      </c>
      <c r="H73" s="1">
        <v>17.0</v>
      </c>
      <c r="I73" s="1">
        <v>56.0</v>
      </c>
      <c r="J73" s="1">
        <v>73.0</v>
      </c>
      <c r="K73" s="1">
        <v>137.0</v>
      </c>
      <c r="L73" s="1">
        <v>6.0</v>
      </c>
      <c r="M73" s="1">
        <v>27.0</v>
      </c>
      <c r="N73" s="1">
        <v>1.0</v>
      </c>
      <c r="O73" s="1">
        <v>1.0</v>
      </c>
      <c r="P73" s="1">
        <v>44.0</v>
      </c>
      <c r="Q73" s="1">
        <v>123.0</v>
      </c>
      <c r="V73" s="2">
        <f>VLOOKUP(B73,'202324'!B:C,2,FALSE)-A73</f>
        <v>0</v>
      </c>
    </row>
    <row r="74">
      <c r="A74" s="1">
        <f t="shared" si="1"/>
        <v>72</v>
      </c>
      <c r="B74" s="1" t="s">
        <v>1128</v>
      </c>
      <c r="C74" s="1" t="s">
        <v>1054</v>
      </c>
      <c r="D74" s="1" t="s">
        <v>28</v>
      </c>
      <c r="E74" s="11">
        <f t="shared" si="2"/>
        <v>391.55</v>
      </c>
      <c r="F74" s="11">
        <f t="shared" si="3"/>
        <v>5.220666667</v>
      </c>
      <c r="G74" s="1">
        <v>75.0</v>
      </c>
      <c r="H74" s="1">
        <v>29.0</v>
      </c>
      <c r="I74" s="1">
        <v>40.0</v>
      </c>
      <c r="J74" s="1">
        <v>69.0</v>
      </c>
      <c r="K74" s="1">
        <v>227.0</v>
      </c>
      <c r="L74" s="1">
        <v>10.0</v>
      </c>
      <c r="M74" s="1">
        <v>15.0</v>
      </c>
      <c r="N74" s="1">
        <v>0.0</v>
      </c>
      <c r="O74" s="1">
        <v>0.0</v>
      </c>
      <c r="P74" s="1">
        <v>33.0</v>
      </c>
      <c r="Q74" s="1">
        <v>32.0</v>
      </c>
      <c r="V74" s="2">
        <f>VLOOKUP(B74,'202324'!B:C,2,FALSE)-A74</f>
        <v>0</v>
      </c>
    </row>
    <row r="75">
      <c r="A75" s="1">
        <f t="shared" si="1"/>
        <v>73</v>
      </c>
      <c r="B75" s="1" t="s">
        <v>1129</v>
      </c>
      <c r="C75" s="1" t="s">
        <v>1044</v>
      </c>
      <c r="D75" s="1" t="s">
        <v>36</v>
      </c>
      <c r="E75" s="11">
        <f t="shared" si="2"/>
        <v>388.8</v>
      </c>
      <c r="F75" s="11">
        <f t="shared" si="3"/>
        <v>4.741463415</v>
      </c>
      <c r="G75" s="1">
        <v>82.0</v>
      </c>
      <c r="H75" s="1">
        <v>28.0</v>
      </c>
      <c r="I75" s="1">
        <v>38.0</v>
      </c>
      <c r="J75" s="1">
        <v>66.0</v>
      </c>
      <c r="K75" s="1">
        <v>196.0</v>
      </c>
      <c r="L75" s="1">
        <v>7.0</v>
      </c>
      <c r="M75" s="1">
        <v>15.0</v>
      </c>
      <c r="N75" s="1">
        <v>0.0</v>
      </c>
      <c r="O75" s="1">
        <v>0.0</v>
      </c>
      <c r="P75" s="1">
        <v>98.0</v>
      </c>
      <c r="Q75" s="1">
        <v>33.0</v>
      </c>
      <c r="V75" s="2">
        <f>VLOOKUP(B75,'202324'!B:C,2,FALSE)-A75</f>
        <v>0</v>
      </c>
    </row>
    <row r="76">
      <c r="A76" s="1">
        <f t="shared" si="1"/>
        <v>74</v>
      </c>
      <c r="B76" s="1" t="s">
        <v>1130</v>
      </c>
      <c r="C76" s="1" t="s">
        <v>1044</v>
      </c>
      <c r="D76" s="1" t="s">
        <v>31</v>
      </c>
      <c r="E76" s="11">
        <f t="shared" si="2"/>
        <v>388.5</v>
      </c>
      <c r="F76" s="11">
        <f t="shared" si="3"/>
        <v>5.18</v>
      </c>
      <c r="G76" s="1">
        <v>75.0</v>
      </c>
      <c r="H76" s="1">
        <v>18.0</v>
      </c>
      <c r="I76" s="1">
        <v>52.0</v>
      </c>
      <c r="J76" s="1">
        <v>70.0</v>
      </c>
      <c r="K76" s="1">
        <v>192.0</v>
      </c>
      <c r="L76" s="1">
        <v>1.0</v>
      </c>
      <c r="M76" s="1">
        <v>19.0</v>
      </c>
      <c r="N76" s="1">
        <v>0.0</v>
      </c>
      <c r="O76" s="1">
        <v>0.0</v>
      </c>
      <c r="P76" s="1">
        <v>100.0</v>
      </c>
      <c r="Q76" s="1">
        <v>41.0</v>
      </c>
      <c r="V76" s="2">
        <f>VLOOKUP(B76,'202324'!B:C,2,FALSE)-A76</f>
        <v>0</v>
      </c>
    </row>
    <row r="77">
      <c r="A77" s="1">
        <f t="shared" si="1"/>
        <v>74</v>
      </c>
      <c r="B77" s="1" t="s">
        <v>1131</v>
      </c>
      <c r="C77" s="1" t="s">
        <v>1120</v>
      </c>
      <c r="D77" s="1" t="s">
        <v>66</v>
      </c>
      <c r="E77" s="11">
        <f t="shared" si="2"/>
        <v>388.5</v>
      </c>
      <c r="F77" s="11">
        <f t="shared" si="3"/>
        <v>4.737804878</v>
      </c>
      <c r="G77" s="1">
        <v>82.0</v>
      </c>
      <c r="H77" s="1">
        <v>9.0</v>
      </c>
      <c r="I77" s="1">
        <v>33.0</v>
      </c>
      <c r="J77" s="1">
        <v>42.0</v>
      </c>
      <c r="K77" s="1">
        <v>135.0</v>
      </c>
      <c r="L77" s="1">
        <v>3.0</v>
      </c>
      <c r="M77" s="1">
        <v>14.0</v>
      </c>
      <c r="N77" s="1">
        <v>0.0</v>
      </c>
      <c r="O77" s="1">
        <v>1.0</v>
      </c>
      <c r="P77" s="1">
        <v>210.0</v>
      </c>
      <c r="Q77" s="1">
        <v>212.0</v>
      </c>
      <c r="V77" s="2">
        <f>VLOOKUP(B77,'202324'!B:C,2,FALSE)-A77</f>
        <v>8</v>
      </c>
    </row>
    <row r="78">
      <c r="A78" s="1">
        <f t="shared" si="1"/>
        <v>76</v>
      </c>
      <c r="B78" s="1" t="s">
        <v>1132</v>
      </c>
      <c r="C78" s="1" t="s">
        <v>1069</v>
      </c>
      <c r="D78" s="1" t="s">
        <v>31</v>
      </c>
      <c r="E78" s="11">
        <f t="shared" si="2"/>
        <v>387.1</v>
      </c>
      <c r="F78" s="11">
        <f t="shared" si="3"/>
        <v>4.962820513</v>
      </c>
      <c r="G78" s="1">
        <v>78.0</v>
      </c>
      <c r="H78" s="1">
        <v>30.0</v>
      </c>
      <c r="I78" s="1">
        <v>24.0</v>
      </c>
      <c r="J78" s="1">
        <v>54.0</v>
      </c>
      <c r="K78" s="1">
        <v>191.0</v>
      </c>
      <c r="L78" s="1">
        <v>3.0</v>
      </c>
      <c r="M78" s="1">
        <v>0.0</v>
      </c>
      <c r="N78" s="1">
        <v>4.0</v>
      </c>
      <c r="O78" s="1">
        <v>2.0</v>
      </c>
      <c r="P78" s="1">
        <v>126.0</v>
      </c>
      <c r="Q78" s="1">
        <v>57.0</v>
      </c>
      <c r="V78" s="2">
        <f>VLOOKUP(B78,'202324'!B:C,2,FALSE)-A78</f>
        <v>-1</v>
      </c>
    </row>
    <row r="79">
      <c r="A79" s="1">
        <f t="shared" si="1"/>
        <v>77</v>
      </c>
      <c r="B79" s="1" t="s">
        <v>1133</v>
      </c>
      <c r="C79" s="1" t="s">
        <v>1036</v>
      </c>
      <c r="D79" s="1" t="s">
        <v>28</v>
      </c>
      <c r="E79" s="11">
        <f t="shared" si="2"/>
        <v>381.65</v>
      </c>
      <c r="F79" s="11">
        <f t="shared" si="3"/>
        <v>4.956493506</v>
      </c>
      <c r="G79" s="1">
        <v>77.0</v>
      </c>
      <c r="H79" s="1">
        <v>24.0</v>
      </c>
      <c r="I79" s="1">
        <v>20.0</v>
      </c>
      <c r="J79" s="1">
        <v>44.0</v>
      </c>
      <c r="K79" s="1">
        <v>220.0</v>
      </c>
      <c r="L79" s="1">
        <v>2.0</v>
      </c>
      <c r="M79" s="1">
        <v>5.0</v>
      </c>
      <c r="N79" s="1">
        <v>1.0</v>
      </c>
      <c r="O79" s="1">
        <v>0.0</v>
      </c>
      <c r="P79" s="1">
        <v>249.0</v>
      </c>
      <c r="Q79" s="1">
        <v>29.0</v>
      </c>
      <c r="V79" s="2">
        <f>VLOOKUP(B79,'202324'!B:C,2,FALSE)-A79</f>
        <v>22</v>
      </c>
    </row>
    <row r="80">
      <c r="A80" s="1">
        <f t="shared" si="1"/>
        <v>78</v>
      </c>
      <c r="B80" s="1" t="s">
        <v>1134</v>
      </c>
      <c r="C80" s="1" t="s">
        <v>1120</v>
      </c>
      <c r="D80" s="1" t="s">
        <v>36</v>
      </c>
      <c r="E80" s="11">
        <f t="shared" si="2"/>
        <v>381.3</v>
      </c>
      <c r="F80" s="11">
        <f t="shared" si="3"/>
        <v>4.65</v>
      </c>
      <c r="G80" s="1">
        <v>82.0</v>
      </c>
      <c r="H80" s="1">
        <v>31.0</v>
      </c>
      <c r="I80" s="1">
        <v>41.0</v>
      </c>
      <c r="J80" s="1">
        <v>72.0</v>
      </c>
      <c r="K80" s="1">
        <v>163.0</v>
      </c>
      <c r="L80" s="1">
        <v>6.0</v>
      </c>
      <c r="M80" s="1">
        <v>10.0</v>
      </c>
      <c r="N80" s="1">
        <v>0.0</v>
      </c>
      <c r="O80" s="1">
        <v>0.0</v>
      </c>
      <c r="P80" s="1">
        <v>68.0</v>
      </c>
      <c r="Q80" s="1">
        <v>27.0</v>
      </c>
      <c r="V80" s="2">
        <f>VLOOKUP(B80,'202324'!B:C,2,FALSE)-A80</f>
        <v>-3</v>
      </c>
    </row>
    <row r="81">
      <c r="A81" s="1">
        <f t="shared" si="1"/>
        <v>79</v>
      </c>
      <c r="B81" s="1" t="s">
        <v>1135</v>
      </c>
      <c r="C81" s="1" t="s">
        <v>1067</v>
      </c>
      <c r="D81" s="1" t="s">
        <v>31</v>
      </c>
      <c r="E81" s="11">
        <f t="shared" si="2"/>
        <v>380.65</v>
      </c>
      <c r="F81" s="11">
        <f t="shared" si="3"/>
        <v>5.361267606</v>
      </c>
      <c r="G81" s="1">
        <v>71.0</v>
      </c>
      <c r="H81" s="1">
        <v>29.0</v>
      </c>
      <c r="I81" s="1">
        <v>27.0</v>
      </c>
      <c r="J81" s="1">
        <v>56.0</v>
      </c>
      <c r="K81" s="1">
        <v>246.0</v>
      </c>
      <c r="L81" s="1">
        <v>9.0</v>
      </c>
      <c r="M81" s="1">
        <v>7.0</v>
      </c>
      <c r="N81" s="1">
        <v>2.0</v>
      </c>
      <c r="O81" s="1">
        <v>0.0</v>
      </c>
      <c r="P81" s="1">
        <v>79.0</v>
      </c>
      <c r="Q81" s="1">
        <v>29.0</v>
      </c>
      <c r="V81" s="2">
        <f>VLOOKUP(B81,'202324'!B:C,2,FALSE)-A81</f>
        <v>-1</v>
      </c>
    </row>
    <row r="82">
      <c r="A82" s="1">
        <f t="shared" si="1"/>
        <v>80</v>
      </c>
      <c r="B82" s="1" t="s">
        <v>1136</v>
      </c>
      <c r="C82" s="1" t="s">
        <v>1082</v>
      </c>
      <c r="D82" s="1" t="s">
        <v>66</v>
      </c>
      <c r="E82" s="11">
        <f t="shared" si="2"/>
        <v>380.15</v>
      </c>
      <c r="F82" s="11">
        <f t="shared" si="3"/>
        <v>4.63597561</v>
      </c>
      <c r="G82" s="1">
        <v>82.0</v>
      </c>
      <c r="H82" s="1">
        <v>10.0</v>
      </c>
      <c r="I82" s="1">
        <v>42.0</v>
      </c>
      <c r="J82" s="1">
        <v>52.0</v>
      </c>
      <c r="K82" s="1">
        <v>176.0</v>
      </c>
      <c r="L82" s="1">
        <v>6.0</v>
      </c>
      <c r="M82" s="1">
        <v>15.0</v>
      </c>
      <c r="N82" s="1">
        <v>0.0</v>
      </c>
      <c r="O82" s="1">
        <v>0.0</v>
      </c>
      <c r="P82" s="1">
        <v>69.0</v>
      </c>
      <c r="Q82" s="1">
        <v>194.0</v>
      </c>
      <c r="V82" s="2">
        <f>VLOOKUP(B82,'202324'!B:C,2,FALSE)-A82</f>
        <v>-3</v>
      </c>
    </row>
    <row r="83">
      <c r="A83" s="1">
        <f t="shared" si="1"/>
        <v>81</v>
      </c>
      <c r="B83" s="1" t="s">
        <v>1137</v>
      </c>
      <c r="C83" s="1" t="s">
        <v>1038</v>
      </c>
      <c r="D83" s="1" t="s">
        <v>31</v>
      </c>
      <c r="E83" s="11">
        <f t="shared" si="2"/>
        <v>376.85</v>
      </c>
      <c r="F83" s="11">
        <f t="shared" si="3"/>
        <v>4.595731707</v>
      </c>
      <c r="G83" s="1">
        <v>82.0</v>
      </c>
      <c r="H83" s="1">
        <v>25.0</v>
      </c>
      <c r="I83" s="1">
        <v>35.0</v>
      </c>
      <c r="J83" s="1">
        <v>60.0</v>
      </c>
      <c r="K83" s="1">
        <v>147.0</v>
      </c>
      <c r="L83" s="1">
        <v>7.0</v>
      </c>
      <c r="M83" s="1">
        <v>4.0</v>
      </c>
      <c r="N83" s="1">
        <v>1.0</v>
      </c>
      <c r="O83" s="1">
        <v>4.0</v>
      </c>
      <c r="P83" s="1">
        <v>131.0</v>
      </c>
      <c r="Q83" s="1">
        <v>60.0</v>
      </c>
      <c r="V83" s="2">
        <f>VLOOKUP(B83,'202324'!B:C,2,FALSE)-A83</f>
        <v>9</v>
      </c>
    </row>
    <row r="84">
      <c r="A84" s="1">
        <f t="shared" si="1"/>
        <v>82</v>
      </c>
      <c r="B84" s="1" t="s">
        <v>1138</v>
      </c>
      <c r="C84" s="1" t="s">
        <v>1067</v>
      </c>
      <c r="D84" s="1" t="s">
        <v>36</v>
      </c>
      <c r="E84" s="11">
        <f t="shared" si="2"/>
        <v>374.2</v>
      </c>
      <c r="F84" s="11">
        <f t="shared" si="3"/>
        <v>4.989333333</v>
      </c>
      <c r="G84" s="1">
        <v>75.0</v>
      </c>
      <c r="H84" s="1">
        <v>22.0</v>
      </c>
      <c r="I84" s="1">
        <v>37.0</v>
      </c>
      <c r="J84" s="1">
        <v>59.0</v>
      </c>
      <c r="K84" s="1">
        <v>192.0</v>
      </c>
      <c r="L84" s="1">
        <v>2.0</v>
      </c>
      <c r="M84" s="1">
        <v>9.0</v>
      </c>
      <c r="N84" s="1">
        <v>1.0</v>
      </c>
      <c r="O84" s="1">
        <v>0.0</v>
      </c>
      <c r="P84" s="1">
        <v>72.0</v>
      </c>
      <c r="Q84" s="1">
        <v>82.0</v>
      </c>
      <c r="V84" s="2">
        <f>VLOOKUP(B84,'202324'!B:C,2,FALSE)-A84</f>
        <v>1</v>
      </c>
    </row>
    <row r="85">
      <c r="A85" s="1">
        <f t="shared" si="1"/>
        <v>83</v>
      </c>
      <c r="B85" s="1" t="s">
        <v>1139</v>
      </c>
      <c r="C85" s="1" t="s">
        <v>1032</v>
      </c>
      <c r="D85" s="1" t="s">
        <v>66</v>
      </c>
      <c r="E85" s="11">
        <f t="shared" si="2"/>
        <v>373.8</v>
      </c>
      <c r="F85" s="11">
        <f t="shared" si="3"/>
        <v>5.191666667</v>
      </c>
      <c r="G85" s="1">
        <v>72.0</v>
      </c>
      <c r="H85" s="1">
        <v>7.0</v>
      </c>
      <c r="I85" s="1">
        <v>51.0</v>
      </c>
      <c r="J85" s="1">
        <v>58.0</v>
      </c>
      <c r="K85" s="1">
        <v>173.0</v>
      </c>
      <c r="L85" s="1">
        <v>1.0</v>
      </c>
      <c r="M85" s="1">
        <v>19.0</v>
      </c>
      <c r="N85" s="1">
        <v>0.0</v>
      </c>
      <c r="O85" s="1">
        <v>0.0</v>
      </c>
      <c r="P85" s="1">
        <v>98.0</v>
      </c>
      <c r="Q85" s="1">
        <v>137.0</v>
      </c>
      <c r="V85" s="2">
        <f>VLOOKUP(B85,'202324'!B:C,2,FALSE)-A85</f>
        <v>5</v>
      </c>
    </row>
    <row r="86">
      <c r="A86" s="1">
        <f t="shared" si="1"/>
        <v>84</v>
      </c>
      <c r="B86" s="1" t="s">
        <v>1140</v>
      </c>
      <c r="C86" s="1" t="s">
        <v>1042</v>
      </c>
      <c r="D86" s="1" t="s">
        <v>31</v>
      </c>
      <c r="E86" s="11">
        <f t="shared" si="2"/>
        <v>372.75</v>
      </c>
      <c r="F86" s="11">
        <f t="shared" si="3"/>
        <v>4.545731707</v>
      </c>
      <c r="G86" s="1">
        <v>82.0</v>
      </c>
      <c r="H86" s="1">
        <v>26.0</v>
      </c>
      <c r="I86" s="1">
        <v>43.0</v>
      </c>
      <c r="J86" s="1">
        <v>69.0</v>
      </c>
      <c r="K86" s="1">
        <v>180.0</v>
      </c>
      <c r="L86" s="1">
        <v>14.0</v>
      </c>
      <c r="M86" s="1">
        <v>14.0</v>
      </c>
      <c r="N86" s="1">
        <v>0.0</v>
      </c>
      <c r="O86" s="1">
        <v>0.0</v>
      </c>
      <c r="P86" s="1">
        <v>25.0</v>
      </c>
      <c r="Q86" s="1">
        <v>56.0</v>
      </c>
      <c r="V86" s="2">
        <f>VLOOKUP(B86,'202324'!B:C,2,FALSE)-A86</f>
        <v>-5</v>
      </c>
    </row>
    <row r="87">
      <c r="A87" s="1">
        <f t="shared" si="1"/>
        <v>85</v>
      </c>
      <c r="B87" s="1" t="s">
        <v>1141</v>
      </c>
      <c r="C87" s="1" t="s">
        <v>1116</v>
      </c>
      <c r="D87" s="1" t="s">
        <v>31</v>
      </c>
      <c r="E87" s="11">
        <f t="shared" si="2"/>
        <v>372.55</v>
      </c>
      <c r="F87" s="11">
        <f t="shared" si="3"/>
        <v>5.034459459</v>
      </c>
      <c r="G87" s="1">
        <v>74.0</v>
      </c>
      <c r="H87" s="1">
        <v>25.0</v>
      </c>
      <c r="I87" s="1">
        <v>47.0</v>
      </c>
      <c r="J87" s="1">
        <v>72.0</v>
      </c>
      <c r="K87" s="1">
        <v>154.0</v>
      </c>
      <c r="L87" s="1">
        <v>6.0</v>
      </c>
      <c r="M87" s="1">
        <v>12.0</v>
      </c>
      <c r="N87" s="1">
        <v>0.0</v>
      </c>
      <c r="O87" s="1">
        <v>0.0</v>
      </c>
      <c r="P87" s="1">
        <v>63.0</v>
      </c>
      <c r="Q87" s="1">
        <v>40.0</v>
      </c>
      <c r="V87" s="2">
        <f>VLOOKUP(B87,'202324'!B:C,2,FALSE)-A87</f>
        <v>1</v>
      </c>
    </row>
    <row r="88">
      <c r="A88" s="1">
        <f t="shared" si="1"/>
        <v>86</v>
      </c>
      <c r="B88" s="1" t="s">
        <v>1142</v>
      </c>
      <c r="C88" s="1" t="s">
        <v>1052</v>
      </c>
      <c r="D88" s="1" t="s">
        <v>31</v>
      </c>
      <c r="E88" s="11">
        <f t="shared" si="2"/>
        <v>372.15</v>
      </c>
      <c r="F88" s="11">
        <f t="shared" si="3"/>
        <v>4.538414634</v>
      </c>
      <c r="G88" s="1">
        <v>82.0</v>
      </c>
      <c r="H88" s="1">
        <v>27.0</v>
      </c>
      <c r="I88" s="1">
        <v>40.0</v>
      </c>
      <c r="J88" s="1">
        <v>67.0</v>
      </c>
      <c r="K88" s="1">
        <v>199.0</v>
      </c>
      <c r="L88" s="1">
        <v>6.0</v>
      </c>
      <c r="M88" s="1">
        <v>12.0</v>
      </c>
      <c r="N88" s="1">
        <v>0.0</v>
      </c>
      <c r="O88" s="1">
        <v>0.0</v>
      </c>
      <c r="P88" s="1">
        <v>29.0</v>
      </c>
      <c r="Q88" s="1">
        <v>42.0</v>
      </c>
      <c r="V88" s="2">
        <f>VLOOKUP(B88,'202324'!B:C,2,FALSE)-A88</f>
        <v>-6</v>
      </c>
    </row>
    <row r="89">
      <c r="A89" s="1">
        <f t="shared" si="1"/>
        <v>87</v>
      </c>
      <c r="B89" s="1" t="s">
        <v>1143</v>
      </c>
      <c r="C89" s="1" t="s">
        <v>1042</v>
      </c>
      <c r="D89" s="1" t="s">
        <v>36</v>
      </c>
      <c r="E89" s="11">
        <f t="shared" si="2"/>
        <v>371.25</v>
      </c>
      <c r="F89" s="11">
        <f t="shared" si="3"/>
        <v>4.583333333</v>
      </c>
      <c r="G89" s="1">
        <v>81.0</v>
      </c>
      <c r="H89" s="1">
        <v>23.0</v>
      </c>
      <c r="I89" s="1">
        <v>52.0</v>
      </c>
      <c r="J89" s="1">
        <v>75.0</v>
      </c>
      <c r="K89" s="1">
        <v>153.0</v>
      </c>
      <c r="L89" s="1">
        <v>5.0</v>
      </c>
      <c r="M89" s="1">
        <v>19.0</v>
      </c>
      <c r="N89" s="1">
        <v>1.0</v>
      </c>
      <c r="O89" s="1">
        <v>1.0</v>
      </c>
      <c r="P89" s="1">
        <v>35.0</v>
      </c>
      <c r="Q89" s="1">
        <v>38.0</v>
      </c>
      <c r="V89" s="2">
        <f>VLOOKUP(B89,'202324'!B:C,2,FALSE)-A89</f>
        <v>-6</v>
      </c>
    </row>
    <row r="90">
      <c r="A90" s="1">
        <f t="shared" si="1"/>
        <v>88</v>
      </c>
      <c r="B90" s="1" t="s">
        <v>1144</v>
      </c>
      <c r="C90" s="1" t="s">
        <v>1076</v>
      </c>
      <c r="D90" s="1" t="s">
        <v>31</v>
      </c>
      <c r="E90" s="11">
        <f t="shared" si="2"/>
        <v>370.9</v>
      </c>
      <c r="F90" s="11">
        <f t="shared" si="3"/>
        <v>5.223943662</v>
      </c>
      <c r="G90" s="1">
        <v>71.0</v>
      </c>
      <c r="H90" s="1">
        <v>27.0</v>
      </c>
      <c r="I90" s="1">
        <v>40.0</v>
      </c>
      <c r="J90" s="1">
        <v>67.0</v>
      </c>
      <c r="K90" s="1">
        <v>182.0</v>
      </c>
      <c r="L90" s="1">
        <v>6.0</v>
      </c>
      <c r="M90" s="1">
        <v>11.0</v>
      </c>
      <c r="N90" s="1">
        <v>1.0</v>
      </c>
      <c r="O90" s="1">
        <v>0.0</v>
      </c>
      <c r="P90" s="1">
        <v>44.0</v>
      </c>
      <c r="Q90" s="1">
        <v>42.0</v>
      </c>
      <c r="V90" s="2">
        <f>VLOOKUP(B90,'202324'!B:C,2,FALSE)-A90</f>
        <v>-3</v>
      </c>
    </row>
    <row r="91">
      <c r="A91" s="1">
        <f t="shared" si="1"/>
        <v>89</v>
      </c>
      <c r="B91" s="1" t="s">
        <v>1145</v>
      </c>
      <c r="C91" s="1" t="s">
        <v>1146</v>
      </c>
      <c r="D91" s="1" t="s">
        <v>28</v>
      </c>
      <c r="E91" s="11">
        <f t="shared" si="2"/>
        <v>370.75</v>
      </c>
      <c r="F91" s="11">
        <f t="shared" si="3"/>
        <v>4.634375</v>
      </c>
      <c r="G91" s="1">
        <v>80.0</v>
      </c>
      <c r="H91" s="1">
        <v>29.0</v>
      </c>
      <c r="I91" s="1">
        <v>33.0</v>
      </c>
      <c r="J91" s="1">
        <v>62.0</v>
      </c>
      <c r="K91" s="1">
        <v>216.0</v>
      </c>
      <c r="L91" s="1">
        <v>9.0</v>
      </c>
      <c r="M91" s="1">
        <v>14.0</v>
      </c>
      <c r="N91" s="1">
        <v>2.0</v>
      </c>
      <c r="O91" s="1">
        <v>0.0</v>
      </c>
      <c r="P91" s="1">
        <v>45.0</v>
      </c>
      <c r="Q91" s="1">
        <v>27.0</v>
      </c>
      <c r="V91" s="2">
        <f>VLOOKUP(B91,'202324'!B:C,2,FALSE)-A91</f>
        <v>-3</v>
      </c>
    </row>
    <row r="92">
      <c r="A92" s="1">
        <f t="shared" si="1"/>
        <v>90</v>
      </c>
      <c r="B92" s="1" t="s">
        <v>1147</v>
      </c>
      <c r="C92" s="1" t="s">
        <v>1085</v>
      </c>
      <c r="D92" s="1" t="s">
        <v>31</v>
      </c>
      <c r="E92" s="11">
        <f t="shared" si="2"/>
        <v>370.6</v>
      </c>
      <c r="F92" s="11">
        <f t="shared" si="3"/>
        <v>4.6325</v>
      </c>
      <c r="G92" s="1">
        <v>80.0</v>
      </c>
      <c r="H92" s="1">
        <v>30.0</v>
      </c>
      <c r="I92" s="1">
        <v>35.0</v>
      </c>
      <c r="J92" s="1">
        <v>65.0</v>
      </c>
      <c r="K92" s="1">
        <v>182.0</v>
      </c>
      <c r="L92" s="1">
        <v>8.0</v>
      </c>
      <c r="M92" s="1">
        <v>11.0</v>
      </c>
      <c r="N92" s="1">
        <v>3.0</v>
      </c>
      <c r="O92" s="1">
        <v>1.0</v>
      </c>
      <c r="P92" s="1">
        <v>36.0</v>
      </c>
      <c r="Q92" s="1">
        <v>38.0</v>
      </c>
      <c r="V92" s="2">
        <f>VLOOKUP(B92,'202324'!B:C,2,FALSE)-A92</f>
        <v>-7</v>
      </c>
    </row>
    <row r="93">
      <c r="A93" s="1">
        <f t="shared" si="1"/>
        <v>91</v>
      </c>
      <c r="B93" s="1" t="s">
        <v>1148</v>
      </c>
      <c r="C93" s="1" t="s">
        <v>1087</v>
      </c>
      <c r="D93" s="1" t="s">
        <v>36</v>
      </c>
      <c r="E93" s="11">
        <f t="shared" si="2"/>
        <v>368.5</v>
      </c>
      <c r="F93" s="11">
        <f t="shared" si="3"/>
        <v>4.493902439</v>
      </c>
      <c r="G93" s="1">
        <v>82.0</v>
      </c>
      <c r="H93" s="1">
        <v>30.0</v>
      </c>
      <c r="I93" s="1">
        <v>24.0</v>
      </c>
      <c r="J93" s="1">
        <v>54.0</v>
      </c>
      <c r="K93" s="1">
        <v>218.0</v>
      </c>
      <c r="L93" s="1">
        <v>10.0</v>
      </c>
      <c r="M93" s="1">
        <v>10.0</v>
      </c>
      <c r="N93" s="1">
        <v>0.0</v>
      </c>
      <c r="O93" s="1">
        <v>0.0</v>
      </c>
      <c r="P93" s="1">
        <v>90.0</v>
      </c>
      <c r="Q93" s="1">
        <v>42.0</v>
      </c>
      <c r="V93" s="2">
        <f>VLOOKUP(B93,'202324'!B:C,2,FALSE)-A93</f>
        <v>2</v>
      </c>
    </row>
    <row r="94">
      <c r="A94" s="1">
        <f t="shared" si="1"/>
        <v>92</v>
      </c>
      <c r="B94" s="1" t="s">
        <v>1149</v>
      </c>
      <c r="C94" s="1" t="s">
        <v>1052</v>
      </c>
      <c r="D94" s="1" t="s">
        <v>66</v>
      </c>
      <c r="E94" s="11">
        <f t="shared" si="2"/>
        <v>367.95</v>
      </c>
      <c r="F94" s="11">
        <f t="shared" si="3"/>
        <v>4.487195122</v>
      </c>
      <c r="G94" s="1">
        <v>82.0</v>
      </c>
      <c r="H94" s="1">
        <v>10.0</v>
      </c>
      <c r="I94" s="1">
        <v>41.0</v>
      </c>
      <c r="J94" s="1">
        <v>51.0</v>
      </c>
      <c r="K94" s="1">
        <v>164.0</v>
      </c>
      <c r="L94" s="1">
        <v>0.0</v>
      </c>
      <c r="M94" s="1">
        <v>5.0</v>
      </c>
      <c r="N94" s="1">
        <v>0.0</v>
      </c>
      <c r="O94" s="1">
        <v>1.0</v>
      </c>
      <c r="P94" s="1">
        <v>137.0</v>
      </c>
      <c r="Q94" s="1">
        <v>136.0</v>
      </c>
      <c r="V94" s="2">
        <f>VLOOKUP(B94,'202324'!B:C,2,FALSE)-A94</f>
        <v>9</v>
      </c>
    </row>
    <row r="95">
      <c r="A95" s="1">
        <f t="shared" si="1"/>
        <v>93</v>
      </c>
      <c r="B95" s="1" t="s">
        <v>1150</v>
      </c>
      <c r="C95" s="1" t="s">
        <v>1106</v>
      </c>
      <c r="D95" s="1" t="s">
        <v>28</v>
      </c>
      <c r="E95" s="11">
        <f t="shared" si="2"/>
        <v>367.7</v>
      </c>
      <c r="F95" s="11">
        <f t="shared" si="3"/>
        <v>4.59625</v>
      </c>
      <c r="G95" s="1">
        <v>80.0</v>
      </c>
      <c r="H95" s="1">
        <v>27.0</v>
      </c>
      <c r="I95" s="1">
        <v>36.0</v>
      </c>
      <c r="J95" s="1">
        <v>63.0</v>
      </c>
      <c r="K95" s="1">
        <v>207.0</v>
      </c>
      <c r="L95" s="1">
        <v>8.0</v>
      </c>
      <c r="M95" s="1">
        <v>10.0</v>
      </c>
      <c r="N95" s="1">
        <v>2.0</v>
      </c>
      <c r="O95" s="1">
        <v>1.0</v>
      </c>
      <c r="P95" s="1">
        <v>42.0</v>
      </c>
      <c r="Q95" s="1">
        <v>28.0</v>
      </c>
      <c r="V95" s="2">
        <f>VLOOKUP(B95,'202324'!B:C,2,FALSE)-A95</f>
        <v>-2</v>
      </c>
    </row>
    <row r="96">
      <c r="A96" s="1">
        <f t="shared" si="1"/>
        <v>94</v>
      </c>
      <c r="B96" s="1" t="s">
        <v>1151</v>
      </c>
      <c r="C96" s="1" t="s">
        <v>1116</v>
      </c>
      <c r="D96" s="1" t="s">
        <v>28</v>
      </c>
      <c r="E96" s="11">
        <f t="shared" si="2"/>
        <v>367</v>
      </c>
      <c r="F96" s="11">
        <f t="shared" si="3"/>
        <v>4.475609756</v>
      </c>
      <c r="G96" s="1">
        <v>82.0</v>
      </c>
      <c r="H96" s="1">
        <v>25.0</v>
      </c>
      <c r="I96" s="1">
        <v>36.0</v>
      </c>
      <c r="J96" s="1">
        <v>61.0</v>
      </c>
      <c r="K96" s="1">
        <v>233.0</v>
      </c>
      <c r="L96" s="1">
        <v>0.0</v>
      </c>
      <c r="M96" s="1">
        <v>7.0</v>
      </c>
      <c r="N96" s="1">
        <v>0.0</v>
      </c>
      <c r="O96" s="1">
        <v>0.0</v>
      </c>
      <c r="P96" s="1">
        <v>30.0</v>
      </c>
      <c r="Q96" s="1">
        <v>39.0</v>
      </c>
      <c r="V96" s="2">
        <f>VLOOKUP(B96,'202324'!B:C,2,FALSE)-A96</f>
        <v>-6</v>
      </c>
    </row>
    <row r="97">
      <c r="A97" s="1">
        <f t="shared" si="1"/>
        <v>95</v>
      </c>
      <c r="B97" s="1" t="s">
        <v>1152</v>
      </c>
      <c r="C97" s="1" t="s">
        <v>1078</v>
      </c>
      <c r="D97" s="1" t="s">
        <v>31</v>
      </c>
      <c r="E97" s="11">
        <f t="shared" si="2"/>
        <v>366.95</v>
      </c>
      <c r="F97" s="11">
        <f t="shared" si="3"/>
        <v>4.530246914</v>
      </c>
      <c r="G97" s="1">
        <v>81.0</v>
      </c>
      <c r="H97" s="1">
        <v>26.0</v>
      </c>
      <c r="I97" s="1">
        <v>44.0</v>
      </c>
      <c r="J97" s="1">
        <v>70.0</v>
      </c>
      <c r="K97" s="1">
        <v>133.0</v>
      </c>
      <c r="L97" s="1">
        <v>9.0</v>
      </c>
      <c r="M97" s="1">
        <v>14.0</v>
      </c>
      <c r="N97" s="1">
        <v>1.0</v>
      </c>
      <c r="O97" s="1">
        <v>2.0</v>
      </c>
      <c r="P97" s="1">
        <v>37.0</v>
      </c>
      <c r="Q97" s="1">
        <v>65.0</v>
      </c>
      <c r="V97" s="2">
        <f>VLOOKUP(B97,'202324'!B:C,2,FALSE)-A97</f>
        <v>-3</v>
      </c>
    </row>
    <row r="98">
      <c r="A98" s="1">
        <f t="shared" si="1"/>
        <v>96</v>
      </c>
      <c r="B98" s="1" t="s">
        <v>1153</v>
      </c>
      <c r="C98" s="1" t="s">
        <v>1036</v>
      </c>
      <c r="D98" s="1" t="s">
        <v>28</v>
      </c>
      <c r="E98" s="11">
        <f t="shared" si="2"/>
        <v>363.7</v>
      </c>
      <c r="F98" s="11">
        <f t="shared" si="3"/>
        <v>4.54625</v>
      </c>
      <c r="G98" s="1">
        <v>80.0</v>
      </c>
      <c r="H98" s="1">
        <v>18.0</v>
      </c>
      <c r="I98" s="1">
        <v>49.0</v>
      </c>
      <c r="J98" s="1">
        <v>67.0</v>
      </c>
      <c r="K98" s="1">
        <v>183.0</v>
      </c>
      <c r="L98" s="1">
        <v>4.0</v>
      </c>
      <c r="M98" s="1">
        <v>22.0</v>
      </c>
      <c r="N98" s="1">
        <v>0.0</v>
      </c>
      <c r="O98" s="1">
        <v>3.0</v>
      </c>
      <c r="P98" s="1">
        <v>62.0</v>
      </c>
      <c r="Q98" s="1">
        <v>33.0</v>
      </c>
      <c r="V98" s="2">
        <f>VLOOKUP(B98,'202324'!B:C,2,FALSE)-A98</f>
        <v>1</v>
      </c>
    </row>
    <row r="99">
      <c r="A99" s="1">
        <f t="shared" si="1"/>
        <v>97</v>
      </c>
      <c r="B99" s="1" t="s">
        <v>1154</v>
      </c>
      <c r="C99" s="1" t="s">
        <v>1085</v>
      </c>
      <c r="D99" s="1" t="s">
        <v>31</v>
      </c>
      <c r="E99" s="11">
        <f t="shared" si="2"/>
        <v>363</v>
      </c>
      <c r="F99" s="11">
        <f t="shared" si="3"/>
        <v>4.426829268</v>
      </c>
      <c r="G99" s="1">
        <v>82.0</v>
      </c>
      <c r="H99" s="1">
        <v>21.0</v>
      </c>
      <c r="I99" s="1">
        <v>39.0</v>
      </c>
      <c r="J99" s="1">
        <v>60.0</v>
      </c>
      <c r="K99" s="1">
        <v>164.0</v>
      </c>
      <c r="L99" s="1">
        <v>7.0</v>
      </c>
      <c r="M99" s="1">
        <v>15.0</v>
      </c>
      <c r="N99" s="1">
        <v>1.0</v>
      </c>
      <c r="O99" s="1">
        <v>2.0</v>
      </c>
      <c r="P99" s="1">
        <v>110.0</v>
      </c>
      <c r="Q99" s="1">
        <v>50.0</v>
      </c>
      <c r="V99" s="2">
        <f>VLOOKUP(B99,'202324'!B:C,2,FALSE)-A99</f>
        <v>7</v>
      </c>
    </row>
    <row r="100">
      <c r="A100" s="1">
        <f t="shared" si="1"/>
        <v>98</v>
      </c>
      <c r="B100" s="1" t="s">
        <v>1155</v>
      </c>
      <c r="C100" s="1" t="s">
        <v>1156</v>
      </c>
      <c r="D100" s="1" t="s">
        <v>66</v>
      </c>
      <c r="E100" s="11">
        <f t="shared" si="2"/>
        <v>361.55</v>
      </c>
      <c r="F100" s="11">
        <f t="shared" si="3"/>
        <v>5.165</v>
      </c>
      <c r="G100" s="1">
        <v>70.0</v>
      </c>
      <c r="H100" s="1">
        <v>11.0</v>
      </c>
      <c r="I100" s="1">
        <v>46.0</v>
      </c>
      <c r="J100" s="1">
        <v>57.0</v>
      </c>
      <c r="K100" s="1">
        <v>202.0</v>
      </c>
      <c r="L100" s="1">
        <v>2.0</v>
      </c>
      <c r="M100" s="1">
        <v>10.0</v>
      </c>
      <c r="N100" s="1">
        <v>0.0</v>
      </c>
      <c r="O100" s="1">
        <v>0.0</v>
      </c>
      <c r="P100" s="1">
        <v>23.0</v>
      </c>
      <c r="Q100" s="1">
        <v>130.0</v>
      </c>
      <c r="V100" s="2">
        <f>VLOOKUP(B100,'202324'!B:C,2,FALSE)-A100</f>
        <v>-3</v>
      </c>
    </row>
    <row r="101">
      <c r="A101" s="1">
        <f t="shared" si="1"/>
        <v>99</v>
      </c>
      <c r="B101" s="1" t="s">
        <v>1157</v>
      </c>
      <c r="C101" s="1" t="s">
        <v>1076</v>
      </c>
      <c r="D101" s="1" t="s">
        <v>28</v>
      </c>
      <c r="E101" s="11">
        <f t="shared" si="2"/>
        <v>361.35</v>
      </c>
      <c r="F101" s="11">
        <f t="shared" si="3"/>
        <v>5.236956522</v>
      </c>
      <c r="G101" s="1">
        <v>69.0</v>
      </c>
      <c r="H101" s="1">
        <v>28.0</v>
      </c>
      <c r="I101" s="1">
        <v>24.0</v>
      </c>
      <c r="J101" s="1">
        <v>52.0</v>
      </c>
      <c r="K101" s="1">
        <v>207.0</v>
      </c>
      <c r="L101" s="1">
        <v>10.0</v>
      </c>
      <c r="M101" s="1">
        <v>7.0</v>
      </c>
      <c r="N101" s="1">
        <v>0.0</v>
      </c>
      <c r="O101" s="1">
        <v>0.0</v>
      </c>
      <c r="P101" s="1">
        <v>111.0</v>
      </c>
      <c r="Q101" s="1">
        <v>42.0</v>
      </c>
      <c r="V101" s="2">
        <f>VLOOKUP(B101,'202324'!B:C,2,FALSE)-A101</f>
        <v>7</v>
      </c>
    </row>
    <row r="102">
      <c r="A102" s="1">
        <f t="shared" si="1"/>
        <v>100</v>
      </c>
      <c r="B102" s="1" t="s">
        <v>1158</v>
      </c>
      <c r="C102" s="1" t="s">
        <v>1116</v>
      </c>
      <c r="D102" s="1" t="s">
        <v>36</v>
      </c>
      <c r="E102" s="11">
        <f t="shared" si="2"/>
        <v>360.75</v>
      </c>
      <c r="F102" s="11">
        <f t="shared" si="3"/>
        <v>4.566455696</v>
      </c>
      <c r="G102" s="1">
        <v>79.0</v>
      </c>
      <c r="H102" s="1">
        <v>33.0</v>
      </c>
      <c r="I102" s="1">
        <v>22.0</v>
      </c>
      <c r="J102" s="1">
        <v>55.0</v>
      </c>
      <c r="K102" s="1">
        <v>229.0</v>
      </c>
      <c r="L102" s="1">
        <v>11.0</v>
      </c>
      <c r="M102" s="1">
        <v>7.0</v>
      </c>
      <c r="N102" s="1">
        <v>0.0</v>
      </c>
      <c r="O102" s="1">
        <v>0.0</v>
      </c>
      <c r="P102" s="1">
        <v>75.0</v>
      </c>
      <c r="Q102" s="1">
        <v>11.0</v>
      </c>
      <c r="V102" s="2">
        <f>VLOOKUP(B102,'202324'!B:C,2,FALSE)-A102</f>
        <v>2</v>
      </c>
    </row>
    <row r="103">
      <c r="A103" s="1">
        <f t="shared" si="1"/>
        <v>101</v>
      </c>
      <c r="B103" s="1" t="s">
        <v>1159</v>
      </c>
      <c r="C103" s="1" t="s">
        <v>1082</v>
      </c>
      <c r="D103" s="1" t="s">
        <v>31</v>
      </c>
      <c r="E103" s="11">
        <f t="shared" si="2"/>
        <v>360.7</v>
      </c>
      <c r="F103" s="11">
        <f t="shared" si="3"/>
        <v>4.398780488</v>
      </c>
      <c r="G103" s="1">
        <v>82.0</v>
      </c>
      <c r="H103" s="1">
        <v>27.0</v>
      </c>
      <c r="I103" s="1">
        <v>40.0</v>
      </c>
      <c r="J103" s="1">
        <v>67.0</v>
      </c>
      <c r="K103" s="1">
        <v>169.0</v>
      </c>
      <c r="L103" s="1">
        <v>6.0</v>
      </c>
      <c r="M103" s="1">
        <v>16.0</v>
      </c>
      <c r="N103" s="1">
        <v>0.0</v>
      </c>
      <c r="O103" s="1">
        <v>0.0</v>
      </c>
      <c r="P103" s="1">
        <v>12.0</v>
      </c>
      <c r="Q103" s="1">
        <v>61.0</v>
      </c>
      <c r="V103" s="2">
        <f>VLOOKUP(B103,'202324'!B:C,2,FALSE)-A103</f>
        <v>-8</v>
      </c>
    </row>
    <row r="104">
      <c r="A104" s="1">
        <f t="shared" si="1"/>
        <v>102</v>
      </c>
      <c r="B104" s="1" t="s">
        <v>1160</v>
      </c>
      <c r="C104" s="1" t="s">
        <v>1038</v>
      </c>
      <c r="D104" s="1" t="s">
        <v>66</v>
      </c>
      <c r="E104" s="11">
        <f t="shared" si="2"/>
        <v>360.65</v>
      </c>
      <c r="F104" s="11">
        <f t="shared" si="3"/>
        <v>4.873648649</v>
      </c>
      <c r="G104" s="1">
        <v>74.0</v>
      </c>
      <c r="H104" s="1">
        <v>12.0</v>
      </c>
      <c r="I104" s="1">
        <v>35.0</v>
      </c>
      <c r="J104" s="1">
        <v>47.0</v>
      </c>
      <c r="K104" s="1">
        <v>133.0</v>
      </c>
      <c r="L104" s="1">
        <v>1.0</v>
      </c>
      <c r="M104" s="1">
        <v>12.0</v>
      </c>
      <c r="N104" s="1">
        <v>0.0</v>
      </c>
      <c r="O104" s="1">
        <v>0.0</v>
      </c>
      <c r="P104" s="1">
        <v>159.0</v>
      </c>
      <c r="Q104" s="1">
        <v>159.0</v>
      </c>
      <c r="V104" s="2">
        <f>VLOOKUP(B104,'202324'!B:C,2,FALSE)-A104</f>
        <v>15</v>
      </c>
    </row>
    <row r="105">
      <c r="A105" s="1">
        <f t="shared" si="1"/>
        <v>103</v>
      </c>
      <c r="B105" s="1" t="s">
        <v>1161</v>
      </c>
      <c r="C105" s="1" t="s">
        <v>1116</v>
      </c>
      <c r="D105" s="1" t="s">
        <v>28</v>
      </c>
      <c r="E105" s="11">
        <f t="shared" si="2"/>
        <v>358.9</v>
      </c>
      <c r="F105" s="11">
        <f t="shared" si="3"/>
        <v>5.521538462</v>
      </c>
      <c r="G105" s="1">
        <v>65.0</v>
      </c>
      <c r="H105" s="1">
        <v>34.0</v>
      </c>
      <c r="I105" s="1">
        <v>27.0</v>
      </c>
      <c r="J105" s="1">
        <v>61.0</v>
      </c>
      <c r="K105" s="1">
        <v>221.0</v>
      </c>
      <c r="L105" s="1">
        <v>5.0</v>
      </c>
      <c r="M105" s="1">
        <v>14.0</v>
      </c>
      <c r="N105" s="1">
        <v>0.0</v>
      </c>
      <c r="O105" s="1">
        <v>0.0</v>
      </c>
      <c r="P105" s="1">
        <v>14.0</v>
      </c>
      <c r="Q105" s="1">
        <v>19.0</v>
      </c>
      <c r="V105" s="2">
        <f>VLOOKUP(B105,'202324'!B:C,2,FALSE)-A105</f>
        <v>-6</v>
      </c>
    </row>
    <row r="106">
      <c r="A106" s="1">
        <f t="shared" si="1"/>
        <v>104</v>
      </c>
      <c r="B106" s="1" t="s">
        <v>1162</v>
      </c>
      <c r="C106" s="1" t="s">
        <v>1048</v>
      </c>
      <c r="D106" s="1" t="s">
        <v>5</v>
      </c>
      <c r="E106" s="11">
        <f t="shared" si="2"/>
        <v>358.2</v>
      </c>
      <c r="F106" s="11">
        <f t="shared" si="3"/>
        <v>6.175862069</v>
      </c>
      <c r="G106" s="1">
        <v>58.0</v>
      </c>
      <c r="R106" s="1">
        <v>36.0</v>
      </c>
      <c r="S106" s="1">
        <v>135.0</v>
      </c>
      <c r="T106" s="12">
        <v>1449.0</v>
      </c>
      <c r="U106" s="1">
        <v>6.0</v>
      </c>
      <c r="V106" s="2">
        <f>VLOOKUP(B106,'202324'!B:C,2,FALSE)-A106</f>
        <v>-8</v>
      </c>
    </row>
    <row r="107">
      <c r="A107" s="1">
        <f t="shared" si="1"/>
        <v>105</v>
      </c>
      <c r="B107" s="1" t="s">
        <v>1163</v>
      </c>
      <c r="C107" s="1" t="s">
        <v>1040</v>
      </c>
      <c r="D107" s="1" t="s">
        <v>28</v>
      </c>
      <c r="E107" s="11">
        <f t="shared" si="2"/>
        <v>357.55</v>
      </c>
      <c r="F107" s="11">
        <f t="shared" si="3"/>
        <v>4.360365854</v>
      </c>
      <c r="G107" s="1">
        <v>82.0</v>
      </c>
      <c r="H107" s="1">
        <v>28.0</v>
      </c>
      <c r="I107" s="1">
        <v>29.0</v>
      </c>
      <c r="J107" s="1">
        <v>57.0</v>
      </c>
      <c r="K107" s="1">
        <v>217.0</v>
      </c>
      <c r="L107" s="1">
        <v>2.0</v>
      </c>
      <c r="M107" s="1">
        <v>4.0</v>
      </c>
      <c r="N107" s="1">
        <v>0.0</v>
      </c>
      <c r="O107" s="1">
        <v>0.0</v>
      </c>
      <c r="P107" s="1">
        <v>73.0</v>
      </c>
      <c r="Q107" s="1">
        <v>21.0</v>
      </c>
      <c r="V107" s="2">
        <f>VLOOKUP(B107,'202324'!B:C,2,FALSE)-A107</f>
        <v>1</v>
      </c>
    </row>
    <row r="108">
      <c r="A108" s="1">
        <f t="shared" si="1"/>
        <v>106</v>
      </c>
      <c r="B108" s="1" t="s">
        <v>1164</v>
      </c>
      <c r="C108" s="1" t="s">
        <v>1042</v>
      </c>
      <c r="D108" s="1" t="s">
        <v>5</v>
      </c>
      <c r="E108" s="11">
        <f t="shared" si="2"/>
        <v>356.1</v>
      </c>
      <c r="F108" s="11">
        <f t="shared" si="3"/>
        <v>5.5640625</v>
      </c>
      <c r="G108" s="1">
        <v>64.0</v>
      </c>
      <c r="R108" s="1">
        <v>35.0</v>
      </c>
      <c r="S108" s="1">
        <v>173.0</v>
      </c>
      <c r="T108" s="12">
        <v>1672.0</v>
      </c>
      <c r="U108" s="1">
        <v>3.0</v>
      </c>
      <c r="V108" s="2">
        <f>VLOOKUP(B108,'202324'!B:C,2,FALSE)-A108</f>
        <v>-6</v>
      </c>
    </row>
    <row r="109">
      <c r="A109" s="1">
        <f t="shared" si="1"/>
        <v>107</v>
      </c>
      <c r="B109" s="1" t="s">
        <v>1165</v>
      </c>
      <c r="C109" s="1" t="s">
        <v>1080</v>
      </c>
      <c r="D109" s="1" t="s">
        <v>31</v>
      </c>
      <c r="E109" s="11">
        <f t="shared" si="2"/>
        <v>354.55</v>
      </c>
      <c r="F109" s="11">
        <f t="shared" si="3"/>
        <v>5.065</v>
      </c>
      <c r="G109" s="1">
        <v>70.0</v>
      </c>
      <c r="H109" s="1">
        <v>30.0</v>
      </c>
      <c r="I109" s="1">
        <v>30.0</v>
      </c>
      <c r="J109" s="1">
        <v>60.0</v>
      </c>
      <c r="K109" s="1">
        <v>175.0</v>
      </c>
      <c r="L109" s="1">
        <v>7.0</v>
      </c>
      <c r="M109" s="1">
        <v>8.0</v>
      </c>
      <c r="N109" s="1">
        <v>1.0</v>
      </c>
      <c r="O109" s="1">
        <v>1.0</v>
      </c>
      <c r="P109" s="1">
        <v>43.0</v>
      </c>
      <c r="Q109" s="1">
        <v>46.0</v>
      </c>
      <c r="V109" s="2">
        <f>VLOOKUP(B109,'202324'!B:C,2,FALSE)-A109</f>
        <v>-1</v>
      </c>
    </row>
    <row r="110">
      <c r="A110" s="1">
        <f t="shared" si="1"/>
        <v>108</v>
      </c>
      <c r="B110" s="1" t="s">
        <v>1166</v>
      </c>
      <c r="C110" s="1" t="s">
        <v>1052</v>
      </c>
      <c r="D110" s="1" t="s">
        <v>66</v>
      </c>
      <c r="E110" s="11">
        <f t="shared" si="2"/>
        <v>354.5</v>
      </c>
      <c r="F110" s="11">
        <f t="shared" si="3"/>
        <v>4.323170732</v>
      </c>
      <c r="G110" s="1">
        <v>82.0</v>
      </c>
      <c r="H110" s="1">
        <v>11.0</v>
      </c>
      <c r="I110" s="1">
        <v>45.0</v>
      </c>
      <c r="J110" s="1">
        <v>56.0</v>
      </c>
      <c r="K110" s="1">
        <v>213.0</v>
      </c>
      <c r="L110" s="1">
        <v>2.0</v>
      </c>
      <c r="M110" s="1">
        <v>15.0</v>
      </c>
      <c r="N110" s="1">
        <v>0.0</v>
      </c>
      <c r="O110" s="1">
        <v>0.0</v>
      </c>
      <c r="P110" s="1">
        <v>40.0</v>
      </c>
      <c r="Q110" s="1">
        <v>99.0</v>
      </c>
      <c r="V110" s="2">
        <f>VLOOKUP(B110,'202324'!B:C,2,FALSE)-A110</f>
        <v>-3</v>
      </c>
    </row>
    <row r="111">
      <c r="A111" s="1">
        <f t="shared" si="1"/>
        <v>109</v>
      </c>
      <c r="B111" s="1" t="s">
        <v>1167</v>
      </c>
      <c r="C111" s="1" t="s">
        <v>1069</v>
      </c>
      <c r="D111" s="1" t="s">
        <v>28</v>
      </c>
      <c r="E111" s="11">
        <f t="shared" si="2"/>
        <v>353.55</v>
      </c>
      <c r="F111" s="11">
        <f t="shared" si="3"/>
        <v>4.311585366</v>
      </c>
      <c r="G111" s="1">
        <v>82.0</v>
      </c>
      <c r="H111" s="1">
        <v>31.0</v>
      </c>
      <c r="I111" s="1">
        <v>28.0</v>
      </c>
      <c r="J111" s="1">
        <v>59.0</v>
      </c>
      <c r="K111" s="1">
        <v>179.0</v>
      </c>
      <c r="L111" s="1">
        <v>6.0</v>
      </c>
      <c r="M111" s="1">
        <v>11.0</v>
      </c>
      <c r="N111" s="1">
        <v>3.0</v>
      </c>
      <c r="O111" s="1">
        <v>4.0</v>
      </c>
      <c r="P111" s="1">
        <v>13.0</v>
      </c>
      <c r="Q111" s="1">
        <v>44.0</v>
      </c>
      <c r="V111" s="2">
        <f>VLOOKUP(B111,'202324'!B:C,2,FALSE)-A111</f>
        <v>-6</v>
      </c>
    </row>
    <row r="112">
      <c r="A112" s="1">
        <f t="shared" si="1"/>
        <v>110</v>
      </c>
      <c r="B112" s="1" t="s">
        <v>1168</v>
      </c>
      <c r="C112" s="1" t="s">
        <v>1073</v>
      </c>
      <c r="D112" s="1" t="s">
        <v>31</v>
      </c>
      <c r="E112" s="11">
        <f t="shared" si="2"/>
        <v>352.95</v>
      </c>
      <c r="F112" s="11">
        <f t="shared" si="3"/>
        <v>4.583766234</v>
      </c>
      <c r="G112" s="1">
        <v>77.0</v>
      </c>
      <c r="H112" s="1">
        <v>24.0</v>
      </c>
      <c r="I112" s="1">
        <v>29.0</v>
      </c>
      <c r="J112" s="1">
        <v>53.0</v>
      </c>
      <c r="K112" s="1">
        <v>231.0</v>
      </c>
      <c r="L112" s="1">
        <v>8.0</v>
      </c>
      <c r="M112" s="1">
        <v>5.0</v>
      </c>
      <c r="N112" s="1">
        <v>0.0</v>
      </c>
      <c r="O112" s="1">
        <v>0.0</v>
      </c>
      <c r="P112" s="1">
        <v>77.0</v>
      </c>
      <c r="Q112" s="1">
        <v>31.0</v>
      </c>
      <c r="V112" s="2">
        <f>VLOOKUP(B112,'202324'!B:C,2,FALSE)-A112</f>
        <v>6</v>
      </c>
    </row>
    <row r="113">
      <c r="A113" s="1">
        <f t="shared" si="1"/>
        <v>111</v>
      </c>
      <c r="B113" s="1" t="s">
        <v>1169</v>
      </c>
      <c r="C113" s="1" t="s">
        <v>1085</v>
      </c>
      <c r="D113" s="1" t="s">
        <v>31</v>
      </c>
      <c r="E113" s="11">
        <f t="shared" si="2"/>
        <v>352.65</v>
      </c>
      <c r="F113" s="11">
        <f t="shared" si="3"/>
        <v>4.408125</v>
      </c>
      <c r="G113" s="1">
        <v>80.0</v>
      </c>
      <c r="H113" s="1">
        <v>25.0</v>
      </c>
      <c r="I113" s="1">
        <v>40.0</v>
      </c>
      <c r="J113" s="1">
        <v>65.0</v>
      </c>
      <c r="K113" s="1">
        <v>172.0</v>
      </c>
      <c r="L113" s="1">
        <v>6.0</v>
      </c>
      <c r="M113" s="1">
        <v>10.0</v>
      </c>
      <c r="N113" s="1">
        <v>0.0</v>
      </c>
      <c r="O113" s="1">
        <v>0.0</v>
      </c>
      <c r="P113" s="1">
        <v>29.0</v>
      </c>
      <c r="Q113" s="1">
        <v>48.0</v>
      </c>
      <c r="V113" s="2">
        <f>VLOOKUP(B113,'202324'!B:C,2,FALSE)-A113</f>
        <v>-2</v>
      </c>
    </row>
    <row r="114">
      <c r="A114" s="1">
        <f t="shared" si="1"/>
        <v>112</v>
      </c>
      <c r="B114" s="1" t="s">
        <v>1170</v>
      </c>
      <c r="C114" s="1" t="s">
        <v>1052</v>
      </c>
      <c r="D114" s="1" t="s">
        <v>36</v>
      </c>
      <c r="E114" s="11">
        <f t="shared" si="2"/>
        <v>351.95</v>
      </c>
      <c r="F114" s="11">
        <f t="shared" si="3"/>
        <v>5.676612903</v>
      </c>
      <c r="G114" s="1">
        <v>62.0</v>
      </c>
      <c r="H114" s="1">
        <v>28.0</v>
      </c>
      <c r="I114" s="1">
        <v>28.0</v>
      </c>
      <c r="J114" s="1">
        <v>56.0</v>
      </c>
      <c r="K114" s="1">
        <v>196.0</v>
      </c>
      <c r="L114" s="1">
        <v>3.0</v>
      </c>
      <c r="M114" s="1">
        <v>6.0</v>
      </c>
      <c r="N114" s="1">
        <v>1.0</v>
      </c>
      <c r="O114" s="1">
        <v>0.0</v>
      </c>
      <c r="P114" s="1">
        <v>47.0</v>
      </c>
      <c r="Q114" s="1">
        <v>51.0</v>
      </c>
      <c r="V114" s="2">
        <f>VLOOKUP(B114,'202324'!B:C,2,FALSE)-A114</f>
        <v>0</v>
      </c>
    </row>
    <row r="115">
      <c r="A115" s="1">
        <f t="shared" si="1"/>
        <v>113</v>
      </c>
      <c r="B115" s="1" t="s">
        <v>1171</v>
      </c>
      <c r="C115" s="1" t="s">
        <v>1172</v>
      </c>
      <c r="D115" s="1" t="s">
        <v>31</v>
      </c>
      <c r="E115" s="11">
        <f t="shared" si="2"/>
        <v>351.4</v>
      </c>
      <c r="F115" s="11">
        <f t="shared" si="3"/>
        <v>5.167647059</v>
      </c>
      <c r="G115" s="1">
        <v>68.0</v>
      </c>
      <c r="H115" s="1">
        <v>22.0</v>
      </c>
      <c r="I115" s="1">
        <v>39.0</v>
      </c>
      <c r="J115" s="1">
        <v>61.0</v>
      </c>
      <c r="K115" s="1">
        <v>206.0</v>
      </c>
      <c r="L115" s="1">
        <v>4.0</v>
      </c>
      <c r="M115" s="1">
        <v>17.0</v>
      </c>
      <c r="N115" s="1">
        <v>0.0</v>
      </c>
      <c r="O115" s="1">
        <v>0.0</v>
      </c>
      <c r="P115" s="1">
        <v>54.0</v>
      </c>
      <c r="Q115" s="1">
        <v>27.0</v>
      </c>
      <c r="V115" s="2">
        <f>VLOOKUP(B115,'202324'!B:C,2,FALSE)-A115</f>
        <v>1</v>
      </c>
    </row>
    <row r="116">
      <c r="A116" s="1">
        <f t="shared" si="1"/>
        <v>114</v>
      </c>
      <c r="B116" s="1" t="s">
        <v>1173</v>
      </c>
      <c r="C116" s="1" t="s">
        <v>1044</v>
      </c>
      <c r="D116" s="1" t="s">
        <v>31</v>
      </c>
      <c r="E116" s="11">
        <f t="shared" si="2"/>
        <v>350</v>
      </c>
      <c r="F116" s="11">
        <f t="shared" si="3"/>
        <v>4.268292683</v>
      </c>
      <c r="G116" s="1">
        <v>82.0</v>
      </c>
      <c r="H116" s="1">
        <v>21.0</v>
      </c>
      <c r="I116" s="1">
        <v>43.0</v>
      </c>
      <c r="J116" s="1">
        <v>64.0</v>
      </c>
      <c r="K116" s="1">
        <v>183.0</v>
      </c>
      <c r="L116" s="1">
        <v>3.0</v>
      </c>
      <c r="M116" s="1">
        <v>16.0</v>
      </c>
      <c r="N116" s="1">
        <v>2.0</v>
      </c>
      <c r="O116" s="1">
        <v>1.0</v>
      </c>
      <c r="P116" s="1">
        <v>40.0</v>
      </c>
      <c r="Q116" s="1">
        <v>30.0</v>
      </c>
      <c r="V116" s="2">
        <f>VLOOKUP(B116,'202324'!B:C,2,FALSE)-A116</f>
        <v>0</v>
      </c>
    </row>
    <row r="117">
      <c r="A117" s="1">
        <f t="shared" si="1"/>
        <v>115</v>
      </c>
      <c r="B117" s="1" t="s">
        <v>1174</v>
      </c>
      <c r="C117" s="1" t="s">
        <v>1175</v>
      </c>
      <c r="D117" s="1" t="s">
        <v>28</v>
      </c>
      <c r="E117" s="11">
        <f t="shared" si="2"/>
        <v>349.5</v>
      </c>
      <c r="F117" s="11">
        <f t="shared" si="3"/>
        <v>4.262195122</v>
      </c>
      <c r="G117" s="1">
        <v>82.0</v>
      </c>
      <c r="H117" s="1">
        <v>24.0</v>
      </c>
      <c r="I117" s="1">
        <v>20.0</v>
      </c>
      <c r="J117" s="1">
        <v>44.0</v>
      </c>
      <c r="K117" s="1">
        <v>204.0</v>
      </c>
      <c r="L117" s="1">
        <v>6.0</v>
      </c>
      <c r="M117" s="1">
        <v>10.0</v>
      </c>
      <c r="N117" s="1">
        <v>1.0</v>
      </c>
      <c r="O117" s="1">
        <v>0.0</v>
      </c>
      <c r="P117" s="1">
        <v>120.0</v>
      </c>
      <c r="Q117" s="1">
        <v>71.0</v>
      </c>
      <c r="V117" s="2">
        <f>VLOOKUP(B117,'202324'!B:C,2,FALSE)-A117</f>
        <v>5</v>
      </c>
    </row>
    <row r="118">
      <c r="A118" s="1">
        <f t="shared" si="1"/>
        <v>116</v>
      </c>
      <c r="B118" s="1" t="s">
        <v>1176</v>
      </c>
      <c r="C118" s="1" t="s">
        <v>1078</v>
      </c>
      <c r="D118" s="1" t="s">
        <v>66</v>
      </c>
      <c r="E118" s="11">
        <f t="shared" si="2"/>
        <v>349.15</v>
      </c>
      <c r="F118" s="11">
        <f t="shared" si="3"/>
        <v>4.257926829</v>
      </c>
      <c r="G118" s="1">
        <v>82.0</v>
      </c>
      <c r="H118" s="1">
        <v>15.0</v>
      </c>
      <c r="I118" s="1">
        <v>35.0</v>
      </c>
      <c r="J118" s="1">
        <v>50.0</v>
      </c>
      <c r="K118" s="1">
        <v>135.0</v>
      </c>
      <c r="L118" s="1">
        <v>7.0</v>
      </c>
      <c r="M118" s="1">
        <v>13.0</v>
      </c>
      <c r="N118" s="1">
        <v>0.0</v>
      </c>
      <c r="O118" s="1">
        <v>0.0</v>
      </c>
      <c r="P118" s="1">
        <v>109.0</v>
      </c>
      <c r="Q118" s="1">
        <v>142.0</v>
      </c>
      <c r="V118" s="2">
        <f>VLOOKUP(B118,'202324'!B:C,2,FALSE)-A118</f>
        <v>3</v>
      </c>
    </row>
    <row r="119">
      <c r="A119" s="1">
        <f t="shared" si="1"/>
        <v>117</v>
      </c>
      <c r="B119" s="1" t="s">
        <v>1177</v>
      </c>
      <c r="C119" s="1" t="s">
        <v>1036</v>
      </c>
      <c r="D119" s="1" t="s">
        <v>66</v>
      </c>
      <c r="E119" s="11">
        <f t="shared" si="2"/>
        <v>348.3</v>
      </c>
      <c r="F119" s="11">
        <f t="shared" si="3"/>
        <v>4.3</v>
      </c>
      <c r="G119" s="1">
        <v>81.0</v>
      </c>
      <c r="H119" s="1">
        <v>10.0</v>
      </c>
      <c r="I119" s="1">
        <v>22.0</v>
      </c>
      <c r="J119" s="1">
        <v>32.0</v>
      </c>
      <c r="K119" s="1">
        <v>181.0</v>
      </c>
      <c r="L119" s="1">
        <v>1.0</v>
      </c>
      <c r="M119" s="1">
        <v>4.0</v>
      </c>
      <c r="N119" s="1">
        <v>1.0</v>
      </c>
      <c r="O119" s="1">
        <v>0.0</v>
      </c>
      <c r="P119" s="1">
        <v>168.0</v>
      </c>
      <c r="Q119" s="1">
        <v>172.0</v>
      </c>
      <c r="V119" s="2">
        <f>VLOOKUP(B119,'202324'!B:C,2,FALSE)-A119</f>
        <v>6</v>
      </c>
    </row>
    <row r="120">
      <c r="A120" s="1">
        <f t="shared" si="1"/>
        <v>118</v>
      </c>
      <c r="B120" s="1" t="s">
        <v>1178</v>
      </c>
      <c r="C120" s="1" t="s">
        <v>1044</v>
      </c>
      <c r="D120" s="1" t="s">
        <v>66</v>
      </c>
      <c r="E120" s="11">
        <f t="shared" si="2"/>
        <v>348.2</v>
      </c>
      <c r="F120" s="11">
        <f t="shared" si="3"/>
        <v>4.246341463</v>
      </c>
      <c r="G120" s="1">
        <v>82.0</v>
      </c>
      <c r="H120" s="1">
        <v>14.0</v>
      </c>
      <c r="I120" s="1">
        <v>27.0</v>
      </c>
      <c r="J120" s="1">
        <v>41.0</v>
      </c>
      <c r="K120" s="1">
        <v>204.0</v>
      </c>
      <c r="L120" s="1">
        <v>7.0</v>
      </c>
      <c r="M120" s="1">
        <v>9.0</v>
      </c>
      <c r="N120" s="1">
        <v>0.0</v>
      </c>
      <c r="O120" s="1">
        <v>0.0</v>
      </c>
      <c r="P120" s="1">
        <v>72.0</v>
      </c>
      <c r="Q120" s="1">
        <v>154.0</v>
      </c>
      <c r="V120" s="2">
        <f>VLOOKUP(B120,'202324'!B:C,2,FALSE)-A120</f>
        <v>0</v>
      </c>
    </row>
    <row r="121">
      <c r="A121" s="1">
        <f t="shared" si="1"/>
        <v>119</v>
      </c>
      <c r="B121" s="1" t="s">
        <v>1179</v>
      </c>
      <c r="C121" s="1" t="s">
        <v>1040</v>
      </c>
      <c r="D121" s="1" t="s">
        <v>5</v>
      </c>
      <c r="E121" s="11">
        <f t="shared" si="2"/>
        <v>348</v>
      </c>
      <c r="F121" s="11">
        <f t="shared" si="3"/>
        <v>6.327272727</v>
      </c>
      <c r="G121" s="1">
        <v>55.0</v>
      </c>
      <c r="R121" s="1">
        <v>36.0</v>
      </c>
      <c r="S121" s="1">
        <v>141.0</v>
      </c>
      <c r="T121" s="12">
        <v>1465.0</v>
      </c>
      <c r="U121" s="1">
        <v>4.0</v>
      </c>
      <c r="V121" s="2">
        <f>VLOOKUP(B121,'202324'!B:C,2,FALSE)-A121</f>
        <v>-9</v>
      </c>
    </row>
    <row r="122">
      <c r="A122" s="1">
        <f t="shared" si="1"/>
        <v>119</v>
      </c>
      <c r="B122" s="1" t="s">
        <v>1180</v>
      </c>
      <c r="C122" s="1" t="s">
        <v>1106</v>
      </c>
      <c r="D122" s="1" t="s">
        <v>5</v>
      </c>
      <c r="E122" s="11">
        <f t="shared" si="2"/>
        <v>348</v>
      </c>
      <c r="F122" s="11">
        <f t="shared" si="3"/>
        <v>6.105263158</v>
      </c>
      <c r="G122" s="1">
        <v>57.0</v>
      </c>
      <c r="R122" s="1">
        <v>28.0</v>
      </c>
      <c r="S122" s="1">
        <v>156.0</v>
      </c>
      <c r="T122" s="12">
        <v>1630.0</v>
      </c>
      <c r="U122" s="1">
        <v>3.0</v>
      </c>
      <c r="V122" s="2">
        <f>VLOOKUP(B122,'202324'!B:C,2,FALSE)-A122</f>
        <v>-9</v>
      </c>
    </row>
    <row r="123">
      <c r="A123" s="1">
        <f t="shared" si="1"/>
        <v>121</v>
      </c>
      <c r="B123" s="1" t="s">
        <v>1181</v>
      </c>
      <c r="C123" s="1" t="s">
        <v>1046</v>
      </c>
      <c r="D123" s="1" t="s">
        <v>5</v>
      </c>
      <c r="E123" s="11">
        <f t="shared" si="2"/>
        <v>346.2</v>
      </c>
      <c r="F123" s="11">
        <f t="shared" si="3"/>
        <v>6.788235294</v>
      </c>
      <c r="G123" s="1">
        <v>51.0</v>
      </c>
      <c r="R123" s="1">
        <v>35.0</v>
      </c>
      <c r="S123" s="1">
        <v>123.0</v>
      </c>
      <c r="T123" s="12">
        <v>1369.0</v>
      </c>
      <c r="U123" s="1">
        <v>5.0</v>
      </c>
      <c r="V123" s="2">
        <f>VLOOKUP(B123,'202324'!B:C,2,FALSE)-A123</f>
        <v>-8</v>
      </c>
    </row>
    <row r="124">
      <c r="A124" s="1">
        <f t="shared" si="1"/>
        <v>122</v>
      </c>
      <c r="B124" s="1" t="s">
        <v>1182</v>
      </c>
      <c r="C124" s="1" t="s">
        <v>1097</v>
      </c>
      <c r="D124" s="1" t="s">
        <v>28</v>
      </c>
      <c r="E124" s="11">
        <f t="shared" si="2"/>
        <v>344.7</v>
      </c>
      <c r="F124" s="11">
        <f t="shared" si="3"/>
        <v>4.203658537</v>
      </c>
      <c r="G124" s="1">
        <v>82.0</v>
      </c>
      <c r="H124" s="1">
        <v>20.0</v>
      </c>
      <c r="I124" s="1">
        <v>30.0</v>
      </c>
      <c r="J124" s="1">
        <v>50.0</v>
      </c>
      <c r="K124" s="1">
        <v>152.0</v>
      </c>
      <c r="L124" s="1">
        <v>6.0</v>
      </c>
      <c r="M124" s="1">
        <v>8.0</v>
      </c>
      <c r="N124" s="1">
        <v>0.0</v>
      </c>
      <c r="O124" s="1">
        <v>0.0</v>
      </c>
      <c r="P124" s="1">
        <v>152.0</v>
      </c>
      <c r="Q124" s="1">
        <v>71.0</v>
      </c>
      <c r="V124" s="2">
        <f>VLOOKUP(B124,'202324'!B:C,2,FALSE)-A124</f>
        <v>3</v>
      </c>
    </row>
    <row r="125">
      <c r="A125" s="1">
        <f t="shared" si="1"/>
        <v>123</v>
      </c>
      <c r="B125" s="1" t="s">
        <v>1183</v>
      </c>
      <c r="C125" s="1" t="s">
        <v>1036</v>
      </c>
      <c r="D125" s="1" t="s">
        <v>31</v>
      </c>
      <c r="E125" s="11">
        <f t="shared" si="2"/>
        <v>342.65</v>
      </c>
      <c r="F125" s="11">
        <f t="shared" si="3"/>
        <v>4.178658537</v>
      </c>
      <c r="G125" s="1">
        <v>82.0</v>
      </c>
      <c r="H125" s="1">
        <v>24.0</v>
      </c>
      <c r="I125" s="1">
        <v>27.0</v>
      </c>
      <c r="J125" s="1">
        <v>51.0</v>
      </c>
      <c r="K125" s="1">
        <v>140.0</v>
      </c>
      <c r="L125" s="1">
        <v>5.0</v>
      </c>
      <c r="M125" s="1">
        <v>5.0</v>
      </c>
      <c r="N125" s="1">
        <v>2.0</v>
      </c>
      <c r="O125" s="1">
        <v>3.0</v>
      </c>
      <c r="P125" s="1">
        <v>99.0</v>
      </c>
      <c r="Q125" s="1">
        <v>78.0</v>
      </c>
      <c r="V125" s="2">
        <f>VLOOKUP(B125,'202324'!B:C,2,FALSE)-A125</f>
        <v>-1</v>
      </c>
    </row>
    <row r="126">
      <c r="A126" s="1">
        <f t="shared" si="1"/>
        <v>124</v>
      </c>
      <c r="B126" s="1" t="s">
        <v>1184</v>
      </c>
      <c r="C126" s="1" t="s">
        <v>1106</v>
      </c>
      <c r="D126" s="1" t="s">
        <v>31</v>
      </c>
      <c r="E126" s="11">
        <f t="shared" si="2"/>
        <v>339.3</v>
      </c>
      <c r="F126" s="11">
        <f t="shared" si="3"/>
        <v>4.137804878</v>
      </c>
      <c r="G126" s="1">
        <v>82.0</v>
      </c>
      <c r="H126" s="1">
        <v>20.0</v>
      </c>
      <c r="I126" s="1">
        <v>26.0</v>
      </c>
      <c r="J126" s="1">
        <v>46.0</v>
      </c>
      <c r="K126" s="1">
        <v>170.0</v>
      </c>
      <c r="L126" s="1">
        <v>4.0</v>
      </c>
      <c r="M126" s="1">
        <v>8.0</v>
      </c>
      <c r="N126" s="1">
        <v>1.0</v>
      </c>
      <c r="O126" s="1">
        <v>0.0</v>
      </c>
      <c r="P126" s="1">
        <v>168.0</v>
      </c>
      <c r="Q126" s="1">
        <v>51.0</v>
      </c>
      <c r="V126" s="2">
        <f>VLOOKUP(B126,'202324'!B:C,2,FALSE)-A126</f>
        <v>8</v>
      </c>
    </row>
    <row r="127">
      <c r="A127" s="1">
        <f t="shared" si="1"/>
        <v>125</v>
      </c>
      <c r="B127" s="1" t="s">
        <v>1185</v>
      </c>
      <c r="C127" s="1" t="s">
        <v>1146</v>
      </c>
      <c r="D127" s="1" t="s">
        <v>36</v>
      </c>
      <c r="E127" s="11">
        <f t="shared" si="2"/>
        <v>337.95</v>
      </c>
      <c r="F127" s="11">
        <f t="shared" si="3"/>
        <v>4.121341463</v>
      </c>
      <c r="G127" s="1">
        <v>82.0</v>
      </c>
      <c r="H127" s="1">
        <v>20.0</v>
      </c>
      <c r="I127" s="1">
        <v>39.0</v>
      </c>
      <c r="J127" s="1">
        <v>59.0</v>
      </c>
      <c r="K127" s="1">
        <v>186.0</v>
      </c>
      <c r="L127" s="1">
        <v>8.0</v>
      </c>
      <c r="M127" s="1">
        <v>17.0</v>
      </c>
      <c r="N127" s="1">
        <v>0.0</v>
      </c>
      <c r="O127" s="1">
        <v>0.0</v>
      </c>
      <c r="P127" s="1">
        <v>67.0</v>
      </c>
      <c r="Q127" s="1">
        <v>29.0</v>
      </c>
      <c r="V127" s="2">
        <f>VLOOKUP(B127,'202324'!B:C,2,FALSE)-A127</f>
        <v>-1</v>
      </c>
    </row>
    <row r="128">
      <c r="A128" s="1">
        <f t="shared" si="1"/>
        <v>126</v>
      </c>
      <c r="B128" s="1" t="s">
        <v>1186</v>
      </c>
      <c r="C128" s="1" t="s">
        <v>1111</v>
      </c>
      <c r="D128" s="1" t="s">
        <v>28</v>
      </c>
      <c r="E128" s="11">
        <f t="shared" si="2"/>
        <v>337.75</v>
      </c>
      <c r="F128" s="11">
        <f t="shared" si="3"/>
        <v>4.169753086</v>
      </c>
      <c r="G128" s="1">
        <v>81.0</v>
      </c>
      <c r="H128" s="1">
        <v>23.0</v>
      </c>
      <c r="I128" s="1">
        <v>19.0</v>
      </c>
      <c r="J128" s="1">
        <v>42.0</v>
      </c>
      <c r="K128" s="1">
        <v>171.0</v>
      </c>
      <c r="L128" s="1">
        <v>7.0</v>
      </c>
      <c r="M128" s="1">
        <v>3.0</v>
      </c>
      <c r="N128" s="1">
        <v>0.0</v>
      </c>
      <c r="O128" s="1">
        <v>1.0</v>
      </c>
      <c r="P128" s="1">
        <v>175.0</v>
      </c>
      <c r="Q128" s="1">
        <v>57.0</v>
      </c>
      <c r="V128" s="2">
        <f>VLOOKUP(B128,'202324'!B:C,2,FALSE)-A128</f>
        <v>13</v>
      </c>
    </row>
    <row r="129">
      <c r="A129" s="1">
        <f t="shared" si="1"/>
        <v>127</v>
      </c>
      <c r="B129" s="1" t="s">
        <v>1187</v>
      </c>
      <c r="C129" s="1" t="s">
        <v>1116</v>
      </c>
      <c r="D129" s="1" t="s">
        <v>31</v>
      </c>
      <c r="E129" s="11">
        <f t="shared" si="2"/>
        <v>337.65</v>
      </c>
      <c r="F129" s="11">
        <f t="shared" si="3"/>
        <v>4.068072289</v>
      </c>
      <c r="G129" s="1">
        <v>83.0</v>
      </c>
      <c r="H129" s="1">
        <v>26.0</v>
      </c>
      <c r="I129" s="1">
        <v>33.0</v>
      </c>
      <c r="J129" s="1">
        <v>59.0</v>
      </c>
      <c r="K129" s="1">
        <v>171.0</v>
      </c>
      <c r="L129" s="1">
        <v>9.0</v>
      </c>
      <c r="M129" s="1">
        <v>12.0</v>
      </c>
      <c r="N129" s="1">
        <v>2.0</v>
      </c>
      <c r="O129" s="1">
        <v>0.0</v>
      </c>
      <c r="P129" s="1">
        <v>29.0</v>
      </c>
      <c r="Q129" s="1">
        <v>44.0</v>
      </c>
      <c r="V129" s="2">
        <f>VLOOKUP(B129,'202324'!B:C,2,FALSE)-A129</f>
        <v>-6</v>
      </c>
    </row>
    <row r="130">
      <c r="A130" s="1">
        <f t="shared" si="1"/>
        <v>128</v>
      </c>
      <c r="B130" s="1" t="s">
        <v>1188</v>
      </c>
      <c r="C130" s="1" t="s">
        <v>1082</v>
      </c>
      <c r="D130" s="1" t="s">
        <v>36</v>
      </c>
      <c r="E130" s="11">
        <f t="shared" si="2"/>
        <v>337.3</v>
      </c>
      <c r="F130" s="11">
        <f t="shared" si="3"/>
        <v>4.558108108</v>
      </c>
      <c r="G130" s="1">
        <v>74.0</v>
      </c>
      <c r="H130" s="1">
        <v>18.0</v>
      </c>
      <c r="I130" s="1">
        <v>17.0</v>
      </c>
      <c r="J130" s="1">
        <v>35.0</v>
      </c>
      <c r="K130" s="1">
        <v>169.0</v>
      </c>
      <c r="L130" s="1">
        <v>5.0</v>
      </c>
      <c r="M130" s="1">
        <v>5.0</v>
      </c>
      <c r="N130" s="1">
        <v>2.0</v>
      </c>
      <c r="O130" s="1">
        <v>0.0</v>
      </c>
      <c r="P130" s="1">
        <v>228.0</v>
      </c>
      <c r="Q130" s="1">
        <v>74.0</v>
      </c>
      <c r="V130" s="2">
        <f>VLOOKUP(B130,'202324'!B:C,2,FALSE)-A130</f>
        <v>17</v>
      </c>
    </row>
    <row r="131">
      <c r="A131" s="1">
        <f t="shared" si="1"/>
        <v>129</v>
      </c>
      <c r="B131" s="1" t="s">
        <v>1189</v>
      </c>
      <c r="C131" s="1" t="s">
        <v>1038</v>
      </c>
      <c r="D131" s="1" t="s">
        <v>31</v>
      </c>
      <c r="E131" s="11">
        <f t="shared" si="2"/>
        <v>336.25</v>
      </c>
      <c r="F131" s="11">
        <f t="shared" si="3"/>
        <v>4.310897436</v>
      </c>
      <c r="G131" s="1">
        <v>78.0</v>
      </c>
      <c r="H131" s="1">
        <v>21.0</v>
      </c>
      <c r="I131" s="1">
        <v>38.0</v>
      </c>
      <c r="J131" s="1">
        <v>59.0</v>
      </c>
      <c r="K131" s="1">
        <v>148.0</v>
      </c>
      <c r="L131" s="1">
        <v>6.0</v>
      </c>
      <c r="M131" s="1">
        <v>9.0</v>
      </c>
      <c r="N131" s="1">
        <v>0.0</v>
      </c>
      <c r="O131" s="1">
        <v>0.0</v>
      </c>
      <c r="P131" s="1">
        <v>105.0</v>
      </c>
      <c r="Q131" s="1">
        <v>34.0</v>
      </c>
      <c r="V131" s="2">
        <f>VLOOKUP(B131,'202324'!B:C,2,FALSE)-A131</f>
        <v>-2</v>
      </c>
    </row>
    <row r="132">
      <c r="A132" s="1">
        <f t="shared" si="1"/>
        <v>130</v>
      </c>
      <c r="B132" s="1" t="s">
        <v>1190</v>
      </c>
      <c r="C132" s="1" t="s">
        <v>1036</v>
      </c>
      <c r="D132" s="1" t="s">
        <v>66</v>
      </c>
      <c r="E132" s="11">
        <f t="shared" si="2"/>
        <v>336.1</v>
      </c>
      <c r="F132" s="11">
        <f t="shared" si="3"/>
        <v>4.25443038</v>
      </c>
      <c r="G132" s="1">
        <v>79.0</v>
      </c>
      <c r="H132" s="1">
        <v>11.0</v>
      </c>
      <c r="I132" s="1">
        <v>34.0</v>
      </c>
      <c r="J132" s="1">
        <v>45.0</v>
      </c>
      <c r="K132" s="1">
        <v>177.0</v>
      </c>
      <c r="L132" s="1">
        <v>2.0</v>
      </c>
      <c r="M132" s="1">
        <v>1.0</v>
      </c>
      <c r="N132" s="1">
        <v>1.0</v>
      </c>
      <c r="O132" s="1">
        <v>0.0</v>
      </c>
      <c r="P132" s="1">
        <v>136.0</v>
      </c>
      <c r="Q132" s="1">
        <v>93.0</v>
      </c>
      <c r="V132" s="2">
        <f>VLOOKUP(B132,'202324'!B:C,2,FALSE)-A132</f>
        <v>2</v>
      </c>
    </row>
    <row r="133">
      <c r="A133" s="1">
        <f t="shared" si="1"/>
        <v>131</v>
      </c>
      <c r="B133" s="1" t="s">
        <v>1191</v>
      </c>
      <c r="C133" s="1" t="s">
        <v>1091</v>
      </c>
      <c r="D133" s="1" t="s">
        <v>66</v>
      </c>
      <c r="E133" s="11">
        <f t="shared" si="2"/>
        <v>335.05</v>
      </c>
      <c r="F133" s="11">
        <f t="shared" si="3"/>
        <v>4.136419753</v>
      </c>
      <c r="G133" s="1">
        <v>81.0</v>
      </c>
      <c r="H133" s="1">
        <v>10.0</v>
      </c>
      <c r="I133" s="1">
        <v>34.0</v>
      </c>
      <c r="J133" s="1">
        <v>44.0</v>
      </c>
      <c r="K133" s="1">
        <v>146.0</v>
      </c>
      <c r="L133" s="1">
        <v>0.0</v>
      </c>
      <c r="M133" s="1">
        <v>5.0</v>
      </c>
      <c r="N133" s="1">
        <v>1.0</v>
      </c>
      <c r="O133" s="1">
        <v>3.0</v>
      </c>
      <c r="P133" s="1">
        <v>93.0</v>
      </c>
      <c r="Q133" s="1">
        <v>149.0</v>
      </c>
      <c r="V133" s="2">
        <f>VLOOKUP(B133,'202324'!B:C,2,FALSE)-A133</f>
        <v>-4</v>
      </c>
    </row>
    <row r="134">
      <c r="A134" s="1">
        <f t="shared" si="1"/>
        <v>132</v>
      </c>
      <c r="B134" s="1" t="s">
        <v>1192</v>
      </c>
      <c r="C134" s="1" t="s">
        <v>1146</v>
      </c>
      <c r="D134" s="1" t="s">
        <v>28</v>
      </c>
      <c r="E134" s="11">
        <f t="shared" si="2"/>
        <v>334.5</v>
      </c>
      <c r="F134" s="11">
        <f t="shared" si="3"/>
        <v>4.12962963</v>
      </c>
      <c r="G134" s="1">
        <v>81.0</v>
      </c>
      <c r="H134" s="1">
        <v>16.0</v>
      </c>
      <c r="I134" s="1">
        <v>25.0</v>
      </c>
      <c r="J134" s="1">
        <v>41.0</v>
      </c>
      <c r="K134" s="1">
        <v>153.0</v>
      </c>
      <c r="L134" s="1">
        <v>1.0</v>
      </c>
      <c r="M134" s="1">
        <v>9.0</v>
      </c>
      <c r="N134" s="1">
        <v>0.0</v>
      </c>
      <c r="O134" s="1">
        <v>0.0</v>
      </c>
      <c r="P134" s="1">
        <v>210.0</v>
      </c>
      <c r="Q134" s="1">
        <v>75.0</v>
      </c>
      <c r="V134" s="2">
        <f>VLOOKUP(B134,'202324'!B:C,2,FALSE)-A134</f>
        <v>16</v>
      </c>
    </row>
    <row r="135">
      <c r="A135" s="1">
        <f t="shared" si="1"/>
        <v>133</v>
      </c>
      <c r="B135" s="1" t="s">
        <v>1193</v>
      </c>
      <c r="C135" s="1" t="s">
        <v>1030</v>
      </c>
      <c r="D135" s="1" t="s">
        <v>66</v>
      </c>
      <c r="E135" s="11">
        <f t="shared" si="2"/>
        <v>332.05</v>
      </c>
      <c r="F135" s="11">
        <f t="shared" si="3"/>
        <v>4.049390244</v>
      </c>
      <c r="G135" s="1">
        <v>82.0</v>
      </c>
      <c r="H135" s="1">
        <v>12.0</v>
      </c>
      <c r="I135" s="1">
        <v>38.0</v>
      </c>
      <c r="J135" s="1">
        <v>50.0</v>
      </c>
      <c r="K135" s="1">
        <v>159.0</v>
      </c>
      <c r="L135" s="1">
        <v>0.0</v>
      </c>
      <c r="M135" s="1">
        <v>5.0</v>
      </c>
      <c r="N135" s="1">
        <v>0.0</v>
      </c>
      <c r="O135" s="1">
        <v>2.0</v>
      </c>
      <c r="P135" s="1">
        <v>73.0</v>
      </c>
      <c r="Q135" s="1">
        <v>110.0</v>
      </c>
      <c r="V135" s="2">
        <f>VLOOKUP(B135,'202324'!B:C,2,FALSE)-A135</f>
        <v>-3</v>
      </c>
    </row>
    <row r="136">
      <c r="A136" s="1">
        <f t="shared" si="1"/>
        <v>134</v>
      </c>
      <c r="B136" s="1" t="s">
        <v>1194</v>
      </c>
      <c r="C136" s="1" t="s">
        <v>1073</v>
      </c>
      <c r="D136" s="1" t="s">
        <v>66</v>
      </c>
      <c r="E136" s="11">
        <f t="shared" si="2"/>
        <v>330.15</v>
      </c>
      <c r="F136" s="11">
        <f t="shared" si="3"/>
        <v>4.126875</v>
      </c>
      <c r="G136" s="1">
        <v>80.0</v>
      </c>
      <c r="H136" s="1">
        <v>13.0</v>
      </c>
      <c r="I136" s="1">
        <v>34.0</v>
      </c>
      <c r="J136" s="1">
        <v>47.0</v>
      </c>
      <c r="K136" s="1">
        <v>185.0</v>
      </c>
      <c r="L136" s="1">
        <v>1.0</v>
      </c>
      <c r="M136" s="1">
        <v>11.0</v>
      </c>
      <c r="N136" s="1">
        <v>1.0</v>
      </c>
      <c r="O136" s="1">
        <v>3.0</v>
      </c>
      <c r="P136" s="1">
        <v>69.0</v>
      </c>
      <c r="Q136" s="1">
        <v>90.0</v>
      </c>
      <c r="V136" s="2">
        <f>VLOOKUP(B136,'202324'!B:C,2,FALSE)-A136</f>
        <v>-3</v>
      </c>
    </row>
    <row r="137">
      <c r="A137" s="1">
        <f t="shared" si="1"/>
        <v>135</v>
      </c>
      <c r="B137" s="1" t="s">
        <v>1195</v>
      </c>
      <c r="C137" s="1" t="s">
        <v>1080</v>
      </c>
      <c r="D137" s="1" t="s">
        <v>66</v>
      </c>
      <c r="E137" s="11">
        <f t="shared" si="2"/>
        <v>328.7</v>
      </c>
      <c r="F137" s="11">
        <f t="shared" si="3"/>
        <v>4.10875</v>
      </c>
      <c r="G137" s="1">
        <v>80.0</v>
      </c>
      <c r="H137" s="1">
        <v>13.0</v>
      </c>
      <c r="I137" s="1">
        <v>34.0</v>
      </c>
      <c r="J137" s="1">
        <v>47.0</v>
      </c>
      <c r="K137" s="1">
        <v>164.0</v>
      </c>
      <c r="L137" s="1">
        <v>5.0</v>
      </c>
      <c r="M137" s="1">
        <v>8.0</v>
      </c>
      <c r="N137" s="1">
        <v>0.0</v>
      </c>
      <c r="O137" s="1">
        <v>2.0</v>
      </c>
      <c r="P137" s="1">
        <v>62.0</v>
      </c>
      <c r="Q137" s="1">
        <v>121.0</v>
      </c>
      <c r="V137" s="2">
        <f>VLOOKUP(B137,'202324'!B:C,2,FALSE)-A137</f>
        <v>-3</v>
      </c>
    </row>
    <row r="138">
      <c r="A138" s="1">
        <f t="shared" si="1"/>
        <v>136</v>
      </c>
      <c r="B138" s="1" t="s">
        <v>1196</v>
      </c>
      <c r="C138" s="1" t="s">
        <v>1085</v>
      </c>
      <c r="D138" s="1" t="s">
        <v>66</v>
      </c>
      <c r="E138" s="11">
        <f t="shared" si="2"/>
        <v>328.45</v>
      </c>
      <c r="F138" s="11">
        <f t="shared" si="3"/>
        <v>4.157594937</v>
      </c>
      <c r="G138" s="1">
        <v>79.0</v>
      </c>
      <c r="H138" s="1">
        <v>15.0</v>
      </c>
      <c r="I138" s="1">
        <v>32.0</v>
      </c>
      <c r="J138" s="1">
        <v>47.0</v>
      </c>
      <c r="K138" s="1">
        <v>144.0</v>
      </c>
      <c r="L138" s="1">
        <v>1.0</v>
      </c>
      <c r="M138" s="1">
        <v>8.0</v>
      </c>
      <c r="N138" s="1">
        <v>1.0</v>
      </c>
      <c r="O138" s="1">
        <v>0.0</v>
      </c>
      <c r="P138" s="1">
        <v>67.0</v>
      </c>
      <c r="Q138" s="1">
        <v>135.0</v>
      </c>
      <c r="V138" s="2">
        <f>VLOOKUP(B138,'202324'!B:C,2,FALSE)-A138</f>
        <v>-1</v>
      </c>
    </row>
    <row r="139">
      <c r="A139" s="1">
        <f t="shared" si="1"/>
        <v>137</v>
      </c>
      <c r="B139" s="1" t="s">
        <v>1197</v>
      </c>
      <c r="C139" s="1" t="s">
        <v>1054</v>
      </c>
      <c r="D139" s="1" t="s">
        <v>36</v>
      </c>
      <c r="E139" s="11">
        <f t="shared" si="2"/>
        <v>327.6</v>
      </c>
      <c r="F139" s="11">
        <f t="shared" si="3"/>
        <v>4.747826087</v>
      </c>
      <c r="G139" s="1">
        <v>69.0</v>
      </c>
      <c r="H139" s="1">
        <v>12.0</v>
      </c>
      <c r="I139" s="1">
        <v>51.0</v>
      </c>
      <c r="J139" s="1">
        <v>63.0</v>
      </c>
      <c r="K139" s="1">
        <v>173.0</v>
      </c>
      <c r="L139" s="1">
        <v>5.0</v>
      </c>
      <c r="M139" s="1">
        <v>28.0</v>
      </c>
      <c r="N139" s="1">
        <v>0.0</v>
      </c>
      <c r="O139" s="1">
        <v>0.0</v>
      </c>
      <c r="P139" s="1">
        <v>26.0</v>
      </c>
      <c r="Q139" s="1">
        <v>50.0</v>
      </c>
      <c r="V139" s="2">
        <f>VLOOKUP(B139,'202324'!B:C,2,FALSE)-A139</f>
        <v>-8</v>
      </c>
    </row>
    <row r="140">
      <c r="A140" s="1">
        <f t="shared" si="1"/>
        <v>138</v>
      </c>
      <c r="B140" s="1" t="s">
        <v>1198</v>
      </c>
      <c r="C140" s="1" t="s">
        <v>1087</v>
      </c>
      <c r="D140" s="1" t="s">
        <v>5</v>
      </c>
      <c r="E140" s="11">
        <f t="shared" si="2"/>
        <v>327</v>
      </c>
      <c r="F140" s="11">
        <f t="shared" si="3"/>
        <v>5.839285714</v>
      </c>
      <c r="G140" s="1">
        <v>56.0</v>
      </c>
      <c r="R140" s="1">
        <v>25.0</v>
      </c>
      <c r="S140" s="1">
        <v>167.0</v>
      </c>
      <c r="T140" s="12">
        <v>1655.0</v>
      </c>
      <c r="U140" s="1">
        <v>2.0</v>
      </c>
      <c r="V140" s="2">
        <f>VLOOKUP(B140,'202324'!B:C,2,FALSE)-A140</f>
        <v>-12</v>
      </c>
    </row>
    <row r="141">
      <c r="A141" s="1">
        <f t="shared" si="1"/>
        <v>139</v>
      </c>
      <c r="B141" s="1" t="s">
        <v>1199</v>
      </c>
      <c r="C141" s="1" t="s">
        <v>1048</v>
      </c>
      <c r="D141" s="1" t="s">
        <v>36</v>
      </c>
      <c r="E141" s="11">
        <f t="shared" si="2"/>
        <v>326.25</v>
      </c>
      <c r="F141" s="11">
        <f t="shared" si="3"/>
        <v>4.292763158</v>
      </c>
      <c r="G141" s="1">
        <v>76.0</v>
      </c>
      <c r="H141" s="1">
        <v>23.0</v>
      </c>
      <c r="I141" s="1">
        <v>32.0</v>
      </c>
      <c r="J141" s="1">
        <v>55.0</v>
      </c>
      <c r="K141" s="1">
        <v>155.0</v>
      </c>
      <c r="L141" s="1">
        <v>3.0</v>
      </c>
      <c r="M141" s="1">
        <v>6.0</v>
      </c>
      <c r="N141" s="1">
        <v>0.0</v>
      </c>
      <c r="O141" s="1">
        <v>0.0</v>
      </c>
      <c r="P141" s="1">
        <v>85.0</v>
      </c>
      <c r="Q141" s="1">
        <v>39.0</v>
      </c>
      <c r="V141" s="2">
        <f>VLOOKUP(B141,'202324'!B:C,2,FALSE)-A141</f>
        <v>2</v>
      </c>
    </row>
    <row r="142">
      <c r="A142" s="1">
        <f t="shared" si="1"/>
        <v>140</v>
      </c>
      <c r="B142" s="1" t="s">
        <v>1200</v>
      </c>
      <c r="C142" s="1" t="s">
        <v>1067</v>
      </c>
      <c r="D142" s="1" t="s">
        <v>31</v>
      </c>
      <c r="E142" s="11">
        <f t="shared" si="2"/>
        <v>324.95</v>
      </c>
      <c r="F142" s="11">
        <f t="shared" si="3"/>
        <v>4.113291139</v>
      </c>
      <c r="G142" s="1">
        <v>79.0</v>
      </c>
      <c r="H142" s="1">
        <v>18.0</v>
      </c>
      <c r="I142" s="1">
        <v>29.0</v>
      </c>
      <c r="J142" s="1">
        <v>47.0</v>
      </c>
      <c r="K142" s="1">
        <v>200.0</v>
      </c>
      <c r="L142" s="1">
        <v>2.0</v>
      </c>
      <c r="M142" s="1">
        <v>8.0</v>
      </c>
      <c r="N142" s="1">
        <v>3.0</v>
      </c>
      <c r="O142" s="1">
        <v>0.0</v>
      </c>
      <c r="P142" s="1">
        <v>107.0</v>
      </c>
      <c r="Q142" s="1">
        <v>27.0</v>
      </c>
      <c r="V142" s="2">
        <f>VLOOKUP(B142,'202324'!B:C,2,FALSE)-A142</f>
        <v>7</v>
      </c>
    </row>
    <row r="143">
      <c r="A143" s="1">
        <f t="shared" si="1"/>
        <v>141</v>
      </c>
      <c r="B143" s="1" t="s">
        <v>1201</v>
      </c>
      <c r="C143" s="1" t="s">
        <v>1085</v>
      </c>
      <c r="D143" s="1" t="s">
        <v>66</v>
      </c>
      <c r="E143" s="11">
        <f t="shared" si="2"/>
        <v>324.25</v>
      </c>
      <c r="F143" s="11">
        <f t="shared" si="3"/>
        <v>4.566901408</v>
      </c>
      <c r="G143" s="1">
        <v>71.0</v>
      </c>
      <c r="H143" s="1">
        <v>9.0</v>
      </c>
      <c r="I143" s="1">
        <v>45.0</v>
      </c>
      <c r="J143" s="1">
        <v>54.0</v>
      </c>
      <c r="K143" s="1">
        <v>162.0</v>
      </c>
      <c r="L143" s="1">
        <v>2.0</v>
      </c>
      <c r="M143" s="1">
        <v>19.0</v>
      </c>
      <c r="N143" s="1">
        <v>0.0</v>
      </c>
      <c r="O143" s="1">
        <v>0.0</v>
      </c>
      <c r="P143" s="1">
        <v>55.0</v>
      </c>
      <c r="Q143" s="1">
        <v>97.0</v>
      </c>
      <c r="V143" s="2">
        <f>VLOOKUP(B143,'202324'!B:C,2,FALSE)-A143</f>
        <v>-1</v>
      </c>
    </row>
    <row r="144">
      <c r="A144" s="1">
        <f t="shared" si="1"/>
        <v>142</v>
      </c>
      <c r="B144" s="1" t="s">
        <v>1202</v>
      </c>
      <c r="C144" s="1" t="s">
        <v>1067</v>
      </c>
      <c r="D144" s="1" t="s">
        <v>36</v>
      </c>
      <c r="E144" s="11">
        <f t="shared" si="2"/>
        <v>323.45</v>
      </c>
      <c r="F144" s="11">
        <f t="shared" si="3"/>
        <v>3.944512195</v>
      </c>
      <c r="G144" s="1">
        <v>82.0</v>
      </c>
      <c r="H144" s="1">
        <v>28.0</v>
      </c>
      <c r="I144" s="1">
        <v>22.0</v>
      </c>
      <c r="J144" s="1">
        <v>50.0</v>
      </c>
      <c r="K144" s="1">
        <v>226.0</v>
      </c>
      <c r="L144" s="1">
        <v>3.0</v>
      </c>
      <c r="M144" s="1">
        <v>4.0</v>
      </c>
      <c r="N144" s="1">
        <v>0.0</v>
      </c>
      <c r="O144" s="1">
        <v>0.0</v>
      </c>
      <c r="P144" s="1">
        <v>27.0</v>
      </c>
      <c r="Q144" s="1">
        <v>18.0</v>
      </c>
      <c r="V144" s="2">
        <f>VLOOKUP(B144,'202324'!B:C,2,FALSE)-A144</f>
        <v>-4</v>
      </c>
    </row>
    <row r="145">
      <c r="A145" s="1">
        <f t="shared" si="1"/>
        <v>143</v>
      </c>
      <c r="B145" s="1" t="s">
        <v>1203</v>
      </c>
      <c r="C145" s="1" t="s">
        <v>1111</v>
      </c>
      <c r="D145" s="1" t="s">
        <v>36</v>
      </c>
      <c r="E145" s="11">
        <f t="shared" si="2"/>
        <v>323.1</v>
      </c>
      <c r="F145" s="11">
        <f t="shared" si="3"/>
        <v>4.089873418</v>
      </c>
      <c r="G145" s="1">
        <v>79.0</v>
      </c>
      <c r="H145" s="1">
        <v>22.0</v>
      </c>
      <c r="I145" s="1">
        <v>39.0</v>
      </c>
      <c r="J145" s="1">
        <v>61.0</v>
      </c>
      <c r="K145" s="1">
        <v>158.0</v>
      </c>
      <c r="L145" s="1">
        <v>10.0</v>
      </c>
      <c r="M145" s="1">
        <v>11.0</v>
      </c>
      <c r="N145" s="1">
        <v>1.0</v>
      </c>
      <c r="O145" s="1">
        <v>0.0</v>
      </c>
      <c r="P145" s="1">
        <v>16.0</v>
      </c>
      <c r="Q145" s="1">
        <v>41.0</v>
      </c>
      <c r="V145" s="2">
        <f>VLOOKUP(B145,'202324'!B:C,2,FALSE)-A145</f>
        <v>-6</v>
      </c>
    </row>
    <row r="146">
      <c r="A146" s="1">
        <f t="shared" si="1"/>
        <v>144</v>
      </c>
      <c r="B146" s="1" t="s">
        <v>1204</v>
      </c>
      <c r="C146" s="1" t="s">
        <v>1106</v>
      </c>
      <c r="D146" s="1" t="s">
        <v>66</v>
      </c>
      <c r="E146" s="11">
        <f t="shared" si="2"/>
        <v>322.55</v>
      </c>
      <c r="F146" s="11">
        <f t="shared" si="3"/>
        <v>3.933536585</v>
      </c>
      <c r="G146" s="1">
        <v>82.0</v>
      </c>
      <c r="H146" s="1">
        <v>10.0</v>
      </c>
      <c r="I146" s="1">
        <v>16.0</v>
      </c>
      <c r="J146" s="1">
        <v>26.0</v>
      </c>
      <c r="K146" s="1">
        <v>154.0</v>
      </c>
      <c r="L146" s="1">
        <v>0.0</v>
      </c>
      <c r="M146" s="1">
        <v>1.0</v>
      </c>
      <c r="N146" s="1">
        <v>1.0</v>
      </c>
      <c r="O146" s="1">
        <v>1.0</v>
      </c>
      <c r="P146" s="1">
        <v>113.0</v>
      </c>
      <c r="Q146" s="1">
        <v>218.0</v>
      </c>
      <c r="V146" s="2">
        <f>VLOOKUP(B146,'202324'!B:C,2,FALSE)-A146</f>
        <v>6</v>
      </c>
    </row>
    <row r="147">
      <c r="A147" s="1">
        <f t="shared" si="1"/>
        <v>145</v>
      </c>
      <c r="B147" s="1" t="s">
        <v>1205</v>
      </c>
      <c r="C147" s="1" t="s">
        <v>1091</v>
      </c>
      <c r="D147" s="1" t="s">
        <v>28</v>
      </c>
      <c r="E147" s="11">
        <f t="shared" si="2"/>
        <v>322.45</v>
      </c>
      <c r="F147" s="11">
        <f t="shared" si="3"/>
        <v>3.932317073</v>
      </c>
      <c r="G147" s="1">
        <v>82.0</v>
      </c>
      <c r="H147" s="1">
        <v>22.0</v>
      </c>
      <c r="I147" s="1">
        <v>28.0</v>
      </c>
      <c r="J147" s="1">
        <v>50.0</v>
      </c>
      <c r="K147" s="1">
        <v>182.0</v>
      </c>
      <c r="L147" s="1">
        <v>2.0</v>
      </c>
      <c r="M147" s="1">
        <v>5.0</v>
      </c>
      <c r="N147" s="1">
        <v>0.0</v>
      </c>
      <c r="O147" s="1">
        <v>0.0</v>
      </c>
      <c r="P147" s="1">
        <v>67.0</v>
      </c>
      <c r="Q147" s="1">
        <v>50.0</v>
      </c>
      <c r="V147" s="2">
        <f>VLOOKUP(B147,'202324'!B:C,2,FALSE)-A147</f>
        <v>-3</v>
      </c>
    </row>
    <row r="148">
      <c r="A148" s="1">
        <f t="shared" si="1"/>
        <v>146</v>
      </c>
      <c r="B148" s="1" t="s">
        <v>1206</v>
      </c>
      <c r="C148" s="1" t="s">
        <v>1087</v>
      </c>
      <c r="D148" s="1" t="s">
        <v>31</v>
      </c>
      <c r="E148" s="11">
        <f t="shared" si="2"/>
        <v>322.1</v>
      </c>
      <c r="F148" s="11">
        <f t="shared" si="3"/>
        <v>3.97654321</v>
      </c>
      <c r="G148" s="1">
        <v>81.0</v>
      </c>
      <c r="H148" s="1">
        <v>20.0</v>
      </c>
      <c r="I148" s="1">
        <v>17.0</v>
      </c>
      <c r="J148" s="1">
        <v>37.0</v>
      </c>
      <c r="K148" s="1">
        <v>185.0</v>
      </c>
      <c r="L148" s="1">
        <v>5.0</v>
      </c>
      <c r="M148" s="1">
        <v>0.0</v>
      </c>
      <c r="N148" s="1">
        <v>0.0</v>
      </c>
      <c r="O148" s="1">
        <v>0.0</v>
      </c>
      <c r="P148" s="1">
        <v>176.0</v>
      </c>
      <c r="Q148" s="1">
        <v>54.0</v>
      </c>
      <c r="V148" s="2">
        <f>VLOOKUP(B148,'202324'!B:C,2,FALSE)-A148</f>
        <v>9</v>
      </c>
    </row>
    <row r="149">
      <c r="A149" s="1">
        <f t="shared" si="1"/>
        <v>147</v>
      </c>
      <c r="B149" s="1" t="s">
        <v>1207</v>
      </c>
      <c r="C149" s="1" t="s">
        <v>1030</v>
      </c>
      <c r="D149" s="1" t="s">
        <v>28</v>
      </c>
      <c r="E149" s="11">
        <f t="shared" si="2"/>
        <v>321.9</v>
      </c>
      <c r="F149" s="11">
        <f t="shared" si="3"/>
        <v>5.961111111</v>
      </c>
      <c r="G149" s="1">
        <v>54.0</v>
      </c>
      <c r="H149" s="1">
        <v>28.0</v>
      </c>
      <c r="I149" s="1">
        <v>25.0</v>
      </c>
      <c r="J149" s="1">
        <v>53.0</v>
      </c>
      <c r="K149" s="1">
        <v>158.0</v>
      </c>
      <c r="L149" s="1">
        <v>16.0</v>
      </c>
      <c r="M149" s="1">
        <v>5.0</v>
      </c>
      <c r="N149" s="1">
        <v>0.0</v>
      </c>
      <c r="O149" s="1">
        <v>2.0</v>
      </c>
      <c r="P149" s="1">
        <v>74.0</v>
      </c>
      <c r="Q149" s="1">
        <v>24.0</v>
      </c>
      <c r="V149" s="2">
        <f>VLOOKUP(B149,'202324'!B:C,2,FALSE)-A149</f>
        <v>-2</v>
      </c>
    </row>
    <row r="150">
      <c r="A150" s="1">
        <f t="shared" si="1"/>
        <v>148</v>
      </c>
      <c r="B150" s="1" t="s">
        <v>1208</v>
      </c>
      <c r="C150" s="1" t="s">
        <v>1030</v>
      </c>
      <c r="D150" s="1" t="s">
        <v>5</v>
      </c>
      <c r="E150" s="11">
        <f t="shared" si="2"/>
        <v>321.6</v>
      </c>
      <c r="F150" s="11">
        <f t="shared" si="3"/>
        <v>5.104761905</v>
      </c>
      <c r="G150" s="1">
        <v>63.0</v>
      </c>
      <c r="R150" s="1">
        <v>38.0</v>
      </c>
      <c r="S150" s="1">
        <v>183.0</v>
      </c>
      <c r="T150" s="12">
        <v>1587.0</v>
      </c>
      <c r="U150" s="1">
        <v>2.0</v>
      </c>
      <c r="V150" s="2">
        <f>VLOOKUP(B150,'202324'!B:C,2,FALSE)-A150</f>
        <v>-12</v>
      </c>
    </row>
    <row r="151">
      <c r="A151" s="1">
        <f t="shared" si="1"/>
        <v>149</v>
      </c>
      <c r="B151" s="1" t="s">
        <v>1209</v>
      </c>
      <c r="C151" s="1" t="s">
        <v>1085</v>
      </c>
      <c r="D151" s="1" t="s">
        <v>28</v>
      </c>
      <c r="E151" s="11">
        <f t="shared" si="2"/>
        <v>321.45</v>
      </c>
      <c r="F151" s="11">
        <f t="shared" si="3"/>
        <v>3.968518519</v>
      </c>
      <c r="G151" s="1">
        <v>81.0</v>
      </c>
      <c r="H151" s="1">
        <v>22.0</v>
      </c>
      <c r="I151" s="1">
        <v>31.0</v>
      </c>
      <c r="J151" s="1">
        <v>53.0</v>
      </c>
      <c r="K151" s="1">
        <v>150.0</v>
      </c>
      <c r="L151" s="1">
        <v>6.0</v>
      </c>
      <c r="M151" s="1">
        <v>5.0</v>
      </c>
      <c r="N151" s="1">
        <v>0.0</v>
      </c>
      <c r="O151" s="1">
        <v>0.0</v>
      </c>
      <c r="P151" s="1">
        <v>107.0</v>
      </c>
      <c r="Q151" s="1">
        <v>34.0</v>
      </c>
      <c r="V151" s="2">
        <f>VLOOKUP(B151,'202324'!B:C,2,FALSE)-A151</f>
        <v>2</v>
      </c>
    </row>
    <row r="152">
      <c r="A152" s="1">
        <f t="shared" si="1"/>
        <v>150</v>
      </c>
      <c r="B152" s="1" t="s">
        <v>1210</v>
      </c>
      <c r="C152" s="1" t="s">
        <v>1048</v>
      </c>
      <c r="D152" s="1" t="s">
        <v>28</v>
      </c>
      <c r="E152" s="11">
        <f t="shared" si="2"/>
        <v>319.5</v>
      </c>
      <c r="F152" s="11">
        <f t="shared" si="3"/>
        <v>4.630434783</v>
      </c>
      <c r="G152" s="1">
        <v>69.0</v>
      </c>
      <c r="H152" s="1">
        <v>20.0</v>
      </c>
      <c r="I152" s="1">
        <v>21.0</v>
      </c>
      <c r="J152" s="1">
        <v>41.0</v>
      </c>
      <c r="K152" s="1">
        <v>171.0</v>
      </c>
      <c r="L152" s="1">
        <v>5.0</v>
      </c>
      <c r="M152" s="1">
        <v>7.0</v>
      </c>
      <c r="N152" s="1">
        <v>0.0</v>
      </c>
      <c r="O152" s="1">
        <v>0.0</v>
      </c>
      <c r="P152" s="1">
        <v>170.0</v>
      </c>
      <c r="Q152" s="1">
        <v>43.0</v>
      </c>
      <c r="V152" s="2">
        <f>VLOOKUP(B152,'202324'!B:C,2,FALSE)-A152</f>
        <v>10</v>
      </c>
    </row>
    <row r="153">
      <c r="A153" s="1">
        <f t="shared" si="1"/>
        <v>151</v>
      </c>
      <c r="B153" s="1" t="s">
        <v>1211</v>
      </c>
      <c r="C153" s="1" t="s">
        <v>1069</v>
      </c>
      <c r="D153" s="1" t="s">
        <v>66</v>
      </c>
      <c r="E153" s="11">
        <f t="shared" si="2"/>
        <v>319.35</v>
      </c>
      <c r="F153" s="11">
        <f t="shared" si="3"/>
        <v>4.094230769</v>
      </c>
      <c r="G153" s="1">
        <v>78.0</v>
      </c>
      <c r="H153" s="1">
        <v>9.0</v>
      </c>
      <c r="I153" s="1">
        <v>30.0</v>
      </c>
      <c r="J153" s="1">
        <v>39.0</v>
      </c>
      <c r="K153" s="1">
        <v>159.0</v>
      </c>
      <c r="L153" s="1">
        <v>0.0</v>
      </c>
      <c r="M153" s="1">
        <v>8.0</v>
      </c>
      <c r="N153" s="1">
        <v>1.0</v>
      </c>
      <c r="O153" s="1">
        <v>0.0</v>
      </c>
      <c r="P153" s="1">
        <v>41.0</v>
      </c>
      <c r="Q153" s="1">
        <v>186.0</v>
      </c>
      <c r="V153" s="2">
        <f>VLOOKUP(B153,'202324'!B:C,2,FALSE)-A153</f>
        <v>-7</v>
      </c>
    </row>
    <row r="154">
      <c r="A154" s="1">
        <f t="shared" si="1"/>
        <v>152</v>
      </c>
      <c r="B154" s="1" t="s">
        <v>1212</v>
      </c>
      <c r="C154" s="1" t="s">
        <v>1054</v>
      </c>
      <c r="D154" s="1" t="s">
        <v>66</v>
      </c>
      <c r="E154" s="11">
        <f t="shared" si="2"/>
        <v>318.75</v>
      </c>
      <c r="F154" s="11">
        <f t="shared" si="3"/>
        <v>3.887195122</v>
      </c>
      <c r="G154" s="1">
        <v>82.0</v>
      </c>
      <c r="H154" s="1">
        <v>8.0</v>
      </c>
      <c r="I154" s="1">
        <v>39.0</v>
      </c>
      <c r="J154" s="1">
        <v>47.0</v>
      </c>
      <c r="K154" s="1">
        <v>136.0</v>
      </c>
      <c r="L154" s="1">
        <v>3.0</v>
      </c>
      <c r="M154" s="1">
        <v>13.0</v>
      </c>
      <c r="N154" s="1">
        <v>0.0</v>
      </c>
      <c r="O154" s="1">
        <v>0.0</v>
      </c>
      <c r="P154" s="1">
        <v>65.0</v>
      </c>
      <c r="Q154" s="1">
        <v>150.0</v>
      </c>
      <c r="V154" s="2">
        <f>VLOOKUP(B154,'202324'!B:C,2,FALSE)-A154</f>
        <v>-3</v>
      </c>
    </row>
    <row r="155">
      <c r="A155" s="1">
        <f t="shared" si="1"/>
        <v>153</v>
      </c>
      <c r="B155" s="1" t="s">
        <v>1213</v>
      </c>
      <c r="C155" s="1" t="s">
        <v>1091</v>
      </c>
      <c r="D155" s="1" t="s">
        <v>31</v>
      </c>
      <c r="E155" s="11">
        <f t="shared" si="2"/>
        <v>318.25</v>
      </c>
      <c r="F155" s="11">
        <f t="shared" si="3"/>
        <v>3.881097561</v>
      </c>
      <c r="G155" s="1">
        <v>82.0</v>
      </c>
      <c r="H155" s="1">
        <v>13.0</v>
      </c>
      <c r="I155" s="1">
        <v>26.0</v>
      </c>
      <c r="J155" s="1">
        <v>39.0</v>
      </c>
      <c r="K155" s="1">
        <v>167.0</v>
      </c>
      <c r="L155" s="1">
        <v>1.0</v>
      </c>
      <c r="M155" s="1">
        <v>4.0</v>
      </c>
      <c r="N155" s="1">
        <v>2.0</v>
      </c>
      <c r="O155" s="1">
        <v>6.0</v>
      </c>
      <c r="P155" s="1">
        <v>155.0</v>
      </c>
      <c r="Q155" s="1">
        <v>56.0</v>
      </c>
      <c r="V155" s="2">
        <f>VLOOKUP(B155,'202324'!B:C,2,FALSE)-A155</f>
        <v>6</v>
      </c>
    </row>
    <row r="156">
      <c r="A156" s="1">
        <f t="shared" si="1"/>
        <v>154</v>
      </c>
      <c r="B156" s="1" t="s">
        <v>1214</v>
      </c>
      <c r="C156" s="1" t="s">
        <v>1111</v>
      </c>
      <c r="D156" s="1" t="s">
        <v>31</v>
      </c>
      <c r="E156" s="11">
        <f t="shared" si="2"/>
        <v>317.8</v>
      </c>
      <c r="F156" s="11">
        <f t="shared" si="3"/>
        <v>4.181578947</v>
      </c>
      <c r="G156" s="1">
        <v>76.0</v>
      </c>
      <c r="H156" s="1">
        <v>22.0</v>
      </c>
      <c r="I156" s="1">
        <v>23.0</v>
      </c>
      <c r="J156" s="1">
        <v>45.0</v>
      </c>
      <c r="K156" s="1">
        <v>165.0</v>
      </c>
      <c r="L156" s="1">
        <v>2.0</v>
      </c>
      <c r="M156" s="1">
        <v>4.0</v>
      </c>
      <c r="N156" s="1">
        <v>1.0</v>
      </c>
      <c r="O156" s="1">
        <v>0.0</v>
      </c>
      <c r="P156" s="1">
        <v>118.0</v>
      </c>
      <c r="Q156" s="1">
        <v>48.0</v>
      </c>
      <c r="V156" s="2">
        <f>VLOOKUP(B156,'202324'!B:C,2,FALSE)-A156</f>
        <v>-1</v>
      </c>
    </row>
    <row r="157">
      <c r="A157" s="1">
        <f t="shared" si="1"/>
        <v>155</v>
      </c>
      <c r="B157" s="1" t="s">
        <v>1215</v>
      </c>
      <c r="C157" s="1" t="s">
        <v>1073</v>
      </c>
      <c r="D157" s="1" t="s">
        <v>36</v>
      </c>
      <c r="E157" s="11">
        <f t="shared" si="2"/>
        <v>317.2</v>
      </c>
      <c r="F157" s="11">
        <f t="shared" si="3"/>
        <v>5.376271186</v>
      </c>
      <c r="G157" s="1">
        <v>59.0</v>
      </c>
      <c r="H157" s="1">
        <v>19.0</v>
      </c>
      <c r="I157" s="1">
        <v>33.0</v>
      </c>
      <c r="J157" s="1">
        <v>52.0</v>
      </c>
      <c r="K157" s="1">
        <v>144.0</v>
      </c>
      <c r="L157" s="1">
        <v>5.0</v>
      </c>
      <c r="M157" s="1">
        <v>12.0</v>
      </c>
      <c r="N157" s="1">
        <v>0.0</v>
      </c>
      <c r="O157" s="1">
        <v>0.0</v>
      </c>
      <c r="P157" s="1">
        <v>142.0</v>
      </c>
      <c r="Q157" s="1">
        <v>22.0</v>
      </c>
      <c r="V157" s="2">
        <f>VLOOKUP(B157,'202324'!B:C,2,FALSE)-A157</f>
        <v>2</v>
      </c>
    </row>
    <row r="158">
      <c r="A158" s="1">
        <f t="shared" si="1"/>
        <v>156</v>
      </c>
      <c r="B158" s="1" t="s">
        <v>1216</v>
      </c>
      <c r="C158" s="1" t="s">
        <v>1175</v>
      </c>
      <c r="D158" s="1" t="s">
        <v>31</v>
      </c>
      <c r="E158" s="11">
        <f t="shared" si="2"/>
        <v>316.2</v>
      </c>
      <c r="F158" s="11">
        <f t="shared" si="3"/>
        <v>4.582608696</v>
      </c>
      <c r="G158" s="1">
        <v>69.0</v>
      </c>
      <c r="H158" s="1">
        <v>12.0</v>
      </c>
      <c r="I158" s="1">
        <v>48.0</v>
      </c>
      <c r="J158" s="1">
        <v>60.0</v>
      </c>
      <c r="K158" s="1">
        <v>134.0</v>
      </c>
      <c r="L158" s="1">
        <v>1.0</v>
      </c>
      <c r="M158" s="1">
        <v>22.0</v>
      </c>
      <c r="N158" s="1">
        <v>0.0</v>
      </c>
      <c r="O158" s="1">
        <v>1.0</v>
      </c>
      <c r="P158" s="1">
        <v>62.0</v>
      </c>
      <c r="Q158" s="1">
        <v>55.0</v>
      </c>
      <c r="V158" s="2">
        <f>VLOOKUP(B158,'202324'!B:C,2,FALSE)-A158</f>
        <v>-4</v>
      </c>
    </row>
    <row r="159">
      <c r="A159" s="1">
        <f t="shared" si="1"/>
        <v>157</v>
      </c>
      <c r="B159" s="1" t="s">
        <v>1217</v>
      </c>
      <c r="C159" s="1" t="s">
        <v>1116</v>
      </c>
      <c r="D159" s="1" t="s">
        <v>66</v>
      </c>
      <c r="E159" s="11">
        <f t="shared" si="2"/>
        <v>315.5</v>
      </c>
      <c r="F159" s="11">
        <f t="shared" si="3"/>
        <v>3.847560976</v>
      </c>
      <c r="G159" s="1">
        <v>82.0</v>
      </c>
      <c r="H159" s="1">
        <v>5.0</v>
      </c>
      <c r="I159" s="1">
        <v>28.0</v>
      </c>
      <c r="J159" s="1">
        <v>33.0</v>
      </c>
      <c r="K159" s="1">
        <v>146.0</v>
      </c>
      <c r="L159" s="1">
        <v>1.0</v>
      </c>
      <c r="M159" s="1">
        <v>7.0</v>
      </c>
      <c r="N159" s="1">
        <v>0.0</v>
      </c>
      <c r="O159" s="1">
        <v>0.0</v>
      </c>
      <c r="P159" s="1">
        <v>220.0</v>
      </c>
      <c r="Q159" s="1">
        <v>118.0</v>
      </c>
      <c r="V159" s="2">
        <f>VLOOKUP(B159,'202324'!B:C,2,FALSE)-A159</f>
        <v>19</v>
      </c>
    </row>
    <row r="160">
      <c r="A160" s="1">
        <f t="shared" si="1"/>
        <v>158</v>
      </c>
      <c r="B160" s="1" t="s">
        <v>1218</v>
      </c>
      <c r="C160" s="1" t="s">
        <v>1036</v>
      </c>
      <c r="D160" s="1" t="s">
        <v>5</v>
      </c>
      <c r="E160" s="11">
        <f t="shared" si="2"/>
        <v>315.3</v>
      </c>
      <c r="F160" s="11">
        <f t="shared" si="3"/>
        <v>5.344067797</v>
      </c>
      <c r="G160" s="1">
        <v>59.0</v>
      </c>
      <c r="R160" s="1">
        <v>36.0</v>
      </c>
      <c r="S160" s="1">
        <v>147.0</v>
      </c>
      <c r="T160" s="12">
        <v>1406.0</v>
      </c>
      <c r="U160" s="1">
        <v>2.0</v>
      </c>
      <c r="V160" s="2">
        <f>VLOOKUP(B160,'202324'!B:C,2,FALSE)-A160</f>
        <v>-15</v>
      </c>
    </row>
    <row r="161">
      <c r="A161" s="1">
        <f t="shared" si="1"/>
        <v>159</v>
      </c>
      <c r="B161" s="1" t="s">
        <v>1219</v>
      </c>
      <c r="C161" s="1" t="s">
        <v>1054</v>
      </c>
      <c r="D161" s="1" t="s">
        <v>36</v>
      </c>
      <c r="E161" s="11">
        <f t="shared" si="2"/>
        <v>311.75</v>
      </c>
      <c r="F161" s="11">
        <f t="shared" si="3"/>
        <v>4.212837838</v>
      </c>
      <c r="G161" s="1">
        <v>74.0</v>
      </c>
      <c r="H161" s="1">
        <v>21.0</v>
      </c>
      <c r="I161" s="1">
        <v>24.0</v>
      </c>
      <c r="J161" s="1">
        <v>45.0</v>
      </c>
      <c r="K161" s="1">
        <v>173.0</v>
      </c>
      <c r="L161" s="1">
        <v>5.0</v>
      </c>
      <c r="M161" s="1">
        <v>5.0</v>
      </c>
      <c r="N161" s="1">
        <v>0.0</v>
      </c>
      <c r="O161" s="1">
        <v>0.0</v>
      </c>
      <c r="P161" s="1">
        <v>75.0</v>
      </c>
      <c r="Q161" s="1">
        <v>65.0</v>
      </c>
      <c r="V161" s="2">
        <f>VLOOKUP(B161,'202324'!B:C,2,FALSE)-A161</f>
        <v>-3</v>
      </c>
    </row>
    <row r="162">
      <c r="A162" s="1">
        <f t="shared" si="1"/>
        <v>160</v>
      </c>
      <c r="B162" s="1" t="s">
        <v>1220</v>
      </c>
      <c r="C162" s="1" t="s">
        <v>1080</v>
      </c>
      <c r="D162" s="1" t="s">
        <v>28</v>
      </c>
      <c r="E162" s="11">
        <f t="shared" si="2"/>
        <v>309.5</v>
      </c>
      <c r="F162" s="11">
        <f t="shared" si="3"/>
        <v>3.774390244</v>
      </c>
      <c r="G162" s="1">
        <v>82.0</v>
      </c>
      <c r="H162" s="1">
        <v>19.0</v>
      </c>
      <c r="I162" s="1">
        <v>26.0</v>
      </c>
      <c r="J162" s="1">
        <v>45.0</v>
      </c>
      <c r="K162" s="1">
        <v>122.0</v>
      </c>
      <c r="L162" s="1">
        <v>3.0</v>
      </c>
      <c r="M162" s="1">
        <v>2.0</v>
      </c>
      <c r="N162" s="1">
        <v>0.0</v>
      </c>
      <c r="O162" s="1">
        <v>0.0</v>
      </c>
      <c r="P162" s="1">
        <v>180.0</v>
      </c>
      <c r="Q162" s="1">
        <v>44.0</v>
      </c>
      <c r="V162" s="2">
        <f>VLOOKUP(B162,'202324'!B:C,2,FALSE)-A162</f>
        <v>20</v>
      </c>
    </row>
    <row r="163">
      <c r="A163" s="1">
        <f t="shared" si="1"/>
        <v>161</v>
      </c>
      <c r="B163" s="1" t="s">
        <v>1221</v>
      </c>
      <c r="C163" s="1" t="s">
        <v>1078</v>
      </c>
      <c r="D163" s="1" t="s">
        <v>31</v>
      </c>
      <c r="E163" s="11">
        <f t="shared" si="2"/>
        <v>308.1</v>
      </c>
      <c r="F163" s="11">
        <f t="shared" si="3"/>
        <v>3.85125</v>
      </c>
      <c r="G163" s="1">
        <v>80.0</v>
      </c>
      <c r="H163" s="1">
        <v>20.0</v>
      </c>
      <c r="I163" s="1">
        <v>35.0</v>
      </c>
      <c r="J163" s="1">
        <v>55.0</v>
      </c>
      <c r="K163" s="1">
        <v>161.0</v>
      </c>
      <c r="L163" s="1">
        <v>6.0</v>
      </c>
      <c r="M163" s="1">
        <v>8.0</v>
      </c>
      <c r="N163" s="1">
        <v>0.0</v>
      </c>
      <c r="O163" s="1">
        <v>0.0</v>
      </c>
      <c r="P163" s="1">
        <v>66.0</v>
      </c>
      <c r="Q163" s="1">
        <v>19.0</v>
      </c>
      <c r="V163" s="2">
        <f>VLOOKUP(B163,'202324'!B:C,2,FALSE)-A163</f>
        <v>0</v>
      </c>
    </row>
    <row r="164">
      <c r="A164" s="1">
        <f t="shared" si="1"/>
        <v>162</v>
      </c>
      <c r="B164" s="1" t="s">
        <v>1222</v>
      </c>
      <c r="C164" s="1" t="s">
        <v>1078</v>
      </c>
      <c r="D164" s="1" t="s">
        <v>31</v>
      </c>
      <c r="E164" s="11">
        <f t="shared" si="2"/>
        <v>308</v>
      </c>
      <c r="F164" s="11">
        <f t="shared" si="3"/>
        <v>3.948717949</v>
      </c>
      <c r="G164" s="1">
        <v>78.0</v>
      </c>
      <c r="H164" s="1">
        <v>17.0</v>
      </c>
      <c r="I164" s="1">
        <v>30.0</v>
      </c>
      <c r="J164" s="1">
        <v>47.0</v>
      </c>
      <c r="K164" s="1">
        <v>159.0</v>
      </c>
      <c r="L164" s="1">
        <v>3.0</v>
      </c>
      <c r="M164" s="1">
        <v>6.0</v>
      </c>
      <c r="N164" s="1">
        <v>0.0</v>
      </c>
      <c r="O164" s="1">
        <v>2.0</v>
      </c>
      <c r="P164" s="1">
        <v>80.0</v>
      </c>
      <c r="Q164" s="1">
        <v>60.0</v>
      </c>
      <c r="V164" s="2">
        <f>VLOOKUP(B164,'202324'!B:C,2,FALSE)-A164</f>
        <v>3</v>
      </c>
    </row>
    <row r="165">
      <c r="A165" s="1">
        <f t="shared" si="1"/>
        <v>163</v>
      </c>
      <c r="B165" s="1" t="s">
        <v>1223</v>
      </c>
      <c r="C165" s="1" t="s">
        <v>1046</v>
      </c>
      <c r="D165" s="1" t="s">
        <v>31</v>
      </c>
      <c r="E165" s="11">
        <f t="shared" si="2"/>
        <v>307.95</v>
      </c>
      <c r="F165" s="11">
        <f t="shared" si="3"/>
        <v>4.106</v>
      </c>
      <c r="G165" s="1">
        <v>75.0</v>
      </c>
      <c r="H165" s="1">
        <v>15.0</v>
      </c>
      <c r="I165" s="1">
        <v>29.0</v>
      </c>
      <c r="J165" s="1">
        <v>44.0</v>
      </c>
      <c r="K165" s="1">
        <v>173.0</v>
      </c>
      <c r="L165" s="1">
        <v>6.0</v>
      </c>
      <c r="M165" s="1">
        <v>6.0</v>
      </c>
      <c r="N165" s="1">
        <v>1.0</v>
      </c>
      <c r="O165" s="1">
        <v>2.0</v>
      </c>
      <c r="P165" s="1">
        <v>87.0</v>
      </c>
      <c r="Q165" s="1">
        <v>61.0</v>
      </c>
      <c r="V165" s="2">
        <f>VLOOKUP(B165,'202324'!B:C,2,FALSE)-A165</f>
        <v>4</v>
      </c>
    </row>
    <row r="166">
      <c r="A166" s="1">
        <f t="shared" si="1"/>
        <v>164</v>
      </c>
      <c r="B166" s="1" t="s">
        <v>1224</v>
      </c>
      <c r="C166" s="1" t="s">
        <v>1034</v>
      </c>
      <c r="D166" s="1" t="s">
        <v>28</v>
      </c>
      <c r="E166" s="11">
        <f t="shared" si="2"/>
        <v>307.9</v>
      </c>
      <c r="F166" s="11">
        <f t="shared" si="3"/>
        <v>3.754878049</v>
      </c>
      <c r="G166" s="1">
        <v>82.0</v>
      </c>
      <c r="H166" s="1">
        <v>24.0</v>
      </c>
      <c r="I166" s="1">
        <v>22.0</v>
      </c>
      <c r="J166" s="1">
        <v>46.0</v>
      </c>
      <c r="K166" s="1">
        <v>153.0</v>
      </c>
      <c r="L166" s="1">
        <v>9.0</v>
      </c>
      <c r="M166" s="1">
        <v>5.0</v>
      </c>
      <c r="N166" s="1">
        <v>0.0</v>
      </c>
      <c r="O166" s="1">
        <v>0.0</v>
      </c>
      <c r="P166" s="1">
        <v>104.0</v>
      </c>
      <c r="Q166" s="1">
        <v>42.0</v>
      </c>
      <c r="V166" s="2">
        <f>VLOOKUP(B166,'202324'!B:C,2,FALSE)-A166</f>
        <v>5</v>
      </c>
    </row>
    <row r="167">
      <c r="A167" s="1">
        <f t="shared" si="1"/>
        <v>165</v>
      </c>
      <c r="B167" s="1" t="s">
        <v>1225</v>
      </c>
      <c r="C167" s="1" t="s">
        <v>1085</v>
      </c>
      <c r="D167" s="1" t="s">
        <v>31</v>
      </c>
      <c r="E167" s="11">
        <f t="shared" si="2"/>
        <v>306.85</v>
      </c>
      <c r="F167" s="11">
        <f t="shared" si="3"/>
        <v>4.5125</v>
      </c>
      <c r="G167" s="1">
        <v>68.0</v>
      </c>
      <c r="H167" s="1">
        <v>25.0</v>
      </c>
      <c r="I167" s="1">
        <v>27.0</v>
      </c>
      <c r="J167" s="1">
        <v>52.0</v>
      </c>
      <c r="K167" s="1">
        <v>154.0</v>
      </c>
      <c r="L167" s="1">
        <v>3.0</v>
      </c>
      <c r="M167" s="1">
        <v>5.0</v>
      </c>
      <c r="N167" s="1">
        <v>0.0</v>
      </c>
      <c r="O167" s="1">
        <v>2.0</v>
      </c>
      <c r="P167" s="1">
        <v>61.0</v>
      </c>
      <c r="Q167" s="1">
        <v>22.0</v>
      </c>
      <c r="V167" s="2">
        <f>VLOOKUP(B167,'202324'!B:C,2,FALSE)-A167</f>
        <v>-2</v>
      </c>
    </row>
    <row r="168">
      <c r="A168" s="1">
        <f t="shared" si="1"/>
        <v>166</v>
      </c>
      <c r="B168" s="1" t="s">
        <v>1226</v>
      </c>
      <c r="C168" s="1" t="s">
        <v>1046</v>
      </c>
      <c r="D168" s="1" t="s">
        <v>36</v>
      </c>
      <c r="E168" s="11">
        <f t="shared" si="2"/>
        <v>306.55</v>
      </c>
      <c r="F168" s="11">
        <f t="shared" si="3"/>
        <v>3.738414634</v>
      </c>
      <c r="G168" s="1">
        <v>82.0</v>
      </c>
      <c r="H168" s="1">
        <v>20.0</v>
      </c>
      <c r="I168" s="1">
        <v>27.0</v>
      </c>
      <c r="J168" s="1">
        <v>47.0</v>
      </c>
      <c r="K168" s="1">
        <v>200.0</v>
      </c>
      <c r="L168" s="1">
        <v>1.0</v>
      </c>
      <c r="M168" s="1">
        <v>4.0</v>
      </c>
      <c r="N168" s="1">
        <v>0.0</v>
      </c>
      <c r="O168" s="1">
        <v>0.0</v>
      </c>
      <c r="P168" s="1">
        <v>53.0</v>
      </c>
      <c r="Q168" s="1">
        <v>34.0</v>
      </c>
      <c r="V168" s="2">
        <f>VLOOKUP(B168,'202324'!B:C,2,FALSE)-A168</f>
        <v>-4</v>
      </c>
    </row>
    <row r="169">
      <c r="A169" s="1">
        <f t="shared" si="1"/>
        <v>167</v>
      </c>
      <c r="B169" s="1" t="s">
        <v>1227</v>
      </c>
      <c r="C169" s="1" t="s">
        <v>1038</v>
      </c>
      <c r="D169" s="1" t="s">
        <v>31</v>
      </c>
      <c r="E169" s="11">
        <f t="shared" si="2"/>
        <v>305.9</v>
      </c>
      <c r="F169" s="11">
        <f t="shared" si="3"/>
        <v>3.730487805</v>
      </c>
      <c r="G169" s="1">
        <v>82.0</v>
      </c>
      <c r="H169" s="1">
        <v>18.0</v>
      </c>
      <c r="I169" s="1">
        <v>22.0</v>
      </c>
      <c r="J169" s="1">
        <v>40.0</v>
      </c>
      <c r="K169" s="1">
        <v>123.0</v>
      </c>
      <c r="L169" s="1">
        <v>2.0</v>
      </c>
      <c r="M169" s="1">
        <v>0.0</v>
      </c>
      <c r="N169" s="1">
        <v>0.0</v>
      </c>
      <c r="O169" s="1">
        <v>0.0</v>
      </c>
      <c r="P169" s="1">
        <v>204.0</v>
      </c>
      <c r="Q169" s="1">
        <v>52.0</v>
      </c>
      <c r="V169" s="2">
        <f>VLOOKUP(B169,'202324'!B:C,2,FALSE)-A169</f>
        <v>24</v>
      </c>
    </row>
    <row r="170">
      <c r="A170" s="1">
        <f t="shared" si="1"/>
        <v>168</v>
      </c>
      <c r="B170" s="1" t="s">
        <v>1228</v>
      </c>
      <c r="C170" s="1" t="s">
        <v>1078</v>
      </c>
      <c r="D170" s="1" t="s">
        <v>66</v>
      </c>
      <c r="E170" s="11">
        <f t="shared" si="2"/>
        <v>305.7</v>
      </c>
      <c r="F170" s="11">
        <f t="shared" si="3"/>
        <v>3.774074074</v>
      </c>
      <c r="G170" s="1">
        <v>81.0</v>
      </c>
      <c r="H170" s="1">
        <v>5.0</v>
      </c>
      <c r="I170" s="1">
        <v>20.0</v>
      </c>
      <c r="J170" s="1">
        <v>25.0</v>
      </c>
      <c r="K170" s="1">
        <v>135.0</v>
      </c>
      <c r="L170" s="1">
        <v>0.0</v>
      </c>
      <c r="M170" s="1">
        <v>1.0</v>
      </c>
      <c r="N170" s="1">
        <v>0.0</v>
      </c>
      <c r="O170" s="1">
        <v>2.0</v>
      </c>
      <c r="P170" s="1">
        <v>152.0</v>
      </c>
      <c r="Q170" s="1">
        <v>197.0</v>
      </c>
      <c r="V170" s="2">
        <f>VLOOKUP(B170,'202324'!B:C,2,FALSE)-A170</f>
        <v>14</v>
      </c>
    </row>
    <row r="171">
      <c r="A171" s="1">
        <f t="shared" si="1"/>
        <v>169</v>
      </c>
      <c r="B171" s="1" t="s">
        <v>1229</v>
      </c>
      <c r="C171" s="1" t="s">
        <v>1046</v>
      </c>
      <c r="D171" s="1" t="s">
        <v>66</v>
      </c>
      <c r="E171" s="11">
        <f t="shared" si="2"/>
        <v>305.4</v>
      </c>
      <c r="F171" s="11">
        <f t="shared" si="3"/>
        <v>3.77037037</v>
      </c>
      <c r="G171" s="1">
        <v>81.0</v>
      </c>
      <c r="H171" s="1">
        <v>5.0</v>
      </c>
      <c r="I171" s="1">
        <v>43.0</v>
      </c>
      <c r="J171" s="1">
        <v>48.0</v>
      </c>
      <c r="K171" s="1">
        <v>148.0</v>
      </c>
      <c r="L171" s="1">
        <v>2.0</v>
      </c>
      <c r="M171" s="1">
        <v>9.0</v>
      </c>
      <c r="N171" s="1">
        <v>0.0</v>
      </c>
      <c r="O171" s="1">
        <v>0.0</v>
      </c>
      <c r="P171" s="1">
        <v>104.0</v>
      </c>
      <c r="Q171" s="1">
        <v>87.0</v>
      </c>
      <c r="V171" s="2">
        <f>VLOOKUP(B171,'202324'!B:C,2,FALSE)-A171</f>
        <v>4</v>
      </c>
    </row>
    <row r="172">
      <c r="A172" s="1">
        <f t="shared" si="1"/>
        <v>170</v>
      </c>
      <c r="B172" s="1" t="s">
        <v>1230</v>
      </c>
      <c r="C172" s="1" t="s">
        <v>1052</v>
      </c>
      <c r="D172" s="1" t="s">
        <v>28</v>
      </c>
      <c r="E172" s="11">
        <f t="shared" si="2"/>
        <v>305.15</v>
      </c>
      <c r="F172" s="11">
        <f t="shared" si="3"/>
        <v>3.767283951</v>
      </c>
      <c r="G172" s="1">
        <v>81.0</v>
      </c>
      <c r="H172" s="1">
        <v>19.0</v>
      </c>
      <c r="I172" s="1">
        <v>36.0</v>
      </c>
      <c r="J172" s="1">
        <v>55.0</v>
      </c>
      <c r="K172" s="1">
        <v>168.0</v>
      </c>
      <c r="L172" s="1">
        <v>7.0</v>
      </c>
      <c r="M172" s="1">
        <v>14.0</v>
      </c>
      <c r="N172" s="1">
        <v>0.0</v>
      </c>
      <c r="O172" s="1">
        <v>0.0</v>
      </c>
      <c r="P172" s="1">
        <v>49.0</v>
      </c>
      <c r="Q172" s="1">
        <v>21.0</v>
      </c>
      <c r="V172" s="2">
        <f>VLOOKUP(B172,'202324'!B:C,2,FALSE)-A172</f>
        <v>-6</v>
      </c>
    </row>
    <row r="173">
      <c r="A173" s="1">
        <f t="shared" si="1"/>
        <v>171</v>
      </c>
      <c r="B173" s="1" t="s">
        <v>1231</v>
      </c>
      <c r="C173" s="1" t="s">
        <v>1085</v>
      </c>
      <c r="D173" s="1" t="s">
        <v>5</v>
      </c>
      <c r="E173" s="11">
        <f t="shared" si="2"/>
        <v>304.8</v>
      </c>
      <c r="F173" s="11">
        <f t="shared" si="3"/>
        <v>5.644444444</v>
      </c>
      <c r="G173" s="1">
        <v>54.0</v>
      </c>
      <c r="R173" s="1">
        <v>35.0</v>
      </c>
      <c r="S173" s="1">
        <v>140.0</v>
      </c>
      <c r="T173" s="12">
        <v>1336.0</v>
      </c>
      <c r="U173" s="1">
        <v>3.0</v>
      </c>
      <c r="V173" s="2">
        <f>VLOOKUP(B173,'202324'!B:C,2,FALSE)-A173</f>
        <v>-17</v>
      </c>
    </row>
    <row r="174">
      <c r="A174" s="1">
        <f t="shared" si="1"/>
        <v>172</v>
      </c>
      <c r="B174" s="1" t="s">
        <v>1232</v>
      </c>
      <c r="C174" s="1" t="s">
        <v>1038</v>
      </c>
      <c r="D174" s="1" t="s">
        <v>28</v>
      </c>
      <c r="E174" s="11">
        <f t="shared" si="2"/>
        <v>304.75</v>
      </c>
      <c r="F174" s="11">
        <f t="shared" si="3"/>
        <v>3.809375</v>
      </c>
      <c r="G174" s="1">
        <v>80.0</v>
      </c>
      <c r="H174" s="1">
        <v>19.0</v>
      </c>
      <c r="I174" s="1">
        <v>21.0</v>
      </c>
      <c r="J174" s="1">
        <v>40.0</v>
      </c>
      <c r="K174" s="1">
        <v>183.0</v>
      </c>
      <c r="L174" s="1">
        <v>2.0</v>
      </c>
      <c r="M174" s="1">
        <v>8.0</v>
      </c>
      <c r="N174" s="1">
        <v>2.0</v>
      </c>
      <c r="O174" s="1">
        <v>0.0</v>
      </c>
      <c r="P174" s="1">
        <v>105.0</v>
      </c>
      <c r="Q174" s="1">
        <v>48.0</v>
      </c>
      <c r="V174" s="2">
        <f>VLOOKUP(B174,'202324'!B:C,2,FALSE)-A174</f>
        <v>2</v>
      </c>
    </row>
    <row r="175">
      <c r="A175" s="1">
        <f t="shared" si="1"/>
        <v>173</v>
      </c>
      <c r="B175" s="1" t="s">
        <v>1233</v>
      </c>
      <c r="C175" s="1" t="s">
        <v>1036</v>
      </c>
      <c r="D175" s="1" t="s">
        <v>28</v>
      </c>
      <c r="E175" s="11">
        <f t="shared" si="2"/>
        <v>304.65</v>
      </c>
      <c r="F175" s="11">
        <f t="shared" si="3"/>
        <v>3.715243902</v>
      </c>
      <c r="G175" s="1">
        <v>82.0</v>
      </c>
      <c r="H175" s="1">
        <v>20.0</v>
      </c>
      <c r="I175" s="1">
        <v>21.0</v>
      </c>
      <c r="J175" s="1">
        <v>41.0</v>
      </c>
      <c r="K175" s="1">
        <v>201.0</v>
      </c>
      <c r="L175" s="1">
        <v>1.0</v>
      </c>
      <c r="M175" s="1">
        <v>0.0</v>
      </c>
      <c r="N175" s="1">
        <v>1.0</v>
      </c>
      <c r="O175" s="1">
        <v>1.0</v>
      </c>
      <c r="P175" s="1">
        <v>89.0</v>
      </c>
      <c r="Q175" s="1">
        <v>32.0</v>
      </c>
      <c r="V175" s="2">
        <f>VLOOKUP(B175,'202324'!B:C,2,FALSE)-A175</f>
        <v>-1</v>
      </c>
    </row>
    <row r="176">
      <c r="A176" s="1">
        <f t="shared" si="1"/>
        <v>174</v>
      </c>
      <c r="B176" s="1" t="s">
        <v>1234</v>
      </c>
      <c r="C176" s="1" t="s">
        <v>1078</v>
      </c>
      <c r="D176" s="1" t="s">
        <v>5</v>
      </c>
      <c r="E176" s="11">
        <f t="shared" si="2"/>
        <v>303</v>
      </c>
      <c r="F176" s="11">
        <f t="shared" si="3"/>
        <v>5.611111111</v>
      </c>
      <c r="G176" s="1">
        <v>54.0</v>
      </c>
      <c r="R176" s="1">
        <v>27.0</v>
      </c>
      <c r="S176" s="1">
        <v>130.0</v>
      </c>
      <c r="T176" s="12">
        <v>1360.0</v>
      </c>
      <c r="U176" s="1">
        <v>3.0</v>
      </c>
      <c r="V176" s="2">
        <f>VLOOKUP(B176,'202324'!B:C,2,FALSE)-A176</f>
        <v>-17</v>
      </c>
    </row>
    <row r="177">
      <c r="A177" s="1">
        <f t="shared" si="1"/>
        <v>175</v>
      </c>
      <c r="B177" s="1" t="s">
        <v>1235</v>
      </c>
      <c r="C177" s="1" t="s">
        <v>1111</v>
      </c>
      <c r="D177" s="1" t="s">
        <v>66</v>
      </c>
      <c r="E177" s="11">
        <f t="shared" si="2"/>
        <v>302.9</v>
      </c>
      <c r="F177" s="11">
        <f t="shared" si="3"/>
        <v>3.985526316</v>
      </c>
      <c r="G177" s="1">
        <v>76.0</v>
      </c>
      <c r="H177" s="1">
        <v>9.0</v>
      </c>
      <c r="I177" s="1">
        <v>32.0</v>
      </c>
      <c r="J177" s="1">
        <v>41.0</v>
      </c>
      <c r="K177" s="1">
        <v>142.0</v>
      </c>
      <c r="L177" s="1">
        <v>3.0</v>
      </c>
      <c r="M177" s="1">
        <v>13.0</v>
      </c>
      <c r="N177" s="1">
        <v>0.0</v>
      </c>
      <c r="O177" s="1">
        <v>0.0</v>
      </c>
      <c r="P177" s="1">
        <v>44.0</v>
      </c>
      <c r="Q177" s="1">
        <v>160.0</v>
      </c>
      <c r="V177" s="2">
        <f>VLOOKUP(B177,'202324'!B:C,2,FALSE)-A177</f>
        <v>-7</v>
      </c>
    </row>
    <row r="178">
      <c r="A178" s="1">
        <f t="shared" si="1"/>
        <v>176</v>
      </c>
      <c r="B178" s="1" t="s">
        <v>1236</v>
      </c>
      <c r="C178" s="1" t="s">
        <v>1048</v>
      </c>
      <c r="D178" s="1" t="s">
        <v>66</v>
      </c>
      <c r="E178" s="11">
        <f t="shared" si="2"/>
        <v>301.85</v>
      </c>
      <c r="F178" s="11">
        <f t="shared" si="3"/>
        <v>3.820886076</v>
      </c>
      <c r="G178" s="1">
        <v>79.0</v>
      </c>
      <c r="H178" s="1">
        <v>10.0</v>
      </c>
      <c r="I178" s="1">
        <v>29.0</v>
      </c>
      <c r="J178" s="1">
        <v>39.0</v>
      </c>
      <c r="K178" s="1">
        <v>160.0</v>
      </c>
      <c r="L178" s="1">
        <v>1.0</v>
      </c>
      <c r="M178" s="1">
        <v>1.0</v>
      </c>
      <c r="N178" s="1">
        <v>0.0</v>
      </c>
      <c r="O178" s="1">
        <v>0.0</v>
      </c>
      <c r="P178" s="1">
        <v>111.0</v>
      </c>
      <c r="Q178" s="1">
        <v>102.0</v>
      </c>
      <c r="V178" s="2">
        <f>VLOOKUP(B178,'202324'!B:C,2,FALSE)-A178</f>
        <v>5</v>
      </c>
    </row>
    <row r="179">
      <c r="A179" s="1">
        <f t="shared" si="1"/>
        <v>177</v>
      </c>
      <c r="B179" s="1" t="s">
        <v>1237</v>
      </c>
      <c r="C179" s="1" t="s">
        <v>1120</v>
      </c>
      <c r="D179" s="1" t="s">
        <v>66</v>
      </c>
      <c r="E179" s="11">
        <f t="shared" si="2"/>
        <v>300.15</v>
      </c>
      <c r="F179" s="11">
        <f t="shared" si="3"/>
        <v>3.705555556</v>
      </c>
      <c r="G179" s="1">
        <v>81.0</v>
      </c>
      <c r="H179" s="1">
        <v>10.0</v>
      </c>
      <c r="I179" s="1">
        <v>46.0</v>
      </c>
      <c r="J179" s="1">
        <v>56.0</v>
      </c>
      <c r="K179" s="1">
        <v>139.0</v>
      </c>
      <c r="L179" s="1">
        <v>2.0</v>
      </c>
      <c r="M179" s="1">
        <v>27.0</v>
      </c>
      <c r="N179" s="1">
        <v>0.0</v>
      </c>
      <c r="O179" s="1">
        <v>0.0</v>
      </c>
      <c r="P179" s="1">
        <v>29.0</v>
      </c>
      <c r="Q179" s="1">
        <v>75.0</v>
      </c>
      <c r="V179" s="2">
        <f>VLOOKUP(B179,'202324'!B:C,2,FALSE)-A179</f>
        <v>-7</v>
      </c>
    </row>
    <row r="180">
      <c r="A180" s="1">
        <f t="shared" si="1"/>
        <v>178</v>
      </c>
      <c r="B180" s="1" t="s">
        <v>1238</v>
      </c>
      <c r="C180" s="1" t="s">
        <v>1067</v>
      </c>
      <c r="D180" s="1" t="s">
        <v>5</v>
      </c>
      <c r="E180" s="11">
        <f t="shared" si="2"/>
        <v>299.4</v>
      </c>
      <c r="F180" s="11">
        <f t="shared" si="3"/>
        <v>5.544444444</v>
      </c>
      <c r="G180" s="1">
        <v>54.0</v>
      </c>
      <c r="R180" s="1">
        <v>27.0</v>
      </c>
      <c r="S180" s="1">
        <v>132.0</v>
      </c>
      <c r="T180" s="12">
        <v>1338.0</v>
      </c>
      <c r="U180" s="1">
        <v>5.0</v>
      </c>
      <c r="V180" s="2">
        <f>VLOOKUP(B180,'202324'!B:C,2,FALSE)-A180</f>
        <v>-12</v>
      </c>
    </row>
    <row r="181">
      <c r="A181" s="1">
        <f t="shared" si="1"/>
        <v>179</v>
      </c>
      <c r="B181" s="1" t="s">
        <v>1239</v>
      </c>
      <c r="C181" s="1" t="s">
        <v>1065</v>
      </c>
      <c r="D181" s="1" t="s">
        <v>36</v>
      </c>
      <c r="E181" s="11">
        <f t="shared" si="2"/>
        <v>298.95</v>
      </c>
      <c r="F181" s="11">
        <f t="shared" si="3"/>
        <v>3.933552632</v>
      </c>
      <c r="G181" s="1">
        <v>76.0</v>
      </c>
      <c r="H181" s="1">
        <v>20.0</v>
      </c>
      <c r="I181" s="1">
        <v>34.0</v>
      </c>
      <c r="J181" s="1">
        <v>54.0</v>
      </c>
      <c r="K181" s="1">
        <v>172.0</v>
      </c>
      <c r="L181" s="1">
        <v>4.0</v>
      </c>
      <c r="M181" s="1">
        <v>9.0</v>
      </c>
      <c r="N181" s="1">
        <v>0.0</v>
      </c>
      <c r="O181" s="1">
        <v>0.0</v>
      </c>
      <c r="P181" s="1">
        <v>17.0</v>
      </c>
      <c r="Q181" s="1">
        <v>30.0</v>
      </c>
      <c r="V181" s="2">
        <f>VLOOKUP(B181,'202324'!B:C,2,FALSE)-A181</f>
        <v>-9</v>
      </c>
    </row>
    <row r="182">
      <c r="A182" s="1">
        <f t="shared" si="1"/>
        <v>180</v>
      </c>
      <c r="B182" s="1" t="s">
        <v>1240</v>
      </c>
      <c r="C182" s="1" t="s">
        <v>1172</v>
      </c>
      <c r="D182" s="1" t="s">
        <v>28</v>
      </c>
      <c r="E182" s="11">
        <f t="shared" si="2"/>
        <v>298.2</v>
      </c>
      <c r="F182" s="11">
        <f t="shared" si="3"/>
        <v>4.02972973</v>
      </c>
      <c r="G182" s="1">
        <v>74.0</v>
      </c>
      <c r="H182" s="1">
        <v>17.0</v>
      </c>
      <c r="I182" s="1">
        <v>20.0</v>
      </c>
      <c r="J182" s="1">
        <v>37.0</v>
      </c>
      <c r="K182" s="1">
        <v>146.0</v>
      </c>
      <c r="L182" s="1">
        <v>8.0</v>
      </c>
      <c r="M182" s="1">
        <v>8.0</v>
      </c>
      <c r="N182" s="1">
        <v>1.0</v>
      </c>
      <c r="O182" s="1">
        <v>0.0</v>
      </c>
      <c r="P182" s="1">
        <v>192.0</v>
      </c>
      <c r="Q182" s="1">
        <v>39.0</v>
      </c>
      <c r="V182" s="2">
        <f>VLOOKUP(B182,'202324'!B:C,2,FALSE)-A182</f>
        <v>20</v>
      </c>
    </row>
    <row r="183">
      <c r="A183" s="1">
        <f t="shared" si="1"/>
        <v>181</v>
      </c>
      <c r="B183" s="1" t="s">
        <v>1241</v>
      </c>
      <c r="C183" s="1" t="s">
        <v>1106</v>
      </c>
      <c r="D183" s="1" t="s">
        <v>28</v>
      </c>
      <c r="E183" s="11">
        <f t="shared" si="2"/>
        <v>297.8</v>
      </c>
      <c r="F183" s="11">
        <f t="shared" si="3"/>
        <v>3.867532468</v>
      </c>
      <c r="G183" s="1">
        <v>77.0</v>
      </c>
      <c r="H183" s="1">
        <v>27.0</v>
      </c>
      <c r="I183" s="1">
        <v>11.0</v>
      </c>
      <c r="J183" s="1">
        <v>38.0</v>
      </c>
      <c r="K183" s="1">
        <v>145.0</v>
      </c>
      <c r="L183" s="1">
        <v>8.0</v>
      </c>
      <c r="M183" s="1">
        <v>6.0</v>
      </c>
      <c r="N183" s="1">
        <v>0.0</v>
      </c>
      <c r="O183" s="1">
        <v>0.0</v>
      </c>
      <c r="P183" s="1">
        <v>138.0</v>
      </c>
      <c r="Q183" s="1">
        <v>45.0</v>
      </c>
      <c r="V183" s="2">
        <f>VLOOKUP(B183,'202324'!B:C,2,FALSE)-A183</f>
        <v>12</v>
      </c>
    </row>
    <row r="184">
      <c r="A184" s="1">
        <f t="shared" si="1"/>
        <v>182</v>
      </c>
      <c r="B184" s="1" t="s">
        <v>1242</v>
      </c>
      <c r="C184" s="1" t="s">
        <v>1032</v>
      </c>
      <c r="D184" s="1" t="s">
        <v>28</v>
      </c>
      <c r="E184" s="11">
        <f t="shared" si="2"/>
        <v>296.8</v>
      </c>
      <c r="F184" s="11">
        <f t="shared" si="3"/>
        <v>3.71</v>
      </c>
      <c r="G184" s="1">
        <v>80.0</v>
      </c>
      <c r="H184" s="1">
        <v>21.0</v>
      </c>
      <c r="I184" s="1">
        <v>22.0</v>
      </c>
      <c r="J184" s="1">
        <v>43.0</v>
      </c>
      <c r="K184" s="1">
        <v>160.0</v>
      </c>
      <c r="L184" s="1">
        <v>5.0</v>
      </c>
      <c r="M184" s="1">
        <v>1.0</v>
      </c>
      <c r="N184" s="1">
        <v>0.0</v>
      </c>
      <c r="O184" s="1">
        <v>0.0</v>
      </c>
      <c r="P184" s="1">
        <v>98.0</v>
      </c>
      <c r="Q184" s="1">
        <v>44.0</v>
      </c>
      <c r="V184" s="2">
        <f>VLOOKUP(B184,'202324'!B:C,2,FALSE)-A184</f>
        <v>5</v>
      </c>
    </row>
    <row r="185">
      <c r="A185" s="1">
        <f t="shared" si="1"/>
        <v>183</v>
      </c>
      <c r="B185" s="1" t="s">
        <v>1243</v>
      </c>
      <c r="C185" s="1" t="s">
        <v>1073</v>
      </c>
      <c r="D185" s="1" t="s">
        <v>66</v>
      </c>
      <c r="E185" s="11">
        <f t="shared" si="2"/>
        <v>296.35</v>
      </c>
      <c r="F185" s="11">
        <f t="shared" si="3"/>
        <v>3.61402439</v>
      </c>
      <c r="G185" s="1">
        <v>82.0</v>
      </c>
      <c r="H185" s="1">
        <v>10.0</v>
      </c>
      <c r="I185" s="1">
        <v>33.0</v>
      </c>
      <c r="J185" s="1">
        <v>43.0</v>
      </c>
      <c r="K185" s="1">
        <v>185.0</v>
      </c>
      <c r="L185" s="1">
        <v>4.0</v>
      </c>
      <c r="M185" s="1">
        <v>16.0</v>
      </c>
      <c r="N185" s="1">
        <v>1.0</v>
      </c>
      <c r="O185" s="1">
        <v>0.0</v>
      </c>
      <c r="P185" s="1">
        <v>41.0</v>
      </c>
      <c r="Q185" s="1">
        <v>87.0</v>
      </c>
      <c r="V185" s="2">
        <f>VLOOKUP(B185,'202324'!B:C,2,FALSE)-A185</f>
        <v>-4</v>
      </c>
    </row>
    <row r="186">
      <c r="A186" s="1">
        <f t="shared" si="1"/>
        <v>184</v>
      </c>
      <c r="B186" s="1" t="s">
        <v>1244</v>
      </c>
      <c r="C186" s="1" t="s">
        <v>1156</v>
      </c>
      <c r="D186" s="1" t="s">
        <v>28</v>
      </c>
      <c r="E186" s="11">
        <f t="shared" si="2"/>
        <v>296.15</v>
      </c>
      <c r="F186" s="11">
        <f t="shared" si="3"/>
        <v>5.106034483</v>
      </c>
      <c r="G186" s="1">
        <v>58.0</v>
      </c>
      <c r="H186" s="1">
        <v>22.0</v>
      </c>
      <c r="I186" s="1">
        <v>13.0</v>
      </c>
      <c r="J186" s="1">
        <v>35.0</v>
      </c>
      <c r="K186" s="1">
        <v>155.0</v>
      </c>
      <c r="L186" s="1">
        <v>5.0</v>
      </c>
      <c r="M186" s="1">
        <v>3.0</v>
      </c>
      <c r="N186" s="1">
        <v>1.0</v>
      </c>
      <c r="O186" s="1">
        <v>0.0</v>
      </c>
      <c r="P186" s="1">
        <v>119.0</v>
      </c>
      <c r="Q186" s="1">
        <v>74.0</v>
      </c>
      <c r="V186" s="2">
        <f>VLOOKUP(B186,'202324'!B:C,2,FALSE)-A186</f>
        <v>8</v>
      </c>
    </row>
    <row r="187">
      <c r="A187" s="1">
        <f t="shared" si="1"/>
        <v>185</v>
      </c>
      <c r="B187" s="1" t="s">
        <v>1245</v>
      </c>
      <c r="C187" s="1" t="s">
        <v>1156</v>
      </c>
      <c r="D187" s="1" t="s">
        <v>28</v>
      </c>
      <c r="E187" s="11">
        <f t="shared" si="2"/>
        <v>295.75</v>
      </c>
      <c r="F187" s="11">
        <f t="shared" si="3"/>
        <v>3.791666667</v>
      </c>
      <c r="G187" s="1">
        <v>78.0</v>
      </c>
      <c r="H187" s="1">
        <v>23.0</v>
      </c>
      <c r="I187" s="1">
        <v>19.0</v>
      </c>
      <c r="J187" s="1">
        <v>42.0</v>
      </c>
      <c r="K187" s="1">
        <v>193.0</v>
      </c>
      <c r="L187" s="1">
        <v>9.0</v>
      </c>
      <c r="M187" s="1">
        <v>4.0</v>
      </c>
      <c r="N187" s="1">
        <v>0.0</v>
      </c>
      <c r="O187" s="1">
        <v>0.0</v>
      </c>
      <c r="P187" s="1">
        <v>55.0</v>
      </c>
      <c r="Q187" s="1">
        <v>39.0</v>
      </c>
      <c r="V187" s="2">
        <f>VLOOKUP(B187,'202324'!B:C,2,FALSE)-A187</f>
        <v>-2</v>
      </c>
    </row>
    <row r="188">
      <c r="A188" s="1">
        <f t="shared" si="1"/>
        <v>186</v>
      </c>
      <c r="B188" s="1" t="s">
        <v>1246</v>
      </c>
      <c r="C188" s="1" t="s">
        <v>1067</v>
      </c>
      <c r="D188" s="1" t="s">
        <v>28</v>
      </c>
      <c r="E188" s="11">
        <f t="shared" si="2"/>
        <v>295.1</v>
      </c>
      <c r="F188" s="11">
        <f t="shared" si="3"/>
        <v>3.987837838</v>
      </c>
      <c r="G188" s="1">
        <v>74.0</v>
      </c>
      <c r="H188" s="1">
        <v>24.0</v>
      </c>
      <c r="I188" s="1">
        <v>22.0</v>
      </c>
      <c r="J188" s="1">
        <v>46.0</v>
      </c>
      <c r="K188" s="1">
        <v>211.0</v>
      </c>
      <c r="L188" s="1">
        <v>8.0</v>
      </c>
      <c r="M188" s="1">
        <v>4.0</v>
      </c>
      <c r="N188" s="1">
        <v>0.0</v>
      </c>
      <c r="O188" s="1">
        <v>0.0</v>
      </c>
      <c r="P188" s="1">
        <v>26.0</v>
      </c>
      <c r="Q188" s="1">
        <v>13.0</v>
      </c>
      <c r="V188" s="2">
        <f>VLOOKUP(B188,'202324'!B:C,2,FALSE)-A188</f>
        <v>-9</v>
      </c>
    </row>
    <row r="189">
      <c r="A189" s="1">
        <f t="shared" si="1"/>
        <v>187</v>
      </c>
      <c r="B189" s="1" t="s">
        <v>1247</v>
      </c>
      <c r="C189" s="1" t="s">
        <v>1040</v>
      </c>
      <c r="D189" s="1" t="s">
        <v>66</v>
      </c>
      <c r="E189" s="11">
        <f t="shared" si="2"/>
        <v>295</v>
      </c>
      <c r="F189" s="11">
        <f t="shared" si="3"/>
        <v>4.275362319</v>
      </c>
      <c r="G189" s="1">
        <v>69.0</v>
      </c>
      <c r="H189" s="1">
        <v>3.0</v>
      </c>
      <c r="I189" s="1">
        <v>19.0</v>
      </c>
      <c r="J189" s="1">
        <v>22.0</v>
      </c>
      <c r="K189" s="1">
        <v>129.0</v>
      </c>
      <c r="L189" s="1">
        <v>0.0</v>
      </c>
      <c r="M189" s="1">
        <v>1.0</v>
      </c>
      <c r="N189" s="1">
        <v>0.0</v>
      </c>
      <c r="O189" s="1">
        <v>1.0</v>
      </c>
      <c r="P189" s="1">
        <v>190.0</v>
      </c>
      <c r="Q189" s="1">
        <v>183.0</v>
      </c>
      <c r="V189" s="2">
        <f>VLOOKUP(B189,'202324'!B:C,2,FALSE)-A189</f>
        <v>17</v>
      </c>
    </row>
    <row r="190">
      <c r="A190" s="1">
        <f t="shared" si="1"/>
        <v>188</v>
      </c>
      <c r="B190" s="1" t="s">
        <v>1248</v>
      </c>
      <c r="C190" s="1" t="s">
        <v>1044</v>
      </c>
      <c r="D190" s="1" t="s">
        <v>66</v>
      </c>
      <c r="E190" s="11">
        <f t="shared" si="2"/>
        <v>294.65</v>
      </c>
      <c r="F190" s="11">
        <f t="shared" si="3"/>
        <v>3.729746835</v>
      </c>
      <c r="G190" s="1">
        <v>79.0</v>
      </c>
      <c r="H190" s="1">
        <v>10.0</v>
      </c>
      <c r="I190" s="1">
        <v>28.0</v>
      </c>
      <c r="J190" s="1">
        <v>38.0</v>
      </c>
      <c r="K190" s="1">
        <v>158.0</v>
      </c>
      <c r="L190" s="1">
        <v>3.0</v>
      </c>
      <c r="M190" s="1">
        <v>11.0</v>
      </c>
      <c r="N190" s="1">
        <v>0.0</v>
      </c>
      <c r="O190" s="1">
        <v>0.0</v>
      </c>
      <c r="P190" s="1">
        <v>49.0</v>
      </c>
      <c r="Q190" s="1">
        <v>139.0</v>
      </c>
      <c r="V190" s="2">
        <f>VLOOKUP(B190,'202324'!B:C,2,FALSE)-A190</f>
        <v>-3</v>
      </c>
    </row>
    <row r="191">
      <c r="A191" s="1">
        <f t="shared" si="1"/>
        <v>189</v>
      </c>
      <c r="B191" s="1" t="s">
        <v>1249</v>
      </c>
      <c r="C191" s="1" t="s">
        <v>1073</v>
      </c>
      <c r="D191" s="1" t="s">
        <v>31</v>
      </c>
      <c r="E191" s="11">
        <f t="shared" si="2"/>
        <v>294.1</v>
      </c>
      <c r="F191" s="11">
        <f t="shared" si="3"/>
        <v>3.869736842</v>
      </c>
      <c r="G191" s="1">
        <v>76.0</v>
      </c>
      <c r="H191" s="1">
        <v>25.0</v>
      </c>
      <c r="I191" s="1">
        <v>28.0</v>
      </c>
      <c r="J191" s="1">
        <v>53.0</v>
      </c>
      <c r="K191" s="1">
        <v>142.0</v>
      </c>
      <c r="L191" s="1">
        <v>9.0</v>
      </c>
      <c r="M191" s="1">
        <v>8.0</v>
      </c>
      <c r="N191" s="1">
        <v>1.0</v>
      </c>
      <c r="O191" s="1">
        <v>3.0</v>
      </c>
      <c r="P191" s="1">
        <v>16.0</v>
      </c>
      <c r="Q191" s="1">
        <v>26.0</v>
      </c>
      <c r="V191" s="2">
        <f>VLOOKUP(B191,'202324'!B:C,2,FALSE)-A191</f>
        <v>-12</v>
      </c>
    </row>
    <row r="192">
      <c r="A192" s="1">
        <f t="shared" si="1"/>
        <v>190</v>
      </c>
      <c r="B192" s="1" t="s">
        <v>1250</v>
      </c>
      <c r="C192" s="1" t="s">
        <v>1120</v>
      </c>
      <c r="D192" s="1" t="s">
        <v>36</v>
      </c>
      <c r="E192" s="11">
        <f t="shared" si="2"/>
        <v>294</v>
      </c>
      <c r="F192" s="11">
        <f t="shared" si="3"/>
        <v>3.868421053</v>
      </c>
      <c r="G192" s="1">
        <v>76.0</v>
      </c>
      <c r="H192" s="1">
        <v>17.0</v>
      </c>
      <c r="I192" s="1">
        <v>30.0</v>
      </c>
      <c r="J192" s="1">
        <v>47.0</v>
      </c>
      <c r="K192" s="1">
        <v>151.0</v>
      </c>
      <c r="L192" s="1">
        <v>7.0</v>
      </c>
      <c r="M192" s="1">
        <v>10.0</v>
      </c>
      <c r="N192" s="1">
        <v>0.0</v>
      </c>
      <c r="O192" s="1">
        <v>0.0</v>
      </c>
      <c r="P192" s="1">
        <v>110.0</v>
      </c>
      <c r="Q192" s="1">
        <v>27.0</v>
      </c>
      <c r="V192" s="2">
        <f>VLOOKUP(B192,'202324'!B:C,2,FALSE)-A192</f>
        <v>5</v>
      </c>
    </row>
    <row r="193">
      <c r="A193" s="1">
        <f t="shared" si="1"/>
        <v>191</v>
      </c>
      <c r="B193" s="1" t="s">
        <v>1251</v>
      </c>
      <c r="C193" s="1" t="s">
        <v>1082</v>
      </c>
      <c r="D193" s="1" t="s">
        <v>5</v>
      </c>
      <c r="E193" s="11">
        <f t="shared" si="2"/>
        <v>293.7</v>
      </c>
      <c r="F193" s="11">
        <f t="shared" si="3"/>
        <v>5.874</v>
      </c>
      <c r="G193" s="1">
        <v>50.0</v>
      </c>
      <c r="R193" s="1">
        <v>25.0</v>
      </c>
      <c r="S193" s="1">
        <v>127.0</v>
      </c>
      <c r="T193" s="12">
        <v>1304.0</v>
      </c>
      <c r="U193" s="1">
        <v>6.0</v>
      </c>
      <c r="V193" s="2">
        <f>VLOOKUP(B193,'202324'!B:C,2,FALSE)-A193</f>
        <v>-16</v>
      </c>
    </row>
    <row r="194">
      <c r="A194" s="1">
        <f t="shared" si="1"/>
        <v>192</v>
      </c>
      <c r="B194" s="1" t="s">
        <v>1252</v>
      </c>
      <c r="C194" s="1" t="s">
        <v>1034</v>
      </c>
      <c r="D194" s="1" t="s">
        <v>31</v>
      </c>
      <c r="E194" s="11">
        <f t="shared" si="2"/>
        <v>293.4</v>
      </c>
      <c r="F194" s="11">
        <f t="shared" si="3"/>
        <v>3.713924051</v>
      </c>
      <c r="G194" s="1">
        <v>79.0</v>
      </c>
      <c r="H194" s="1">
        <v>20.0</v>
      </c>
      <c r="I194" s="1">
        <v>25.0</v>
      </c>
      <c r="J194" s="1">
        <v>45.0</v>
      </c>
      <c r="K194" s="1">
        <v>129.0</v>
      </c>
      <c r="L194" s="1">
        <v>3.0</v>
      </c>
      <c r="M194" s="1">
        <v>4.0</v>
      </c>
      <c r="N194" s="1">
        <v>2.0</v>
      </c>
      <c r="O194" s="1">
        <v>0.0</v>
      </c>
      <c r="P194" s="1">
        <v>64.0</v>
      </c>
      <c r="Q194" s="1">
        <v>75.0</v>
      </c>
      <c r="V194" s="2">
        <f>VLOOKUP(B194,'202324'!B:C,2,FALSE)-A194</f>
        <v>-5</v>
      </c>
    </row>
    <row r="195">
      <c r="A195" s="1">
        <f t="shared" si="1"/>
        <v>193</v>
      </c>
      <c r="B195" s="1" t="s">
        <v>1253</v>
      </c>
      <c r="C195" s="1" t="s">
        <v>1042</v>
      </c>
      <c r="D195" s="1" t="s">
        <v>66</v>
      </c>
      <c r="E195" s="11">
        <f t="shared" si="2"/>
        <v>293.1</v>
      </c>
      <c r="F195" s="11">
        <f t="shared" si="3"/>
        <v>3.710126582</v>
      </c>
      <c r="G195" s="1">
        <v>79.0</v>
      </c>
      <c r="H195" s="1">
        <v>6.0</v>
      </c>
      <c r="I195" s="1">
        <v>8.0</v>
      </c>
      <c r="J195" s="1">
        <v>14.0</v>
      </c>
      <c r="K195" s="1">
        <v>103.0</v>
      </c>
      <c r="L195" s="1">
        <v>0.0</v>
      </c>
      <c r="M195" s="1">
        <v>0.0</v>
      </c>
      <c r="N195" s="1">
        <v>0.0</v>
      </c>
      <c r="O195" s="1">
        <v>0.0</v>
      </c>
      <c r="P195" s="1">
        <v>386.0</v>
      </c>
      <c r="Q195" s="1">
        <v>111.0</v>
      </c>
      <c r="V195" s="2">
        <f>VLOOKUP(B195,'202324'!B:C,2,FALSE)-A195</f>
        <v>50</v>
      </c>
    </row>
    <row r="196">
      <c r="A196" s="1">
        <f t="shared" si="1"/>
        <v>194</v>
      </c>
      <c r="B196" s="1" t="s">
        <v>1254</v>
      </c>
      <c r="C196" s="1" t="s">
        <v>1111</v>
      </c>
      <c r="D196" s="1" t="s">
        <v>28</v>
      </c>
      <c r="E196" s="11">
        <f t="shared" si="2"/>
        <v>291.75</v>
      </c>
      <c r="F196" s="11">
        <f t="shared" si="3"/>
        <v>3.557926829</v>
      </c>
      <c r="G196" s="1">
        <v>82.0</v>
      </c>
      <c r="H196" s="1">
        <v>17.0</v>
      </c>
      <c r="I196" s="1">
        <v>40.0</v>
      </c>
      <c r="J196" s="1">
        <v>57.0</v>
      </c>
      <c r="K196" s="1">
        <v>149.0</v>
      </c>
      <c r="L196" s="1">
        <v>2.0</v>
      </c>
      <c r="M196" s="1">
        <v>10.0</v>
      </c>
      <c r="N196" s="1">
        <v>0.0</v>
      </c>
      <c r="O196" s="1">
        <v>1.0</v>
      </c>
      <c r="P196" s="1">
        <v>25.0</v>
      </c>
      <c r="Q196" s="1">
        <v>20.0</v>
      </c>
      <c r="V196" s="2">
        <f>VLOOKUP(B196,'202324'!B:C,2,FALSE)-A196</f>
        <v>-8</v>
      </c>
    </row>
    <row r="197">
      <c r="A197" s="1">
        <f t="shared" si="1"/>
        <v>195</v>
      </c>
      <c r="B197" s="1" t="s">
        <v>1255</v>
      </c>
      <c r="C197" s="1" t="s">
        <v>1030</v>
      </c>
      <c r="D197" s="1" t="s">
        <v>28</v>
      </c>
      <c r="E197" s="11">
        <f t="shared" si="2"/>
        <v>290.85</v>
      </c>
      <c r="F197" s="11">
        <f t="shared" si="3"/>
        <v>3.635625</v>
      </c>
      <c r="G197" s="1">
        <v>80.0</v>
      </c>
      <c r="H197" s="1">
        <v>17.0</v>
      </c>
      <c r="I197" s="1">
        <v>23.0</v>
      </c>
      <c r="J197" s="1">
        <v>40.0</v>
      </c>
      <c r="K197" s="1">
        <v>146.0</v>
      </c>
      <c r="L197" s="1">
        <v>3.0</v>
      </c>
      <c r="M197" s="1">
        <v>2.0</v>
      </c>
      <c r="N197" s="1">
        <v>0.0</v>
      </c>
      <c r="O197" s="1">
        <v>0.0</v>
      </c>
      <c r="P197" s="1">
        <v>141.0</v>
      </c>
      <c r="Q197" s="1">
        <v>46.0</v>
      </c>
      <c r="V197" s="2">
        <f>VLOOKUP(B197,'202324'!B:C,2,FALSE)-A197</f>
        <v>8</v>
      </c>
    </row>
    <row r="198">
      <c r="A198" s="1">
        <f t="shared" si="1"/>
        <v>196</v>
      </c>
      <c r="B198" s="1" t="s">
        <v>1256</v>
      </c>
      <c r="C198" s="1" t="s">
        <v>1030</v>
      </c>
      <c r="D198" s="1" t="s">
        <v>31</v>
      </c>
      <c r="E198" s="11">
        <f t="shared" si="2"/>
        <v>290.5</v>
      </c>
      <c r="F198" s="11">
        <f t="shared" si="3"/>
        <v>3.67721519</v>
      </c>
      <c r="G198" s="1">
        <v>79.0</v>
      </c>
      <c r="H198" s="1">
        <v>19.0</v>
      </c>
      <c r="I198" s="1">
        <v>37.0</v>
      </c>
      <c r="J198" s="1">
        <v>56.0</v>
      </c>
      <c r="K198" s="1">
        <v>127.0</v>
      </c>
      <c r="L198" s="1">
        <v>5.0</v>
      </c>
      <c r="M198" s="1">
        <v>14.0</v>
      </c>
      <c r="N198" s="1">
        <v>0.0</v>
      </c>
      <c r="O198" s="1">
        <v>0.0</v>
      </c>
      <c r="P198" s="1">
        <v>40.0</v>
      </c>
      <c r="Q198" s="1">
        <v>33.0</v>
      </c>
      <c r="V198" s="2">
        <f>VLOOKUP(B198,'202324'!B:C,2,FALSE)-A198</f>
        <v>-7</v>
      </c>
    </row>
    <row r="199">
      <c r="A199" s="1">
        <f t="shared" si="1"/>
        <v>197</v>
      </c>
      <c r="B199" s="1" t="s">
        <v>1257</v>
      </c>
      <c r="C199" s="1" t="s">
        <v>1156</v>
      </c>
      <c r="D199" s="1" t="s">
        <v>28</v>
      </c>
      <c r="E199" s="11">
        <f t="shared" si="2"/>
        <v>290.2</v>
      </c>
      <c r="F199" s="11">
        <f t="shared" si="3"/>
        <v>3.582716049</v>
      </c>
      <c r="G199" s="1">
        <v>81.0</v>
      </c>
      <c r="H199" s="1">
        <v>12.0</v>
      </c>
      <c r="I199" s="1">
        <v>48.0</v>
      </c>
      <c r="J199" s="1">
        <v>60.0</v>
      </c>
      <c r="K199" s="1">
        <v>160.0</v>
      </c>
      <c r="L199" s="1">
        <v>1.0</v>
      </c>
      <c r="M199" s="1">
        <v>17.0</v>
      </c>
      <c r="N199" s="1">
        <v>0.0</v>
      </c>
      <c r="O199" s="1">
        <v>0.0</v>
      </c>
      <c r="P199" s="1">
        <v>2.0</v>
      </c>
      <c r="Q199" s="1">
        <v>23.0</v>
      </c>
      <c r="V199" s="2">
        <f>VLOOKUP(B199,'202324'!B:C,2,FALSE)-A199</f>
        <v>-13</v>
      </c>
    </row>
    <row r="200">
      <c r="A200" s="1">
        <f t="shared" si="1"/>
        <v>198</v>
      </c>
      <c r="B200" s="1" t="s">
        <v>1258</v>
      </c>
      <c r="C200" s="1" t="s">
        <v>1091</v>
      </c>
      <c r="D200" s="1" t="s">
        <v>66</v>
      </c>
      <c r="E200" s="11">
        <f t="shared" si="2"/>
        <v>289.6</v>
      </c>
      <c r="F200" s="11">
        <f t="shared" si="3"/>
        <v>3.531707317</v>
      </c>
      <c r="G200" s="1">
        <v>82.0</v>
      </c>
      <c r="H200" s="1">
        <v>10.0</v>
      </c>
      <c r="I200" s="1">
        <v>20.0</v>
      </c>
      <c r="J200" s="1">
        <v>30.0</v>
      </c>
      <c r="K200" s="1">
        <v>134.0</v>
      </c>
      <c r="L200" s="1">
        <v>0.0</v>
      </c>
      <c r="M200" s="1">
        <v>6.0</v>
      </c>
      <c r="N200" s="1">
        <v>0.0</v>
      </c>
      <c r="O200" s="1">
        <v>2.0</v>
      </c>
      <c r="P200" s="1">
        <v>76.0</v>
      </c>
      <c r="Q200" s="1">
        <v>174.0</v>
      </c>
      <c r="V200" s="2">
        <f>VLOOKUP(B200,'202324'!B:C,2,FALSE)-A200</f>
        <v>-1</v>
      </c>
    </row>
    <row r="201">
      <c r="A201" s="1">
        <f t="shared" si="1"/>
        <v>199</v>
      </c>
      <c r="B201" s="1" t="s">
        <v>1259</v>
      </c>
      <c r="C201" s="1" t="s">
        <v>1069</v>
      </c>
      <c r="D201" s="1" t="s">
        <v>31</v>
      </c>
      <c r="E201" s="11">
        <f t="shared" si="2"/>
        <v>288.3</v>
      </c>
      <c r="F201" s="11">
        <f t="shared" si="3"/>
        <v>3.515853659</v>
      </c>
      <c r="G201" s="1">
        <v>82.0</v>
      </c>
      <c r="H201" s="1">
        <v>15.0</v>
      </c>
      <c r="I201" s="1">
        <v>24.0</v>
      </c>
      <c r="J201" s="1">
        <v>39.0</v>
      </c>
      <c r="K201" s="1">
        <v>209.0</v>
      </c>
      <c r="L201" s="1">
        <v>2.0</v>
      </c>
      <c r="M201" s="1">
        <v>1.0</v>
      </c>
      <c r="N201" s="1">
        <v>1.0</v>
      </c>
      <c r="O201" s="1">
        <v>1.0</v>
      </c>
      <c r="P201" s="1">
        <v>68.0</v>
      </c>
      <c r="Q201" s="1">
        <v>33.0</v>
      </c>
      <c r="V201" s="2">
        <f>VLOOKUP(B201,'202324'!B:C,2,FALSE)-A201</f>
        <v>-1</v>
      </c>
    </row>
    <row r="202">
      <c r="A202" s="1">
        <f t="shared" si="1"/>
        <v>200</v>
      </c>
      <c r="B202" s="1" t="s">
        <v>1260</v>
      </c>
      <c r="C202" s="1" t="s">
        <v>1030</v>
      </c>
      <c r="D202" s="1" t="s">
        <v>66</v>
      </c>
      <c r="E202" s="11">
        <f t="shared" si="2"/>
        <v>287.8</v>
      </c>
      <c r="F202" s="11">
        <f t="shared" si="3"/>
        <v>3.55308642</v>
      </c>
      <c r="G202" s="1">
        <v>81.0</v>
      </c>
      <c r="H202" s="1">
        <v>10.0</v>
      </c>
      <c r="I202" s="1">
        <v>19.0</v>
      </c>
      <c r="J202" s="1">
        <v>29.0</v>
      </c>
      <c r="K202" s="1">
        <v>150.0</v>
      </c>
      <c r="L202" s="1">
        <v>0.0</v>
      </c>
      <c r="M202" s="1">
        <v>1.0</v>
      </c>
      <c r="N202" s="1">
        <v>2.0</v>
      </c>
      <c r="O202" s="1">
        <v>1.0</v>
      </c>
      <c r="P202" s="1">
        <v>118.0</v>
      </c>
      <c r="Q202" s="1">
        <v>127.0</v>
      </c>
      <c r="V202" s="2">
        <f>VLOOKUP(B202,'202324'!B:C,2,FALSE)-A202</f>
        <v>4</v>
      </c>
    </row>
    <row r="203">
      <c r="A203" s="1">
        <f t="shared" si="1"/>
        <v>201</v>
      </c>
      <c r="B203" s="1" t="s">
        <v>1261</v>
      </c>
      <c r="C203" s="1" t="s">
        <v>1172</v>
      </c>
      <c r="D203" s="1" t="s">
        <v>31</v>
      </c>
      <c r="E203" s="11">
        <f t="shared" si="2"/>
        <v>287.2</v>
      </c>
      <c r="F203" s="11">
        <f t="shared" si="3"/>
        <v>3.502439024</v>
      </c>
      <c r="G203" s="1">
        <v>82.0</v>
      </c>
      <c r="H203" s="1">
        <v>22.0</v>
      </c>
      <c r="I203" s="1">
        <v>13.0</v>
      </c>
      <c r="J203" s="1">
        <v>35.0</v>
      </c>
      <c r="K203" s="1">
        <v>126.0</v>
      </c>
      <c r="L203" s="1">
        <v>2.0</v>
      </c>
      <c r="M203" s="1">
        <v>0.0</v>
      </c>
      <c r="N203" s="1">
        <v>0.0</v>
      </c>
      <c r="O203" s="1">
        <v>0.0</v>
      </c>
      <c r="P203" s="1">
        <v>142.0</v>
      </c>
      <c r="Q203" s="1">
        <v>73.0</v>
      </c>
      <c r="V203" s="2">
        <f>VLOOKUP(B203,'202324'!B:C,2,FALSE)-A203</f>
        <v>9</v>
      </c>
    </row>
    <row r="204">
      <c r="A204" s="1">
        <f t="shared" si="1"/>
        <v>202</v>
      </c>
      <c r="B204" s="1" t="s">
        <v>1262</v>
      </c>
      <c r="C204" s="1" t="s">
        <v>1087</v>
      </c>
      <c r="D204" s="1" t="s">
        <v>31</v>
      </c>
      <c r="E204" s="11">
        <f t="shared" si="2"/>
        <v>287.1</v>
      </c>
      <c r="F204" s="11">
        <f t="shared" si="3"/>
        <v>3.501219512</v>
      </c>
      <c r="G204" s="1">
        <v>82.0</v>
      </c>
      <c r="H204" s="1">
        <v>11.0</v>
      </c>
      <c r="I204" s="1">
        <v>22.0</v>
      </c>
      <c r="J204" s="1">
        <v>33.0</v>
      </c>
      <c r="K204" s="1">
        <v>101.0</v>
      </c>
      <c r="L204" s="1">
        <v>1.0</v>
      </c>
      <c r="M204" s="1">
        <v>1.0</v>
      </c>
      <c r="N204" s="1">
        <v>1.0</v>
      </c>
      <c r="O204" s="1">
        <v>5.0</v>
      </c>
      <c r="P204" s="1">
        <v>196.0</v>
      </c>
      <c r="Q204" s="1">
        <v>81.0</v>
      </c>
      <c r="V204" s="2">
        <f>VLOOKUP(B204,'202324'!B:C,2,FALSE)-A204</f>
        <v>17</v>
      </c>
    </row>
    <row r="205">
      <c r="A205" s="1">
        <f t="shared" si="1"/>
        <v>203</v>
      </c>
      <c r="B205" s="1" t="s">
        <v>1263</v>
      </c>
      <c r="C205" s="1" t="s">
        <v>1172</v>
      </c>
      <c r="D205" s="1" t="s">
        <v>28</v>
      </c>
      <c r="E205" s="11">
        <f t="shared" si="2"/>
        <v>286.45</v>
      </c>
      <c r="F205" s="11">
        <f t="shared" si="3"/>
        <v>3.819333333</v>
      </c>
      <c r="G205" s="1">
        <v>75.0</v>
      </c>
      <c r="H205" s="1">
        <v>18.0</v>
      </c>
      <c r="I205" s="1">
        <v>36.0</v>
      </c>
      <c r="J205" s="1">
        <v>54.0</v>
      </c>
      <c r="K205" s="1">
        <v>128.0</v>
      </c>
      <c r="L205" s="1">
        <v>6.0</v>
      </c>
      <c r="M205" s="1">
        <v>13.0</v>
      </c>
      <c r="N205" s="1">
        <v>0.0</v>
      </c>
      <c r="O205" s="1">
        <v>0.0</v>
      </c>
      <c r="P205" s="1">
        <v>27.0</v>
      </c>
      <c r="Q205" s="1">
        <v>48.0</v>
      </c>
      <c r="V205" s="2">
        <f>VLOOKUP(B205,'202324'!B:C,2,FALSE)-A205</f>
        <v>-9</v>
      </c>
    </row>
    <row r="206">
      <c r="A206" s="1">
        <f t="shared" si="1"/>
        <v>204</v>
      </c>
      <c r="B206" s="1" t="s">
        <v>1264</v>
      </c>
      <c r="C206" s="1" t="s">
        <v>1172</v>
      </c>
      <c r="D206" s="1" t="s">
        <v>5</v>
      </c>
      <c r="E206" s="11">
        <f t="shared" si="2"/>
        <v>286.2</v>
      </c>
      <c r="F206" s="11">
        <f t="shared" si="3"/>
        <v>5.110714286</v>
      </c>
      <c r="G206" s="1">
        <v>56.0</v>
      </c>
      <c r="R206" s="1">
        <v>18.0</v>
      </c>
      <c r="S206" s="1">
        <v>160.0</v>
      </c>
      <c r="T206" s="12">
        <v>1564.0</v>
      </c>
      <c r="U206" s="1">
        <v>1.0</v>
      </c>
      <c r="V206" s="2">
        <f>VLOOKUP(B206,'202324'!B:C,2,FALSE)-A206</f>
        <v>-14</v>
      </c>
    </row>
    <row r="207">
      <c r="A207" s="1">
        <f t="shared" si="1"/>
        <v>205</v>
      </c>
      <c r="B207" s="1" t="s">
        <v>1265</v>
      </c>
      <c r="C207" s="1" t="s">
        <v>1030</v>
      </c>
      <c r="D207" s="1" t="s">
        <v>31</v>
      </c>
      <c r="E207" s="11">
        <f t="shared" si="2"/>
        <v>285.4</v>
      </c>
      <c r="F207" s="11">
        <f t="shared" si="3"/>
        <v>3.5675</v>
      </c>
      <c r="G207" s="1">
        <v>80.0</v>
      </c>
      <c r="H207" s="1">
        <v>18.0</v>
      </c>
      <c r="I207" s="1">
        <v>39.0</v>
      </c>
      <c r="J207" s="1">
        <v>57.0</v>
      </c>
      <c r="K207" s="1">
        <v>127.0</v>
      </c>
      <c r="L207" s="1">
        <v>3.0</v>
      </c>
      <c r="M207" s="1">
        <v>6.0</v>
      </c>
      <c r="N207" s="1">
        <v>0.0</v>
      </c>
      <c r="O207" s="1">
        <v>0.0</v>
      </c>
      <c r="P207" s="1">
        <v>24.0</v>
      </c>
      <c r="Q207" s="1">
        <v>31.0</v>
      </c>
      <c r="V207" s="2">
        <f>VLOOKUP(B207,'202324'!B:C,2,FALSE)-A207</f>
        <v>-10</v>
      </c>
    </row>
    <row r="208">
      <c r="A208" s="1">
        <f t="shared" si="1"/>
        <v>206</v>
      </c>
      <c r="B208" s="1" t="s">
        <v>1266</v>
      </c>
      <c r="C208" s="1" t="s">
        <v>1069</v>
      </c>
      <c r="D208" s="1" t="s">
        <v>28</v>
      </c>
      <c r="E208" s="11">
        <f t="shared" si="2"/>
        <v>285</v>
      </c>
      <c r="F208" s="11">
        <f t="shared" si="3"/>
        <v>3.518518519</v>
      </c>
      <c r="G208" s="1">
        <v>81.0</v>
      </c>
      <c r="H208" s="1">
        <v>12.0</v>
      </c>
      <c r="I208" s="1">
        <v>40.0</v>
      </c>
      <c r="J208" s="1">
        <v>52.0</v>
      </c>
      <c r="K208" s="1">
        <v>143.0</v>
      </c>
      <c r="L208" s="1">
        <v>4.0</v>
      </c>
      <c r="M208" s="1">
        <v>15.0</v>
      </c>
      <c r="N208" s="1">
        <v>0.0</v>
      </c>
      <c r="O208" s="1">
        <v>0.0</v>
      </c>
      <c r="P208" s="1">
        <v>60.0</v>
      </c>
      <c r="Q208" s="1">
        <v>37.0</v>
      </c>
      <c r="V208" s="2">
        <f>VLOOKUP(B208,'202324'!B:C,2,FALSE)-A208</f>
        <v>-6</v>
      </c>
    </row>
    <row r="209">
      <c r="A209" s="1">
        <f t="shared" si="1"/>
        <v>207</v>
      </c>
      <c r="B209" s="1" t="s">
        <v>1267</v>
      </c>
      <c r="C209" s="1" t="s">
        <v>1080</v>
      </c>
      <c r="D209" s="1" t="s">
        <v>66</v>
      </c>
      <c r="E209" s="11">
        <f t="shared" si="2"/>
        <v>284.65</v>
      </c>
      <c r="F209" s="11">
        <f t="shared" si="3"/>
        <v>3.471341463</v>
      </c>
      <c r="G209" s="1">
        <v>82.0</v>
      </c>
      <c r="H209" s="1">
        <v>4.0</v>
      </c>
      <c r="I209" s="1">
        <v>22.0</v>
      </c>
      <c r="J209" s="1">
        <v>26.0</v>
      </c>
      <c r="K209" s="1">
        <v>86.0</v>
      </c>
      <c r="L209" s="1">
        <v>0.0</v>
      </c>
      <c r="M209" s="1">
        <v>1.0</v>
      </c>
      <c r="N209" s="1">
        <v>0.0</v>
      </c>
      <c r="O209" s="1">
        <v>1.0</v>
      </c>
      <c r="P209" s="1">
        <v>149.0</v>
      </c>
      <c r="Q209" s="1">
        <v>207.0</v>
      </c>
      <c r="V209" s="2">
        <f>VLOOKUP(B209,'202324'!B:C,2,FALSE)-A209</f>
        <v>7</v>
      </c>
    </row>
    <row r="210">
      <c r="A210" s="1">
        <f t="shared" si="1"/>
        <v>208</v>
      </c>
      <c r="B210" s="1" t="s">
        <v>1268</v>
      </c>
      <c r="C210" s="1" t="s">
        <v>1172</v>
      </c>
      <c r="D210" s="1" t="s">
        <v>66</v>
      </c>
      <c r="E210" s="11">
        <f t="shared" si="2"/>
        <v>283.45</v>
      </c>
      <c r="F210" s="11">
        <f t="shared" si="3"/>
        <v>4.230597015</v>
      </c>
      <c r="G210" s="1">
        <v>67.0</v>
      </c>
      <c r="H210" s="1">
        <v>8.0</v>
      </c>
      <c r="I210" s="1">
        <v>23.0</v>
      </c>
      <c r="J210" s="1">
        <v>31.0</v>
      </c>
      <c r="K210" s="1">
        <v>172.0</v>
      </c>
      <c r="L210" s="1">
        <v>3.0</v>
      </c>
      <c r="M210" s="1">
        <v>6.0</v>
      </c>
      <c r="N210" s="1">
        <v>0.0</v>
      </c>
      <c r="O210" s="1">
        <v>0.0</v>
      </c>
      <c r="P210" s="1">
        <v>77.0</v>
      </c>
      <c r="Q210" s="1">
        <v>131.0</v>
      </c>
      <c r="V210" s="2">
        <f>VLOOKUP(B210,'202324'!B:C,2,FALSE)-A210</f>
        <v>-2</v>
      </c>
    </row>
    <row r="211">
      <c r="A211" s="1">
        <f t="shared" si="1"/>
        <v>209</v>
      </c>
      <c r="B211" s="1" t="s">
        <v>1269</v>
      </c>
      <c r="C211" s="1" t="s">
        <v>1116</v>
      </c>
      <c r="D211" s="1" t="s">
        <v>28</v>
      </c>
      <c r="E211" s="11">
        <f t="shared" si="2"/>
        <v>282.35</v>
      </c>
      <c r="F211" s="11">
        <f t="shared" si="3"/>
        <v>3.485802469</v>
      </c>
      <c r="G211" s="1">
        <v>81.0</v>
      </c>
      <c r="H211" s="1">
        <v>12.0</v>
      </c>
      <c r="I211" s="1">
        <v>23.0</v>
      </c>
      <c r="J211" s="1">
        <v>35.0</v>
      </c>
      <c r="K211" s="1">
        <v>119.0</v>
      </c>
      <c r="L211" s="1">
        <v>0.0</v>
      </c>
      <c r="M211" s="1">
        <v>2.0</v>
      </c>
      <c r="N211" s="1">
        <v>1.0</v>
      </c>
      <c r="O211" s="1">
        <v>1.0</v>
      </c>
      <c r="P211" s="1">
        <v>181.0</v>
      </c>
      <c r="Q211" s="1">
        <v>65.0</v>
      </c>
      <c r="V211" s="2">
        <f>VLOOKUP(B211,'202324'!B:C,2,FALSE)-A211</f>
        <v>16</v>
      </c>
    </row>
    <row r="212">
      <c r="A212" s="1">
        <f t="shared" si="1"/>
        <v>210</v>
      </c>
      <c r="B212" s="1" t="s">
        <v>1270</v>
      </c>
      <c r="C212" s="1" t="s">
        <v>1106</v>
      </c>
      <c r="D212" s="1" t="s">
        <v>66</v>
      </c>
      <c r="E212" s="11">
        <f t="shared" si="2"/>
        <v>281.9</v>
      </c>
      <c r="F212" s="11">
        <f t="shared" si="3"/>
        <v>3.661038961</v>
      </c>
      <c r="G212" s="1">
        <v>77.0</v>
      </c>
      <c r="H212" s="1">
        <v>4.0</v>
      </c>
      <c r="I212" s="1">
        <v>35.0</v>
      </c>
      <c r="J212" s="1">
        <v>39.0</v>
      </c>
      <c r="K212" s="1">
        <v>162.0</v>
      </c>
      <c r="L212" s="1">
        <v>0.0</v>
      </c>
      <c r="M212" s="1">
        <v>13.0</v>
      </c>
      <c r="N212" s="1">
        <v>0.0</v>
      </c>
      <c r="O212" s="1">
        <v>0.0</v>
      </c>
      <c r="P212" s="1">
        <v>64.0</v>
      </c>
      <c r="Q212" s="1">
        <v>111.0</v>
      </c>
      <c r="V212" s="2">
        <f>VLOOKUP(B212,'202324'!B:C,2,FALSE)-A212</f>
        <v>-2</v>
      </c>
    </row>
    <row r="213">
      <c r="A213" s="1">
        <f t="shared" si="1"/>
        <v>211</v>
      </c>
      <c r="B213" s="1" t="s">
        <v>1271</v>
      </c>
      <c r="C213" s="1" t="s">
        <v>1080</v>
      </c>
      <c r="D213" s="1" t="s">
        <v>36</v>
      </c>
      <c r="E213" s="11">
        <f t="shared" si="2"/>
        <v>281.05</v>
      </c>
      <c r="F213" s="11">
        <f t="shared" si="3"/>
        <v>5.01875</v>
      </c>
      <c r="G213" s="1">
        <v>56.0</v>
      </c>
      <c r="H213" s="1">
        <v>16.0</v>
      </c>
      <c r="I213" s="1">
        <v>37.0</v>
      </c>
      <c r="J213" s="1">
        <v>53.0</v>
      </c>
      <c r="K213" s="1">
        <v>117.0</v>
      </c>
      <c r="L213" s="1">
        <v>4.0</v>
      </c>
      <c r="M213" s="1">
        <v>10.0</v>
      </c>
      <c r="N213" s="1">
        <v>2.0</v>
      </c>
      <c r="O213" s="1">
        <v>2.0</v>
      </c>
      <c r="P213" s="1">
        <v>33.0</v>
      </c>
      <c r="Q213" s="1">
        <v>40.0</v>
      </c>
      <c r="V213" s="2">
        <f>VLOOKUP(B213,'202324'!B:C,2,FALSE)-A213</f>
        <v>-9</v>
      </c>
    </row>
    <row r="214">
      <c r="A214" s="1">
        <f t="shared" si="1"/>
        <v>212</v>
      </c>
      <c r="B214" s="1" t="s">
        <v>1272</v>
      </c>
      <c r="C214" s="1" t="s">
        <v>1030</v>
      </c>
      <c r="D214" s="1" t="s">
        <v>66</v>
      </c>
      <c r="E214" s="11">
        <f t="shared" si="2"/>
        <v>280.85</v>
      </c>
      <c r="F214" s="11">
        <f t="shared" si="3"/>
        <v>3.695394737</v>
      </c>
      <c r="G214" s="1">
        <v>76.0</v>
      </c>
      <c r="H214" s="1">
        <v>8.0</v>
      </c>
      <c r="I214" s="1">
        <v>17.0</v>
      </c>
      <c r="J214" s="1">
        <v>25.0</v>
      </c>
      <c r="K214" s="1">
        <v>123.0</v>
      </c>
      <c r="L214" s="1">
        <v>0.0</v>
      </c>
      <c r="M214" s="1">
        <v>0.0</v>
      </c>
      <c r="N214" s="1">
        <v>1.0</v>
      </c>
      <c r="O214" s="1">
        <v>1.0</v>
      </c>
      <c r="P214" s="1">
        <v>211.0</v>
      </c>
      <c r="Q214" s="1">
        <v>109.0</v>
      </c>
      <c r="V214" s="2">
        <f>VLOOKUP(B214,'202324'!B:C,2,FALSE)-A214</f>
        <v>21</v>
      </c>
    </row>
    <row r="215">
      <c r="A215" s="1">
        <f t="shared" si="1"/>
        <v>213</v>
      </c>
      <c r="B215" s="1" t="s">
        <v>1273</v>
      </c>
      <c r="C215" s="1" t="s">
        <v>1073</v>
      </c>
      <c r="D215" s="1" t="s">
        <v>66</v>
      </c>
      <c r="E215" s="11">
        <f t="shared" si="2"/>
        <v>280.75</v>
      </c>
      <c r="F215" s="11">
        <f t="shared" si="3"/>
        <v>3.466049383</v>
      </c>
      <c r="G215" s="1">
        <v>81.0</v>
      </c>
      <c r="H215" s="1">
        <v>6.0</v>
      </c>
      <c r="I215" s="1">
        <v>31.0</v>
      </c>
      <c r="J215" s="1">
        <v>37.0</v>
      </c>
      <c r="K215" s="1">
        <v>151.0</v>
      </c>
      <c r="L215" s="1">
        <v>0.0</v>
      </c>
      <c r="M215" s="1">
        <v>0.0</v>
      </c>
      <c r="N215" s="1">
        <v>2.0</v>
      </c>
      <c r="O215" s="1">
        <v>1.0</v>
      </c>
      <c r="P215" s="1">
        <v>55.0</v>
      </c>
      <c r="Q215" s="1">
        <v>120.0</v>
      </c>
      <c r="V215" s="2">
        <f>VLOOKUP(B215,'202324'!B:C,2,FALSE)-A215</f>
        <v>-4</v>
      </c>
    </row>
    <row r="216">
      <c r="A216" s="1">
        <f t="shared" si="1"/>
        <v>214</v>
      </c>
      <c r="B216" s="1" t="s">
        <v>1274</v>
      </c>
      <c r="C216" s="1" t="s">
        <v>1111</v>
      </c>
      <c r="D216" s="1" t="s">
        <v>5</v>
      </c>
      <c r="E216" s="11">
        <f t="shared" si="2"/>
        <v>280.5</v>
      </c>
      <c r="F216" s="11">
        <f t="shared" si="3"/>
        <v>5.61</v>
      </c>
      <c r="G216" s="1">
        <v>50.0</v>
      </c>
      <c r="R216" s="1">
        <v>23.0</v>
      </c>
      <c r="S216" s="1">
        <v>136.0</v>
      </c>
      <c r="T216" s="12">
        <v>1325.0</v>
      </c>
      <c r="U216" s="1">
        <v>6.0</v>
      </c>
      <c r="V216" s="2">
        <f>VLOOKUP(B216,'202324'!B:C,2,FALSE)-A216</f>
        <v>-15</v>
      </c>
    </row>
    <row r="217">
      <c r="A217" s="1">
        <f t="shared" si="1"/>
        <v>215</v>
      </c>
      <c r="B217" s="1" t="s">
        <v>1275</v>
      </c>
      <c r="C217" s="1" t="s">
        <v>1038</v>
      </c>
      <c r="D217" s="1" t="s">
        <v>31</v>
      </c>
      <c r="E217" s="11">
        <f t="shared" si="2"/>
        <v>280.45</v>
      </c>
      <c r="F217" s="11">
        <f t="shared" si="3"/>
        <v>3.690131579</v>
      </c>
      <c r="G217" s="1">
        <v>76.0</v>
      </c>
      <c r="H217" s="1">
        <v>17.0</v>
      </c>
      <c r="I217" s="1">
        <v>22.0</v>
      </c>
      <c r="J217" s="1">
        <v>39.0</v>
      </c>
      <c r="K217" s="1">
        <v>130.0</v>
      </c>
      <c r="L217" s="1">
        <v>4.0</v>
      </c>
      <c r="M217" s="1">
        <v>8.0</v>
      </c>
      <c r="N217" s="1">
        <v>0.0</v>
      </c>
      <c r="O217" s="1">
        <v>0.0</v>
      </c>
      <c r="P217" s="1">
        <v>137.0</v>
      </c>
      <c r="Q217" s="1">
        <v>50.0</v>
      </c>
      <c r="V217" s="2">
        <f>VLOOKUP(B217,'202324'!B:C,2,FALSE)-A217</f>
        <v>5</v>
      </c>
    </row>
    <row r="218">
      <c r="A218" s="1">
        <f t="shared" si="1"/>
        <v>216</v>
      </c>
      <c r="B218" s="1" t="s">
        <v>1276</v>
      </c>
      <c r="C218" s="1" t="s">
        <v>1146</v>
      </c>
      <c r="D218" s="1" t="s">
        <v>28</v>
      </c>
      <c r="E218" s="11">
        <f t="shared" si="2"/>
        <v>280.1</v>
      </c>
      <c r="F218" s="11">
        <f t="shared" si="3"/>
        <v>3.50125</v>
      </c>
      <c r="G218" s="1">
        <v>80.0</v>
      </c>
      <c r="H218" s="1">
        <v>11.0</v>
      </c>
      <c r="I218" s="1">
        <v>22.0</v>
      </c>
      <c r="J218" s="1">
        <v>33.0</v>
      </c>
      <c r="K218" s="1">
        <v>156.0</v>
      </c>
      <c r="L218" s="1">
        <v>0.0</v>
      </c>
      <c r="M218" s="1">
        <v>2.0</v>
      </c>
      <c r="N218" s="1">
        <v>2.0</v>
      </c>
      <c r="O218" s="1">
        <v>1.0</v>
      </c>
      <c r="P218" s="1">
        <v>156.0</v>
      </c>
      <c r="Q218" s="1">
        <v>52.0</v>
      </c>
      <c r="V218" s="2">
        <f>VLOOKUP(B218,'202324'!B:C,2,FALSE)-A218</f>
        <v>7</v>
      </c>
    </row>
    <row r="219">
      <c r="A219" s="1">
        <f t="shared" si="1"/>
        <v>217</v>
      </c>
      <c r="B219" s="1" t="s">
        <v>1277</v>
      </c>
      <c r="C219" s="1" t="s">
        <v>1048</v>
      </c>
      <c r="D219" s="1" t="s">
        <v>31</v>
      </c>
      <c r="E219" s="11">
        <f t="shared" si="2"/>
        <v>278.4</v>
      </c>
      <c r="F219" s="11">
        <f t="shared" si="3"/>
        <v>3.48</v>
      </c>
      <c r="G219" s="1">
        <v>80.0</v>
      </c>
      <c r="H219" s="1">
        <v>12.0</v>
      </c>
      <c r="I219" s="1">
        <v>27.0</v>
      </c>
      <c r="J219" s="1">
        <v>39.0</v>
      </c>
      <c r="K219" s="1">
        <v>186.0</v>
      </c>
      <c r="L219" s="1">
        <v>3.0</v>
      </c>
      <c r="M219" s="1">
        <v>7.0</v>
      </c>
      <c r="N219" s="1">
        <v>0.0</v>
      </c>
      <c r="O219" s="1">
        <v>0.0</v>
      </c>
      <c r="P219" s="1">
        <v>104.0</v>
      </c>
      <c r="Q219" s="1">
        <v>28.0</v>
      </c>
      <c r="V219" s="2">
        <f>VLOOKUP(B219,'202324'!B:C,2,FALSE)-A219</f>
        <v>1</v>
      </c>
    </row>
    <row r="220">
      <c r="A220" s="1">
        <f t="shared" si="1"/>
        <v>218</v>
      </c>
      <c r="B220" s="1" t="s">
        <v>1278</v>
      </c>
      <c r="C220" s="1" t="s">
        <v>1120</v>
      </c>
      <c r="D220" s="1" t="s">
        <v>31</v>
      </c>
      <c r="E220" s="11">
        <f t="shared" si="2"/>
        <v>277.85</v>
      </c>
      <c r="F220" s="11">
        <f t="shared" si="3"/>
        <v>3.608441558</v>
      </c>
      <c r="G220" s="1">
        <v>77.0</v>
      </c>
      <c r="H220" s="1">
        <v>19.0</v>
      </c>
      <c r="I220" s="1">
        <v>29.0</v>
      </c>
      <c r="J220" s="1">
        <v>48.0</v>
      </c>
      <c r="K220" s="1">
        <v>108.0</v>
      </c>
      <c r="L220" s="1">
        <v>5.0</v>
      </c>
      <c r="M220" s="1">
        <v>5.0</v>
      </c>
      <c r="N220" s="1">
        <v>2.0</v>
      </c>
      <c r="O220" s="1">
        <v>0.0</v>
      </c>
      <c r="P220" s="1">
        <v>51.0</v>
      </c>
      <c r="Q220" s="1">
        <v>59.0</v>
      </c>
      <c r="V220" s="2">
        <f>VLOOKUP(B220,'202324'!B:C,2,FALSE)-A220</f>
        <v>-7</v>
      </c>
    </row>
    <row r="221">
      <c r="A221" s="1">
        <f t="shared" si="1"/>
        <v>219</v>
      </c>
      <c r="B221" s="1" t="s">
        <v>1279</v>
      </c>
      <c r="C221" s="1" t="s">
        <v>1042</v>
      </c>
      <c r="D221" s="1" t="s">
        <v>36</v>
      </c>
      <c r="E221" s="11">
        <f t="shared" si="2"/>
        <v>277.45</v>
      </c>
      <c r="F221" s="11">
        <f t="shared" si="3"/>
        <v>3.425308642</v>
      </c>
      <c r="G221" s="1">
        <v>81.0</v>
      </c>
      <c r="H221" s="1">
        <v>15.0</v>
      </c>
      <c r="I221" s="1">
        <v>20.0</v>
      </c>
      <c r="J221" s="1">
        <v>35.0</v>
      </c>
      <c r="K221" s="1">
        <v>131.0</v>
      </c>
      <c r="L221" s="1">
        <v>3.0</v>
      </c>
      <c r="M221" s="1">
        <v>4.0</v>
      </c>
      <c r="N221" s="1">
        <v>3.0</v>
      </c>
      <c r="O221" s="1">
        <v>1.0</v>
      </c>
      <c r="P221" s="1">
        <v>137.0</v>
      </c>
      <c r="Q221" s="1">
        <v>57.0</v>
      </c>
      <c r="V221" s="2">
        <f>VLOOKUP(B221,'202324'!B:C,2,FALSE)-A221</f>
        <v>8</v>
      </c>
    </row>
    <row r="222">
      <c r="A222" s="1">
        <f t="shared" si="1"/>
        <v>220</v>
      </c>
      <c r="B222" s="1" t="s">
        <v>1280</v>
      </c>
      <c r="C222" s="1" t="s">
        <v>1038</v>
      </c>
      <c r="D222" s="1" t="s">
        <v>5</v>
      </c>
      <c r="E222" s="11">
        <f t="shared" si="2"/>
        <v>275.7</v>
      </c>
      <c r="F222" s="11">
        <f t="shared" si="3"/>
        <v>6.265909091</v>
      </c>
      <c r="G222" s="1">
        <v>44.0</v>
      </c>
      <c r="R222" s="1">
        <v>25.0</v>
      </c>
      <c r="S222" s="1">
        <v>108.0</v>
      </c>
      <c r="T222" s="12">
        <v>1179.0</v>
      </c>
      <c r="U222" s="1">
        <v>3.0</v>
      </c>
      <c r="V222" s="2">
        <f>VLOOKUP(B222,'202324'!B:C,2,FALSE)-A222</f>
        <v>-13</v>
      </c>
    </row>
    <row r="223">
      <c r="A223" s="1">
        <f t="shared" si="1"/>
        <v>221</v>
      </c>
      <c r="B223" s="1" t="s">
        <v>1281</v>
      </c>
      <c r="C223" s="1" t="s">
        <v>1032</v>
      </c>
      <c r="D223" s="1" t="s">
        <v>66</v>
      </c>
      <c r="E223" s="11">
        <f t="shared" si="2"/>
        <v>275.65</v>
      </c>
      <c r="F223" s="11">
        <f t="shared" si="3"/>
        <v>3.776027397</v>
      </c>
      <c r="G223" s="1">
        <v>73.0</v>
      </c>
      <c r="H223" s="1">
        <v>8.0</v>
      </c>
      <c r="I223" s="1">
        <v>20.0</v>
      </c>
      <c r="J223" s="1">
        <v>28.0</v>
      </c>
      <c r="K223" s="1">
        <v>73.0</v>
      </c>
      <c r="L223" s="1">
        <v>1.0</v>
      </c>
      <c r="M223" s="1">
        <v>1.0</v>
      </c>
      <c r="N223" s="1">
        <v>0.0</v>
      </c>
      <c r="O223" s="1">
        <v>1.0</v>
      </c>
      <c r="P223" s="1">
        <v>219.0</v>
      </c>
      <c r="Q223" s="1">
        <v>129.0</v>
      </c>
      <c r="V223" s="2">
        <f>VLOOKUP(B223,'202324'!B:C,2,FALSE)-A223</f>
        <v>25</v>
      </c>
    </row>
    <row r="224">
      <c r="A224" s="1">
        <f t="shared" si="1"/>
        <v>222</v>
      </c>
      <c r="B224" s="1" t="s">
        <v>1282</v>
      </c>
      <c r="C224" s="1" t="s">
        <v>1111</v>
      </c>
      <c r="D224" s="1" t="s">
        <v>31</v>
      </c>
      <c r="E224" s="11">
        <f t="shared" si="2"/>
        <v>275.55</v>
      </c>
      <c r="F224" s="11">
        <f t="shared" si="3"/>
        <v>3.360365854</v>
      </c>
      <c r="G224" s="1">
        <v>82.0</v>
      </c>
      <c r="H224" s="1">
        <v>13.0</v>
      </c>
      <c r="I224" s="1">
        <v>32.0</v>
      </c>
      <c r="J224" s="1">
        <v>45.0</v>
      </c>
      <c r="K224" s="1">
        <v>103.0</v>
      </c>
      <c r="L224" s="1">
        <v>2.0</v>
      </c>
      <c r="M224" s="1">
        <v>10.0</v>
      </c>
      <c r="N224" s="1">
        <v>2.0</v>
      </c>
      <c r="O224" s="1">
        <v>1.0</v>
      </c>
      <c r="P224" s="1">
        <v>73.0</v>
      </c>
      <c r="Q224" s="1">
        <v>76.0</v>
      </c>
      <c r="V224" s="2">
        <f>VLOOKUP(B224,'202324'!B:C,2,FALSE)-A224</f>
        <v>-5</v>
      </c>
    </row>
    <row r="225">
      <c r="A225" s="1">
        <f t="shared" si="1"/>
        <v>223</v>
      </c>
      <c r="B225" s="1" t="s">
        <v>1283</v>
      </c>
      <c r="C225" s="1" t="s">
        <v>1087</v>
      </c>
      <c r="D225" s="1" t="s">
        <v>66</v>
      </c>
      <c r="E225" s="11">
        <f t="shared" si="2"/>
        <v>275.45</v>
      </c>
      <c r="F225" s="11">
        <f t="shared" si="3"/>
        <v>3.400617284</v>
      </c>
      <c r="G225" s="1">
        <v>81.0</v>
      </c>
      <c r="H225" s="1">
        <v>7.0</v>
      </c>
      <c r="I225" s="1">
        <v>15.0</v>
      </c>
      <c r="J225" s="1">
        <v>22.0</v>
      </c>
      <c r="K225" s="1">
        <v>117.0</v>
      </c>
      <c r="L225" s="1">
        <v>0.0</v>
      </c>
      <c r="M225" s="1">
        <v>0.0</v>
      </c>
      <c r="N225" s="1">
        <v>0.0</v>
      </c>
      <c r="O225" s="1">
        <v>0.0</v>
      </c>
      <c r="P225" s="1">
        <v>157.0</v>
      </c>
      <c r="Q225" s="1">
        <v>171.0</v>
      </c>
      <c r="V225" s="2">
        <f>VLOOKUP(B225,'202324'!B:C,2,FALSE)-A225</f>
        <v>10</v>
      </c>
    </row>
    <row r="226">
      <c r="A226" s="1">
        <f t="shared" si="1"/>
        <v>224</v>
      </c>
      <c r="B226" s="1" t="s">
        <v>1284</v>
      </c>
      <c r="C226" s="1" t="s">
        <v>1052</v>
      </c>
      <c r="D226" s="1" t="s">
        <v>31</v>
      </c>
      <c r="E226" s="11">
        <f t="shared" si="2"/>
        <v>275.2</v>
      </c>
      <c r="F226" s="11">
        <f t="shared" si="3"/>
        <v>3.931428571</v>
      </c>
      <c r="G226" s="1">
        <v>70.0</v>
      </c>
      <c r="H226" s="1">
        <v>15.0</v>
      </c>
      <c r="I226" s="1">
        <v>22.0</v>
      </c>
      <c r="J226" s="1">
        <v>37.0</v>
      </c>
      <c r="K226" s="1">
        <v>165.0</v>
      </c>
      <c r="L226" s="1">
        <v>4.0</v>
      </c>
      <c r="M226" s="1">
        <v>2.0</v>
      </c>
      <c r="N226" s="1">
        <v>0.0</v>
      </c>
      <c r="O226" s="1">
        <v>0.0</v>
      </c>
      <c r="P226" s="1">
        <v>112.0</v>
      </c>
      <c r="Q226" s="1">
        <v>40.0</v>
      </c>
      <c r="V226" s="2">
        <f>VLOOKUP(B226,'202324'!B:C,2,FALSE)-A226</f>
        <v>2</v>
      </c>
    </row>
    <row r="227">
      <c r="A227" s="1">
        <f t="shared" si="1"/>
        <v>225</v>
      </c>
      <c r="B227" s="1" t="s">
        <v>1285</v>
      </c>
      <c r="C227" s="1" t="s">
        <v>1116</v>
      </c>
      <c r="D227" s="1" t="s">
        <v>36</v>
      </c>
      <c r="E227" s="11">
        <f t="shared" si="2"/>
        <v>274.9</v>
      </c>
      <c r="F227" s="11">
        <f t="shared" si="3"/>
        <v>3.57012987</v>
      </c>
      <c r="G227" s="1">
        <v>77.0</v>
      </c>
      <c r="H227" s="1">
        <v>18.0</v>
      </c>
      <c r="I227" s="1">
        <v>16.0</v>
      </c>
      <c r="J227" s="1">
        <v>34.0</v>
      </c>
      <c r="K227" s="1">
        <v>170.0</v>
      </c>
      <c r="L227" s="1">
        <v>3.0</v>
      </c>
      <c r="M227" s="1">
        <v>1.0</v>
      </c>
      <c r="N227" s="1">
        <v>0.0</v>
      </c>
      <c r="O227" s="1">
        <v>0.0</v>
      </c>
      <c r="P227" s="1">
        <v>114.0</v>
      </c>
      <c r="Q227" s="1">
        <v>42.0</v>
      </c>
      <c r="V227" s="2">
        <f>VLOOKUP(B227,'202324'!B:C,2,FALSE)-A227</f>
        <v>3</v>
      </c>
    </row>
    <row r="228">
      <c r="A228" s="1">
        <f t="shared" si="1"/>
        <v>226</v>
      </c>
      <c r="B228" s="1" t="s">
        <v>1286</v>
      </c>
      <c r="C228" s="1" t="s">
        <v>1091</v>
      </c>
      <c r="D228" s="1" t="s">
        <v>36</v>
      </c>
      <c r="E228" s="11">
        <f t="shared" si="2"/>
        <v>274.7</v>
      </c>
      <c r="F228" s="11">
        <f t="shared" si="3"/>
        <v>3.567532468</v>
      </c>
      <c r="G228" s="1">
        <v>77.0</v>
      </c>
      <c r="H228" s="1">
        <v>20.0</v>
      </c>
      <c r="I228" s="1">
        <v>13.0</v>
      </c>
      <c r="J228" s="1">
        <v>33.0</v>
      </c>
      <c r="K228" s="1">
        <v>167.0</v>
      </c>
      <c r="L228" s="1">
        <v>4.0</v>
      </c>
      <c r="M228" s="1">
        <v>4.0</v>
      </c>
      <c r="N228" s="1">
        <v>1.0</v>
      </c>
      <c r="O228" s="1">
        <v>0.0</v>
      </c>
      <c r="P228" s="1">
        <v>102.0</v>
      </c>
      <c r="Q228" s="1">
        <v>49.0</v>
      </c>
      <c r="V228" s="2">
        <f>VLOOKUP(B228,'202324'!B:C,2,FALSE)-A228</f>
        <v>-3</v>
      </c>
    </row>
    <row r="229">
      <c r="A229" s="1">
        <f t="shared" si="1"/>
        <v>227</v>
      </c>
      <c r="B229" s="1" t="s">
        <v>1287</v>
      </c>
      <c r="C229" s="1" t="s">
        <v>1175</v>
      </c>
      <c r="D229" s="1" t="s">
        <v>28</v>
      </c>
      <c r="E229" s="11">
        <f t="shared" si="2"/>
        <v>274.65</v>
      </c>
      <c r="F229" s="11">
        <f t="shared" si="3"/>
        <v>3.433125</v>
      </c>
      <c r="G229" s="1">
        <v>80.0</v>
      </c>
      <c r="H229" s="1">
        <v>16.0</v>
      </c>
      <c r="I229" s="1">
        <v>29.0</v>
      </c>
      <c r="J229" s="1">
        <v>45.0</v>
      </c>
      <c r="K229" s="1">
        <v>128.0</v>
      </c>
      <c r="L229" s="1">
        <v>8.0</v>
      </c>
      <c r="M229" s="1">
        <v>8.0</v>
      </c>
      <c r="N229" s="1">
        <v>0.0</v>
      </c>
      <c r="O229" s="1">
        <v>1.0</v>
      </c>
      <c r="P229" s="1">
        <v>39.0</v>
      </c>
      <c r="Q229" s="1">
        <v>72.0</v>
      </c>
      <c r="V229" s="2">
        <f>VLOOKUP(B229,'202324'!B:C,2,FALSE)-A229</f>
        <v>-14</v>
      </c>
    </row>
    <row r="230">
      <c r="A230" s="1">
        <f t="shared" si="1"/>
        <v>227</v>
      </c>
      <c r="B230" s="1" t="s">
        <v>1288</v>
      </c>
      <c r="C230" s="1" t="s">
        <v>1156</v>
      </c>
      <c r="D230" s="1" t="s">
        <v>31</v>
      </c>
      <c r="E230" s="11">
        <f t="shared" si="2"/>
        <v>274.65</v>
      </c>
      <c r="F230" s="11">
        <f t="shared" si="3"/>
        <v>3.566883117</v>
      </c>
      <c r="G230" s="1">
        <v>77.0</v>
      </c>
      <c r="H230" s="1">
        <v>13.0</v>
      </c>
      <c r="I230" s="1">
        <v>19.0</v>
      </c>
      <c r="J230" s="1">
        <v>32.0</v>
      </c>
      <c r="K230" s="1">
        <v>157.0</v>
      </c>
      <c r="L230" s="1">
        <v>1.0</v>
      </c>
      <c r="M230" s="1">
        <v>0.0</v>
      </c>
      <c r="N230" s="1">
        <v>0.0</v>
      </c>
      <c r="O230" s="1">
        <v>1.0</v>
      </c>
      <c r="P230" s="1">
        <v>119.0</v>
      </c>
      <c r="Q230" s="1">
        <v>74.0</v>
      </c>
      <c r="V230" s="2">
        <f>VLOOKUP(B230,'202324'!B:C,2,FALSE)-A230</f>
        <v>2</v>
      </c>
    </row>
    <row r="231">
      <c r="A231" s="1">
        <f t="shared" si="1"/>
        <v>229</v>
      </c>
      <c r="B231" s="1" t="s">
        <v>1289</v>
      </c>
      <c r="C231" s="1" t="s">
        <v>1080</v>
      </c>
      <c r="D231" s="1" t="s">
        <v>66</v>
      </c>
      <c r="E231" s="11">
        <f t="shared" si="2"/>
        <v>273.6</v>
      </c>
      <c r="F231" s="11">
        <f t="shared" si="3"/>
        <v>4.275</v>
      </c>
      <c r="G231" s="1">
        <v>64.0</v>
      </c>
      <c r="H231" s="1">
        <v>4.0</v>
      </c>
      <c r="I231" s="1">
        <v>29.0</v>
      </c>
      <c r="J231" s="1">
        <v>33.0</v>
      </c>
      <c r="K231" s="1">
        <v>141.0</v>
      </c>
      <c r="L231" s="1">
        <v>0.0</v>
      </c>
      <c r="M231" s="1">
        <v>9.0</v>
      </c>
      <c r="N231" s="1">
        <v>0.0</v>
      </c>
      <c r="O231" s="1">
        <v>1.0</v>
      </c>
      <c r="P231" s="1">
        <v>46.0</v>
      </c>
      <c r="Q231" s="1">
        <v>160.0</v>
      </c>
      <c r="V231" s="2">
        <f>VLOOKUP(B231,'202324'!B:C,2,FALSE)-A231</f>
        <v>-13</v>
      </c>
    </row>
    <row r="232">
      <c r="A232" s="1">
        <f t="shared" si="1"/>
        <v>230</v>
      </c>
      <c r="B232" s="1" t="s">
        <v>1290</v>
      </c>
      <c r="C232" s="1" t="s">
        <v>1034</v>
      </c>
      <c r="D232" s="1" t="s">
        <v>5</v>
      </c>
      <c r="E232" s="11">
        <f t="shared" si="2"/>
        <v>272.7</v>
      </c>
      <c r="F232" s="11">
        <f t="shared" si="3"/>
        <v>5.244230769</v>
      </c>
      <c r="G232" s="1">
        <v>52.0</v>
      </c>
      <c r="R232" s="1">
        <v>30.0</v>
      </c>
      <c r="S232" s="1">
        <v>148.0</v>
      </c>
      <c r="T232" s="12">
        <v>1329.0</v>
      </c>
      <c r="U232" s="1">
        <v>2.0</v>
      </c>
      <c r="V232" s="2">
        <f>VLOOKUP(B232,'202324'!B:C,2,FALSE)-A232</f>
        <v>-18</v>
      </c>
    </row>
    <row r="233">
      <c r="A233" s="1">
        <f t="shared" si="1"/>
        <v>231</v>
      </c>
      <c r="B233" s="1" t="s">
        <v>1291</v>
      </c>
      <c r="C233" s="1" t="s">
        <v>1091</v>
      </c>
      <c r="D233" s="1" t="s">
        <v>31</v>
      </c>
      <c r="E233" s="11">
        <f t="shared" si="2"/>
        <v>271.65</v>
      </c>
      <c r="F233" s="11">
        <f t="shared" si="3"/>
        <v>3.670945946</v>
      </c>
      <c r="G233" s="1">
        <v>74.0</v>
      </c>
      <c r="H233" s="1">
        <v>11.0</v>
      </c>
      <c r="I233" s="1">
        <v>27.0</v>
      </c>
      <c r="J233" s="1">
        <v>38.0</v>
      </c>
      <c r="K233" s="1">
        <v>192.0</v>
      </c>
      <c r="L233" s="1">
        <v>3.0</v>
      </c>
      <c r="M233" s="1">
        <v>4.0</v>
      </c>
      <c r="N233" s="1">
        <v>0.0</v>
      </c>
      <c r="O233" s="1">
        <v>2.0</v>
      </c>
      <c r="P233" s="1">
        <v>59.0</v>
      </c>
      <c r="Q233" s="1">
        <v>41.0</v>
      </c>
      <c r="V233" s="2">
        <f>VLOOKUP(B233,'202324'!B:C,2,FALSE)-A233</f>
        <v>-10</v>
      </c>
    </row>
    <row r="234">
      <c r="A234" s="1">
        <f t="shared" si="1"/>
        <v>232</v>
      </c>
      <c r="B234" s="1" t="s">
        <v>1292</v>
      </c>
      <c r="C234" s="1" t="s">
        <v>1052</v>
      </c>
      <c r="D234" s="1" t="s">
        <v>66</v>
      </c>
      <c r="E234" s="11">
        <f t="shared" si="2"/>
        <v>270.85</v>
      </c>
      <c r="F234" s="11">
        <f t="shared" si="3"/>
        <v>3.30304878</v>
      </c>
      <c r="G234" s="1">
        <v>82.0</v>
      </c>
      <c r="H234" s="1">
        <v>4.0</v>
      </c>
      <c r="I234" s="1">
        <v>26.0</v>
      </c>
      <c r="J234" s="1">
        <v>30.0</v>
      </c>
      <c r="K234" s="1">
        <v>106.0</v>
      </c>
      <c r="L234" s="1">
        <v>0.0</v>
      </c>
      <c r="M234" s="1">
        <v>0.0</v>
      </c>
      <c r="N234" s="1">
        <v>0.0</v>
      </c>
      <c r="O234" s="1">
        <v>0.0</v>
      </c>
      <c r="P234" s="1">
        <v>121.0</v>
      </c>
      <c r="Q234" s="1">
        <v>159.0</v>
      </c>
      <c r="V234" s="2">
        <f>VLOOKUP(B234,'202324'!B:C,2,FALSE)-A234</f>
        <v>4</v>
      </c>
    </row>
    <row r="235">
      <c r="A235" s="1">
        <f t="shared" si="1"/>
        <v>233</v>
      </c>
      <c r="B235" s="1" t="s">
        <v>1293</v>
      </c>
      <c r="C235" s="1" t="s">
        <v>1175</v>
      </c>
      <c r="D235" s="1" t="s">
        <v>66</v>
      </c>
      <c r="E235" s="11">
        <f t="shared" si="2"/>
        <v>270.4</v>
      </c>
      <c r="F235" s="11">
        <f t="shared" si="3"/>
        <v>3.466666667</v>
      </c>
      <c r="G235" s="1">
        <v>78.0</v>
      </c>
      <c r="H235" s="1">
        <v>3.0</v>
      </c>
      <c r="I235" s="1">
        <v>18.0</v>
      </c>
      <c r="J235" s="1">
        <v>21.0</v>
      </c>
      <c r="K235" s="1">
        <v>124.0</v>
      </c>
      <c r="L235" s="1">
        <v>0.0</v>
      </c>
      <c r="M235" s="1">
        <v>0.0</v>
      </c>
      <c r="N235" s="1">
        <v>0.0</v>
      </c>
      <c r="O235" s="1">
        <v>0.0</v>
      </c>
      <c r="P235" s="1">
        <v>124.0</v>
      </c>
      <c r="Q235" s="1">
        <v>195.0</v>
      </c>
      <c r="V235" s="2">
        <f>VLOOKUP(B235,'202324'!B:C,2,FALSE)-A235</f>
        <v>6</v>
      </c>
    </row>
    <row r="236">
      <c r="A236" s="1">
        <f t="shared" si="1"/>
        <v>234</v>
      </c>
      <c r="B236" s="1" t="s">
        <v>1294</v>
      </c>
      <c r="C236" s="1" t="s">
        <v>1111</v>
      </c>
      <c r="D236" s="1" t="s">
        <v>31</v>
      </c>
      <c r="E236" s="11">
        <f t="shared" si="2"/>
        <v>270.15</v>
      </c>
      <c r="F236" s="11">
        <f t="shared" si="3"/>
        <v>3.294512195</v>
      </c>
      <c r="G236" s="1">
        <v>82.0</v>
      </c>
      <c r="H236" s="1">
        <v>20.0</v>
      </c>
      <c r="I236" s="1">
        <v>24.0</v>
      </c>
      <c r="J236" s="1">
        <v>44.0</v>
      </c>
      <c r="K236" s="1">
        <v>151.0</v>
      </c>
      <c r="L236" s="1">
        <v>3.0</v>
      </c>
      <c r="M236" s="1">
        <v>10.0</v>
      </c>
      <c r="N236" s="1">
        <v>1.0</v>
      </c>
      <c r="O236" s="1">
        <v>0.0</v>
      </c>
      <c r="P236" s="1">
        <v>49.0</v>
      </c>
      <c r="Q236" s="1">
        <v>27.0</v>
      </c>
      <c r="V236" s="2">
        <f>VLOOKUP(B236,'202324'!B:C,2,FALSE)-A236</f>
        <v>-12</v>
      </c>
    </row>
    <row r="237">
      <c r="A237" s="1">
        <f t="shared" si="1"/>
        <v>235</v>
      </c>
      <c r="B237" s="1" t="s">
        <v>1295</v>
      </c>
      <c r="C237" s="1" t="s">
        <v>1146</v>
      </c>
      <c r="D237" s="1" t="s">
        <v>5</v>
      </c>
      <c r="E237" s="11">
        <f t="shared" si="2"/>
        <v>269.4</v>
      </c>
      <c r="F237" s="11">
        <f t="shared" si="3"/>
        <v>5.388</v>
      </c>
      <c r="G237" s="1">
        <v>50.0</v>
      </c>
      <c r="R237" s="1">
        <v>19.0</v>
      </c>
      <c r="S237" s="1">
        <v>116.0</v>
      </c>
      <c r="T237" s="12">
        <v>1258.0</v>
      </c>
      <c r="U237" s="1">
        <v>3.0</v>
      </c>
      <c r="V237" s="2">
        <f>VLOOKUP(B237,'202324'!B:C,2,FALSE)-A237</f>
        <v>-20</v>
      </c>
    </row>
    <row r="238">
      <c r="A238" s="1">
        <f t="shared" si="1"/>
        <v>236</v>
      </c>
      <c r="B238" s="1" t="s">
        <v>1296</v>
      </c>
      <c r="C238" s="1" t="s">
        <v>1046</v>
      </c>
      <c r="D238" s="1" t="s">
        <v>28</v>
      </c>
      <c r="E238" s="11">
        <f t="shared" si="2"/>
        <v>269.35</v>
      </c>
      <c r="F238" s="11">
        <f t="shared" si="3"/>
        <v>4.275396825</v>
      </c>
      <c r="G238" s="1">
        <v>63.0</v>
      </c>
      <c r="H238" s="1">
        <v>18.0</v>
      </c>
      <c r="I238" s="1">
        <v>14.0</v>
      </c>
      <c r="J238" s="1">
        <v>32.0</v>
      </c>
      <c r="K238" s="1">
        <v>84.0</v>
      </c>
      <c r="L238" s="1">
        <v>1.0</v>
      </c>
      <c r="M238" s="1">
        <v>0.0</v>
      </c>
      <c r="N238" s="1">
        <v>0.0</v>
      </c>
      <c r="O238" s="1">
        <v>0.0</v>
      </c>
      <c r="P238" s="1">
        <v>241.0</v>
      </c>
      <c r="Q238" s="1">
        <v>40.0</v>
      </c>
      <c r="V238" s="2">
        <f>VLOOKUP(B238,'202324'!B:C,2,FALSE)-A238</f>
        <v>28</v>
      </c>
    </row>
    <row r="239">
      <c r="A239" s="1">
        <f t="shared" si="1"/>
        <v>237</v>
      </c>
      <c r="B239" s="1" t="s">
        <v>1297</v>
      </c>
      <c r="C239" s="1" t="s">
        <v>1091</v>
      </c>
      <c r="D239" s="1" t="s">
        <v>36</v>
      </c>
      <c r="E239" s="11">
        <f t="shared" si="2"/>
        <v>269.25</v>
      </c>
      <c r="F239" s="11">
        <f t="shared" si="3"/>
        <v>3.283536585</v>
      </c>
      <c r="G239" s="1">
        <v>82.0</v>
      </c>
      <c r="H239" s="1">
        <v>7.0</v>
      </c>
      <c r="I239" s="1">
        <v>10.0</v>
      </c>
      <c r="J239" s="1">
        <v>17.0</v>
      </c>
      <c r="K239" s="1">
        <v>103.0</v>
      </c>
      <c r="L239" s="1">
        <v>0.0</v>
      </c>
      <c r="M239" s="1">
        <v>0.0</v>
      </c>
      <c r="N239" s="1">
        <v>1.0</v>
      </c>
      <c r="O239" s="1">
        <v>2.0</v>
      </c>
      <c r="P239" s="1">
        <v>325.0</v>
      </c>
      <c r="Q239" s="1">
        <v>73.0</v>
      </c>
      <c r="V239" s="2">
        <f>VLOOKUP(B239,'202324'!B:C,2,FALSE)-A239</f>
        <v>50</v>
      </c>
    </row>
    <row r="240">
      <c r="A240" s="1">
        <f t="shared" si="1"/>
        <v>238</v>
      </c>
      <c r="B240" s="1" t="s">
        <v>1298</v>
      </c>
      <c r="C240" s="1" t="s">
        <v>1078</v>
      </c>
      <c r="D240" s="1" t="s">
        <v>31</v>
      </c>
      <c r="E240" s="11">
        <f t="shared" si="2"/>
        <v>269.1</v>
      </c>
      <c r="F240" s="11">
        <f t="shared" si="3"/>
        <v>3.281707317</v>
      </c>
      <c r="G240" s="1">
        <v>82.0</v>
      </c>
      <c r="H240" s="1">
        <v>16.0</v>
      </c>
      <c r="I240" s="1">
        <v>24.0</v>
      </c>
      <c r="J240" s="1">
        <v>40.0</v>
      </c>
      <c r="K240" s="1">
        <v>146.0</v>
      </c>
      <c r="L240" s="1">
        <v>7.0</v>
      </c>
      <c r="M240" s="1">
        <v>1.0</v>
      </c>
      <c r="N240" s="1">
        <v>0.0</v>
      </c>
      <c r="O240" s="1">
        <v>0.0</v>
      </c>
      <c r="P240" s="1">
        <v>96.0</v>
      </c>
      <c r="Q240" s="1">
        <v>37.0</v>
      </c>
      <c r="V240" s="2">
        <f>VLOOKUP(B240,'202324'!B:C,2,FALSE)-A240</f>
        <v>-3</v>
      </c>
    </row>
    <row r="241">
      <c r="A241" s="1">
        <f t="shared" si="1"/>
        <v>239</v>
      </c>
      <c r="B241" s="1" t="s">
        <v>1299</v>
      </c>
      <c r="C241" s="1" t="s">
        <v>1076</v>
      </c>
      <c r="D241" s="1" t="s">
        <v>31</v>
      </c>
      <c r="E241" s="11">
        <f t="shared" si="2"/>
        <v>267.55</v>
      </c>
      <c r="F241" s="11">
        <f t="shared" si="3"/>
        <v>3.520394737</v>
      </c>
      <c r="G241" s="1">
        <v>76.0</v>
      </c>
      <c r="H241" s="1">
        <v>16.0</v>
      </c>
      <c r="I241" s="1">
        <v>19.0</v>
      </c>
      <c r="J241" s="1">
        <v>35.0</v>
      </c>
      <c r="K241" s="1">
        <v>155.0</v>
      </c>
      <c r="L241" s="1">
        <v>1.0</v>
      </c>
      <c r="M241" s="1">
        <v>2.0</v>
      </c>
      <c r="N241" s="1">
        <v>1.0</v>
      </c>
      <c r="O241" s="1">
        <v>1.0</v>
      </c>
      <c r="P241" s="1">
        <v>93.0</v>
      </c>
      <c r="Q241" s="1">
        <v>49.0</v>
      </c>
      <c r="V241" s="2">
        <f>VLOOKUP(B241,'202324'!B:C,2,FALSE)-A241</f>
        <v>-2</v>
      </c>
    </row>
    <row r="242">
      <c r="A242" s="1">
        <f t="shared" si="1"/>
        <v>240</v>
      </c>
      <c r="B242" s="1" t="s">
        <v>1300</v>
      </c>
      <c r="C242" s="1" t="s">
        <v>1065</v>
      </c>
      <c r="D242" s="1" t="s">
        <v>66</v>
      </c>
      <c r="E242" s="11">
        <f t="shared" si="2"/>
        <v>267.2</v>
      </c>
      <c r="F242" s="11">
        <f t="shared" si="3"/>
        <v>4.048484848</v>
      </c>
      <c r="G242" s="1">
        <v>66.0</v>
      </c>
      <c r="H242" s="1">
        <v>6.0</v>
      </c>
      <c r="I242" s="1">
        <v>12.0</v>
      </c>
      <c r="J242" s="1">
        <v>18.0</v>
      </c>
      <c r="K242" s="1">
        <v>88.0</v>
      </c>
      <c r="L242" s="1">
        <v>0.0</v>
      </c>
      <c r="M242" s="1">
        <v>0.0</v>
      </c>
      <c r="N242" s="1">
        <v>0.0</v>
      </c>
      <c r="O242" s="1">
        <v>1.0</v>
      </c>
      <c r="P242" s="1">
        <v>232.0</v>
      </c>
      <c r="Q242" s="1">
        <v>154.0</v>
      </c>
      <c r="V242" s="2">
        <f>VLOOKUP(B242,'202324'!B:C,2,FALSE)-A242</f>
        <v>28</v>
      </c>
    </row>
    <row r="243">
      <c r="A243" s="1">
        <f t="shared" si="1"/>
        <v>241</v>
      </c>
      <c r="B243" s="1" t="s">
        <v>1301</v>
      </c>
      <c r="C243" s="1" t="s">
        <v>1116</v>
      </c>
      <c r="D243" s="1" t="s">
        <v>66</v>
      </c>
      <c r="E243" s="11">
        <f t="shared" si="2"/>
        <v>266.95</v>
      </c>
      <c r="F243" s="11">
        <f t="shared" si="3"/>
        <v>3.255487805</v>
      </c>
      <c r="G243" s="1">
        <v>82.0</v>
      </c>
      <c r="H243" s="1">
        <v>3.0</v>
      </c>
      <c r="I243" s="1">
        <v>28.0</v>
      </c>
      <c r="J243" s="1">
        <v>31.0</v>
      </c>
      <c r="K243" s="1">
        <v>83.0</v>
      </c>
      <c r="L243" s="1">
        <v>0.0</v>
      </c>
      <c r="M243" s="1">
        <v>1.0</v>
      </c>
      <c r="N243" s="1">
        <v>0.0</v>
      </c>
      <c r="O243" s="1">
        <v>0.0</v>
      </c>
      <c r="P243" s="1">
        <v>167.0</v>
      </c>
      <c r="Q243" s="1">
        <v>139.0</v>
      </c>
      <c r="V243" s="2">
        <f>VLOOKUP(B243,'202324'!B:C,2,FALSE)-A243</f>
        <v>13</v>
      </c>
    </row>
    <row r="244">
      <c r="A244" s="1">
        <f t="shared" si="1"/>
        <v>242</v>
      </c>
      <c r="B244" s="1" t="s">
        <v>1302</v>
      </c>
      <c r="C244" s="1" t="s">
        <v>1080</v>
      </c>
      <c r="D244" s="1" t="s">
        <v>31</v>
      </c>
      <c r="E244" s="11">
        <f t="shared" si="2"/>
        <v>266.55</v>
      </c>
      <c r="F244" s="11">
        <f t="shared" si="3"/>
        <v>3.554</v>
      </c>
      <c r="G244" s="1">
        <v>75.0</v>
      </c>
      <c r="H244" s="1">
        <v>16.0</v>
      </c>
      <c r="I244" s="1">
        <v>35.0</v>
      </c>
      <c r="J244" s="1">
        <v>51.0</v>
      </c>
      <c r="K244" s="1">
        <v>97.0</v>
      </c>
      <c r="L244" s="1">
        <v>4.0</v>
      </c>
      <c r="M244" s="1">
        <v>9.0</v>
      </c>
      <c r="N244" s="1">
        <v>2.0</v>
      </c>
      <c r="O244" s="1">
        <v>1.0</v>
      </c>
      <c r="P244" s="1">
        <v>43.0</v>
      </c>
      <c r="Q244" s="1">
        <v>40.0</v>
      </c>
      <c r="V244" s="2">
        <f>VLOOKUP(B244,'202324'!B:C,2,FALSE)-A244</f>
        <v>-12</v>
      </c>
    </row>
    <row r="245">
      <c r="A245" s="1">
        <f t="shared" si="1"/>
        <v>243</v>
      </c>
      <c r="B245" s="1" t="s">
        <v>1303</v>
      </c>
      <c r="C245" s="1" t="s">
        <v>1054</v>
      </c>
      <c r="D245" s="1" t="s">
        <v>31</v>
      </c>
      <c r="E245" s="11">
        <f t="shared" si="2"/>
        <v>265.4</v>
      </c>
      <c r="F245" s="11">
        <f t="shared" si="3"/>
        <v>3.236585366</v>
      </c>
      <c r="G245" s="1">
        <v>82.0</v>
      </c>
      <c r="H245" s="1">
        <v>21.0</v>
      </c>
      <c r="I245" s="1">
        <v>19.0</v>
      </c>
      <c r="J245" s="1">
        <v>40.0</v>
      </c>
      <c r="K245" s="1">
        <v>167.0</v>
      </c>
      <c r="L245" s="1">
        <v>2.0</v>
      </c>
      <c r="M245" s="1">
        <v>4.0</v>
      </c>
      <c r="N245" s="1">
        <v>0.0</v>
      </c>
      <c r="O245" s="1">
        <v>0.0</v>
      </c>
      <c r="P245" s="1">
        <v>34.0</v>
      </c>
      <c r="Q245" s="1">
        <v>37.0</v>
      </c>
      <c r="V245" s="2">
        <f>VLOOKUP(B245,'202324'!B:C,2,FALSE)-A245</f>
        <v>-12</v>
      </c>
    </row>
    <row r="246">
      <c r="A246" s="1">
        <f t="shared" si="1"/>
        <v>244</v>
      </c>
      <c r="B246" s="1" t="s">
        <v>1304</v>
      </c>
      <c r="C246" s="1" t="s">
        <v>1048</v>
      </c>
      <c r="D246" s="1" t="s">
        <v>66</v>
      </c>
      <c r="E246" s="11">
        <f t="shared" si="2"/>
        <v>264.55</v>
      </c>
      <c r="F246" s="11">
        <f t="shared" si="3"/>
        <v>4.008333333</v>
      </c>
      <c r="G246" s="1">
        <v>66.0</v>
      </c>
      <c r="H246" s="1">
        <v>8.0</v>
      </c>
      <c r="I246" s="1">
        <v>25.0</v>
      </c>
      <c r="J246" s="1">
        <v>33.0</v>
      </c>
      <c r="K246" s="1">
        <v>168.0</v>
      </c>
      <c r="L246" s="1">
        <v>1.0</v>
      </c>
      <c r="M246" s="1">
        <v>16.0</v>
      </c>
      <c r="N246" s="1">
        <v>0.0</v>
      </c>
      <c r="O246" s="1">
        <v>0.0</v>
      </c>
      <c r="P246" s="1">
        <v>103.0</v>
      </c>
      <c r="Q246" s="1">
        <v>67.0</v>
      </c>
      <c r="V246" s="2">
        <f>VLOOKUP(B246,'202324'!B:C,2,FALSE)-A246</f>
        <v>1</v>
      </c>
    </row>
    <row r="247">
      <c r="A247" s="1">
        <f t="shared" si="1"/>
        <v>245</v>
      </c>
      <c r="B247" s="1" t="s">
        <v>1305</v>
      </c>
      <c r="C247" s="1" t="s">
        <v>1146</v>
      </c>
      <c r="D247" s="1" t="s">
        <v>36</v>
      </c>
      <c r="E247" s="11">
        <f t="shared" si="2"/>
        <v>263.5</v>
      </c>
      <c r="F247" s="11">
        <f t="shared" si="3"/>
        <v>3.378205128</v>
      </c>
      <c r="G247" s="1">
        <v>78.0</v>
      </c>
      <c r="H247" s="1">
        <v>17.0</v>
      </c>
      <c r="I247" s="1">
        <v>27.0</v>
      </c>
      <c r="J247" s="1">
        <v>44.0</v>
      </c>
      <c r="K247" s="1">
        <v>168.0</v>
      </c>
      <c r="L247" s="1">
        <v>6.0</v>
      </c>
      <c r="M247" s="1">
        <v>6.0</v>
      </c>
      <c r="N247" s="1">
        <v>0.0</v>
      </c>
      <c r="O247" s="1">
        <v>0.0</v>
      </c>
      <c r="P247" s="1">
        <v>30.0</v>
      </c>
      <c r="Q247" s="1">
        <v>23.0</v>
      </c>
      <c r="V247" s="2">
        <f>VLOOKUP(B247,'202324'!B:C,2,FALSE)-A247</f>
        <v>-13</v>
      </c>
    </row>
    <row r="248">
      <c r="A248" s="1">
        <f t="shared" si="1"/>
        <v>246</v>
      </c>
      <c r="B248" s="1" t="s">
        <v>1306</v>
      </c>
      <c r="C248" s="1" t="s">
        <v>1065</v>
      </c>
      <c r="D248" s="1" t="s">
        <v>31</v>
      </c>
      <c r="E248" s="11">
        <f t="shared" si="2"/>
        <v>263.45</v>
      </c>
      <c r="F248" s="11">
        <f t="shared" si="3"/>
        <v>4.11640625</v>
      </c>
      <c r="G248" s="1">
        <v>64.0</v>
      </c>
      <c r="H248" s="1">
        <v>19.0</v>
      </c>
      <c r="I248" s="1">
        <v>23.0</v>
      </c>
      <c r="J248" s="1">
        <v>42.0</v>
      </c>
      <c r="K248" s="1">
        <v>130.0</v>
      </c>
      <c r="L248" s="1">
        <v>4.0</v>
      </c>
      <c r="M248" s="1">
        <v>4.0</v>
      </c>
      <c r="N248" s="1">
        <v>1.0</v>
      </c>
      <c r="O248" s="1">
        <v>1.0</v>
      </c>
      <c r="P248" s="1">
        <v>67.0</v>
      </c>
      <c r="Q248" s="1">
        <v>33.0</v>
      </c>
      <c r="V248" s="2">
        <f>VLOOKUP(B248,'202324'!B:C,2,FALSE)-A248</f>
        <v>-6</v>
      </c>
    </row>
    <row r="249">
      <c r="A249" s="1">
        <f t="shared" si="1"/>
        <v>247</v>
      </c>
      <c r="B249" s="1" t="s">
        <v>1307</v>
      </c>
      <c r="C249" s="1" t="s">
        <v>1040</v>
      </c>
      <c r="D249" s="1" t="s">
        <v>66</v>
      </c>
      <c r="E249" s="11">
        <f t="shared" si="2"/>
        <v>262.3</v>
      </c>
      <c r="F249" s="11">
        <f t="shared" si="3"/>
        <v>3.27875</v>
      </c>
      <c r="G249" s="1">
        <v>80.0</v>
      </c>
      <c r="H249" s="1">
        <v>8.0</v>
      </c>
      <c r="I249" s="1">
        <v>22.0</v>
      </c>
      <c r="J249" s="1">
        <v>30.0</v>
      </c>
      <c r="K249" s="1">
        <v>96.0</v>
      </c>
      <c r="L249" s="1">
        <v>0.0</v>
      </c>
      <c r="M249" s="1">
        <v>1.0</v>
      </c>
      <c r="N249" s="1">
        <v>0.0</v>
      </c>
      <c r="O249" s="1">
        <v>1.0</v>
      </c>
      <c r="P249" s="1">
        <v>148.0</v>
      </c>
      <c r="Q249" s="1">
        <v>117.0</v>
      </c>
      <c r="V249" s="2">
        <f>VLOOKUP(B249,'202324'!B:C,2,FALSE)-A249</f>
        <v>11</v>
      </c>
    </row>
    <row r="250">
      <c r="A250" s="1">
        <f t="shared" si="1"/>
        <v>247</v>
      </c>
      <c r="B250" s="1" t="s">
        <v>1308</v>
      </c>
      <c r="C250" s="1" t="s">
        <v>1054</v>
      </c>
      <c r="D250" s="1" t="s">
        <v>66</v>
      </c>
      <c r="E250" s="11">
        <f t="shared" si="2"/>
        <v>262.3</v>
      </c>
      <c r="F250" s="11">
        <f t="shared" si="3"/>
        <v>3.27875</v>
      </c>
      <c r="G250" s="1">
        <v>80.0</v>
      </c>
      <c r="H250" s="1">
        <v>7.0</v>
      </c>
      <c r="I250" s="1">
        <v>18.0</v>
      </c>
      <c r="J250" s="1">
        <v>25.0</v>
      </c>
      <c r="K250" s="1">
        <v>85.0</v>
      </c>
      <c r="L250" s="1">
        <v>0.0</v>
      </c>
      <c r="M250" s="1">
        <v>0.0</v>
      </c>
      <c r="N250" s="1">
        <v>0.0</v>
      </c>
      <c r="O250" s="1">
        <v>1.0</v>
      </c>
      <c r="P250" s="1">
        <v>148.0</v>
      </c>
      <c r="Q250" s="1">
        <v>161.0</v>
      </c>
      <c r="V250" s="2">
        <f>VLOOKUP(B250,'202324'!B:C,2,FALSE)-A250</f>
        <v>11</v>
      </c>
    </row>
    <row r="251">
      <c r="A251" s="1">
        <f t="shared" si="1"/>
        <v>249</v>
      </c>
      <c r="B251" s="1" t="s">
        <v>1309</v>
      </c>
      <c r="C251" s="1" t="s">
        <v>1146</v>
      </c>
      <c r="D251" s="1" t="s">
        <v>66</v>
      </c>
      <c r="E251" s="11">
        <f t="shared" si="2"/>
        <v>262.15</v>
      </c>
      <c r="F251" s="11">
        <f t="shared" si="3"/>
        <v>4.443220339</v>
      </c>
      <c r="G251" s="1">
        <v>59.0</v>
      </c>
      <c r="H251" s="1">
        <v>11.0</v>
      </c>
      <c r="I251" s="1">
        <v>35.0</v>
      </c>
      <c r="J251" s="1">
        <v>46.0</v>
      </c>
      <c r="K251" s="1">
        <v>120.0</v>
      </c>
      <c r="L251" s="1">
        <v>4.0</v>
      </c>
      <c r="M251" s="1">
        <v>12.0</v>
      </c>
      <c r="N251" s="1">
        <v>0.0</v>
      </c>
      <c r="O251" s="1">
        <v>1.0</v>
      </c>
      <c r="P251" s="1">
        <v>39.0</v>
      </c>
      <c r="Q251" s="1">
        <v>64.0</v>
      </c>
      <c r="V251" s="2">
        <f>VLOOKUP(B251,'202324'!B:C,2,FALSE)-A251</f>
        <v>-12</v>
      </c>
    </row>
    <row r="252">
      <c r="A252" s="1">
        <f t="shared" si="1"/>
        <v>250</v>
      </c>
      <c r="B252" s="1" t="s">
        <v>1310</v>
      </c>
      <c r="C252" s="1" t="s">
        <v>1034</v>
      </c>
      <c r="D252" s="1" t="s">
        <v>28</v>
      </c>
      <c r="E252" s="11">
        <f t="shared" si="2"/>
        <v>261.15</v>
      </c>
      <c r="F252" s="11">
        <f t="shared" si="3"/>
        <v>3.57739726</v>
      </c>
      <c r="G252" s="1">
        <v>73.0</v>
      </c>
      <c r="H252" s="1">
        <v>24.0</v>
      </c>
      <c r="I252" s="1">
        <v>18.0</v>
      </c>
      <c r="J252" s="1">
        <v>42.0</v>
      </c>
      <c r="K252" s="1">
        <v>129.0</v>
      </c>
      <c r="L252" s="1">
        <v>5.0</v>
      </c>
      <c r="M252" s="1">
        <v>7.0</v>
      </c>
      <c r="N252" s="1">
        <v>0.0</v>
      </c>
      <c r="O252" s="1">
        <v>0.0</v>
      </c>
      <c r="P252" s="1">
        <v>49.0</v>
      </c>
      <c r="Q252" s="1">
        <v>35.0</v>
      </c>
      <c r="V252" s="2">
        <f>VLOOKUP(B252,'202324'!B:C,2,FALSE)-A252</f>
        <v>-9</v>
      </c>
    </row>
    <row r="253">
      <c r="A253" s="1">
        <f t="shared" si="1"/>
        <v>251</v>
      </c>
      <c r="B253" s="1" t="s">
        <v>1311</v>
      </c>
      <c r="C253" s="1" t="s">
        <v>1120</v>
      </c>
      <c r="D253" s="1" t="s">
        <v>66</v>
      </c>
      <c r="E253" s="11">
        <f t="shared" si="2"/>
        <v>260.5</v>
      </c>
      <c r="F253" s="11">
        <f t="shared" si="3"/>
        <v>3.383116883</v>
      </c>
      <c r="G253" s="1">
        <v>77.0</v>
      </c>
      <c r="H253" s="1">
        <v>5.0</v>
      </c>
      <c r="I253" s="1">
        <v>15.0</v>
      </c>
      <c r="J253" s="1">
        <v>20.0</v>
      </c>
      <c r="K253" s="1">
        <v>107.0</v>
      </c>
      <c r="L253" s="1">
        <v>0.0</v>
      </c>
      <c r="M253" s="1">
        <v>0.0</v>
      </c>
      <c r="N253" s="1">
        <v>0.0</v>
      </c>
      <c r="O253" s="1">
        <v>0.0</v>
      </c>
      <c r="P253" s="1">
        <v>160.0</v>
      </c>
      <c r="Q253" s="1">
        <v>167.0</v>
      </c>
      <c r="V253" s="2">
        <f>VLOOKUP(B253,'202324'!B:C,2,FALSE)-A253</f>
        <v>16</v>
      </c>
    </row>
    <row r="254">
      <c r="A254" s="1">
        <f t="shared" si="1"/>
        <v>252</v>
      </c>
      <c r="B254" s="1" t="s">
        <v>1312</v>
      </c>
      <c r="C254" s="1" t="s">
        <v>1146</v>
      </c>
      <c r="D254" s="1" t="s">
        <v>66</v>
      </c>
      <c r="E254" s="11">
        <f t="shared" si="2"/>
        <v>259.2</v>
      </c>
      <c r="F254" s="11">
        <f t="shared" si="3"/>
        <v>3.2</v>
      </c>
      <c r="G254" s="1">
        <v>81.0</v>
      </c>
      <c r="H254" s="1">
        <v>4.0</v>
      </c>
      <c r="I254" s="1">
        <v>14.0</v>
      </c>
      <c r="J254" s="1">
        <v>18.0</v>
      </c>
      <c r="K254" s="1">
        <v>130.0</v>
      </c>
      <c r="L254" s="1">
        <v>0.0</v>
      </c>
      <c r="M254" s="1">
        <v>0.0</v>
      </c>
      <c r="N254" s="1">
        <v>0.0</v>
      </c>
      <c r="O254" s="1">
        <v>1.0</v>
      </c>
      <c r="P254" s="1">
        <v>162.0</v>
      </c>
      <c r="Q254" s="1">
        <v>151.0</v>
      </c>
      <c r="V254" s="2">
        <f>VLOOKUP(B254,'202324'!B:C,2,FALSE)-A254</f>
        <v>19</v>
      </c>
    </row>
    <row r="255">
      <c r="A255" s="1">
        <f t="shared" si="1"/>
        <v>253</v>
      </c>
      <c r="B255" s="1" t="s">
        <v>1313</v>
      </c>
      <c r="C255" s="1" t="s">
        <v>1032</v>
      </c>
      <c r="D255" s="1" t="s">
        <v>28</v>
      </c>
      <c r="E255" s="11">
        <f t="shared" si="2"/>
        <v>259.15</v>
      </c>
      <c r="F255" s="11">
        <f t="shared" si="3"/>
        <v>3.239375</v>
      </c>
      <c r="G255" s="1">
        <v>80.0</v>
      </c>
      <c r="H255" s="1">
        <v>15.0</v>
      </c>
      <c r="I255" s="1">
        <v>20.0</v>
      </c>
      <c r="J255" s="1">
        <v>35.0</v>
      </c>
      <c r="K255" s="1">
        <v>115.0</v>
      </c>
      <c r="L255" s="1">
        <v>0.0</v>
      </c>
      <c r="M255" s="1">
        <v>2.0</v>
      </c>
      <c r="N255" s="1">
        <v>0.0</v>
      </c>
      <c r="O255" s="1">
        <v>0.0</v>
      </c>
      <c r="P255" s="1">
        <v>169.0</v>
      </c>
      <c r="Q255" s="1">
        <v>30.0</v>
      </c>
      <c r="V255" s="2">
        <f>VLOOKUP(B255,'202324'!B:C,2,FALSE)-A255</f>
        <v>24</v>
      </c>
    </row>
    <row r="256">
      <c r="A256" s="1">
        <f t="shared" si="1"/>
        <v>254</v>
      </c>
      <c r="B256" s="1" t="s">
        <v>1314</v>
      </c>
      <c r="C256" s="1" t="s">
        <v>1120</v>
      </c>
      <c r="D256" s="1" t="s">
        <v>31</v>
      </c>
      <c r="E256" s="11">
        <f t="shared" si="2"/>
        <v>258.05</v>
      </c>
      <c r="F256" s="11">
        <f t="shared" si="3"/>
        <v>3.440666667</v>
      </c>
      <c r="G256" s="1">
        <v>75.0</v>
      </c>
      <c r="H256" s="1">
        <v>13.0</v>
      </c>
      <c r="I256" s="1">
        <v>20.0</v>
      </c>
      <c r="J256" s="1">
        <v>33.0</v>
      </c>
      <c r="K256" s="1">
        <v>101.0</v>
      </c>
      <c r="L256" s="1">
        <v>0.0</v>
      </c>
      <c r="M256" s="1">
        <v>0.0</v>
      </c>
      <c r="N256" s="1">
        <v>1.0</v>
      </c>
      <c r="O256" s="1">
        <v>3.0</v>
      </c>
      <c r="P256" s="1">
        <v>123.0</v>
      </c>
      <c r="Q256" s="1">
        <v>76.0</v>
      </c>
      <c r="V256" s="2">
        <f>VLOOKUP(B256,'202324'!B:C,2,FALSE)-A256</f>
        <v>9</v>
      </c>
    </row>
    <row r="257">
      <c r="A257" s="1">
        <f t="shared" si="1"/>
        <v>255</v>
      </c>
      <c r="B257" s="1" t="s">
        <v>1315</v>
      </c>
      <c r="C257" s="1" t="s">
        <v>1076</v>
      </c>
      <c r="D257" s="1" t="s">
        <v>66</v>
      </c>
      <c r="E257" s="11">
        <f t="shared" si="2"/>
        <v>257.9</v>
      </c>
      <c r="F257" s="11">
        <f t="shared" si="3"/>
        <v>3.145121951</v>
      </c>
      <c r="G257" s="1">
        <v>82.0</v>
      </c>
      <c r="H257" s="1">
        <v>9.0</v>
      </c>
      <c r="I257" s="1">
        <v>38.0</v>
      </c>
      <c r="J257" s="1">
        <v>47.0</v>
      </c>
      <c r="K257" s="1">
        <v>135.0</v>
      </c>
      <c r="L257" s="1">
        <v>4.0</v>
      </c>
      <c r="M257" s="1">
        <v>21.0</v>
      </c>
      <c r="N257" s="1">
        <v>0.0</v>
      </c>
      <c r="O257" s="1">
        <v>0.0</v>
      </c>
      <c r="P257" s="1">
        <v>24.0</v>
      </c>
      <c r="Q257" s="1">
        <v>55.0</v>
      </c>
      <c r="V257" s="2">
        <f>VLOOKUP(B257,'202324'!B:C,2,FALSE)-A257</f>
        <v>-13</v>
      </c>
    </row>
    <row r="258">
      <c r="A258" s="1">
        <f t="shared" si="1"/>
        <v>256</v>
      </c>
      <c r="B258" s="1" t="s">
        <v>1316</v>
      </c>
      <c r="C258" s="1" t="s">
        <v>1080</v>
      </c>
      <c r="D258" s="1" t="s">
        <v>36</v>
      </c>
      <c r="E258" s="11">
        <f t="shared" si="2"/>
        <v>257.75</v>
      </c>
      <c r="F258" s="11">
        <f t="shared" si="3"/>
        <v>3.483108108</v>
      </c>
      <c r="G258" s="1">
        <v>74.0</v>
      </c>
      <c r="H258" s="1">
        <v>23.0</v>
      </c>
      <c r="I258" s="1">
        <v>21.0</v>
      </c>
      <c r="J258" s="1">
        <v>44.0</v>
      </c>
      <c r="K258" s="1">
        <v>113.0</v>
      </c>
      <c r="L258" s="1">
        <v>3.0</v>
      </c>
      <c r="M258" s="1">
        <v>5.0</v>
      </c>
      <c r="N258" s="1">
        <v>0.0</v>
      </c>
      <c r="O258" s="1">
        <v>0.0</v>
      </c>
      <c r="P258" s="1">
        <v>55.0</v>
      </c>
      <c r="Q258" s="1">
        <v>31.0</v>
      </c>
      <c r="V258" s="2">
        <f>VLOOKUP(B258,'202324'!B:C,2,FALSE)-A258</f>
        <v>-7</v>
      </c>
    </row>
    <row r="259">
      <c r="A259" s="1">
        <f t="shared" si="1"/>
        <v>257</v>
      </c>
      <c r="B259" s="1" t="s">
        <v>1317</v>
      </c>
      <c r="C259" s="1" t="s">
        <v>1156</v>
      </c>
      <c r="D259" s="1" t="s">
        <v>66</v>
      </c>
      <c r="E259" s="11">
        <f t="shared" si="2"/>
        <v>257.6</v>
      </c>
      <c r="F259" s="11">
        <f t="shared" si="3"/>
        <v>3.141463415</v>
      </c>
      <c r="G259" s="1">
        <v>82.0</v>
      </c>
      <c r="H259" s="1">
        <v>5.0</v>
      </c>
      <c r="I259" s="1">
        <v>27.0</v>
      </c>
      <c r="J259" s="1">
        <v>32.0</v>
      </c>
      <c r="K259" s="1">
        <v>107.0</v>
      </c>
      <c r="L259" s="1">
        <v>0.0</v>
      </c>
      <c r="M259" s="1">
        <v>7.0</v>
      </c>
      <c r="N259" s="1">
        <v>0.0</v>
      </c>
      <c r="O259" s="1">
        <v>0.0</v>
      </c>
      <c r="P259" s="1">
        <v>66.0</v>
      </c>
      <c r="Q259" s="1">
        <v>155.0</v>
      </c>
      <c r="V259" s="2">
        <f>VLOOKUP(B259,'202324'!B:C,2,FALSE)-A259</f>
        <v>-5</v>
      </c>
    </row>
    <row r="260">
      <c r="A260" s="1">
        <f t="shared" si="1"/>
        <v>258</v>
      </c>
      <c r="B260" s="1" t="s">
        <v>1318</v>
      </c>
      <c r="C260" s="1" t="s">
        <v>1091</v>
      </c>
      <c r="D260" s="1" t="s">
        <v>31</v>
      </c>
      <c r="E260" s="11">
        <f t="shared" si="2"/>
        <v>257.1</v>
      </c>
      <c r="F260" s="11">
        <f t="shared" si="3"/>
        <v>3.621126761</v>
      </c>
      <c r="G260" s="1">
        <v>71.0</v>
      </c>
      <c r="H260" s="1">
        <v>13.0</v>
      </c>
      <c r="I260" s="1">
        <v>28.0</v>
      </c>
      <c r="J260" s="1">
        <v>41.0</v>
      </c>
      <c r="K260" s="1">
        <v>135.0</v>
      </c>
      <c r="L260" s="1">
        <v>3.0</v>
      </c>
      <c r="M260" s="1">
        <v>8.0</v>
      </c>
      <c r="N260" s="1">
        <v>0.0</v>
      </c>
      <c r="O260" s="1">
        <v>0.0</v>
      </c>
      <c r="P260" s="1">
        <v>56.0</v>
      </c>
      <c r="Q260" s="1">
        <v>55.0</v>
      </c>
      <c r="V260" s="2">
        <f>VLOOKUP(B260,'202324'!B:C,2,FALSE)-A260</f>
        <v>-8</v>
      </c>
    </row>
    <row r="261">
      <c r="A261" s="1">
        <f t="shared" si="1"/>
        <v>259</v>
      </c>
      <c r="B261" s="1" t="s">
        <v>1319</v>
      </c>
      <c r="C261" s="1" t="s">
        <v>1120</v>
      </c>
      <c r="D261" s="1" t="s">
        <v>36</v>
      </c>
      <c r="E261" s="11">
        <f t="shared" si="2"/>
        <v>255.9</v>
      </c>
      <c r="F261" s="11">
        <f t="shared" si="3"/>
        <v>5.118</v>
      </c>
      <c r="G261" s="1">
        <v>50.0</v>
      </c>
      <c r="H261" s="1">
        <v>20.0</v>
      </c>
      <c r="I261" s="1">
        <v>27.0</v>
      </c>
      <c r="J261" s="1">
        <v>47.0</v>
      </c>
      <c r="K261" s="1">
        <v>147.0</v>
      </c>
      <c r="L261" s="1">
        <v>2.0</v>
      </c>
      <c r="M261" s="1">
        <v>13.0</v>
      </c>
      <c r="N261" s="1">
        <v>0.0</v>
      </c>
      <c r="O261" s="1">
        <v>0.0</v>
      </c>
      <c r="P261" s="1">
        <v>14.0</v>
      </c>
      <c r="Q261" s="1">
        <v>13.0</v>
      </c>
      <c r="V261" s="2">
        <f>VLOOKUP(B261,'202324'!B:C,2,FALSE)-A261</f>
        <v>-16</v>
      </c>
    </row>
    <row r="262">
      <c r="A262" s="1">
        <f t="shared" si="1"/>
        <v>260</v>
      </c>
      <c r="B262" s="1" t="s">
        <v>1320</v>
      </c>
      <c r="C262" s="1" t="s">
        <v>1065</v>
      </c>
      <c r="D262" s="1" t="s">
        <v>66</v>
      </c>
      <c r="E262" s="11">
        <f t="shared" si="2"/>
        <v>254.85</v>
      </c>
      <c r="F262" s="11">
        <f t="shared" si="3"/>
        <v>3.146296296</v>
      </c>
      <c r="G262" s="1">
        <v>81.0</v>
      </c>
      <c r="H262" s="1">
        <v>5.0</v>
      </c>
      <c r="I262" s="1">
        <v>34.0</v>
      </c>
      <c r="J262" s="1">
        <v>39.0</v>
      </c>
      <c r="K262" s="1">
        <v>109.0</v>
      </c>
      <c r="L262" s="1">
        <v>2.0</v>
      </c>
      <c r="M262" s="1">
        <v>16.0</v>
      </c>
      <c r="N262" s="1">
        <v>0.0</v>
      </c>
      <c r="O262" s="1">
        <v>1.0</v>
      </c>
      <c r="P262" s="1">
        <v>41.0</v>
      </c>
      <c r="Q262" s="1">
        <v>119.0</v>
      </c>
      <c r="V262" s="2">
        <f>VLOOKUP(B262,'202324'!B:C,2,FALSE)-A262</f>
        <v>-7</v>
      </c>
    </row>
    <row r="263">
      <c r="A263" s="1">
        <f t="shared" si="1"/>
        <v>261</v>
      </c>
      <c r="B263" s="1" t="s">
        <v>1321</v>
      </c>
      <c r="C263" s="1" t="s">
        <v>1052</v>
      </c>
      <c r="D263" s="1" t="s">
        <v>31</v>
      </c>
      <c r="E263" s="11">
        <f t="shared" si="2"/>
        <v>254.55</v>
      </c>
      <c r="F263" s="11">
        <f t="shared" si="3"/>
        <v>3.222151899</v>
      </c>
      <c r="G263" s="1">
        <v>79.0</v>
      </c>
      <c r="H263" s="1">
        <v>16.0</v>
      </c>
      <c r="I263" s="1">
        <v>17.0</v>
      </c>
      <c r="J263" s="1">
        <v>33.0</v>
      </c>
      <c r="K263" s="1">
        <v>160.0</v>
      </c>
      <c r="L263" s="1">
        <v>0.0</v>
      </c>
      <c r="M263" s="1">
        <v>0.0</v>
      </c>
      <c r="N263" s="1">
        <v>1.0</v>
      </c>
      <c r="O263" s="1">
        <v>1.0</v>
      </c>
      <c r="P263" s="1">
        <v>53.0</v>
      </c>
      <c r="Q263" s="1">
        <v>58.0</v>
      </c>
      <c r="V263" s="2">
        <f>VLOOKUP(B263,'202324'!B:C,2,FALSE)-A263</f>
        <v>-6</v>
      </c>
    </row>
    <row r="264">
      <c r="A264" s="1">
        <f t="shared" si="1"/>
        <v>262</v>
      </c>
      <c r="B264" s="1" t="s">
        <v>1322</v>
      </c>
      <c r="C264" s="1" t="s">
        <v>1120</v>
      </c>
      <c r="D264" s="1" t="s">
        <v>36</v>
      </c>
      <c r="E264" s="11">
        <f t="shared" si="2"/>
        <v>254.35</v>
      </c>
      <c r="F264" s="11">
        <f t="shared" si="3"/>
        <v>3.346710526</v>
      </c>
      <c r="G264" s="1">
        <v>76.0</v>
      </c>
      <c r="H264" s="1">
        <v>18.0</v>
      </c>
      <c r="I264" s="1">
        <v>25.0</v>
      </c>
      <c r="J264" s="1">
        <v>43.0</v>
      </c>
      <c r="K264" s="1">
        <v>160.0</v>
      </c>
      <c r="L264" s="1">
        <v>3.0</v>
      </c>
      <c r="M264" s="1">
        <v>9.0</v>
      </c>
      <c r="N264" s="1">
        <v>0.0</v>
      </c>
      <c r="O264" s="1">
        <v>0.0</v>
      </c>
      <c r="P264" s="1">
        <v>31.0</v>
      </c>
      <c r="Q264" s="1">
        <v>15.0</v>
      </c>
      <c r="V264" s="2">
        <f>VLOOKUP(B264,'202324'!B:C,2,FALSE)-A264</f>
        <v>-11</v>
      </c>
    </row>
    <row r="265">
      <c r="A265" s="1">
        <f t="shared" si="1"/>
        <v>263</v>
      </c>
      <c r="B265" s="1" t="s">
        <v>1323</v>
      </c>
      <c r="C265" s="1" t="s">
        <v>1082</v>
      </c>
      <c r="D265" s="1" t="s">
        <v>31</v>
      </c>
      <c r="E265" s="11">
        <f t="shared" si="2"/>
        <v>253.5</v>
      </c>
      <c r="F265" s="11">
        <f t="shared" si="3"/>
        <v>3.12962963</v>
      </c>
      <c r="G265" s="1">
        <v>81.0</v>
      </c>
      <c r="H265" s="1">
        <v>6.0</v>
      </c>
      <c r="I265" s="1">
        <v>15.0</v>
      </c>
      <c r="J265" s="1">
        <v>21.0</v>
      </c>
      <c r="K265" s="1">
        <v>98.0</v>
      </c>
      <c r="L265" s="1">
        <v>0.0</v>
      </c>
      <c r="M265" s="1">
        <v>0.0</v>
      </c>
      <c r="N265" s="1">
        <v>0.0</v>
      </c>
      <c r="O265" s="1">
        <v>1.0</v>
      </c>
      <c r="P265" s="1">
        <v>240.0</v>
      </c>
      <c r="Q265" s="1">
        <v>93.0</v>
      </c>
      <c r="V265" s="2">
        <f>VLOOKUP(B265,'202324'!B:C,2,FALSE)-A265</f>
        <v>37</v>
      </c>
    </row>
    <row r="266">
      <c r="A266" s="1">
        <f t="shared" si="1"/>
        <v>264</v>
      </c>
      <c r="B266" s="1" t="s">
        <v>1324</v>
      </c>
      <c r="C266" s="1" t="s">
        <v>1080</v>
      </c>
      <c r="D266" s="1" t="s">
        <v>5</v>
      </c>
      <c r="E266" s="11">
        <f t="shared" si="2"/>
        <v>253.2</v>
      </c>
      <c r="F266" s="11">
        <f t="shared" si="3"/>
        <v>5.504347826</v>
      </c>
      <c r="G266" s="1">
        <v>46.0</v>
      </c>
      <c r="R266" s="1">
        <v>25.0</v>
      </c>
      <c r="S266" s="1">
        <v>119.0</v>
      </c>
      <c r="T266" s="12">
        <v>1179.0</v>
      </c>
      <c r="U266" s="1">
        <v>1.0</v>
      </c>
      <c r="V266" s="2">
        <f>VLOOKUP(B266,'202324'!B:C,2,FALSE)-A266</f>
        <v>-17</v>
      </c>
    </row>
    <row r="267">
      <c r="A267" s="1">
        <f t="shared" si="1"/>
        <v>265</v>
      </c>
      <c r="B267" s="1" t="s">
        <v>1325</v>
      </c>
      <c r="C267" s="1" t="s">
        <v>1116</v>
      </c>
      <c r="D267" s="1" t="s">
        <v>31</v>
      </c>
      <c r="E267" s="11">
        <f t="shared" si="2"/>
        <v>253.1</v>
      </c>
      <c r="F267" s="11">
        <f t="shared" si="3"/>
        <v>3.086585366</v>
      </c>
      <c r="G267" s="1">
        <v>82.0</v>
      </c>
      <c r="H267" s="1">
        <v>14.0</v>
      </c>
      <c r="I267" s="1">
        <v>22.0</v>
      </c>
      <c r="J267" s="1">
        <v>36.0</v>
      </c>
      <c r="K267" s="1">
        <v>122.0</v>
      </c>
      <c r="L267" s="1">
        <v>2.0</v>
      </c>
      <c r="M267" s="1">
        <v>0.0</v>
      </c>
      <c r="N267" s="1">
        <v>1.0</v>
      </c>
      <c r="O267" s="1">
        <v>1.0</v>
      </c>
      <c r="P267" s="1">
        <v>106.0</v>
      </c>
      <c r="Q267" s="1">
        <v>44.0</v>
      </c>
      <c r="V267" s="2">
        <f>VLOOKUP(B267,'202324'!B:C,2,FALSE)-A267</f>
        <v>10</v>
      </c>
    </row>
    <row r="268">
      <c r="A268" s="1">
        <f t="shared" si="1"/>
        <v>266</v>
      </c>
      <c r="B268" s="1" t="s">
        <v>1326</v>
      </c>
      <c r="C268" s="1" t="s">
        <v>1156</v>
      </c>
      <c r="D268" s="1" t="s">
        <v>31</v>
      </c>
      <c r="E268" s="11">
        <f t="shared" si="2"/>
        <v>253.05</v>
      </c>
      <c r="F268" s="11">
        <f t="shared" si="3"/>
        <v>3.374</v>
      </c>
      <c r="G268" s="1">
        <v>75.0</v>
      </c>
      <c r="H268" s="1">
        <v>18.0</v>
      </c>
      <c r="I268" s="1">
        <v>16.0</v>
      </c>
      <c r="J268" s="1">
        <v>34.0</v>
      </c>
      <c r="K268" s="1">
        <v>142.0</v>
      </c>
      <c r="L268" s="1">
        <v>6.0</v>
      </c>
      <c r="M268" s="1">
        <v>2.0</v>
      </c>
      <c r="N268" s="1">
        <v>0.0</v>
      </c>
      <c r="O268" s="1">
        <v>0.0</v>
      </c>
      <c r="P268" s="1">
        <v>83.0</v>
      </c>
      <c r="Q268" s="1">
        <v>48.0</v>
      </c>
      <c r="V268" s="2">
        <f>VLOOKUP(B268,'202324'!B:C,2,FALSE)-A268</f>
        <v>-1</v>
      </c>
    </row>
    <row r="269">
      <c r="A269" s="1">
        <f t="shared" si="1"/>
        <v>267</v>
      </c>
      <c r="B269" s="1" t="s">
        <v>1327</v>
      </c>
      <c r="C269" s="1" t="s">
        <v>1069</v>
      </c>
      <c r="D269" s="1" t="s">
        <v>5</v>
      </c>
      <c r="E269" s="11">
        <f t="shared" si="2"/>
        <v>252.9</v>
      </c>
      <c r="F269" s="11">
        <f t="shared" si="3"/>
        <v>5.26875</v>
      </c>
      <c r="G269" s="1">
        <v>48.0</v>
      </c>
      <c r="R269" s="1">
        <v>23.0</v>
      </c>
      <c r="S269" s="1">
        <v>131.0</v>
      </c>
      <c r="T269" s="12">
        <v>1248.0</v>
      </c>
      <c r="U269" s="1">
        <v>2.0</v>
      </c>
      <c r="V269" s="2">
        <f>VLOOKUP(B269,'202324'!B:C,2,FALSE)-A269</f>
        <v>-19</v>
      </c>
    </row>
    <row r="270">
      <c r="A270" s="1">
        <f t="shared" si="1"/>
        <v>268</v>
      </c>
      <c r="B270" s="1" t="s">
        <v>1328</v>
      </c>
      <c r="C270" s="1" t="s">
        <v>1032</v>
      </c>
      <c r="D270" s="1" t="s">
        <v>31</v>
      </c>
      <c r="E270" s="11">
        <f t="shared" si="2"/>
        <v>252.55</v>
      </c>
      <c r="F270" s="11">
        <f t="shared" si="3"/>
        <v>3.156875</v>
      </c>
      <c r="G270" s="1">
        <v>80.0</v>
      </c>
      <c r="H270" s="1">
        <v>9.0</v>
      </c>
      <c r="I270" s="1">
        <v>38.0</v>
      </c>
      <c r="J270" s="1">
        <v>47.0</v>
      </c>
      <c r="K270" s="1">
        <v>137.0</v>
      </c>
      <c r="L270" s="1">
        <v>1.0</v>
      </c>
      <c r="M270" s="1">
        <v>1.0</v>
      </c>
      <c r="N270" s="1">
        <v>0.0</v>
      </c>
      <c r="O270" s="1">
        <v>0.0</v>
      </c>
      <c r="P270" s="1">
        <v>53.0</v>
      </c>
      <c r="Q270" s="1">
        <v>22.0</v>
      </c>
      <c r="V270" s="2">
        <f>VLOOKUP(B270,'202324'!B:C,2,FALSE)-A270</f>
        <v>-8</v>
      </c>
    </row>
    <row r="271">
      <c r="A271" s="1">
        <f t="shared" si="1"/>
        <v>269</v>
      </c>
      <c r="B271" s="1" t="s">
        <v>1329</v>
      </c>
      <c r="C271" s="1" t="s">
        <v>1097</v>
      </c>
      <c r="D271" s="1" t="s">
        <v>66</v>
      </c>
      <c r="E271" s="11">
        <f t="shared" si="2"/>
        <v>252.1</v>
      </c>
      <c r="F271" s="11">
        <f t="shared" si="3"/>
        <v>3.601428571</v>
      </c>
      <c r="G271" s="1">
        <v>70.0</v>
      </c>
      <c r="H271" s="1">
        <v>6.0</v>
      </c>
      <c r="I271" s="1">
        <v>16.0</v>
      </c>
      <c r="J271" s="1">
        <v>22.0</v>
      </c>
      <c r="K271" s="1">
        <v>95.0</v>
      </c>
      <c r="L271" s="1">
        <v>0.0</v>
      </c>
      <c r="M271" s="1">
        <v>0.0</v>
      </c>
      <c r="N271" s="1">
        <v>0.0</v>
      </c>
      <c r="O271" s="1">
        <v>0.0</v>
      </c>
      <c r="P271" s="1">
        <v>116.0</v>
      </c>
      <c r="Q271" s="1">
        <v>178.0</v>
      </c>
      <c r="V271" s="2">
        <f>VLOOKUP(B271,'202324'!B:C,2,FALSE)-A271</f>
        <v>9</v>
      </c>
    </row>
    <row r="272">
      <c r="A272" s="1">
        <f t="shared" si="1"/>
        <v>270</v>
      </c>
      <c r="B272" s="1" t="s">
        <v>1330</v>
      </c>
      <c r="C272" s="1" t="s">
        <v>1146</v>
      </c>
      <c r="D272" s="1" t="s">
        <v>66</v>
      </c>
      <c r="E272" s="11">
        <f t="shared" si="2"/>
        <v>251.75</v>
      </c>
      <c r="F272" s="11">
        <f t="shared" si="3"/>
        <v>3.070121951</v>
      </c>
      <c r="G272" s="1">
        <v>82.0</v>
      </c>
      <c r="H272" s="1">
        <v>3.0</v>
      </c>
      <c r="I272" s="1">
        <v>22.0</v>
      </c>
      <c r="J272" s="1">
        <v>25.0</v>
      </c>
      <c r="K272" s="1">
        <v>97.0</v>
      </c>
      <c r="L272" s="1">
        <v>0.0</v>
      </c>
      <c r="M272" s="1">
        <v>0.0</v>
      </c>
      <c r="N272" s="1">
        <v>0.0</v>
      </c>
      <c r="O272" s="1">
        <v>0.0</v>
      </c>
      <c r="P272" s="1">
        <v>195.0</v>
      </c>
      <c r="Q272" s="1">
        <v>111.0</v>
      </c>
      <c r="V272" s="2">
        <f>VLOOKUP(B272,'202324'!B:C,2,FALSE)-A272</f>
        <v>23</v>
      </c>
    </row>
    <row r="273">
      <c r="A273" s="1">
        <f t="shared" si="1"/>
        <v>271</v>
      </c>
      <c r="B273" s="1" t="s">
        <v>1331</v>
      </c>
      <c r="C273" s="1" t="s">
        <v>1156</v>
      </c>
      <c r="D273" s="1" t="s">
        <v>66</v>
      </c>
      <c r="E273" s="11">
        <f t="shared" si="2"/>
        <v>251.7</v>
      </c>
      <c r="F273" s="11">
        <f t="shared" si="3"/>
        <v>3.226923077</v>
      </c>
      <c r="G273" s="1">
        <v>78.0</v>
      </c>
      <c r="H273" s="1">
        <v>6.0</v>
      </c>
      <c r="I273" s="1">
        <v>20.0</v>
      </c>
      <c r="J273" s="1">
        <v>26.0</v>
      </c>
      <c r="K273" s="1">
        <v>91.0</v>
      </c>
      <c r="L273" s="1">
        <v>0.0</v>
      </c>
      <c r="M273" s="1">
        <v>0.0</v>
      </c>
      <c r="N273" s="1">
        <v>0.0</v>
      </c>
      <c r="O273" s="1">
        <v>1.0</v>
      </c>
      <c r="P273" s="1">
        <v>92.0</v>
      </c>
      <c r="Q273" s="1">
        <v>170.0</v>
      </c>
      <c r="V273" s="2">
        <f>VLOOKUP(B273,'202324'!B:C,2,FALSE)-A273</f>
        <v>4</v>
      </c>
    </row>
    <row r="274">
      <c r="A274" s="1">
        <f t="shared" si="1"/>
        <v>272</v>
      </c>
      <c r="B274" s="1" t="s">
        <v>1332</v>
      </c>
      <c r="C274" s="1" t="s">
        <v>1069</v>
      </c>
      <c r="D274" s="1" t="s">
        <v>28</v>
      </c>
      <c r="E274" s="11">
        <f t="shared" si="2"/>
        <v>251.65</v>
      </c>
      <c r="F274" s="11">
        <f t="shared" si="3"/>
        <v>3.355333333</v>
      </c>
      <c r="G274" s="1">
        <v>75.0</v>
      </c>
      <c r="H274" s="1">
        <v>14.0</v>
      </c>
      <c r="I274" s="1">
        <v>26.0</v>
      </c>
      <c r="J274" s="1">
        <v>40.0</v>
      </c>
      <c r="K274" s="1">
        <v>122.0</v>
      </c>
      <c r="L274" s="1">
        <v>2.0</v>
      </c>
      <c r="M274" s="1">
        <v>1.0</v>
      </c>
      <c r="N274" s="1">
        <v>1.0</v>
      </c>
      <c r="O274" s="1">
        <v>0.0</v>
      </c>
      <c r="P274" s="1">
        <v>89.0</v>
      </c>
      <c r="Q274" s="1">
        <v>33.0</v>
      </c>
      <c r="V274" s="2">
        <f>VLOOKUP(B274,'202324'!B:C,2,FALSE)-A274</f>
        <v>1</v>
      </c>
    </row>
    <row r="275">
      <c r="A275" s="1">
        <f t="shared" si="1"/>
        <v>273</v>
      </c>
      <c r="B275" s="1" t="s">
        <v>1333</v>
      </c>
      <c r="C275" s="1" t="s">
        <v>1046</v>
      </c>
      <c r="D275" s="1" t="s">
        <v>66</v>
      </c>
      <c r="E275" s="11">
        <f t="shared" si="2"/>
        <v>251.5</v>
      </c>
      <c r="F275" s="11">
        <f t="shared" si="3"/>
        <v>3.266233766</v>
      </c>
      <c r="G275" s="1">
        <v>77.0</v>
      </c>
      <c r="H275" s="1">
        <v>5.0</v>
      </c>
      <c r="I275" s="1">
        <v>24.0</v>
      </c>
      <c r="J275" s="1">
        <v>29.0</v>
      </c>
      <c r="K275" s="1">
        <v>93.0</v>
      </c>
      <c r="L275" s="1">
        <v>0.0</v>
      </c>
      <c r="M275" s="1">
        <v>0.0</v>
      </c>
      <c r="N275" s="1">
        <v>2.0</v>
      </c>
      <c r="O275" s="1">
        <v>0.0</v>
      </c>
      <c r="P275" s="1">
        <v>110.0</v>
      </c>
      <c r="Q275" s="1">
        <v>136.0</v>
      </c>
      <c r="V275" s="2">
        <f>VLOOKUP(B275,'202324'!B:C,2,FALSE)-A275</f>
        <v>5</v>
      </c>
    </row>
    <row r="276">
      <c r="A276" s="1">
        <f t="shared" si="1"/>
        <v>274</v>
      </c>
      <c r="B276" s="1" t="s">
        <v>1334</v>
      </c>
      <c r="C276" s="1" t="s">
        <v>1085</v>
      </c>
      <c r="D276" s="1" t="s">
        <v>66</v>
      </c>
      <c r="E276" s="11">
        <f t="shared" si="2"/>
        <v>251.4</v>
      </c>
      <c r="F276" s="11">
        <f t="shared" si="3"/>
        <v>3.065853659</v>
      </c>
      <c r="G276" s="1">
        <v>82.0</v>
      </c>
      <c r="H276" s="1">
        <v>5.0</v>
      </c>
      <c r="I276" s="1">
        <v>21.0</v>
      </c>
      <c r="J276" s="1">
        <v>26.0</v>
      </c>
      <c r="K276" s="1">
        <v>114.0</v>
      </c>
      <c r="L276" s="1">
        <v>0.0</v>
      </c>
      <c r="M276" s="1">
        <v>0.0</v>
      </c>
      <c r="N276" s="1">
        <v>0.0</v>
      </c>
      <c r="O276" s="1">
        <v>1.0</v>
      </c>
      <c r="P276" s="1">
        <v>74.0</v>
      </c>
      <c r="Q276" s="1">
        <v>162.0</v>
      </c>
      <c r="V276" s="2">
        <f>VLOOKUP(B276,'202324'!B:C,2,FALSE)-A276</f>
        <v>-6</v>
      </c>
    </row>
    <row r="277">
      <c r="A277" s="1">
        <f t="shared" si="1"/>
        <v>275</v>
      </c>
      <c r="B277" s="1" t="s">
        <v>1335</v>
      </c>
      <c r="C277" s="1" t="s">
        <v>1116</v>
      </c>
      <c r="D277" s="1" t="s">
        <v>66</v>
      </c>
      <c r="E277" s="11">
        <f t="shared" si="2"/>
        <v>251</v>
      </c>
      <c r="F277" s="11">
        <f t="shared" si="3"/>
        <v>3.25974026</v>
      </c>
      <c r="G277" s="1">
        <v>77.0</v>
      </c>
      <c r="H277" s="1">
        <v>8.0</v>
      </c>
      <c r="I277" s="1">
        <v>12.0</v>
      </c>
      <c r="J277" s="1">
        <v>20.0</v>
      </c>
      <c r="K277" s="1">
        <v>79.0</v>
      </c>
      <c r="L277" s="1">
        <v>0.0</v>
      </c>
      <c r="M277" s="1">
        <v>0.0</v>
      </c>
      <c r="N277" s="1">
        <v>0.0</v>
      </c>
      <c r="O277" s="1">
        <v>0.0</v>
      </c>
      <c r="P277" s="1">
        <v>240.0</v>
      </c>
      <c r="Q277" s="1">
        <v>111.0</v>
      </c>
      <c r="V277" s="2">
        <f>VLOOKUP(B277,'202324'!B:C,2,FALSE)-A277</f>
        <v>30</v>
      </c>
    </row>
    <row r="278">
      <c r="A278" s="1">
        <f t="shared" si="1"/>
        <v>276</v>
      </c>
      <c r="B278" s="1" t="s">
        <v>1336</v>
      </c>
      <c r="C278" s="1" t="s">
        <v>1106</v>
      </c>
      <c r="D278" s="1" t="s">
        <v>28</v>
      </c>
      <c r="E278" s="11">
        <f t="shared" si="2"/>
        <v>250.95</v>
      </c>
      <c r="F278" s="11">
        <f t="shared" si="3"/>
        <v>3.060365854</v>
      </c>
      <c r="G278" s="1">
        <v>82.0</v>
      </c>
      <c r="H278" s="1">
        <v>26.0</v>
      </c>
      <c r="I278" s="1">
        <v>16.0</v>
      </c>
      <c r="J278" s="1">
        <v>42.0</v>
      </c>
      <c r="K278" s="1">
        <v>144.0</v>
      </c>
      <c r="L278" s="1">
        <v>5.0</v>
      </c>
      <c r="M278" s="1">
        <v>0.0</v>
      </c>
      <c r="N278" s="1">
        <v>0.0</v>
      </c>
      <c r="O278" s="1">
        <v>0.0</v>
      </c>
      <c r="P278" s="1">
        <v>17.0</v>
      </c>
      <c r="Q278" s="1">
        <v>16.0</v>
      </c>
      <c r="V278" s="2">
        <f>VLOOKUP(B278,'202324'!B:C,2,FALSE)-A278</f>
        <v>-21</v>
      </c>
    </row>
    <row r="279">
      <c r="A279" s="1">
        <f t="shared" si="1"/>
        <v>277</v>
      </c>
      <c r="B279" s="1" t="s">
        <v>1337</v>
      </c>
      <c r="C279" s="1" t="s">
        <v>1048</v>
      </c>
      <c r="D279" s="1" t="s">
        <v>31</v>
      </c>
      <c r="E279" s="11">
        <f t="shared" si="2"/>
        <v>250.85</v>
      </c>
      <c r="F279" s="11">
        <f t="shared" si="3"/>
        <v>3.216025641</v>
      </c>
      <c r="G279" s="1">
        <v>78.0</v>
      </c>
      <c r="H279" s="1">
        <v>13.0</v>
      </c>
      <c r="I279" s="1">
        <v>22.0</v>
      </c>
      <c r="J279" s="1">
        <v>35.0</v>
      </c>
      <c r="K279" s="1">
        <v>166.0</v>
      </c>
      <c r="L279" s="1">
        <v>1.0</v>
      </c>
      <c r="M279" s="1">
        <v>4.0</v>
      </c>
      <c r="N279" s="1">
        <v>0.0</v>
      </c>
      <c r="O279" s="1">
        <v>1.0</v>
      </c>
      <c r="P279" s="1">
        <v>61.0</v>
      </c>
      <c r="Q279" s="1">
        <v>40.0</v>
      </c>
      <c r="V279" s="2">
        <f>VLOOKUP(B279,'202324'!B:C,2,FALSE)-A279</f>
        <v>-12</v>
      </c>
    </row>
    <row r="280">
      <c r="A280" s="1">
        <f t="shared" si="1"/>
        <v>278</v>
      </c>
      <c r="B280" s="1" t="s">
        <v>1338</v>
      </c>
      <c r="C280" s="1" t="s">
        <v>1042</v>
      </c>
      <c r="D280" s="1" t="s">
        <v>36</v>
      </c>
      <c r="E280" s="11">
        <f t="shared" si="2"/>
        <v>249</v>
      </c>
      <c r="F280" s="11">
        <f t="shared" si="3"/>
        <v>3.1125</v>
      </c>
      <c r="G280" s="1">
        <v>80.0</v>
      </c>
      <c r="H280" s="1">
        <v>16.0</v>
      </c>
      <c r="I280" s="1">
        <v>23.0</v>
      </c>
      <c r="J280" s="1">
        <v>39.0</v>
      </c>
      <c r="K280" s="1">
        <v>172.0</v>
      </c>
      <c r="L280" s="1">
        <v>3.0</v>
      </c>
      <c r="M280" s="1">
        <v>7.0</v>
      </c>
      <c r="N280" s="1">
        <v>0.0</v>
      </c>
      <c r="O280" s="1">
        <v>0.0</v>
      </c>
      <c r="P280" s="1">
        <v>30.0</v>
      </c>
      <c r="Q280" s="1">
        <v>23.0</v>
      </c>
      <c r="V280" s="2">
        <f>VLOOKUP(B280,'202324'!B:C,2,FALSE)-A280</f>
        <v>-16</v>
      </c>
    </row>
    <row r="281">
      <c r="A281" s="1">
        <f t="shared" si="1"/>
        <v>279</v>
      </c>
      <c r="B281" s="1" t="s">
        <v>1339</v>
      </c>
      <c r="C281" s="1" t="s">
        <v>1044</v>
      </c>
      <c r="D281" s="1" t="s">
        <v>36</v>
      </c>
      <c r="E281" s="11">
        <f t="shared" si="2"/>
        <v>248.75</v>
      </c>
      <c r="F281" s="11">
        <f t="shared" si="3"/>
        <v>3.454861111</v>
      </c>
      <c r="G281" s="1">
        <v>72.0</v>
      </c>
      <c r="H281" s="1">
        <v>11.0</v>
      </c>
      <c r="I281" s="1">
        <v>24.0</v>
      </c>
      <c r="J281" s="1">
        <v>35.0</v>
      </c>
      <c r="K281" s="1">
        <v>124.0</v>
      </c>
      <c r="L281" s="1">
        <v>0.0</v>
      </c>
      <c r="M281" s="1">
        <v>0.0</v>
      </c>
      <c r="N281" s="1">
        <v>1.0</v>
      </c>
      <c r="O281" s="1">
        <v>1.0</v>
      </c>
      <c r="P281" s="1">
        <v>105.0</v>
      </c>
      <c r="Q281" s="1">
        <v>49.0</v>
      </c>
      <c r="V281" s="2">
        <f>VLOOKUP(B281,'202324'!B:C,2,FALSE)-A281</f>
        <v>3</v>
      </c>
    </row>
    <row r="282">
      <c r="A282" s="1">
        <f t="shared" si="1"/>
        <v>280</v>
      </c>
      <c r="B282" s="1" t="s">
        <v>1340</v>
      </c>
      <c r="C282" s="1" t="s">
        <v>1038</v>
      </c>
      <c r="D282" s="1" t="s">
        <v>5</v>
      </c>
      <c r="E282" s="11">
        <f t="shared" si="2"/>
        <v>248.7</v>
      </c>
      <c r="F282" s="11">
        <f t="shared" si="3"/>
        <v>6.2175</v>
      </c>
      <c r="G282" s="1">
        <v>40.0</v>
      </c>
      <c r="R282" s="1">
        <v>22.0</v>
      </c>
      <c r="S282" s="1">
        <v>103.0</v>
      </c>
      <c r="T282" s="12">
        <v>1104.0</v>
      </c>
      <c r="U282" s="1">
        <v>2.0</v>
      </c>
      <c r="V282" s="2">
        <f>VLOOKUP(B282,'202324'!B:C,2,FALSE)-A282</f>
        <v>-23</v>
      </c>
    </row>
    <row r="283">
      <c r="A283" s="1">
        <f t="shared" si="1"/>
        <v>281</v>
      </c>
      <c r="B283" s="1" t="s">
        <v>1341</v>
      </c>
      <c r="C283" s="1" t="s">
        <v>1080</v>
      </c>
      <c r="D283" s="1" t="s">
        <v>31</v>
      </c>
      <c r="E283" s="11">
        <f t="shared" si="2"/>
        <v>248.65</v>
      </c>
      <c r="F283" s="11">
        <f t="shared" si="3"/>
        <v>4.60462963</v>
      </c>
      <c r="G283" s="1">
        <v>54.0</v>
      </c>
      <c r="H283" s="1">
        <v>17.0</v>
      </c>
      <c r="I283" s="1">
        <v>21.0</v>
      </c>
      <c r="J283" s="1">
        <v>38.0</v>
      </c>
      <c r="K283" s="1">
        <v>124.0</v>
      </c>
      <c r="L283" s="1">
        <v>6.0</v>
      </c>
      <c r="M283" s="1">
        <v>5.0</v>
      </c>
      <c r="N283" s="1">
        <v>1.0</v>
      </c>
      <c r="O283" s="1">
        <v>0.0</v>
      </c>
      <c r="P283" s="1">
        <v>59.0</v>
      </c>
      <c r="Q283" s="1">
        <v>49.0</v>
      </c>
      <c r="V283" s="2">
        <f>VLOOKUP(B283,'202324'!B:C,2,FALSE)-A283</f>
        <v>-8</v>
      </c>
    </row>
    <row r="284">
      <c r="A284" s="1">
        <f t="shared" si="1"/>
        <v>282</v>
      </c>
      <c r="B284" s="1" t="s">
        <v>1342</v>
      </c>
      <c r="C284" s="1" t="s">
        <v>1046</v>
      </c>
      <c r="D284" s="1" t="s">
        <v>28</v>
      </c>
      <c r="E284" s="11">
        <f t="shared" si="2"/>
        <v>248.5</v>
      </c>
      <c r="F284" s="11">
        <f t="shared" si="3"/>
        <v>3.10625</v>
      </c>
      <c r="G284" s="1">
        <v>80.0</v>
      </c>
      <c r="H284" s="1">
        <v>24.0</v>
      </c>
      <c r="I284" s="1">
        <v>12.0</v>
      </c>
      <c r="J284" s="1">
        <v>36.0</v>
      </c>
      <c r="K284" s="1">
        <v>120.0</v>
      </c>
      <c r="L284" s="1">
        <v>0.0</v>
      </c>
      <c r="M284" s="1">
        <v>0.0</v>
      </c>
      <c r="N284" s="1">
        <v>0.0</v>
      </c>
      <c r="O284" s="1">
        <v>0.0</v>
      </c>
      <c r="P284" s="1">
        <v>100.0</v>
      </c>
      <c r="Q284" s="1">
        <v>19.0</v>
      </c>
      <c r="V284" s="2">
        <f>VLOOKUP(B284,'202324'!B:C,2,FALSE)-A284</f>
        <v>-2</v>
      </c>
    </row>
    <row r="285">
      <c r="A285" s="1">
        <f t="shared" si="1"/>
        <v>283</v>
      </c>
      <c r="B285" s="1" t="s">
        <v>1343</v>
      </c>
      <c r="C285" s="1" t="s">
        <v>1052</v>
      </c>
      <c r="D285" s="1" t="s">
        <v>36</v>
      </c>
      <c r="E285" s="11">
        <f t="shared" si="2"/>
        <v>248.4</v>
      </c>
      <c r="F285" s="11">
        <f t="shared" si="3"/>
        <v>3.268421053</v>
      </c>
      <c r="G285" s="1">
        <v>76.0</v>
      </c>
      <c r="H285" s="1">
        <v>13.0</v>
      </c>
      <c r="I285" s="1">
        <v>27.0</v>
      </c>
      <c r="J285" s="1">
        <v>40.0</v>
      </c>
      <c r="K285" s="1">
        <v>152.0</v>
      </c>
      <c r="L285" s="1">
        <v>1.0</v>
      </c>
      <c r="M285" s="1">
        <v>7.0</v>
      </c>
      <c r="N285" s="1">
        <v>0.0</v>
      </c>
      <c r="O285" s="1">
        <v>0.0</v>
      </c>
      <c r="P285" s="1">
        <v>54.0</v>
      </c>
      <c r="Q285" s="1">
        <v>28.0</v>
      </c>
      <c r="V285" s="2">
        <f>VLOOKUP(B285,'202324'!B:C,2,FALSE)-A285</f>
        <v>-12</v>
      </c>
    </row>
    <row r="286">
      <c r="A286" s="1">
        <f t="shared" si="1"/>
        <v>284</v>
      </c>
      <c r="B286" s="1" t="s">
        <v>1344</v>
      </c>
      <c r="C286" s="1" t="s">
        <v>1091</v>
      </c>
      <c r="D286" s="1" t="s">
        <v>66</v>
      </c>
      <c r="E286" s="11">
        <f t="shared" si="2"/>
        <v>247.2</v>
      </c>
      <c r="F286" s="11">
        <f t="shared" si="3"/>
        <v>3.481690141</v>
      </c>
      <c r="G286" s="1">
        <v>71.0</v>
      </c>
      <c r="H286" s="1">
        <v>1.0</v>
      </c>
      <c r="I286" s="1">
        <v>12.0</v>
      </c>
      <c r="J286" s="1">
        <v>13.0</v>
      </c>
      <c r="K286" s="1">
        <v>100.0</v>
      </c>
      <c r="L286" s="1">
        <v>0.0</v>
      </c>
      <c r="M286" s="1">
        <v>0.0</v>
      </c>
      <c r="N286" s="1">
        <v>0.0</v>
      </c>
      <c r="O286" s="1">
        <v>4.0</v>
      </c>
      <c r="P286" s="1">
        <v>132.0</v>
      </c>
      <c r="Q286" s="1">
        <v>205.0</v>
      </c>
      <c r="V286" s="2">
        <f>VLOOKUP(B286,'202324'!B:C,2,FALSE)-A286</f>
        <v>6</v>
      </c>
    </row>
    <row r="287">
      <c r="A287" s="1">
        <f t="shared" si="1"/>
        <v>285</v>
      </c>
      <c r="B287" s="1" t="s">
        <v>1345</v>
      </c>
      <c r="C287" s="1" t="s">
        <v>1038</v>
      </c>
      <c r="D287" s="1" t="s">
        <v>28</v>
      </c>
      <c r="E287" s="11">
        <f t="shared" si="2"/>
        <v>246.7</v>
      </c>
      <c r="F287" s="11">
        <f t="shared" si="3"/>
        <v>3.333783784</v>
      </c>
      <c r="G287" s="1">
        <v>74.0</v>
      </c>
      <c r="H287" s="1">
        <v>17.0</v>
      </c>
      <c r="I287" s="1">
        <v>19.0</v>
      </c>
      <c r="J287" s="1">
        <v>36.0</v>
      </c>
      <c r="K287" s="1">
        <v>119.0</v>
      </c>
      <c r="L287" s="1">
        <v>1.0</v>
      </c>
      <c r="M287" s="1">
        <v>0.0</v>
      </c>
      <c r="N287" s="1">
        <v>1.0</v>
      </c>
      <c r="O287" s="1">
        <v>0.0</v>
      </c>
      <c r="P287" s="1">
        <v>82.0</v>
      </c>
      <c r="Q287" s="1">
        <v>46.0</v>
      </c>
      <c r="V287" s="2">
        <f>VLOOKUP(B287,'202324'!B:C,2,FALSE)-A287</f>
        <v>-5</v>
      </c>
    </row>
    <row r="288">
      <c r="A288" s="1">
        <f t="shared" si="1"/>
        <v>286</v>
      </c>
      <c r="B288" s="1" t="s">
        <v>1346</v>
      </c>
      <c r="C288" s="1" t="s">
        <v>1052</v>
      </c>
      <c r="D288" s="1" t="s">
        <v>5</v>
      </c>
      <c r="E288" s="11">
        <f t="shared" si="2"/>
        <v>246.3</v>
      </c>
      <c r="F288" s="11">
        <f t="shared" si="3"/>
        <v>4.829411765</v>
      </c>
      <c r="G288" s="1">
        <v>51.0</v>
      </c>
      <c r="R288" s="1">
        <v>19.0</v>
      </c>
      <c r="S288" s="1">
        <v>133.0</v>
      </c>
      <c r="T288" s="12">
        <v>1236.0</v>
      </c>
      <c r="U288" s="1">
        <v>6.0</v>
      </c>
      <c r="V288" s="2">
        <f>VLOOKUP(B288,'202324'!B:C,2,FALSE)-A288</f>
        <v>-25</v>
      </c>
    </row>
    <row r="289">
      <c r="A289" s="1">
        <f t="shared" si="1"/>
        <v>287</v>
      </c>
      <c r="B289" s="1" t="s">
        <v>1347</v>
      </c>
      <c r="C289" s="1" t="s">
        <v>1065</v>
      </c>
      <c r="D289" s="1" t="s">
        <v>31</v>
      </c>
      <c r="E289" s="11">
        <f t="shared" si="2"/>
        <v>245.2</v>
      </c>
      <c r="F289" s="11">
        <f t="shared" si="3"/>
        <v>3.892063492</v>
      </c>
      <c r="G289" s="1">
        <v>63.0</v>
      </c>
      <c r="H289" s="1">
        <v>18.0</v>
      </c>
      <c r="I289" s="1">
        <v>18.0</v>
      </c>
      <c r="J289" s="1">
        <v>36.0</v>
      </c>
      <c r="K289" s="1">
        <v>145.0</v>
      </c>
      <c r="L289" s="1">
        <v>5.0</v>
      </c>
      <c r="M289" s="1">
        <v>2.0</v>
      </c>
      <c r="N289" s="1">
        <v>0.0</v>
      </c>
      <c r="O289" s="1">
        <v>0.0</v>
      </c>
      <c r="P289" s="1">
        <v>72.0</v>
      </c>
      <c r="Q289" s="1">
        <v>25.0</v>
      </c>
      <c r="V289" s="2">
        <f>VLOOKUP(B289,'202324'!B:C,2,FALSE)-A289</f>
        <v>-3</v>
      </c>
    </row>
    <row r="290">
      <c r="A290" s="1">
        <f t="shared" si="1"/>
        <v>288</v>
      </c>
      <c r="B290" s="1" t="s">
        <v>1348</v>
      </c>
      <c r="C290" s="1" t="s">
        <v>1080</v>
      </c>
      <c r="D290" s="1" t="s">
        <v>31</v>
      </c>
      <c r="E290" s="11">
        <f t="shared" si="2"/>
        <v>244.95</v>
      </c>
      <c r="F290" s="11">
        <f t="shared" si="3"/>
        <v>3.499285714</v>
      </c>
      <c r="G290" s="1">
        <v>70.0</v>
      </c>
      <c r="H290" s="1">
        <v>13.0</v>
      </c>
      <c r="I290" s="1">
        <v>28.0</v>
      </c>
      <c r="J290" s="1">
        <v>41.0</v>
      </c>
      <c r="K290" s="1">
        <v>112.0</v>
      </c>
      <c r="L290" s="1">
        <v>1.0</v>
      </c>
      <c r="M290" s="1">
        <v>6.0</v>
      </c>
      <c r="N290" s="1">
        <v>1.0</v>
      </c>
      <c r="O290" s="1">
        <v>0.0</v>
      </c>
      <c r="P290" s="1">
        <v>77.0</v>
      </c>
      <c r="Q290" s="1">
        <v>35.0</v>
      </c>
      <c r="V290" s="2">
        <f>VLOOKUP(B290,'202324'!B:C,2,FALSE)-A290</f>
        <v>-2</v>
      </c>
    </row>
    <row r="291">
      <c r="A291" s="1">
        <f t="shared" si="1"/>
        <v>289</v>
      </c>
      <c r="B291" s="1" t="s">
        <v>1349</v>
      </c>
      <c r="C291" s="1" t="s">
        <v>1069</v>
      </c>
      <c r="D291" s="1" t="s">
        <v>28</v>
      </c>
      <c r="E291" s="11">
        <f t="shared" si="2"/>
        <v>244.9</v>
      </c>
      <c r="F291" s="11">
        <f t="shared" si="3"/>
        <v>3.401388889</v>
      </c>
      <c r="G291" s="1">
        <v>72.0</v>
      </c>
      <c r="H291" s="1">
        <v>22.0</v>
      </c>
      <c r="I291" s="1">
        <v>24.0</v>
      </c>
      <c r="J291" s="1">
        <v>46.0</v>
      </c>
      <c r="K291" s="1">
        <v>121.0</v>
      </c>
      <c r="L291" s="1">
        <v>8.0</v>
      </c>
      <c r="M291" s="1">
        <v>11.0</v>
      </c>
      <c r="N291" s="1">
        <v>0.0</v>
      </c>
      <c r="O291" s="1">
        <v>0.0</v>
      </c>
      <c r="P291" s="1">
        <v>14.0</v>
      </c>
      <c r="Q291" s="1">
        <v>17.0</v>
      </c>
      <c r="V291" s="2">
        <f>VLOOKUP(B291,'202324'!B:C,2,FALSE)-A291</f>
        <v>-19</v>
      </c>
    </row>
    <row r="292">
      <c r="A292" s="1">
        <f t="shared" si="1"/>
        <v>290</v>
      </c>
      <c r="B292" s="1" t="s">
        <v>1350</v>
      </c>
      <c r="C292" s="1" t="s">
        <v>1073</v>
      </c>
      <c r="D292" s="1" t="s">
        <v>31</v>
      </c>
      <c r="E292" s="11">
        <f t="shared" si="2"/>
        <v>244.7</v>
      </c>
      <c r="F292" s="11">
        <f t="shared" si="3"/>
        <v>3.05875</v>
      </c>
      <c r="G292" s="1">
        <v>80.0</v>
      </c>
      <c r="H292" s="1">
        <v>10.0</v>
      </c>
      <c r="I292" s="1">
        <v>20.0</v>
      </c>
      <c r="J292" s="1">
        <v>30.0</v>
      </c>
      <c r="K292" s="1">
        <v>123.0</v>
      </c>
      <c r="L292" s="1">
        <v>0.0</v>
      </c>
      <c r="M292" s="1">
        <v>1.0</v>
      </c>
      <c r="N292" s="1">
        <v>1.0</v>
      </c>
      <c r="O292" s="1">
        <v>3.0</v>
      </c>
      <c r="P292" s="1">
        <v>142.0</v>
      </c>
      <c r="Q292" s="1">
        <v>41.0</v>
      </c>
      <c r="V292" s="2">
        <f>VLOOKUP(B292,'202324'!B:C,2,FALSE)-A292</f>
        <v>7</v>
      </c>
    </row>
    <row r="293">
      <c r="A293" s="1">
        <f t="shared" si="1"/>
        <v>291</v>
      </c>
      <c r="B293" s="1" t="s">
        <v>1351</v>
      </c>
      <c r="C293" s="1" t="s">
        <v>1052</v>
      </c>
      <c r="D293" s="1" t="s">
        <v>31</v>
      </c>
      <c r="E293" s="11">
        <f t="shared" si="2"/>
        <v>243.75</v>
      </c>
      <c r="F293" s="11">
        <f t="shared" si="3"/>
        <v>2.972560976</v>
      </c>
      <c r="G293" s="1">
        <v>82.0</v>
      </c>
      <c r="H293" s="1">
        <v>15.0</v>
      </c>
      <c r="I293" s="1">
        <v>16.0</v>
      </c>
      <c r="J293" s="1">
        <v>31.0</v>
      </c>
      <c r="K293" s="1">
        <v>154.0</v>
      </c>
      <c r="L293" s="1">
        <v>4.0</v>
      </c>
      <c r="M293" s="1">
        <v>1.0</v>
      </c>
      <c r="N293" s="1">
        <v>1.0</v>
      </c>
      <c r="O293" s="1">
        <v>1.0</v>
      </c>
      <c r="P293" s="1">
        <v>55.0</v>
      </c>
      <c r="Q293" s="1">
        <v>56.0</v>
      </c>
      <c r="V293" s="2">
        <f>VLOOKUP(B293,'202324'!B:C,2,FALSE)-A293</f>
        <v>-9</v>
      </c>
    </row>
    <row r="294">
      <c r="A294" s="1">
        <f t="shared" si="1"/>
        <v>292</v>
      </c>
      <c r="B294" s="1" t="s">
        <v>1352</v>
      </c>
      <c r="C294" s="1" t="s">
        <v>1042</v>
      </c>
      <c r="D294" s="1" t="s">
        <v>28</v>
      </c>
      <c r="E294" s="11">
        <f t="shared" si="2"/>
        <v>243.55</v>
      </c>
      <c r="F294" s="11">
        <f t="shared" si="3"/>
        <v>3.581617647</v>
      </c>
      <c r="G294" s="1">
        <v>68.0</v>
      </c>
      <c r="H294" s="1">
        <v>10.0</v>
      </c>
      <c r="I294" s="1">
        <v>17.0</v>
      </c>
      <c r="J294" s="1">
        <v>27.0</v>
      </c>
      <c r="K294" s="1">
        <v>110.0</v>
      </c>
      <c r="L294" s="1">
        <v>0.0</v>
      </c>
      <c r="M294" s="1">
        <v>0.0</v>
      </c>
      <c r="N294" s="1">
        <v>0.0</v>
      </c>
      <c r="O294" s="1">
        <v>0.0</v>
      </c>
      <c r="P294" s="1">
        <v>233.0</v>
      </c>
      <c r="Q294" s="1">
        <v>22.0</v>
      </c>
      <c r="V294" s="2">
        <f>VLOOKUP(B294,'202324'!B:C,2,FALSE)-A294</f>
        <v>34</v>
      </c>
    </row>
    <row r="295">
      <c r="A295" s="1">
        <f t="shared" si="1"/>
        <v>293</v>
      </c>
      <c r="B295" s="1" t="s">
        <v>1353</v>
      </c>
      <c r="C295" s="1" t="s">
        <v>1106</v>
      </c>
      <c r="D295" s="1" t="s">
        <v>66</v>
      </c>
      <c r="E295" s="11">
        <f t="shared" si="2"/>
        <v>242.05</v>
      </c>
      <c r="F295" s="11">
        <f t="shared" si="3"/>
        <v>4.034166667</v>
      </c>
      <c r="G295" s="1">
        <v>60.0</v>
      </c>
      <c r="H295" s="1">
        <v>2.0</v>
      </c>
      <c r="I295" s="1">
        <v>28.0</v>
      </c>
      <c r="J295" s="1">
        <v>30.0</v>
      </c>
      <c r="K295" s="1">
        <v>132.0</v>
      </c>
      <c r="L295" s="1">
        <v>1.0</v>
      </c>
      <c r="M295" s="1">
        <v>6.0</v>
      </c>
      <c r="N295" s="1">
        <v>0.0</v>
      </c>
      <c r="O295" s="1">
        <v>1.0</v>
      </c>
      <c r="P295" s="1">
        <v>83.0</v>
      </c>
      <c r="Q295" s="1">
        <v>104.0</v>
      </c>
      <c r="V295" s="2">
        <f>VLOOKUP(B295,'202324'!B:C,2,FALSE)-A295</f>
        <v>-2</v>
      </c>
    </row>
    <row r="296">
      <c r="A296" s="1">
        <f t="shared" si="1"/>
        <v>293</v>
      </c>
      <c r="B296" s="1" t="s">
        <v>1354</v>
      </c>
      <c r="C296" s="1" t="s">
        <v>1048</v>
      </c>
      <c r="D296" s="1" t="s">
        <v>66</v>
      </c>
      <c r="E296" s="11">
        <f t="shared" si="2"/>
        <v>242.05</v>
      </c>
      <c r="F296" s="11">
        <f t="shared" si="3"/>
        <v>3.025625</v>
      </c>
      <c r="G296" s="1">
        <v>80.0</v>
      </c>
      <c r="H296" s="1">
        <v>9.0</v>
      </c>
      <c r="I296" s="1">
        <v>23.0</v>
      </c>
      <c r="J296" s="1">
        <v>32.0</v>
      </c>
      <c r="K296" s="1">
        <v>123.0</v>
      </c>
      <c r="L296" s="1">
        <v>1.0</v>
      </c>
      <c r="M296" s="1">
        <v>10.0</v>
      </c>
      <c r="N296" s="1">
        <v>0.0</v>
      </c>
      <c r="O296" s="1">
        <v>0.0</v>
      </c>
      <c r="P296" s="1">
        <v>103.0</v>
      </c>
      <c r="Q296" s="1">
        <v>70.0</v>
      </c>
      <c r="V296" s="2">
        <f>VLOOKUP(B296,'202324'!B:C,2,FALSE)-A296</f>
        <v>1</v>
      </c>
    </row>
    <row r="297">
      <c r="A297" s="1">
        <f t="shared" si="1"/>
        <v>295</v>
      </c>
      <c r="B297" s="1" t="s">
        <v>1355</v>
      </c>
      <c r="C297" s="1" t="s">
        <v>1040</v>
      </c>
      <c r="D297" s="1" t="s">
        <v>28</v>
      </c>
      <c r="E297" s="11">
        <f t="shared" si="2"/>
        <v>241.8</v>
      </c>
      <c r="F297" s="11">
        <f t="shared" si="3"/>
        <v>2.985185185</v>
      </c>
      <c r="G297" s="1">
        <v>81.0</v>
      </c>
      <c r="H297" s="1">
        <v>13.0</v>
      </c>
      <c r="I297" s="1">
        <v>8.0</v>
      </c>
      <c r="J297" s="1">
        <v>21.0</v>
      </c>
      <c r="K297" s="1">
        <v>119.0</v>
      </c>
      <c r="L297" s="1">
        <v>1.0</v>
      </c>
      <c r="M297" s="1">
        <v>1.0</v>
      </c>
      <c r="N297" s="1">
        <v>0.0</v>
      </c>
      <c r="O297" s="1">
        <v>0.0</v>
      </c>
      <c r="P297" s="1">
        <v>248.0</v>
      </c>
      <c r="Q297" s="1">
        <v>26.0</v>
      </c>
      <c r="V297" s="2">
        <f>VLOOKUP(B297,'202324'!B:C,2,FALSE)-A297</f>
        <v>35</v>
      </c>
    </row>
    <row r="298">
      <c r="A298" s="1">
        <f t="shared" si="1"/>
        <v>296</v>
      </c>
      <c r="B298" s="1" t="s">
        <v>1356</v>
      </c>
      <c r="C298" s="1" t="s">
        <v>1042</v>
      </c>
      <c r="D298" s="1" t="s">
        <v>28</v>
      </c>
      <c r="E298" s="11">
        <f t="shared" si="2"/>
        <v>241.7</v>
      </c>
      <c r="F298" s="11">
        <f t="shared" si="3"/>
        <v>3.02125</v>
      </c>
      <c r="G298" s="1">
        <v>80.0</v>
      </c>
      <c r="H298" s="1">
        <v>9.0</v>
      </c>
      <c r="I298" s="1">
        <v>14.0</v>
      </c>
      <c r="J298" s="1">
        <v>23.0</v>
      </c>
      <c r="K298" s="1">
        <v>112.0</v>
      </c>
      <c r="L298" s="1">
        <v>0.0</v>
      </c>
      <c r="M298" s="1">
        <v>0.0</v>
      </c>
      <c r="N298" s="1">
        <v>1.0</v>
      </c>
      <c r="O298" s="1">
        <v>2.0</v>
      </c>
      <c r="P298" s="1">
        <v>232.0</v>
      </c>
      <c r="Q298" s="1">
        <v>32.0</v>
      </c>
      <c r="V298" s="2">
        <f>VLOOKUP(B298,'202324'!B:C,2,FALSE)-A298</f>
        <v>31</v>
      </c>
    </row>
    <row r="299">
      <c r="A299" s="1">
        <f t="shared" si="1"/>
        <v>297</v>
      </c>
      <c r="B299" s="1" t="s">
        <v>1357</v>
      </c>
      <c r="C299" s="1" t="s">
        <v>1073</v>
      </c>
      <c r="D299" s="1" t="s">
        <v>31</v>
      </c>
      <c r="E299" s="11">
        <f t="shared" si="2"/>
        <v>241.3</v>
      </c>
      <c r="F299" s="11">
        <f t="shared" si="3"/>
        <v>2.979012346</v>
      </c>
      <c r="G299" s="1">
        <v>81.0</v>
      </c>
      <c r="H299" s="1">
        <v>14.0</v>
      </c>
      <c r="I299" s="1">
        <v>23.0</v>
      </c>
      <c r="J299" s="1">
        <v>37.0</v>
      </c>
      <c r="K299" s="1">
        <v>111.0</v>
      </c>
      <c r="L299" s="1">
        <v>3.0</v>
      </c>
      <c r="M299" s="1">
        <v>8.0</v>
      </c>
      <c r="N299" s="1">
        <v>0.0</v>
      </c>
      <c r="O299" s="1">
        <v>0.0</v>
      </c>
      <c r="P299" s="1">
        <v>118.0</v>
      </c>
      <c r="Q299" s="1">
        <v>25.0</v>
      </c>
      <c r="V299" s="2">
        <f>VLOOKUP(B299,'202324'!B:C,2,FALSE)-A299</f>
        <v>3</v>
      </c>
    </row>
    <row r="300">
      <c r="A300" s="1">
        <f t="shared" si="1"/>
        <v>298</v>
      </c>
      <c r="B300" s="1" t="s">
        <v>1358</v>
      </c>
      <c r="C300" s="1" t="s">
        <v>1146</v>
      </c>
      <c r="D300" s="1" t="s">
        <v>31</v>
      </c>
      <c r="E300" s="11">
        <f t="shared" si="2"/>
        <v>240.2</v>
      </c>
      <c r="F300" s="11">
        <f t="shared" si="3"/>
        <v>3.119480519</v>
      </c>
      <c r="G300" s="1">
        <v>77.0</v>
      </c>
      <c r="H300" s="1">
        <v>15.0</v>
      </c>
      <c r="I300" s="1">
        <v>22.0</v>
      </c>
      <c r="J300" s="1">
        <v>37.0</v>
      </c>
      <c r="K300" s="1">
        <v>133.0</v>
      </c>
      <c r="L300" s="1">
        <v>6.0</v>
      </c>
      <c r="M300" s="1">
        <v>7.0</v>
      </c>
      <c r="N300" s="1">
        <v>0.0</v>
      </c>
      <c r="O300" s="1">
        <v>0.0</v>
      </c>
      <c r="P300" s="1">
        <v>52.0</v>
      </c>
      <c r="Q300" s="1">
        <v>44.0</v>
      </c>
      <c r="V300" s="2">
        <f>VLOOKUP(B300,'202324'!B:C,2,FALSE)-A300</f>
        <v>-9</v>
      </c>
    </row>
    <row r="301">
      <c r="A301" s="1">
        <f t="shared" si="1"/>
        <v>299</v>
      </c>
      <c r="B301" s="1" t="s">
        <v>1359</v>
      </c>
      <c r="C301" s="1" t="s">
        <v>1120</v>
      </c>
      <c r="D301" s="1" t="s">
        <v>66</v>
      </c>
      <c r="E301" s="11">
        <f t="shared" si="2"/>
        <v>239.65</v>
      </c>
      <c r="F301" s="11">
        <f t="shared" si="3"/>
        <v>3.282876712</v>
      </c>
      <c r="G301" s="1">
        <v>73.0</v>
      </c>
      <c r="H301" s="1">
        <v>3.0</v>
      </c>
      <c r="I301" s="1">
        <v>21.0</v>
      </c>
      <c r="J301" s="1">
        <v>24.0</v>
      </c>
      <c r="K301" s="1">
        <v>84.0</v>
      </c>
      <c r="L301" s="1">
        <v>0.0</v>
      </c>
      <c r="M301" s="1">
        <v>0.0</v>
      </c>
      <c r="N301" s="1">
        <v>0.0</v>
      </c>
      <c r="O301" s="1">
        <v>1.0</v>
      </c>
      <c r="P301" s="1">
        <v>149.0</v>
      </c>
      <c r="Q301" s="1">
        <v>134.0</v>
      </c>
      <c r="V301" s="2">
        <f>VLOOKUP(B301,'202324'!B:C,2,FALSE)-A301</f>
        <v>12</v>
      </c>
    </row>
    <row r="302">
      <c r="A302" s="1">
        <f t="shared" si="1"/>
        <v>300</v>
      </c>
      <c r="B302" s="1" t="s">
        <v>1360</v>
      </c>
      <c r="C302" s="1" t="s">
        <v>1040</v>
      </c>
      <c r="D302" s="1" t="s">
        <v>66</v>
      </c>
      <c r="E302" s="11">
        <f t="shared" si="2"/>
        <v>238.95</v>
      </c>
      <c r="F302" s="11">
        <f t="shared" si="3"/>
        <v>2.91402439</v>
      </c>
      <c r="G302" s="1">
        <v>82.0</v>
      </c>
      <c r="H302" s="1">
        <v>5.0</v>
      </c>
      <c r="I302" s="1">
        <v>14.0</v>
      </c>
      <c r="J302" s="1">
        <v>19.0</v>
      </c>
      <c r="K302" s="1">
        <v>95.0</v>
      </c>
      <c r="L302" s="1">
        <v>0.0</v>
      </c>
      <c r="M302" s="1">
        <v>0.0</v>
      </c>
      <c r="N302" s="1">
        <v>1.0</v>
      </c>
      <c r="O302" s="1">
        <v>0.0</v>
      </c>
      <c r="P302" s="1">
        <v>167.0</v>
      </c>
      <c r="Q302" s="1">
        <v>133.0</v>
      </c>
      <c r="V302" s="2">
        <f>VLOOKUP(B302,'202324'!B:C,2,FALSE)-A302</f>
        <v>16</v>
      </c>
    </row>
    <row r="303">
      <c r="A303" s="1">
        <f t="shared" si="1"/>
        <v>301</v>
      </c>
      <c r="B303" s="1" t="s">
        <v>1361</v>
      </c>
      <c r="C303" s="1" t="s">
        <v>1065</v>
      </c>
      <c r="D303" s="1" t="s">
        <v>31</v>
      </c>
      <c r="E303" s="11">
        <f t="shared" si="2"/>
        <v>237.9</v>
      </c>
      <c r="F303" s="11">
        <f t="shared" si="3"/>
        <v>3.011392405</v>
      </c>
      <c r="G303" s="1">
        <v>79.0</v>
      </c>
      <c r="H303" s="1">
        <v>11.0</v>
      </c>
      <c r="I303" s="1">
        <v>30.0</v>
      </c>
      <c r="J303" s="1">
        <v>41.0</v>
      </c>
      <c r="K303" s="1">
        <v>131.0</v>
      </c>
      <c r="L303" s="1">
        <v>2.0</v>
      </c>
      <c r="M303" s="1">
        <v>13.0</v>
      </c>
      <c r="N303" s="1">
        <v>0.0</v>
      </c>
      <c r="O303" s="1">
        <v>0.0</v>
      </c>
      <c r="P303" s="1">
        <v>64.0</v>
      </c>
      <c r="Q303" s="1">
        <v>21.0</v>
      </c>
      <c r="V303" s="2">
        <f>VLOOKUP(B303,'202324'!B:C,2,FALSE)-A303</f>
        <v>-6</v>
      </c>
    </row>
    <row r="304">
      <c r="A304" s="1">
        <f t="shared" si="1"/>
        <v>302</v>
      </c>
      <c r="B304" s="1" t="s">
        <v>1362</v>
      </c>
      <c r="C304" s="1" t="s">
        <v>1120</v>
      </c>
      <c r="D304" s="1" t="s">
        <v>5</v>
      </c>
      <c r="E304" s="11">
        <f t="shared" si="2"/>
        <v>237.9</v>
      </c>
      <c r="F304" s="11">
        <f t="shared" si="3"/>
        <v>5.406818182</v>
      </c>
      <c r="G304" s="1">
        <v>44.0</v>
      </c>
      <c r="R304" s="1">
        <v>21.0</v>
      </c>
      <c r="S304" s="1">
        <v>127.0</v>
      </c>
      <c r="T304" s="12">
        <v>1198.0</v>
      </c>
      <c r="U304" s="1">
        <v>2.0</v>
      </c>
      <c r="V304" s="2">
        <f>VLOOKUP(B304,'202324'!B:C,2,FALSE)-A304</f>
        <v>-17</v>
      </c>
    </row>
    <row r="305">
      <c r="A305" s="1">
        <f t="shared" si="1"/>
        <v>303</v>
      </c>
      <c r="B305" s="1" t="s">
        <v>1363</v>
      </c>
      <c r="C305" s="1" t="s">
        <v>1067</v>
      </c>
      <c r="D305" s="1" t="s">
        <v>66</v>
      </c>
      <c r="E305" s="11">
        <f t="shared" si="2"/>
        <v>237.25</v>
      </c>
      <c r="F305" s="11">
        <f t="shared" si="3"/>
        <v>3.121710526</v>
      </c>
      <c r="G305" s="1">
        <v>76.0</v>
      </c>
      <c r="H305" s="1">
        <v>6.0</v>
      </c>
      <c r="I305" s="1">
        <v>27.0</v>
      </c>
      <c r="J305" s="1">
        <v>33.0</v>
      </c>
      <c r="K305" s="1">
        <v>108.0</v>
      </c>
      <c r="L305" s="1">
        <v>0.0</v>
      </c>
      <c r="M305" s="1">
        <v>6.0</v>
      </c>
      <c r="N305" s="1">
        <v>0.0</v>
      </c>
      <c r="O305" s="1">
        <v>1.0</v>
      </c>
      <c r="P305" s="1">
        <v>45.0</v>
      </c>
      <c r="Q305" s="1">
        <v>115.0</v>
      </c>
      <c r="V305" s="2">
        <f>VLOOKUP(B305,'202324'!B:C,2,FALSE)-A305</f>
        <v>-11</v>
      </c>
    </row>
    <row r="306">
      <c r="A306" s="1">
        <f t="shared" si="1"/>
        <v>303</v>
      </c>
      <c r="B306" s="1" t="s">
        <v>1364</v>
      </c>
      <c r="C306" s="1" t="s">
        <v>1034</v>
      </c>
      <c r="D306" s="1" t="s">
        <v>66</v>
      </c>
      <c r="E306" s="11">
        <f t="shared" si="2"/>
        <v>237.25</v>
      </c>
      <c r="F306" s="11">
        <f t="shared" si="3"/>
        <v>2.893292683</v>
      </c>
      <c r="G306" s="1">
        <v>82.0</v>
      </c>
      <c r="H306" s="1">
        <v>6.0</v>
      </c>
      <c r="I306" s="1">
        <v>27.0</v>
      </c>
      <c r="J306" s="1">
        <v>33.0</v>
      </c>
      <c r="K306" s="1">
        <v>101.0</v>
      </c>
      <c r="L306" s="1">
        <v>1.0</v>
      </c>
      <c r="M306" s="1">
        <v>6.0</v>
      </c>
      <c r="N306" s="1">
        <v>0.0</v>
      </c>
      <c r="O306" s="1">
        <v>0.0</v>
      </c>
      <c r="P306" s="1">
        <v>75.0</v>
      </c>
      <c r="Q306" s="1">
        <v>105.0</v>
      </c>
      <c r="V306" s="2">
        <f>VLOOKUP(B306,'202324'!B:C,2,FALSE)-A306</f>
        <v>-5</v>
      </c>
    </row>
    <row r="307">
      <c r="A307" s="1">
        <f t="shared" si="1"/>
        <v>305</v>
      </c>
      <c r="B307" s="1" t="s">
        <v>1365</v>
      </c>
      <c r="C307" s="1" t="s">
        <v>1069</v>
      </c>
      <c r="D307" s="1" t="s">
        <v>31</v>
      </c>
      <c r="E307" s="11">
        <f t="shared" si="2"/>
        <v>236.8</v>
      </c>
      <c r="F307" s="11">
        <f t="shared" si="3"/>
        <v>3.758730159</v>
      </c>
      <c r="G307" s="1">
        <v>63.0</v>
      </c>
      <c r="H307" s="1">
        <v>8.0</v>
      </c>
      <c r="I307" s="1">
        <v>16.0</v>
      </c>
      <c r="J307" s="1">
        <v>24.0</v>
      </c>
      <c r="K307" s="1">
        <v>117.0</v>
      </c>
      <c r="L307" s="1">
        <v>0.0</v>
      </c>
      <c r="M307" s="1">
        <v>0.0</v>
      </c>
      <c r="N307" s="1">
        <v>0.0</v>
      </c>
      <c r="O307" s="1">
        <v>0.0</v>
      </c>
      <c r="P307" s="1">
        <v>238.0</v>
      </c>
      <c r="Q307" s="1">
        <v>22.0</v>
      </c>
      <c r="V307" s="2">
        <f>VLOOKUP(B307,'202324'!B:C,2,FALSE)-A307</f>
        <v>31</v>
      </c>
    </row>
    <row r="308">
      <c r="A308" s="1">
        <f t="shared" si="1"/>
        <v>306</v>
      </c>
      <c r="B308" s="1" t="s">
        <v>1366</v>
      </c>
      <c r="C308" s="1" t="s">
        <v>1067</v>
      </c>
      <c r="D308" s="1" t="s">
        <v>28</v>
      </c>
      <c r="E308" s="11">
        <f t="shared" si="2"/>
        <v>236.35</v>
      </c>
      <c r="F308" s="11">
        <f t="shared" si="3"/>
        <v>3.52761194</v>
      </c>
      <c r="G308" s="1">
        <v>67.0</v>
      </c>
      <c r="H308" s="1">
        <v>10.0</v>
      </c>
      <c r="I308" s="1">
        <v>18.0</v>
      </c>
      <c r="J308" s="1">
        <v>28.0</v>
      </c>
      <c r="K308" s="1">
        <v>107.0</v>
      </c>
      <c r="L308" s="1">
        <v>1.0</v>
      </c>
      <c r="M308" s="1">
        <v>2.0</v>
      </c>
      <c r="N308" s="1">
        <v>0.0</v>
      </c>
      <c r="O308" s="1">
        <v>1.0</v>
      </c>
      <c r="P308" s="1">
        <v>141.0</v>
      </c>
      <c r="Q308" s="1">
        <v>65.0</v>
      </c>
      <c r="V308" s="2">
        <f>VLOOKUP(B308,'202324'!B:C,2,FALSE)-A308</f>
        <v>10</v>
      </c>
    </row>
    <row r="309">
      <c r="A309" s="1">
        <f t="shared" si="1"/>
        <v>307</v>
      </c>
      <c r="B309" s="1" t="s">
        <v>1367</v>
      </c>
      <c r="C309" s="1" t="s">
        <v>1044</v>
      </c>
      <c r="D309" s="1" t="s">
        <v>66</v>
      </c>
      <c r="E309" s="11">
        <f t="shared" si="2"/>
        <v>235.95</v>
      </c>
      <c r="F309" s="11">
        <f t="shared" si="3"/>
        <v>3.419565217</v>
      </c>
      <c r="G309" s="1">
        <v>69.0</v>
      </c>
      <c r="H309" s="1">
        <v>5.0</v>
      </c>
      <c r="I309" s="1">
        <v>20.0</v>
      </c>
      <c r="J309" s="1">
        <v>25.0</v>
      </c>
      <c r="K309" s="1">
        <v>85.0</v>
      </c>
      <c r="L309" s="1">
        <v>0.0</v>
      </c>
      <c r="M309" s="1">
        <v>0.0</v>
      </c>
      <c r="N309" s="1">
        <v>1.0</v>
      </c>
      <c r="O309" s="1">
        <v>0.0</v>
      </c>
      <c r="P309" s="1">
        <v>137.0</v>
      </c>
      <c r="Q309" s="1">
        <v>122.0</v>
      </c>
      <c r="V309" s="2">
        <f>VLOOKUP(B309,'202324'!B:C,2,FALSE)-A309</f>
        <v>9</v>
      </c>
    </row>
    <row r="310">
      <c r="A310" s="1">
        <f t="shared" si="1"/>
        <v>308</v>
      </c>
      <c r="B310" s="1" t="s">
        <v>1368</v>
      </c>
      <c r="C310" s="1" t="s">
        <v>1091</v>
      </c>
      <c r="D310" s="1" t="s">
        <v>31</v>
      </c>
      <c r="E310" s="11">
        <f t="shared" si="2"/>
        <v>235.85</v>
      </c>
      <c r="F310" s="11">
        <f t="shared" si="3"/>
        <v>3.062987013</v>
      </c>
      <c r="G310" s="1">
        <v>77.0</v>
      </c>
      <c r="H310" s="1">
        <v>11.0</v>
      </c>
      <c r="I310" s="1">
        <v>17.0</v>
      </c>
      <c r="J310" s="1">
        <v>28.0</v>
      </c>
      <c r="K310" s="1">
        <v>111.0</v>
      </c>
      <c r="L310" s="1">
        <v>1.0</v>
      </c>
      <c r="M310" s="1">
        <v>1.0</v>
      </c>
      <c r="N310" s="1">
        <v>3.0</v>
      </c>
      <c r="O310" s="1">
        <v>1.0</v>
      </c>
      <c r="P310" s="1">
        <v>61.0</v>
      </c>
      <c r="Q310" s="1">
        <v>101.0</v>
      </c>
      <c r="V310" s="2">
        <f>VLOOKUP(B310,'202324'!B:C,2,FALSE)-A310</f>
        <v>-10</v>
      </c>
    </row>
    <row r="311">
      <c r="A311" s="1">
        <f t="shared" si="1"/>
        <v>309</v>
      </c>
      <c r="B311" s="1" t="s">
        <v>1369</v>
      </c>
      <c r="C311" s="1" t="s">
        <v>1042</v>
      </c>
      <c r="D311" s="1" t="s">
        <v>31</v>
      </c>
      <c r="E311" s="11">
        <f t="shared" si="2"/>
        <v>235.75</v>
      </c>
      <c r="F311" s="11">
        <f t="shared" si="3"/>
        <v>3.320422535</v>
      </c>
      <c r="G311" s="1">
        <v>71.0</v>
      </c>
      <c r="H311" s="1">
        <v>18.0</v>
      </c>
      <c r="I311" s="1">
        <v>27.0</v>
      </c>
      <c r="J311" s="1">
        <v>45.0</v>
      </c>
      <c r="K311" s="1">
        <v>113.0</v>
      </c>
      <c r="L311" s="1">
        <v>6.0</v>
      </c>
      <c r="M311" s="1">
        <v>6.0</v>
      </c>
      <c r="N311" s="1">
        <v>0.0</v>
      </c>
      <c r="O311" s="1">
        <v>0.0</v>
      </c>
      <c r="P311" s="1">
        <v>5.0</v>
      </c>
      <c r="Q311" s="1">
        <v>31.0</v>
      </c>
      <c r="V311" s="2">
        <f>VLOOKUP(B311,'202324'!B:C,2,FALSE)-A311</f>
        <v>-21</v>
      </c>
    </row>
    <row r="312">
      <c r="A312" s="1">
        <f t="shared" si="1"/>
        <v>310</v>
      </c>
      <c r="B312" s="1" t="s">
        <v>1370</v>
      </c>
      <c r="C312" s="1" t="s">
        <v>1042</v>
      </c>
      <c r="D312" s="1" t="s">
        <v>28</v>
      </c>
      <c r="E312" s="11">
        <f t="shared" si="2"/>
        <v>235.3</v>
      </c>
      <c r="F312" s="11">
        <f t="shared" si="3"/>
        <v>3.410144928</v>
      </c>
      <c r="G312" s="1">
        <v>69.0</v>
      </c>
      <c r="H312" s="1">
        <v>14.0</v>
      </c>
      <c r="I312" s="1">
        <v>18.0</v>
      </c>
      <c r="J312" s="1">
        <v>32.0</v>
      </c>
      <c r="K312" s="1">
        <v>150.0</v>
      </c>
      <c r="L312" s="1">
        <v>5.0</v>
      </c>
      <c r="M312" s="1">
        <v>5.0</v>
      </c>
      <c r="N312" s="1">
        <v>0.0</v>
      </c>
      <c r="O312" s="1">
        <v>0.0</v>
      </c>
      <c r="P312" s="1">
        <v>98.0</v>
      </c>
      <c r="Q312" s="1">
        <v>18.0</v>
      </c>
      <c r="V312" s="2">
        <f>VLOOKUP(B312,'202324'!B:C,2,FALSE)-A312</f>
        <v>-2</v>
      </c>
    </row>
    <row r="313">
      <c r="A313" s="1">
        <f t="shared" si="1"/>
        <v>311</v>
      </c>
      <c r="B313" s="1" t="s">
        <v>1371</v>
      </c>
      <c r="C313" s="1" t="s">
        <v>1048</v>
      </c>
      <c r="D313" s="1" t="s">
        <v>66</v>
      </c>
      <c r="E313" s="11">
        <f t="shared" si="2"/>
        <v>234.6</v>
      </c>
      <c r="F313" s="11">
        <f t="shared" si="3"/>
        <v>2.86097561</v>
      </c>
      <c r="G313" s="1">
        <v>82.0</v>
      </c>
      <c r="H313" s="1">
        <v>3.0</v>
      </c>
      <c r="I313" s="1">
        <v>14.0</v>
      </c>
      <c r="J313" s="1">
        <v>17.0</v>
      </c>
      <c r="K313" s="1">
        <v>93.0</v>
      </c>
      <c r="L313" s="1">
        <v>0.0</v>
      </c>
      <c r="M313" s="1">
        <v>0.0</v>
      </c>
      <c r="N313" s="1">
        <v>0.0</v>
      </c>
      <c r="O313" s="1">
        <v>1.0</v>
      </c>
      <c r="P313" s="1">
        <v>196.0</v>
      </c>
      <c r="Q313" s="1">
        <v>124.0</v>
      </c>
      <c r="V313" s="2">
        <f>VLOOKUP(B313,'202324'!B:C,2,FALSE)-A313</f>
        <v>21</v>
      </c>
    </row>
    <row r="314">
      <c r="A314" s="1">
        <f t="shared" si="1"/>
        <v>312</v>
      </c>
      <c r="B314" s="1" t="s">
        <v>1372</v>
      </c>
      <c r="C314" s="1" t="s">
        <v>1116</v>
      </c>
      <c r="D314" s="1" t="s">
        <v>28</v>
      </c>
      <c r="E314" s="11">
        <f t="shared" si="2"/>
        <v>234.1</v>
      </c>
      <c r="F314" s="11">
        <f t="shared" si="3"/>
        <v>3.297183099</v>
      </c>
      <c r="G314" s="1">
        <v>71.0</v>
      </c>
      <c r="H314" s="1">
        <v>19.0</v>
      </c>
      <c r="I314" s="1">
        <v>19.0</v>
      </c>
      <c r="J314" s="1">
        <v>38.0</v>
      </c>
      <c r="K314" s="1">
        <v>142.0</v>
      </c>
      <c r="L314" s="1">
        <v>5.0</v>
      </c>
      <c r="M314" s="1">
        <v>6.0</v>
      </c>
      <c r="N314" s="1">
        <v>0.0</v>
      </c>
      <c r="O314" s="1">
        <v>0.0</v>
      </c>
      <c r="P314" s="1">
        <v>26.0</v>
      </c>
      <c r="Q314" s="1">
        <v>23.0</v>
      </c>
      <c r="V314" s="2">
        <f>VLOOKUP(B314,'202324'!B:C,2,FALSE)-A314</f>
        <v>-17</v>
      </c>
    </row>
    <row r="315">
      <c r="A315" s="1">
        <f t="shared" si="1"/>
        <v>313</v>
      </c>
      <c r="B315" s="1" t="s">
        <v>1373</v>
      </c>
      <c r="C315" s="1" t="s">
        <v>1048</v>
      </c>
      <c r="D315" s="1" t="s">
        <v>28</v>
      </c>
      <c r="E315" s="11">
        <f t="shared" si="2"/>
        <v>233.65</v>
      </c>
      <c r="F315" s="11">
        <f t="shared" si="3"/>
        <v>2.849390244</v>
      </c>
      <c r="G315" s="1">
        <v>82.0</v>
      </c>
      <c r="H315" s="1">
        <v>12.0</v>
      </c>
      <c r="I315" s="1">
        <v>15.0</v>
      </c>
      <c r="J315" s="1">
        <v>27.0</v>
      </c>
      <c r="K315" s="1">
        <v>119.0</v>
      </c>
      <c r="L315" s="1">
        <v>2.0</v>
      </c>
      <c r="M315" s="1">
        <v>0.0</v>
      </c>
      <c r="N315" s="1">
        <v>0.0</v>
      </c>
      <c r="O315" s="1">
        <v>1.0</v>
      </c>
      <c r="P315" s="1">
        <v>129.0</v>
      </c>
      <c r="Q315" s="1">
        <v>56.0</v>
      </c>
      <c r="V315" s="2">
        <f>VLOOKUP(B315,'202324'!B:C,2,FALSE)-A315</f>
        <v>11</v>
      </c>
    </row>
    <row r="316">
      <c r="A316" s="1">
        <f t="shared" si="1"/>
        <v>314</v>
      </c>
      <c r="B316" s="1" t="s">
        <v>1374</v>
      </c>
      <c r="C316" s="1" t="s">
        <v>1097</v>
      </c>
      <c r="D316" s="1" t="s">
        <v>36</v>
      </c>
      <c r="E316" s="11">
        <f t="shared" si="2"/>
        <v>233.55</v>
      </c>
      <c r="F316" s="11">
        <f t="shared" si="3"/>
        <v>3.033116883</v>
      </c>
      <c r="G316" s="1">
        <v>77.0</v>
      </c>
      <c r="H316" s="1">
        <v>16.0</v>
      </c>
      <c r="I316" s="1">
        <v>15.0</v>
      </c>
      <c r="J316" s="1">
        <v>31.0</v>
      </c>
      <c r="K316" s="1">
        <v>154.0</v>
      </c>
      <c r="L316" s="1">
        <v>1.0</v>
      </c>
      <c r="M316" s="1">
        <v>3.0</v>
      </c>
      <c r="N316" s="1">
        <v>0.0</v>
      </c>
      <c r="O316" s="1">
        <v>0.0</v>
      </c>
      <c r="P316" s="1">
        <v>63.0</v>
      </c>
      <c r="Q316" s="1">
        <v>35.0</v>
      </c>
      <c r="V316" s="2">
        <f>VLOOKUP(B316,'202324'!B:C,2,FALSE)-A316</f>
        <v>-11</v>
      </c>
    </row>
    <row r="317">
      <c r="A317" s="1">
        <f t="shared" si="1"/>
        <v>315</v>
      </c>
      <c r="B317" s="1" t="s">
        <v>1375</v>
      </c>
      <c r="C317" s="1" t="s">
        <v>1146</v>
      </c>
      <c r="D317" s="1" t="s">
        <v>66</v>
      </c>
      <c r="E317" s="11">
        <f t="shared" si="2"/>
        <v>233</v>
      </c>
      <c r="F317" s="11">
        <f t="shared" si="3"/>
        <v>2.841463415</v>
      </c>
      <c r="G317" s="1">
        <v>82.0</v>
      </c>
      <c r="H317" s="1">
        <v>2.0</v>
      </c>
      <c r="I317" s="1">
        <v>13.0</v>
      </c>
      <c r="J317" s="1">
        <v>15.0</v>
      </c>
      <c r="K317" s="1">
        <v>108.0</v>
      </c>
      <c r="L317" s="1">
        <v>0.0</v>
      </c>
      <c r="M317" s="1">
        <v>0.0</v>
      </c>
      <c r="N317" s="1">
        <v>0.0</v>
      </c>
      <c r="O317" s="1">
        <v>2.0</v>
      </c>
      <c r="P317" s="1">
        <v>110.0</v>
      </c>
      <c r="Q317" s="1">
        <v>177.0</v>
      </c>
      <c r="V317" s="2">
        <f>VLOOKUP(B317,'202324'!B:C,2,FALSE)-A317</f>
        <v>4</v>
      </c>
    </row>
    <row r="318">
      <c r="A318" s="1">
        <f t="shared" si="1"/>
        <v>316</v>
      </c>
      <c r="B318" s="1" t="s">
        <v>1376</v>
      </c>
      <c r="C318" s="1" t="s">
        <v>1082</v>
      </c>
      <c r="D318" s="1" t="s">
        <v>31</v>
      </c>
      <c r="E318" s="11">
        <f t="shared" si="2"/>
        <v>232.75</v>
      </c>
      <c r="F318" s="11">
        <f t="shared" si="3"/>
        <v>2.909375</v>
      </c>
      <c r="G318" s="1">
        <v>80.0</v>
      </c>
      <c r="H318" s="1">
        <v>18.0</v>
      </c>
      <c r="I318" s="1">
        <v>15.0</v>
      </c>
      <c r="J318" s="1">
        <v>33.0</v>
      </c>
      <c r="K318" s="1">
        <v>135.0</v>
      </c>
      <c r="L318" s="1">
        <v>2.0</v>
      </c>
      <c r="M318" s="1">
        <v>4.0</v>
      </c>
      <c r="N318" s="1">
        <v>1.0</v>
      </c>
      <c r="O318" s="1">
        <v>1.0</v>
      </c>
      <c r="P318" s="1">
        <v>45.0</v>
      </c>
      <c r="Q318" s="1">
        <v>39.0</v>
      </c>
      <c r="V318" s="2">
        <f>VLOOKUP(B318,'202324'!B:C,2,FALSE)-A318</f>
        <v>-14</v>
      </c>
    </row>
    <row r="319">
      <c r="A319" s="1">
        <f t="shared" si="1"/>
        <v>317</v>
      </c>
      <c r="B319" s="1" t="s">
        <v>1377</v>
      </c>
      <c r="C319" s="1" t="s">
        <v>1073</v>
      </c>
      <c r="D319" s="1" t="s">
        <v>28</v>
      </c>
      <c r="E319" s="11">
        <f t="shared" si="2"/>
        <v>232.35</v>
      </c>
      <c r="F319" s="11">
        <f t="shared" si="3"/>
        <v>2.833536585</v>
      </c>
      <c r="G319" s="1">
        <v>82.0</v>
      </c>
      <c r="H319" s="1">
        <v>14.0</v>
      </c>
      <c r="I319" s="1">
        <v>18.0</v>
      </c>
      <c r="J319" s="1">
        <v>32.0</v>
      </c>
      <c r="K319" s="1">
        <v>148.0</v>
      </c>
      <c r="L319" s="1">
        <v>0.0</v>
      </c>
      <c r="M319" s="1">
        <v>0.0</v>
      </c>
      <c r="N319" s="1">
        <v>1.0</v>
      </c>
      <c r="O319" s="1">
        <v>0.0</v>
      </c>
      <c r="P319" s="1">
        <v>61.0</v>
      </c>
      <c r="Q319" s="1">
        <v>36.0</v>
      </c>
      <c r="V319" s="2">
        <f>VLOOKUP(B319,'202324'!B:C,2,FALSE)-A319</f>
        <v>-11</v>
      </c>
    </row>
    <row r="320">
      <c r="A320" s="1">
        <f t="shared" si="1"/>
        <v>318</v>
      </c>
      <c r="B320" s="1" t="s">
        <v>1378</v>
      </c>
      <c r="C320" s="1" t="s">
        <v>1030</v>
      </c>
      <c r="D320" s="1" t="s">
        <v>28</v>
      </c>
      <c r="E320" s="11">
        <f t="shared" si="2"/>
        <v>231.95</v>
      </c>
      <c r="F320" s="11">
        <f t="shared" si="3"/>
        <v>3.134459459</v>
      </c>
      <c r="G320" s="1">
        <v>74.0</v>
      </c>
      <c r="H320" s="1">
        <v>9.0</v>
      </c>
      <c r="I320" s="1">
        <v>17.0</v>
      </c>
      <c r="J320" s="1">
        <v>26.0</v>
      </c>
      <c r="K320" s="1">
        <v>167.0</v>
      </c>
      <c r="L320" s="1">
        <v>0.0</v>
      </c>
      <c r="M320" s="1">
        <v>0.0</v>
      </c>
      <c r="N320" s="1">
        <v>1.0</v>
      </c>
      <c r="O320" s="1">
        <v>0.0</v>
      </c>
      <c r="P320" s="1">
        <v>107.0</v>
      </c>
      <c r="Q320" s="1">
        <v>35.0</v>
      </c>
      <c r="V320" s="2">
        <f>VLOOKUP(B320,'202324'!B:C,2,FALSE)-A320</f>
        <v>3</v>
      </c>
    </row>
    <row r="321">
      <c r="A321" s="1">
        <f t="shared" si="1"/>
        <v>319</v>
      </c>
      <c r="B321" s="1" t="s">
        <v>1379</v>
      </c>
      <c r="C321" s="1" t="s">
        <v>1116</v>
      </c>
      <c r="D321" s="1" t="s">
        <v>31</v>
      </c>
      <c r="E321" s="11">
        <f t="shared" si="2"/>
        <v>231.7</v>
      </c>
      <c r="F321" s="11">
        <f t="shared" si="3"/>
        <v>2.970512821</v>
      </c>
      <c r="G321" s="1">
        <v>78.0</v>
      </c>
      <c r="H321" s="1">
        <v>11.0</v>
      </c>
      <c r="I321" s="1">
        <v>26.0</v>
      </c>
      <c r="J321" s="1">
        <v>37.0</v>
      </c>
      <c r="K321" s="1">
        <v>95.0</v>
      </c>
      <c r="L321" s="1">
        <v>3.0</v>
      </c>
      <c r="M321" s="1">
        <v>2.0</v>
      </c>
      <c r="N321" s="1">
        <v>1.0</v>
      </c>
      <c r="O321" s="1">
        <v>0.0</v>
      </c>
      <c r="P321" s="1">
        <v>92.0</v>
      </c>
      <c r="Q321" s="1">
        <v>45.0</v>
      </c>
      <c r="V321" s="2">
        <f>VLOOKUP(B321,'202324'!B:C,2,FALSE)-A321</f>
        <v>-4</v>
      </c>
    </row>
    <row r="322">
      <c r="A322" s="1">
        <f t="shared" si="1"/>
        <v>320</v>
      </c>
      <c r="B322" s="1" t="s">
        <v>1380</v>
      </c>
      <c r="C322" s="1" t="s">
        <v>1080</v>
      </c>
      <c r="D322" s="1" t="s">
        <v>31</v>
      </c>
      <c r="E322" s="11">
        <f t="shared" si="2"/>
        <v>231.55</v>
      </c>
      <c r="F322" s="11">
        <f t="shared" si="3"/>
        <v>3.046710526</v>
      </c>
      <c r="G322" s="1">
        <v>76.0</v>
      </c>
      <c r="H322" s="1">
        <v>7.0</v>
      </c>
      <c r="I322" s="1">
        <v>18.0</v>
      </c>
      <c r="J322" s="1">
        <v>25.0</v>
      </c>
      <c r="K322" s="1">
        <v>100.0</v>
      </c>
      <c r="L322" s="1">
        <v>2.0</v>
      </c>
      <c r="M322" s="1">
        <v>2.0</v>
      </c>
      <c r="N322" s="1">
        <v>0.0</v>
      </c>
      <c r="O322" s="1">
        <v>0.0</v>
      </c>
      <c r="P322" s="1">
        <v>233.0</v>
      </c>
      <c r="Q322" s="1">
        <v>29.0</v>
      </c>
      <c r="V322" s="2">
        <f>VLOOKUP(B322,'202324'!B:C,2,FALSE)-A322</f>
        <v>26</v>
      </c>
    </row>
    <row r="323">
      <c r="A323" s="1">
        <f t="shared" si="1"/>
        <v>321</v>
      </c>
      <c r="B323" s="1" t="s">
        <v>1381</v>
      </c>
      <c r="C323" s="1" t="s">
        <v>1172</v>
      </c>
      <c r="D323" s="1" t="s">
        <v>31</v>
      </c>
      <c r="E323" s="11">
        <f t="shared" si="2"/>
        <v>230.9</v>
      </c>
      <c r="F323" s="11">
        <f t="shared" si="3"/>
        <v>2.96025641</v>
      </c>
      <c r="G323" s="1">
        <v>78.0</v>
      </c>
      <c r="H323" s="1">
        <v>12.0</v>
      </c>
      <c r="I323" s="1">
        <v>18.0</v>
      </c>
      <c r="J323" s="1">
        <v>30.0</v>
      </c>
      <c r="K323" s="1">
        <v>149.0</v>
      </c>
      <c r="L323" s="1">
        <v>1.0</v>
      </c>
      <c r="M323" s="1">
        <v>2.0</v>
      </c>
      <c r="N323" s="1">
        <v>0.0</v>
      </c>
      <c r="O323" s="1">
        <v>0.0</v>
      </c>
      <c r="P323" s="1">
        <v>104.0</v>
      </c>
      <c r="Q323" s="1">
        <v>24.0</v>
      </c>
      <c r="V323" s="2">
        <f>VLOOKUP(B323,'202324'!B:C,2,FALSE)-A323</f>
        <v>4</v>
      </c>
    </row>
    <row r="324">
      <c r="A324" s="1">
        <f t="shared" si="1"/>
        <v>322</v>
      </c>
      <c r="B324" s="1" t="s">
        <v>1382</v>
      </c>
      <c r="C324" s="1" t="s">
        <v>1067</v>
      </c>
      <c r="D324" s="1" t="s">
        <v>66</v>
      </c>
      <c r="E324" s="11">
        <f t="shared" si="2"/>
        <v>230.4</v>
      </c>
      <c r="F324" s="11">
        <f t="shared" si="3"/>
        <v>3.156164384</v>
      </c>
      <c r="G324" s="1">
        <v>73.0</v>
      </c>
      <c r="H324" s="1">
        <v>11.0</v>
      </c>
      <c r="I324" s="1">
        <v>18.0</v>
      </c>
      <c r="J324" s="1">
        <v>29.0</v>
      </c>
      <c r="K324" s="1">
        <v>84.0</v>
      </c>
      <c r="L324" s="1">
        <v>0.0</v>
      </c>
      <c r="M324" s="1">
        <v>1.0</v>
      </c>
      <c r="N324" s="1">
        <v>0.0</v>
      </c>
      <c r="O324" s="1">
        <v>0.0</v>
      </c>
      <c r="P324" s="1">
        <v>94.0</v>
      </c>
      <c r="Q324" s="1">
        <v>104.0</v>
      </c>
      <c r="V324" s="2">
        <f>VLOOKUP(B324,'202324'!B:C,2,FALSE)-A324</f>
        <v>0</v>
      </c>
    </row>
    <row r="325">
      <c r="A325" s="1">
        <f t="shared" si="1"/>
        <v>323</v>
      </c>
      <c r="B325" s="1" t="s">
        <v>1383</v>
      </c>
      <c r="C325" s="1" t="s">
        <v>1106</v>
      </c>
      <c r="D325" s="1" t="s">
        <v>36</v>
      </c>
      <c r="E325" s="11">
        <f t="shared" si="2"/>
        <v>229.9</v>
      </c>
      <c r="F325" s="11">
        <f t="shared" si="3"/>
        <v>2.803658537</v>
      </c>
      <c r="G325" s="1">
        <v>82.0</v>
      </c>
      <c r="H325" s="1">
        <v>14.0</v>
      </c>
      <c r="I325" s="1">
        <v>7.0</v>
      </c>
      <c r="J325" s="1">
        <v>21.0</v>
      </c>
      <c r="K325" s="1">
        <v>114.0</v>
      </c>
      <c r="L325" s="1">
        <v>0.0</v>
      </c>
      <c r="M325" s="1">
        <v>0.0</v>
      </c>
      <c r="N325" s="1">
        <v>2.0</v>
      </c>
      <c r="O325" s="1">
        <v>0.0</v>
      </c>
      <c r="P325" s="1">
        <v>164.0</v>
      </c>
      <c r="Q325" s="1">
        <v>55.0</v>
      </c>
      <c r="V325" s="2">
        <f>VLOOKUP(B325,'202324'!B:C,2,FALSE)-A325</f>
        <v>12</v>
      </c>
    </row>
    <row r="326">
      <c r="A326" s="1">
        <f t="shared" si="1"/>
        <v>324</v>
      </c>
      <c r="B326" s="1" t="s">
        <v>1384</v>
      </c>
      <c r="C326" s="1" t="s">
        <v>1034</v>
      </c>
      <c r="D326" s="1" t="s">
        <v>66</v>
      </c>
      <c r="E326" s="11">
        <f t="shared" si="2"/>
        <v>228.8</v>
      </c>
      <c r="F326" s="11">
        <f t="shared" si="3"/>
        <v>3.091891892</v>
      </c>
      <c r="G326" s="1">
        <v>74.0</v>
      </c>
      <c r="H326" s="1">
        <v>3.0</v>
      </c>
      <c r="I326" s="1">
        <v>29.0</v>
      </c>
      <c r="J326" s="1">
        <v>32.0</v>
      </c>
      <c r="K326" s="1">
        <v>91.0</v>
      </c>
      <c r="L326" s="1">
        <v>0.0</v>
      </c>
      <c r="M326" s="1">
        <v>4.0</v>
      </c>
      <c r="N326" s="1">
        <v>0.0</v>
      </c>
      <c r="O326" s="1">
        <v>0.0</v>
      </c>
      <c r="P326" s="1">
        <v>38.0</v>
      </c>
      <c r="Q326" s="1">
        <v>139.0</v>
      </c>
      <c r="V326" s="2">
        <f>VLOOKUP(B326,'202324'!B:C,2,FALSE)-A326</f>
        <v>-15</v>
      </c>
    </row>
    <row r="327">
      <c r="A327" s="1">
        <f t="shared" si="1"/>
        <v>325</v>
      </c>
      <c r="B327" s="1" t="s">
        <v>1385</v>
      </c>
      <c r="C327" s="1" t="s">
        <v>1034</v>
      </c>
      <c r="D327" s="1" t="s">
        <v>31</v>
      </c>
      <c r="E327" s="11">
        <f t="shared" si="2"/>
        <v>228.4</v>
      </c>
      <c r="F327" s="11">
        <f t="shared" si="3"/>
        <v>2.819753086</v>
      </c>
      <c r="G327" s="1">
        <v>81.0</v>
      </c>
      <c r="H327" s="1">
        <v>11.0</v>
      </c>
      <c r="I327" s="1">
        <v>14.0</v>
      </c>
      <c r="J327" s="1">
        <v>25.0</v>
      </c>
      <c r="K327" s="1">
        <v>149.0</v>
      </c>
      <c r="L327" s="1">
        <v>2.0</v>
      </c>
      <c r="M327" s="1">
        <v>2.0</v>
      </c>
      <c r="N327" s="1">
        <v>0.0</v>
      </c>
      <c r="O327" s="1">
        <v>0.0</v>
      </c>
      <c r="P327" s="1">
        <v>134.0</v>
      </c>
      <c r="Q327" s="1">
        <v>31.0</v>
      </c>
      <c r="V327" s="2">
        <f>VLOOKUP(B327,'202324'!B:C,2,FALSE)-A327</f>
        <v>7</v>
      </c>
    </row>
    <row r="328">
      <c r="A328" s="1">
        <f t="shared" si="1"/>
        <v>326</v>
      </c>
      <c r="B328" s="1" t="s">
        <v>1386</v>
      </c>
      <c r="C328" s="1" t="s">
        <v>1054</v>
      </c>
      <c r="D328" s="1" t="s">
        <v>66</v>
      </c>
      <c r="E328" s="11">
        <f t="shared" si="2"/>
        <v>228.35</v>
      </c>
      <c r="F328" s="11">
        <f t="shared" si="3"/>
        <v>3.683064516</v>
      </c>
      <c r="G328" s="1">
        <v>62.0</v>
      </c>
      <c r="H328" s="1">
        <v>7.0</v>
      </c>
      <c r="I328" s="1">
        <v>20.0</v>
      </c>
      <c r="J328" s="1">
        <v>27.0</v>
      </c>
      <c r="K328" s="1">
        <v>117.0</v>
      </c>
      <c r="L328" s="1">
        <v>0.0</v>
      </c>
      <c r="M328" s="1">
        <v>1.0</v>
      </c>
      <c r="N328" s="1">
        <v>0.0</v>
      </c>
      <c r="O328" s="1">
        <v>0.0</v>
      </c>
      <c r="P328" s="1">
        <v>21.0</v>
      </c>
      <c r="Q328" s="1">
        <v>142.0</v>
      </c>
      <c r="V328" s="2">
        <f>VLOOKUP(B328,'202324'!B:C,2,FALSE)-A328</f>
        <v>-20</v>
      </c>
    </row>
    <row r="329">
      <c r="A329" s="1">
        <f t="shared" si="1"/>
        <v>327</v>
      </c>
      <c r="B329" s="1" t="s">
        <v>1387</v>
      </c>
      <c r="C329" s="1" t="s">
        <v>1080</v>
      </c>
      <c r="D329" s="1" t="s">
        <v>66</v>
      </c>
      <c r="E329" s="11">
        <f t="shared" si="2"/>
        <v>228.15</v>
      </c>
      <c r="F329" s="11">
        <f t="shared" si="3"/>
        <v>4.854255319</v>
      </c>
      <c r="G329" s="1">
        <v>47.0</v>
      </c>
      <c r="H329" s="1">
        <v>5.0</v>
      </c>
      <c r="I329" s="1">
        <v>37.0</v>
      </c>
      <c r="J329" s="1">
        <v>42.0</v>
      </c>
      <c r="K329" s="1">
        <v>105.0</v>
      </c>
      <c r="L329" s="1">
        <v>2.0</v>
      </c>
      <c r="M329" s="1">
        <v>13.0</v>
      </c>
      <c r="N329" s="1">
        <v>0.0</v>
      </c>
      <c r="O329" s="1">
        <v>0.0</v>
      </c>
      <c r="P329" s="1">
        <v>9.0</v>
      </c>
      <c r="Q329" s="1">
        <v>78.0</v>
      </c>
      <c r="V329" s="2">
        <f>VLOOKUP(B329,'202324'!B:C,2,FALSE)-A329</f>
        <v>-24</v>
      </c>
    </row>
    <row r="330">
      <c r="A330" s="1">
        <f t="shared" si="1"/>
        <v>328</v>
      </c>
      <c r="B330" s="1" t="s">
        <v>1388</v>
      </c>
      <c r="C330" s="1" t="s">
        <v>1067</v>
      </c>
      <c r="D330" s="1" t="s">
        <v>66</v>
      </c>
      <c r="E330" s="11">
        <f t="shared" si="2"/>
        <v>228.05</v>
      </c>
      <c r="F330" s="11">
        <f t="shared" si="3"/>
        <v>2.886708861</v>
      </c>
      <c r="G330" s="1">
        <v>79.0</v>
      </c>
      <c r="H330" s="1">
        <v>4.0</v>
      </c>
      <c r="I330" s="1">
        <v>14.0</v>
      </c>
      <c r="J330" s="1">
        <v>18.0</v>
      </c>
      <c r="K330" s="1">
        <v>77.0</v>
      </c>
      <c r="L330" s="1">
        <v>0.0</v>
      </c>
      <c r="M330" s="1">
        <v>0.0</v>
      </c>
      <c r="N330" s="1">
        <v>0.0</v>
      </c>
      <c r="O330" s="1">
        <v>0.0</v>
      </c>
      <c r="P330" s="1">
        <v>203.0</v>
      </c>
      <c r="Q330" s="1">
        <v>117.0</v>
      </c>
      <c r="V330" s="2">
        <f>VLOOKUP(B330,'202324'!B:C,2,FALSE)-A330</f>
        <v>19</v>
      </c>
    </row>
    <row r="331">
      <c r="A331" s="1">
        <f t="shared" si="1"/>
        <v>329</v>
      </c>
      <c r="B331" s="1" t="s">
        <v>1389</v>
      </c>
      <c r="C331" s="1" t="s">
        <v>1076</v>
      </c>
      <c r="D331" s="1" t="s">
        <v>31</v>
      </c>
      <c r="E331" s="11">
        <f t="shared" si="2"/>
        <v>228</v>
      </c>
      <c r="F331" s="11">
        <f t="shared" si="3"/>
        <v>2.780487805</v>
      </c>
      <c r="G331" s="1">
        <v>82.0</v>
      </c>
      <c r="H331" s="1">
        <v>20.0</v>
      </c>
      <c r="I331" s="1">
        <v>13.0</v>
      </c>
      <c r="J331" s="1">
        <v>33.0</v>
      </c>
      <c r="K331" s="1">
        <v>134.0</v>
      </c>
      <c r="L331" s="1">
        <v>4.0</v>
      </c>
      <c r="M331" s="1">
        <v>1.0</v>
      </c>
      <c r="N331" s="1">
        <v>0.0</v>
      </c>
      <c r="O331" s="1">
        <v>0.0</v>
      </c>
      <c r="P331" s="1">
        <v>30.0</v>
      </c>
      <c r="Q331" s="1">
        <v>43.0</v>
      </c>
      <c r="V331" s="2">
        <f>VLOOKUP(B331,'202324'!B:C,2,FALSE)-A331</f>
        <v>-20</v>
      </c>
    </row>
    <row r="332">
      <c r="A332" s="1">
        <f t="shared" si="1"/>
        <v>330</v>
      </c>
      <c r="B332" s="1" t="s">
        <v>1390</v>
      </c>
      <c r="C332" s="1" t="s">
        <v>1120</v>
      </c>
      <c r="D332" s="1" t="s">
        <v>66</v>
      </c>
      <c r="E332" s="11">
        <f t="shared" si="2"/>
        <v>226.85</v>
      </c>
      <c r="F332" s="11">
        <f t="shared" si="3"/>
        <v>3.600793651</v>
      </c>
      <c r="G332" s="1">
        <v>63.0</v>
      </c>
      <c r="H332" s="1">
        <v>12.0</v>
      </c>
      <c r="I332" s="1">
        <v>9.0</v>
      </c>
      <c r="J332" s="1">
        <v>21.0</v>
      </c>
      <c r="K332" s="1">
        <v>108.0</v>
      </c>
      <c r="L332" s="1">
        <v>1.0</v>
      </c>
      <c r="M332" s="1">
        <v>3.0</v>
      </c>
      <c r="N332" s="1">
        <v>0.0</v>
      </c>
      <c r="O332" s="1">
        <v>1.0</v>
      </c>
      <c r="P332" s="1">
        <v>41.0</v>
      </c>
      <c r="Q332" s="1">
        <v>151.0</v>
      </c>
      <c r="V332" s="2">
        <f>VLOOKUP(B332,'202324'!B:C,2,FALSE)-A332</f>
        <v>-17</v>
      </c>
    </row>
    <row r="333">
      <c r="A333" s="1">
        <f t="shared" si="1"/>
        <v>331</v>
      </c>
      <c r="B333" s="1" t="s">
        <v>1391</v>
      </c>
      <c r="C333" s="1" t="s">
        <v>1091</v>
      </c>
      <c r="D333" s="1" t="s">
        <v>36</v>
      </c>
      <c r="E333" s="11">
        <f t="shared" si="2"/>
        <v>226.25</v>
      </c>
      <c r="F333" s="11">
        <f t="shared" si="3"/>
        <v>3.232142857</v>
      </c>
      <c r="G333" s="1">
        <v>70.0</v>
      </c>
      <c r="H333" s="1">
        <v>13.0</v>
      </c>
      <c r="I333" s="1">
        <v>15.0</v>
      </c>
      <c r="J333" s="1">
        <v>28.0</v>
      </c>
      <c r="K333" s="1">
        <v>175.0</v>
      </c>
      <c r="L333" s="1">
        <v>2.0</v>
      </c>
      <c r="M333" s="1">
        <v>4.0</v>
      </c>
      <c r="N333" s="1">
        <v>0.0</v>
      </c>
      <c r="O333" s="1">
        <v>0.0</v>
      </c>
      <c r="P333" s="1">
        <v>35.0</v>
      </c>
      <c r="Q333" s="1">
        <v>46.0</v>
      </c>
      <c r="V333" s="2">
        <f>VLOOKUP(B333,'202324'!B:C,2,FALSE)-A333</f>
        <v>-18</v>
      </c>
    </row>
    <row r="334">
      <c r="A334" s="1">
        <f t="shared" si="1"/>
        <v>332</v>
      </c>
      <c r="B334" s="1" t="s">
        <v>1392</v>
      </c>
      <c r="C334" s="1" t="s">
        <v>1073</v>
      </c>
      <c r="D334" s="1" t="s">
        <v>5</v>
      </c>
      <c r="E334" s="11">
        <f t="shared" si="2"/>
        <v>224.7</v>
      </c>
      <c r="F334" s="11">
        <f t="shared" si="3"/>
        <v>5.35</v>
      </c>
      <c r="G334" s="1">
        <v>42.0</v>
      </c>
      <c r="R334" s="1">
        <v>23.0</v>
      </c>
      <c r="S334" s="1">
        <v>92.0</v>
      </c>
      <c r="T334" s="1">
        <v>939.0</v>
      </c>
      <c r="U334" s="1">
        <v>4.0</v>
      </c>
      <c r="V334" s="2">
        <f>VLOOKUP(B334,'202324'!B:C,2,FALSE)-A334</f>
        <v>-20</v>
      </c>
    </row>
    <row r="335">
      <c r="A335" s="1">
        <f t="shared" si="1"/>
        <v>333</v>
      </c>
      <c r="B335" s="1" t="s">
        <v>1393</v>
      </c>
      <c r="C335" s="1" t="s">
        <v>1146</v>
      </c>
      <c r="D335" s="1" t="s">
        <v>31</v>
      </c>
      <c r="E335" s="11">
        <f t="shared" si="2"/>
        <v>224.65</v>
      </c>
      <c r="F335" s="11">
        <f t="shared" si="3"/>
        <v>2.917532468</v>
      </c>
      <c r="G335" s="1">
        <v>77.0</v>
      </c>
      <c r="H335" s="1">
        <v>11.0</v>
      </c>
      <c r="I335" s="1">
        <v>9.0</v>
      </c>
      <c r="J335" s="1">
        <v>20.0</v>
      </c>
      <c r="K335" s="1">
        <v>109.0</v>
      </c>
      <c r="L335" s="1">
        <v>0.0</v>
      </c>
      <c r="M335" s="1">
        <v>0.0</v>
      </c>
      <c r="N335" s="1">
        <v>0.0</v>
      </c>
      <c r="O335" s="1">
        <v>0.0</v>
      </c>
      <c r="P335" s="1">
        <v>229.0</v>
      </c>
      <c r="Q335" s="1">
        <v>27.0</v>
      </c>
      <c r="V335" s="2">
        <f>VLOOKUP(B335,'202324'!B:C,2,FALSE)-A335</f>
        <v>28</v>
      </c>
    </row>
    <row r="336">
      <c r="A336" s="1">
        <f t="shared" si="1"/>
        <v>334</v>
      </c>
      <c r="B336" s="1" t="s">
        <v>1394</v>
      </c>
      <c r="C336" s="1" t="s">
        <v>1038</v>
      </c>
      <c r="D336" s="1" t="s">
        <v>28</v>
      </c>
      <c r="E336" s="11">
        <f t="shared" si="2"/>
        <v>224.4</v>
      </c>
      <c r="F336" s="11">
        <f t="shared" si="3"/>
        <v>3.16056338</v>
      </c>
      <c r="G336" s="1">
        <v>71.0</v>
      </c>
      <c r="H336" s="1">
        <v>11.0</v>
      </c>
      <c r="I336" s="1">
        <v>27.0</v>
      </c>
      <c r="J336" s="1">
        <v>38.0</v>
      </c>
      <c r="K336" s="1">
        <v>142.0</v>
      </c>
      <c r="L336" s="1">
        <v>6.0</v>
      </c>
      <c r="M336" s="1">
        <v>6.0</v>
      </c>
      <c r="N336" s="1">
        <v>0.0</v>
      </c>
      <c r="O336" s="1">
        <v>0.0</v>
      </c>
      <c r="P336" s="1">
        <v>34.0</v>
      </c>
      <c r="Q336" s="1">
        <v>22.0</v>
      </c>
      <c r="V336" s="2">
        <f>VLOOKUP(B336,'202324'!B:C,2,FALSE)-A336</f>
        <v>-12</v>
      </c>
    </row>
    <row r="337">
      <c r="A337" s="1">
        <f t="shared" si="1"/>
        <v>335</v>
      </c>
      <c r="B337" s="1" t="s">
        <v>1395</v>
      </c>
      <c r="C337" s="1" t="s">
        <v>1073</v>
      </c>
      <c r="D337" s="1" t="s">
        <v>66</v>
      </c>
      <c r="E337" s="11">
        <f t="shared" si="2"/>
        <v>224.1</v>
      </c>
      <c r="F337" s="11">
        <f t="shared" si="3"/>
        <v>2.732926829</v>
      </c>
      <c r="G337" s="1">
        <v>82.0</v>
      </c>
      <c r="H337" s="1">
        <v>6.0</v>
      </c>
      <c r="I337" s="1">
        <v>20.0</v>
      </c>
      <c r="J337" s="1">
        <v>26.0</v>
      </c>
      <c r="K337" s="1">
        <v>129.0</v>
      </c>
      <c r="L337" s="1">
        <v>0.0</v>
      </c>
      <c r="M337" s="1">
        <v>5.0</v>
      </c>
      <c r="N337" s="1">
        <v>1.0</v>
      </c>
      <c r="O337" s="1">
        <v>0.0</v>
      </c>
      <c r="P337" s="1">
        <v>116.0</v>
      </c>
      <c r="Q337" s="1">
        <v>60.0</v>
      </c>
      <c r="V337" s="2">
        <f>VLOOKUP(B337,'202324'!B:C,2,FALSE)-A337</f>
        <v>3</v>
      </c>
    </row>
    <row r="338">
      <c r="A338" s="1">
        <f t="shared" si="1"/>
        <v>336</v>
      </c>
      <c r="B338" s="1" t="s">
        <v>1396</v>
      </c>
      <c r="C338" s="1" t="s">
        <v>1080</v>
      </c>
      <c r="D338" s="1" t="s">
        <v>36</v>
      </c>
      <c r="E338" s="11">
        <f t="shared" si="2"/>
        <v>223.95</v>
      </c>
      <c r="F338" s="11">
        <f t="shared" si="3"/>
        <v>2.834810127</v>
      </c>
      <c r="G338" s="1">
        <v>79.0</v>
      </c>
      <c r="H338" s="1">
        <v>8.0</v>
      </c>
      <c r="I338" s="1">
        <v>10.0</v>
      </c>
      <c r="J338" s="1">
        <v>18.0</v>
      </c>
      <c r="K338" s="1">
        <v>73.0</v>
      </c>
      <c r="L338" s="1">
        <v>0.0</v>
      </c>
      <c r="M338" s="1">
        <v>0.0</v>
      </c>
      <c r="N338" s="1">
        <v>1.0</v>
      </c>
      <c r="O338" s="1">
        <v>1.0</v>
      </c>
      <c r="P338" s="1">
        <v>277.0</v>
      </c>
      <c r="Q338" s="1">
        <v>41.0</v>
      </c>
      <c r="V338" s="2">
        <f>VLOOKUP(B338,'202324'!B:C,2,FALSE)-A338</f>
        <v>40</v>
      </c>
    </row>
    <row r="339">
      <c r="A339" s="1">
        <f t="shared" si="1"/>
        <v>337</v>
      </c>
      <c r="B339" s="1" t="s">
        <v>1397</v>
      </c>
      <c r="C339" s="1" t="s">
        <v>1097</v>
      </c>
      <c r="D339" s="1" t="s">
        <v>36</v>
      </c>
      <c r="E339" s="11">
        <f t="shared" si="2"/>
        <v>223.15</v>
      </c>
      <c r="F339" s="11">
        <f t="shared" si="3"/>
        <v>2.860897436</v>
      </c>
      <c r="G339" s="1">
        <v>78.0</v>
      </c>
      <c r="H339" s="1">
        <v>9.0</v>
      </c>
      <c r="I339" s="1">
        <v>11.0</v>
      </c>
      <c r="J339" s="1">
        <v>20.0</v>
      </c>
      <c r="K339" s="1">
        <v>141.0</v>
      </c>
      <c r="L339" s="1">
        <v>0.0</v>
      </c>
      <c r="M339" s="1">
        <v>2.0</v>
      </c>
      <c r="N339" s="1">
        <v>0.0</v>
      </c>
      <c r="O339" s="1">
        <v>0.0</v>
      </c>
      <c r="P339" s="1">
        <v>169.0</v>
      </c>
      <c r="Q339" s="1">
        <v>40.0</v>
      </c>
      <c r="V339" s="2">
        <f>VLOOKUP(B339,'202324'!B:C,2,FALSE)-A339</f>
        <v>14</v>
      </c>
    </row>
    <row r="340">
      <c r="A340" s="1">
        <f t="shared" si="1"/>
        <v>338</v>
      </c>
      <c r="B340" s="1" t="s">
        <v>1398</v>
      </c>
      <c r="C340" s="1" t="s">
        <v>1044</v>
      </c>
      <c r="D340" s="1" t="s">
        <v>66</v>
      </c>
      <c r="E340" s="11">
        <f t="shared" si="2"/>
        <v>221.9</v>
      </c>
      <c r="F340" s="11">
        <f t="shared" si="3"/>
        <v>4.350980392</v>
      </c>
      <c r="G340" s="1">
        <v>51.0</v>
      </c>
      <c r="H340" s="1">
        <v>9.0</v>
      </c>
      <c r="I340" s="1">
        <v>21.0</v>
      </c>
      <c r="J340" s="1">
        <v>30.0</v>
      </c>
      <c r="K340" s="1">
        <v>118.0</v>
      </c>
      <c r="L340" s="1">
        <v>1.0</v>
      </c>
      <c r="M340" s="1">
        <v>6.0</v>
      </c>
      <c r="N340" s="1">
        <v>0.0</v>
      </c>
      <c r="O340" s="1">
        <v>0.0</v>
      </c>
      <c r="P340" s="1">
        <v>44.0</v>
      </c>
      <c r="Q340" s="1">
        <v>88.0</v>
      </c>
      <c r="V340" s="2">
        <f>VLOOKUP(B340,'202324'!B:C,2,FALSE)-A340</f>
        <v>-10</v>
      </c>
    </row>
    <row r="341">
      <c r="A341" s="1">
        <f t="shared" si="1"/>
        <v>339</v>
      </c>
      <c r="B341" s="1" t="s">
        <v>1399</v>
      </c>
      <c r="C341" s="1" t="s">
        <v>1054</v>
      </c>
      <c r="D341" s="1" t="s">
        <v>5</v>
      </c>
      <c r="E341" s="11">
        <f t="shared" si="2"/>
        <v>221.7</v>
      </c>
      <c r="F341" s="11">
        <f t="shared" si="3"/>
        <v>4.926666667</v>
      </c>
      <c r="G341" s="1">
        <v>45.0</v>
      </c>
      <c r="R341" s="1">
        <v>20.0</v>
      </c>
      <c r="S341" s="1">
        <v>129.0</v>
      </c>
      <c r="T341" s="12">
        <v>1154.0</v>
      </c>
      <c r="U341" s="1">
        <v>3.0</v>
      </c>
      <c r="V341" s="2">
        <f>VLOOKUP(B341,'202324'!B:C,2,FALSE)-A341</f>
        <v>-19</v>
      </c>
    </row>
    <row r="342">
      <c r="A342" s="1">
        <f t="shared" si="1"/>
        <v>340</v>
      </c>
      <c r="B342" s="1" t="s">
        <v>1400</v>
      </c>
      <c r="C342" s="1" t="s">
        <v>1076</v>
      </c>
      <c r="D342" s="1" t="s">
        <v>28</v>
      </c>
      <c r="E342" s="11">
        <f t="shared" si="2"/>
        <v>220.2</v>
      </c>
      <c r="F342" s="11">
        <f t="shared" si="3"/>
        <v>3.101408451</v>
      </c>
      <c r="G342" s="1">
        <v>71.0</v>
      </c>
      <c r="H342" s="1">
        <v>11.0</v>
      </c>
      <c r="I342" s="1">
        <v>20.0</v>
      </c>
      <c r="J342" s="1">
        <v>31.0</v>
      </c>
      <c r="K342" s="1">
        <v>108.0</v>
      </c>
      <c r="L342" s="1">
        <v>1.0</v>
      </c>
      <c r="M342" s="1">
        <v>4.0</v>
      </c>
      <c r="N342" s="1">
        <v>0.0</v>
      </c>
      <c r="O342" s="1">
        <v>0.0</v>
      </c>
      <c r="P342" s="1">
        <v>92.0</v>
      </c>
      <c r="Q342" s="1">
        <v>49.0</v>
      </c>
      <c r="V342" s="2">
        <f>VLOOKUP(B342,'202324'!B:C,2,FALSE)-A342</f>
        <v>0</v>
      </c>
    </row>
    <row r="343">
      <c r="A343" s="1">
        <f t="shared" si="1"/>
        <v>341</v>
      </c>
      <c r="B343" s="1" t="s">
        <v>1401</v>
      </c>
      <c r="C343" s="1" t="s">
        <v>1087</v>
      </c>
      <c r="D343" s="1" t="s">
        <v>36</v>
      </c>
      <c r="E343" s="11">
        <f t="shared" si="2"/>
        <v>220.05</v>
      </c>
      <c r="F343" s="11">
        <f t="shared" si="3"/>
        <v>2.683536585</v>
      </c>
      <c r="G343" s="1">
        <v>82.0</v>
      </c>
      <c r="H343" s="1">
        <v>7.0</v>
      </c>
      <c r="I343" s="1">
        <v>12.0</v>
      </c>
      <c r="J343" s="1">
        <v>19.0</v>
      </c>
      <c r="K343" s="1">
        <v>59.0</v>
      </c>
      <c r="L343" s="1">
        <v>0.0</v>
      </c>
      <c r="M343" s="1">
        <v>0.0</v>
      </c>
      <c r="N343" s="1">
        <v>0.0</v>
      </c>
      <c r="O343" s="1">
        <v>0.0</v>
      </c>
      <c r="P343" s="1">
        <v>273.0</v>
      </c>
      <c r="Q343" s="1">
        <v>55.0</v>
      </c>
      <c r="V343" s="2">
        <f>VLOOKUP(B343,'202324'!B:C,2,FALSE)-A343</f>
        <v>44</v>
      </c>
    </row>
    <row r="344">
      <c r="A344" s="1">
        <f t="shared" si="1"/>
        <v>342</v>
      </c>
      <c r="B344" s="1" t="s">
        <v>1402</v>
      </c>
      <c r="C344" s="1" t="s">
        <v>1111</v>
      </c>
      <c r="D344" s="1" t="s">
        <v>36</v>
      </c>
      <c r="E344" s="11">
        <f t="shared" si="2"/>
        <v>219.7</v>
      </c>
      <c r="F344" s="11">
        <f t="shared" si="3"/>
        <v>4.882222222</v>
      </c>
      <c r="G344" s="1">
        <v>45.0</v>
      </c>
      <c r="H344" s="1">
        <v>18.0</v>
      </c>
      <c r="I344" s="1">
        <v>17.0</v>
      </c>
      <c r="J344" s="1">
        <v>35.0</v>
      </c>
      <c r="K344" s="1">
        <v>121.0</v>
      </c>
      <c r="L344" s="1">
        <v>9.0</v>
      </c>
      <c r="M344" s="1">
        <v>4.0</v>
      </c>
      <c r="N344" s="1">
        <v>1.0</v>
      </c>
      <c r="O344" s="1">
        <v>1.0</v>
      </c>
      <c r="P344" s="1">
        <v>32.0</v>
      </c>
      <c r="Q344" s="1">
        <v>24.0</v>
      </c>
      <c r="V344" s="2">
        <f>VLOOKUP(B344,'202324'!B:C,2,FALSE)-A344</f>
        <v>-11</v>
      </c>
    </row>
    <row r="345">
      <c r="A345" s="1">
        <f t="shared" si="1"/>
        <v>343</v>
      </c>
      <c r="B345" s="1" t="s">
        <v>1403</v>
      </c>
      <c r="C345" s="1" t="s">
        <v>1030</v>
      </c>
      <c r="D345" s="1" t="s">
        <v>31</v>
      </c>
      <c r="E345" s="11">
        <f t="shared" si="2"/>
        <v>219.1</v>
      </c>
      <c r="F345" s="11">
        <f t="shared" si="3"/>
        <v>2.882894737</v>
      </c>
      <c r="G345" s="1">
        <v>76.0</v>
      </c>
      <c r="H345" s="1">
        <v>12.0</v>
      </c>
      <c r="I345" s="1">
        <v>5.0</v>
      </c>
      <c r="J345" s="1">
        <v>17.0</v>
      </c>
      <c r="K345" s="1">
        <v>116.0</v>
      </c>
      <c r="L345" s="1">
        <v>0.0</v>
      </c>
      <c r="M345" s="1">
        <v>0.0</v>
      </c>
      <c r="N345" s="1">
        <v>0.0</v>
      </c>
      <c r="O345" s="1">
        <v>1.0</v>
      </c>
      <c r="P345" s="1">
        <v>206.0</v>
      </c>
      <c r="Q345" s="1">
        <v>36.0</v>
      </c>
      <c r="V345" s="2">
        <f>VLOOKUP(B345,'202324'!B:C,2,FALSE)-A345</f>
        <v>27</v>
      </c>
    </row>
    <row r="346">
      <c r="A346" s="1">
        <f t="shared" si="1"/>
        <v>344</v>
      </c>
      <c r="B346" s="1" t="s">
        <v>1404</v>
      </c>
      <c r="C346" s="1" t="s">
        <v>1087</v>
      </c>
      <c r="D346" s="1" t="s">
        <v>66</v>
      </c>
      <c r="E346" s="11">
        <f t="shared" si="2"/>
        <v>218.65</v>
      </c>
      <c r="F346" s="11">
        <f t="shared" si="3"/>
        <v>3.769827586</v>
      </c>
      <c r="G346" s="1">
        <v>58.0</v>
      </c>
      <c r="H346" s="1">
        <v>5.0</v>
      </c>
      <c r="I346" s="1">
        <v>14.0</v>
      </c>
      <c r="J346" s="1">
        <v>19.0</v>
      </c>
      <c r="K346" s="1">
        <v>90.0</v>
      </c>
      <c r="L346" s="1">
        <v>2.0</v>
      </c>
      <c r="M346" s="1">
        <v>4.0</v>
      </c>
      <c r="N346" s="1">
        <v>0.0</v>
      </c>
      <c r="O346" s="1">
        <v>0.0</v>
      </c>
      <c r="P346" s="1">
        <v>99.0</v>
      </c>
      <c r="Q346" s="1">
        <v>149.0</v>
      </c>
      <c r="V346" s="2">
        <f>VLOOKUP(B346,'202324'!B:C,2,FALSE)-A346</f>
        <v>-1</v>
      </c>
    </row>
    <row r="347">
      <c r="A347" s="1">
        <f t="shared" si="1"/>
        <v>344</v>
      </c>
      <c r="B347" s="1" t="s">
        <v>1405</v>
      </c>
      <c r="C347" s="1" t="s">
        <v>1111</v>
      </c>
      <c r="D347" s="1" t="s">
        <v>66</v>
      </c>
      <c r="E347" s="11">
        <f t="shared" si="2"/>
        <v>218.65</v>
      </c>
      <c r="F347" s="11">
        <f t="shared" si="3"/>
        <v>2.733125</v>
      </c>
      <c r="G347" s="1">
        <v>80.0</v>
      </c>
      <c r="H347" s="1">
        <v>5.0</v>
      </c>
      <c r="I347" s="1">
        <v>21.0</v>
      </c>
      <c r="J347" s="1">
        <v>26.0</v>
      </c>
      <c r="K347" s="1">
        <v>77.0</v>
      </c>
      <c r="L347" s="1">
        <v>0.0</v>
      </c>
      <c r="M347" s="1">
        <v>3.0</v>
      </c>
      <c r="N347" s="1">
        <v>0.0</v>
      </c>
      <c r="O347" s="1">
        <v>2.0</v>
      </c>
      <c r="P347" s="1">
        <v>99.0</v>
      </c>
      <c r="Q347" s="1">
        <v>112.0</v>
      </c>
      <c r="V347" s="2">
        <f>VLOOKUP(B347,'202324'!B:C,2,FALSE)-A347</f>
        <v>-1</v>
      </c>
    </row>
    <row r="348">
      <c r="A348" s="1">
        <f t="shared" si="1"/>
        <v>346</v>
      </c>
      <c r="B348" s="1" t="s">
        <v>1406</v>
      </c>
      <c r="C348" s="1" t="s">
        <v>1044</v>
      </c>
      <c r="D348" s="1" t="s">
        <v>31</v>
      </c>
      <c r="E348" s="11">
        <f t="shared" si="2"/>
        <v>218.6</v>
      </c>
      <c r="F348" s="11">
        <f t="shared" si="3"/>
        <v>4.372</v>
      </c>
      <c r="G348" s="1">
        <v>50.0</v>
      </c>
      <c r="H348" s="1">
        <v>16.0</v>
      </c>
      <c r="I348" s="1">
        <v>14.0</v>
      </c>
      <c r="J348" s="1">
        <v>30.0</v>
      </c>
      <c r="K348" s="1">
        <v>115.0</v>
      </c>
      <c r="L348" s="1">
        <v>5.0</v>
      </c>
      <c r="M348" s="1">
        <v>7.0</v>
      </c>
      <c r="N348" s="1">
        <v>0.0</v>
      </c>
      <c r="O348" s="1">
        <v>1.0</v>
      </c>
      <c r="P348" s="1">
        <v>86.0</v>
      </c>
      <c r="Q348" s="1">
        <v>30.0</v>
      </c>
      <c r="V348" s="2">
        <f>VLOOKUP(B348,'202324'!B:C,2,FALSE)-A348</f>
        <v>-5</v>
      </c>
    </row>
    <row r="349">
      <c r="A349" s="1">
        <f t="shared" si="1"/>
        <v>347</v>
      </c>
      <c r="B349" s="1" t="s">
        <v>1407</v>
      </c>
      <c r="C349" s="1" t="s">
        <v>1076</v>
      </c>
      <c r="D349" s="1" t="s">
        <v>31</v>
      </c>
      <c r="E349" s="11">
        <f t="shared" si="2"/>
        <v>218.45</v>
      </c>
      <c r="F349" s="11">
        <f t="shared" si="3"/>
        <v>3.076760563</v>
      </c>
      <c r="G349" s="1">
        <v>71.0</v>
      </c>
      <c r="H349" s="1">
        <v>7.0</v>
      </c>
      <c r="I349" s="1">
        <v>18.0</v>
      </c>
      <c r="J349" s="1">
        <v>25.0</v>
      </c>
      <c r="K349" s="1">
        <v>74.0</v>
      </c>
      <c r="L349" s="1">
        <v>0.0</v>
      </c>
      <c r="M349" s="1">
        <v>0.0</v>
      </c>
      <c r="N349" s="1">
        <v>1.0</v>
      </c>
      <c r="O349" s="1">
        <v>0.0</v>
      </c>
      <c r="P349" s="1">
        <v>177.0</v>
      </c>
      <c r="Q349" s="1">
        <v>64.0</v>
      </c>
      <c r="V349" s="2">
        <f>VLOOKUP(B349,'202324'!B:C,2,FALSE)-A349</f>
        <v>17</v>
      </c>
    </row>
    <row r="350">
      <c r="A350" s="1">
        <f t="shared" si="1"/>
        <v>348</v>
      </c>
      <c r="B350" s="1" t="s">
        <v>1408</v>
      </c>
      <c r="C350" s="1" t="s">
        <v>1036</v>
      </c>
      <c r="D350" s="1" t="s">
        <v>66</v>
      </c>
      <c r="E350" s="11">
        <f t="shared" si="2"/>
        <v>217.85</v>
      </c>
      <c r="F350" s="11">
        <f t="shared" si="3"/>
        <v>2.757594937</v>
      </c>
      <c r="G350" s="1">
        <v>79.0</v>
      </c>
      <c r="H350" s="1">
        <v>5.0</v>
      </c>
      <c r="I350" s="1">
        <v>20.0</v>
      </c>
      <c r="J350" s="1">
        <v>25.0</v>
      </c>
      <c r="K350" s="1">
        <v>97.0</v>
      </c>
      <c r="L350" s="1">
        <v>0.0</v>
      </c>
      <c r="M350" s="1">
        <v>0.0</v>
      </c>
      <c r="N350" s="1">
        <v>0.0</v>
      </c>
      <c r="O350" s="1">
        <v>1.0</v>
      </c>
      <c r="P350" s="1">
        <v>91.0</v>
      </c>
      <c r="Q350" s="1">
        <v>106.0</v>
      </c>
      <c r="V350" s="2">
        <f>VLOOKUP(B350,'202324'!B:C,2,FALSE)-A350</f>
        <v>-5</v>
      </c>
    </row>
    <row r="351">
      <c r="A351" s="1">
        <f t="shared" si="1"/>
        <v>349</v>
      </c>
      <c r="B351" s="1" t="s">
        <v>1409</v>
      </c>
      <c r="C351" s="1" t="s">
        <v>1044</v>
      </c>
      <c r="D351" s="1" t="s">
        <v>5</v>
      </c>
      <c r="E351" s="11">
        <f t="shared" si="2"/>
        <v>217.2</v>
      </c>
      <c r="F351" s="11">
        <f t="shared" si="3"/>
        <v>3.949090909</v>
      </c>
      <c r="G351" s="1">
        <v>55.0</v>
      </c>
      <c r="R351" s="1">
        <v>21.0</v>
      </c>
      <c r="S351" s="1">
        <v>168.0</v>
      </c>
      <c r="T351" s="12">
        <v>1354.0</v>
      </c>
      <c r="U351" s="1">
        <v>0.0</v>
      </c>
      <c r="V351" s="2">
        <f>VLOOKUP(B351,'202324'!B:C,2,FALSE)-A351</f>
        <v>-20</v>
      </c>
    </row>
    <row r="352">
      <c r="A352" s="1">
        <f t="shared" si="1"/>
        <v>350</v>
      </c>
      <c r="B352" s="1" t="s">
        <v>1410</v>
      </c>
      <c r="C352" s="1" t="s">
        <v>1116</v>
      </c>
      <c r="D352" s="1" t="s">
        <v>31</v>
      </c>
      <c r="E352" s="11">
        <f t="shared" si="2"/>
        <v>216.4</v>
      </c>
      <c r="F352" s="11">
        <f t="shared" si="3"/>
        <v>4.604255319</v>
      </c>
      <c r="G352" s="1">
        <v>47.0</v>
      </c>
      <c r="H352" s="1">
        <v>22.0</v>
      </c>
      <c r="I352" s="1">
        <v>14.0</v>
      </c>
      <c r="J352" s="1">
        <v>36.0</v>
      </c>
      <c r="K352" s="1">
        <v>117.0</v>
      </c>
      <c r="L352" s="1">
        <v>9.0</v>
      </c>
      <c r="M352" s="1">
        <v>5.0</v>
      </c>
      <c r="N352" s="1">
        <v>0.0</v>
      </c>
      <c r="O352" s="1">
        <v>0.0</v>
      </c>
      <c r="P352" s="1">
        <v>14.0</v>
      </c>
      <c r="Q352" s="1">
        <v>24.0</v>
      </c>
      <c r="V352" s="2">
        <f>VLOOKUP(B352,'202324'!B:C,2,FALSE)-A352</f>
        <v>-18</v>
      </c>
    </row>
    <row r="353">
      <c r="A353" s="1">
        <f t="shared" si="1"/>
        <v>351</v>
      </c>
      <c r="B353" s="1" t="s">
        <v>1411</v>
      </c>
      <c r="C353" s="1" t="s">
        <v>1120</v>
      </c>
      <c r="D353" s="1" t="s">
        <v>31</v>
      </c>
      <c r="E353" s="11">
        <f t="shared" si="2"/>
        <v>216.05</v>
      </c>
      <c r="F353" s="11">
        <f t="shared" si="3"/>
        <v>2.734810127</v>
      </c>
      <c r="G353" s="1">
        <v>79.0</v>
      </c>
      <c r="H353" s="1">
        <v>13.0</v>
      </c>
      <c r="I353" s="1">
        <v>20.0</v>
      </c>
      <c r="J353" s="1">
        <v>33.0</v>
      </c>
      <c r="K353" s="1">
        <v>109.0</v>
      </c>
      <c r="L353" s="1">
        <v>1.0</v>
      </c>
      <c r="M353" s="1">
        <v>2.0</v>
      </c>
      <c r="N353" s="1">
        <v>1.0</v>
      </c>
      <c r="O353" s="1">
        <v>2.0</v>
      </c>
      <c r="P353" s="1">
        <v>33.0</v>
      </c>
      <c r="Q353" s="1">
        <v>51.0</v>
      </c>
      <c r="V353" s="2">
        <f>VLOOKUP(B353,'202324'!B:C,2,FALSE)-A353</f>
        <v>-14</v>
      </c>
    </row>
    <row r="354">
      <c r="A354" s="1">
        <f t="shared" si="1"/>
        <v>352</v>
      </c>
      <c r="B354" s="1" t="s">
        <v>1412</v>
      </c>
      <c r="C354" s="1" t="s">
        <v>1046</v>
      </c>
      <c r="D354" s="1" t="s">
        <v>36</v>
      </c>
      <c r="E354" s="11">
        <f t="shared" si="2"/>
        <v>215.7</v>
      </c>
      <c r="F354" s="11">
        <f t="shared" si="3"/>
        <v>2.730379747</v>
      </c>
      <c r="G354" s="1">
        <v>79.0</v>
      </c>
      <c r="H354" s="1">
        <v>13.0</v>
      </c>
      <c r="I354" s="1">
        <v>11.0</v>
      </c>
      <c r="J354" s="1">
        <v>24.0</v>
      </c>
      <c r="K354" s="1">
        <v>78.0</v>
      </c>
      <c r="L354" s="1">
        <v>0.0</v>
      </c>
      <c r="M354" s="1">
        <v>0.0</v>
      </c>
      <c r="N354" s="1">
        <v>1.0</v>
      </c>
      <c r="O354" s="1">
        <v>0.0</v>
      </c>
      <c r="P354" s="1">
        <v>192.0</v>
      </c>
      <c r="Q354" s="1">
        <v>32.0</v>
      </c>
      <c r="V354" s="2">
        <f>VLOOKUP(B354,'202324'!B:C,2,FALSE)-A354</f>
        <v>22</v>
      </c>
    </row>
    <row r="355">
      <c r="A355" s="1">
        <f t="shared" si="1"/>
        <v>353</v>
      </c>
      <c r="B355" s="1" t="s">
        <v>1413</v>
      </c>
      <c r="C355" s="1" t="s">
        <v>1106</v>
      </c>
      <c r="D355" s="1" t="s">
        <v>66</v>
      </c>
      <c r="E355" s="11">
        <f t="shared" si="2"/>
        <v>214.85</v>
      </c>
      <c r="F355" s="11">
        <f t="shared" si="3"/>
        <v>2.620121951</v>
      </c>
      <c r="G355" s="1">
        <v>82.0</v>
      </c>
      <c r="H355" s="1">
        <v>3.0</v>
      </c>
      <c r="I355" s="1">
        <v>25.0</v>
      </c>
      <c r="J355" s="1">
        <v>28.0</v>
      </c>
      <c r="K355" s="1">
        <v>82.0</v>
      </c>
      <c r="L355" s="1">
        <v>0.0</v>
      </c>
      <c r="M355" s="1">
        <v>1.0</v>
      </c>
      <c r="N355" s="1">
        <v>1.0</v>
      </c>
      <c r="O355" s="1">
        <v>1.0</v>
      </c>
      <c r="P355" s="1">
        <v>51.0</v>
      </c>
      <c r="Q355" s="1">
        <v>127.0</v>
      </c>
      <c r="V355" s="2">
        <f>VLOOKUP(B355,'202324'!B:C,2,FALSE)-A355</f>
        <v>-11</v>
      </c>
    </row>
    <row r="356">
      <c r="A356" s="1">
        <f t="shared" si="1"/>
        <v>354</v>
      </c>
      <c r="B356" s="1" t="s">
        <v>1414</v>
      </c>
      <c r="C356" s="1" t="s">
        <v>1175</v>
      </c>
      <c r="D356" s="1" t="s">
        <v>66</v>
      </c>
      <c r="E356" s="11">
        <f t="shared" si="2"/>
        <v>214.35</v>
      </c>
      <c r="F356" s="11">
        <f t="shared" si="3"/>
        <v>2.93630137</v>
      </c>
      <c r="G356" s="1">
        <v>73.0</v>
      </c>
      <c r="H356" s="1">
        <v>2.0</v>
      </c>
      <c r="I356" s="1">
        <v>6.0</v>
      </c>
      <c r="J356" s="1">
        <v>8.0</v>
      </c>
      <c r="K356" s="1">
        <v>79.0</v>
      </c>
      <c r="L356" s="1">
        <v>0.0</v>
      </c>
      <c r="M356" s="1">
        <v>1.0</v>
      </c>
      <c r="N356" s="1">
        <v>0.0</v>
      </c>
      <c r="O356" s="1">
        <v>0.0</v>
      </c>
      <c r="P356" s="1">
        <v>231.0</v>
      </c>
      <c r="Q356" s="1">
        <v>134.0</v>
      </c>
      <c r="V356" s="2">
        <f>VLOOKUP(B356,'202324'!B:C,2,FALSE)-A356</f>
        <v>36</v>
      </c>
    </row>
    <row r="357">
      <c r="A357" s="1">
        <f t="shared" si="1"/>
        <v>355</v>
      </c>
      <c r="B357" s="1" t="s">
        <v>1415</v>
      </c>
      <c r="C357" s="1" t="s">
        <v>1044</v>
      </c>
      <c r="D357" s="1" t="s">
        <v>31</v>
      </c>
      <c r="E357" s="11">
        <f t="shared" si="2"/>
        <v>213.65</v>
      </c>
      <c r="F357" s="11">
        <f t="shared" si="3"/>
        <v>2.967361111</v>
      </c>
      <c r="G357" s="1">
        <v>72.0</v>
      </c>
      <c r="H357" s="1">
        <v>13.0</v>
      </c>
      <c r="I357" s="1">
        <v>13.0</v>
      </c>
      <c r="J357" s="1">
        <v>26.0</v>
      </c>
      <c r="K357" s="1">
        <v>97.0</v>
      </c>
      <c r="L357" s="1">
        <v>2.0</v>
      </c>
      <c r="M357" s="1">
        <v>0.0</v>
      </c>
      <c r="N357" s="1">
        <v>1.0</v>
      </c>
      <c r="O357" s="1">
        <v>0.0</v>
      </c>
      <c r="P357" s="1">
        <v>129.0</v>
      </c>
      <c r="Q357" s="1">
        <v>41.0</v>
      </c>
      <c r="V357" s="2">
        <f>VLOOKUP(B357,'202324'!B:C,2,FALSE)-A357</f>
        <v>9</v>
      </c>
    </row>
    <row r="358">
      <c r="A358" s="1">
        <f t="shared" si="1"/>
        <v>356</v>
      </c>
      <c r="B358" s="1" t="s">
        <v>1416</v>
      </c>
      <c r="C358" s="1" t="s">
        <v>1097</v>
      </c>
      <c r="D358" s="1" t="s">
        <v>66</v>
      </c>
      <c r="E358" s="11">
        <f t="shared" si="2"/>
        <v>213.3</v>
      </c>
      <c r="F358" s="11">
        <f t="shared" si="3"/>
        <v>3.555</v>
      </c>
      <c r="G358" s="1">
        <v>60.0</v>
      </c>
      <c r="H358" s="1">
        <v>6.0</v>
      </c>
      <c r="I358" s="1">
        <v>18.0</v>
      </c>
      <c r="J358" s="1">
        <v>24.0</v>
      </c>
      <c r="K358" s="1">
        <v>54.0</v>
      </c>
      <c r="L358" s="1">
        <v>0.0</v>
      </c>
      <c r="M358" s="1">
        <v>0.0</v>
      </c>
      <c r="N358" s="1">
        <v>0.0</v>
      </c>
      <c r="O358" s="1">
        <v>0.0</v>
      </c>
      <c r="P358" s="1">
        <v>68.0</v>
      </c>
      <c r="Q358" s="1">
        <v>163.0</v>
      </c>
      <c r="V358" s="2">
        <f>VLOOKUP(B358,'202324'!B:C,2,FALSE)-A358</f>
        <v>-6</v>
      </c>
    </row>
    <row r="359">
      <c r="A359" s="1">
        <f t="shared" si="1"/>
        <v>357</v>
      </c>
      <c r="B359" s="1" t="s">
        <v>1417</v>
      </c>
      <c r="C359" s="1" t="s">
        <v>1078</v>
      </c>
      <c r="D359" s="1" t="s">
        <v>66</v>
      </c>
      <c r="E359" s="11">
        <f t="shared" si="2"/>
        <v>213.25</v>
      </c>
      <c r="F359" s="11">
        <f t="shared" si="3"/>
        <v>2.769480519</v>
      </c>
      <c r="G359" s="1">
        <v>77.0</v>
      </c>
      <c r="H359" s="1">
        <v>6.0</v>
      </c>
      <c r="I359" s="1">
        <v>17.0</v>
      </c>
      <c r="J359" s="1">
        <v>23.0</v>
      </c>
      <c r="K359" s="1">
        <v>114.0</v>
      </c>
      <c r="L359" s="1">
        <v>0.0</v>
      </c>
      <c r="M359" s="1">
        <v>0.0</v>
      </c>
      <c r="N359" s="1">
        <v>0.0</v>
      </c>
      <c r="O359" s="1">
        <v>1.0</v>
      </c>
      <c r="P359" s="1">
        <v>55.0</v>
      </c>
      <c r="Q359" s="1">
        <v>114.0</v>
      </c>
      <c r="V359" s="2">
        <f>VLOOKUP(B359,'202324'!B:C,2,FALSE)-A359</f>
        <v>-10</v>
      </c>
    </row>
    <row r="360">
      <c r="A360" s="1">
        <f t="shared" si="1"/>
        <v>358</v>
      </c>
      <c r="B360" s="1" t="s">
        <v>1418</v>
      </c>
      <c r="C360" s="1" t="s">
        <v>1078</v>
      </c>
      <c r="D360" s="1" t="s">
        <v>36</v>
      </c>
      <c r="E360" s="11">
        <f t="shared" si="2"/>
        <v>213.2</v>
      </c>
      <c r="F360" s="11">
        <f t="shared" si="3"/>
        <v>2.632098765</v>
      </c>
      <c r="G360" s="1">
        <v>81.0</v>
      </c>
      <c r="H360" s="1">
        <v>12.0</v>
      </c>
      <c r="I360" s="1">
        <v>11.0</v>
      </c>
      <c r="J360" s="1">
        <v>23.0</v>
      </c>
      <c r="K360" s="1">
        <v>147.0</v>
      </c>
      <c r="L360" s="1">
        <v>0.0</v>
      </c>
      <c r="M360" s="1">
        <v>3.0</v>
      </c>
      <c r="N360" s="1">
        <v>0.0</v>
      </c>
      <c r="O360" s="1">
        <v>0.0</v>
      </c>
      <c r="P360" s="1">
        <v>112.0</v>
      </c>
      <c r="Q360" s="1">
        <v>27.0</v>
      </c>
      <c r="V360" s="2">
        <f>VLOOKUP(B360,'202324'!B:C,2,FALSE)-A360</f>
        <v>0</v>
      </c>
    </row>
    <row r="361">
      <c r="A361" s="1">
        <f t="shared" si="1"/>
        <v>359</v>
      </c>
      <c r="B361" s="1" t="s">
        <v>1419</v>
      </c>
      <c r="C361" s="1" t="s">
        <v>1120</v>
      </c>
      <c r="D361" s="1" t="s">
        <v>28</v>
      </c>
      <c r="E361" s="11">
        <f t="shared" si="2"/>
        <v>212.95</v>
      </c>
      <c r="F361" s="11">
        <f t="shared" si="3"/>
        <v>3.131617647</v>
      </c>
      <c r="G361" s="1">
        <v>68.0</v>
      </c>
      <c r="H361" s="1">
        <v>18.0</v>
      </c>
      <c r="I361" s="1">
        <v>14.0</v>
      </c>
      <c r="J361" s="1">
        <v>32.0</v>
      </c>
      <c r="K361" s="1">
        <v>97.0</v>
      </c>
      <c r="L361" s="1">
        <v>5.0</v>
      </c>
      <c r="M361" s="1">
        <v>7.0</v>
      </c>
      <c r="N361" s="1">
        <v>0.0</v>
      </c>
      <c r="O361" s="1">
        <v>0.0</v>
      </c>
      <c r="P361" s="1">
        <v>77.0</v>
      </c>
      <c r="Q361" s="1">
        <v>29.0</v>
      </c>
      <c r="V361" s="2">
        <f>VLOOKUP(B361,'202324'!B:C,2,FALSE)-A361</f>
        <v>-6</v>
      </c>
    </row>
    <row r="362">
      <c r="A362" s="1">
        <f t="shared" si="1"/>
        <v>360</v>
      </c>
      <c r="B362" s="1" t="s">
        <v>1420</v>
      </c>
      <c r="C362" s="1" t="s">
        <v>1078</v>
      </c>
      <c r="D362" s="1" t="s">
        <v>66</v>
      </c>
      <c r="E362" s="11">
        <f t="shared" si="2"/>
        <v>212.8</v>
      </c>
      <c r="F362" s="11">
        <f t="shared" si="3"/>
        <v>2.875675676</v>
      </c>
      <c r="G362" s="1">
        <v>74.0</v>
      </c>
      <c r="H362" s="1">
        <v>2.0</v>
      </c>
      <c r="I362" s="1">
        <v>16.0</v>
      </c>
      <c r="J362" s="1">
        <v>18.0</v>
      </c>
      <c r="K362" s="1">
        <v>89.0</v>
      </c>
      <c r="L362" s="1">
        <v>0.0</v>
      </c>
      <c r="M362" s="1">
        <v>0.0</v>
      </c>
      <c r="N362" s="1">
        <v>0.0</v>
      </c>
      <c r="O362" s="1">
        <v>1.0</v>
      </c>
      <c r="P362" s="1">
        <v>128.0</v>
      </c>
      <c r="Q362" s="1">
        <v>129.0</v>
      </c>
      <c r="V362" s="2">
        <f>VLOOKUP(B362,'202324'!B:C,2,FALSE)-A362</f>
        <v>6</v>
      </c>
    </row>
    <row r="363">
      <c r="A363" s="1">
        <f t="shared" si="1"/>
        <v>361</v>
      </c>
      <c r="B363" s="1" t="s">
        <v>1421</v>
      </c>
      <c r="C363" s="1" t="s">
        <v>1046</v>
      </c>
      <c r="D363" s="1" t="s">
        <v>66</v>
      </c>
      <c r="E363" s="11">
        <f t="shared" si="2"/>
        <v>211.95</v>
      </c>
      <c r="F363" s="11">
        <f t="shared" si="3"/>
        <v>2.826</v>
      </c>
      <c r="G363" s="1">
        <v>75.0</v>
      </c>
      <c r="H363" s="1">
        <v>6.0</v>
      </c>
      <c r="I363" s="1">
        <v>14.0</v>
      </c>
      <c r="J363" s="1">
        <v>20.0</v>
      </c>
      <c r="K363" s="1">
        <v>90.0</v>
      </c>
      <c r="L363" s="1">
        <v>0.0</v>
      </c>
      <c r="M363" s="1">
        <v>0.0</v>
      </c>
      <c r="N363" s="1">
        <v>0.0</v>
      </c>
      <c r="O363" s="1">
        <v>1.0</v>
      </c>
      <c r="P363" s="1">
        <v>177.0</v>
      </c>
      <c r="Q363" s="1">
        <v>68.0</v>
      </c>
      <c r="V363" s="2">
        <f>VLOOKUP(B363,'202324'!B:C,2,FALSE)-A363</f>
        <v>20</v>
      </c>
    </row>
    <row r="364">
      <c r="A364" s="1">
        <f t="shared" si="1"/>
        <v>362</v>
      </c>
      <c r="B364" s="1" t="s">
        <v>1422</v>
      </c>
      <c r="C364" s="1" t="s">
        <v>1097</v>
      </c>
      <c r="D364" s="1" t="s">
        <v>36</v>
      </c>
      <c r="E364" s="11">
        <f t="shared" si="2"/>
        <v>211.65</v>
      </c>
      <c r="F364" s="11">
        <f t="shared" si="3"/>
        <v>3.206818182</v>
      </c>
      <c r="G364" s="1">
        <v>66.0</v>
      </c>
      <c r="H364" s="1">
        <v>17.0</v>
      </c>
      <c r="I364" s="1">
        <v>8.0</v>
      </c>
      <c r="J364" s="1">
        <v>25.0</v>
      </c>
      <c r="K364" s="1">
        <v>139.0</v>
      </c>
      <c r="L364" s="1">
        <v>0.0</v>
      </c>
      <c r="M364" s="1">
        <v>0.0</v>
      </c>
      <c r="N364" s="1">
        <v>2.0</v>
      </c>
      <c r="O364" s="1">
        <v>0.0</v>
      </c>
      <c r="P364" s="1">
        <v>49.0</v>
      </c>
      <c r="Q364" s="1">
        <v>41.0</v>
      </c>
      <c r="V364" s="2">
        <f>VLOOKUP(B364,'202324'!B:C,2,FALSE)-A364</f>
        <v>-13</v>
      </c>
    </row>
    <row r="365">
      <c r="A365" s="1">
        <f t="shared" si="1"/>
        <v>363</v>
      </c>
      <c r="B365" s="1" t="s">
        <v>1423</v>
      </c>
      <c r="C365" s="1" t="s">
        <v>1097</v>
      </c>
      <c r="D365" s="1" t="s">
        <v>5</v>
      </c>
      <c r="E365" s="11">
        <f t="shared" si="2"/>
        <v>211.5</v>
      </c>
      <c r="F365" s="11">
        <f t="shared" si="3"/>
        <v>5.158536585</v>
      </c>
      <c r="G365" s="1">
        <v>41.0</v>
      </c>
      <c r="R365" s="1">
        <v>16.0</v>
      </c>
      <c r="S365" s="1">
        <v>127.0</v>
      </c>
      <c r="T365" s="12">
        <v>1180.0</v>
      </c>
      <c r="U365" s="1">
        <v>0.0</v>
      </c>
      <c r="V365" s="2">
        <f>VLOOKUP(B365,'202324'!B:C,2,FALSE)-A365</f>
        <v>-24</v>
      </c>
    </row>
    <row r="366">
      <c r="A366" s="1">
        <f t="shared" si="1"/>
        <v>364</v>
      </c>
      <c r="B366" s="1" t="s">
        <v>1424</v>
      </c>
      <c r="C366" s="1" t="s">
        <v>1046</v>
      </c>
      <c r="D366" s="1" t="s">
        <v>36</v>
      </c>
      <c r="E366" s="11">
        <f t="shared" si="2"/>
        <v>210.15</v>
      </c>
      <c r="F366" s="11">
        <f t="shared" si="3"/>
        <v>2.694230769</v>
      </c>
      <c r="G366" s="1">
        <v>78.0</v>
      </c>
      <c r="H366" s="1">
        <v>11.0</v>
      </c>
      <c r="I366" s="1">
        <v>20.0</v>
      </c>
      <c r="J366" s="1">
        <v>31.0</v>
      </c>
      <c r="K366" s="1">
        <v>147.0</v>
      </c>
      <c r="L366" s="1">
        <v>0.0</v>
      </c>
      <c r="M366" s="1">
        <v>0.0</v>
      </c>
      <c r="N366" s="1">
        <v>0.0</v>
      </c>
      <c r="O366" s="1">
        <v>0.0</v>
      </c>
      <c r="P366" s="1">
        <v>49.0</v>
      </c>
      <c r="Q366" s="1">
        <v>20.0</v>
      </c>
      <c r="V366" s="2">
        <f>VLOOKUP(B366,'202324'!B:C,2,FALSE)-A366</f>
        <v>-11</v>
      </c>
    </row>
    <row r="367">
      <c r="A367" s="1">
        <f t="shared" si="1"/>
        <v>365</v>
      </c>
      <c r="B367" s="1" t="s">
        <v>1425</v>
      </c>
      <c r="C367" s="1" t="s">
        <v>1111</v>
      </c>
      <c r="D367" s="1" t="s">
        <v>31</v>
      </c>
      <c r="E367" s="11">
        <f t="shared" si="2"/>
        <v>210.05</v>
      </c>
      <c r="F367" s="11">
        <f t="shared" si="3"/>
        <v>3.135074627</v>
      </c>
      <c r="G367" s="1">
        <v>67.0</v>
      </c>
      <c r="H367" s="1">
        <v>8.0</v>
      </c>
      <c r="I367" s="1">
        <v>18.0</v>
      </c>
      <c r="J367" s="1">
        <v>26.0</v>
      </c>
      <c r="K367" s="1">
        <v>56.0</v>
      </c>
      <c r="L367" s="1">
        <v>0.0</v>
      </c>
      <c r="M367" s="1">
        <v>0.0</v>
      </c>
      <c r="N367" s="1">
        <v>0.0</v>
      </c>
      <c r="O367" s="1">
        <v>0.0</v>
      </c>
      <c r="P367" s="1">
        <v>203.0</v>
      </c>
      <c r="Q367" s="1">
        <v>42.0</v>
      </c>
      <c r="V367" s="2">
        <f>VLOOKUP(B367,'202324'!B:C,2,FALSE)-A367</f>
        <v>32</v>
      </c>
    </row>
    <row r="368">
      <c r="A368" s="1">
        <f t="shared" si="1"/>
        <v>366</v>
      </c>
      <c r="B368" s="1" t="s">
        <v>1426</v>
      </c>
      <c r="C368" s="1" t="s">
        <v>1087</v>
      </c>
      <c r="D368" s="1" t="s">
        <v>31</v>
      </c>
      <c r="E368" s="11">
        <f t="shared" si="2"/>
        <v>209.4</v>
      </c>
      <c r="F368" s="11">
        <f t="shared" si="3"/>
        <v>2.991428571</v>
      </c>
      <c r="G368" s="1">
        <v>70.0</v>
      </c>
      <c r="H368" s="1">
        <v>10.0</v>
      </c>
      <c r="I368" s="1">
        <v>13.0</v>
      </c>
      <c r="J368" s="1">
        <v>23.0</v>
      </c>
      <c r="K368" s="1">
        <v>82.0</v>
      </c>
      <c r="L368" s="1">
        <v>0.0</v>
      </c>
      <c r="M368" s="1">
        <v>1.0</v>
      </c>
      <c r="N368" s="1">
        <v>1.0</v>
      </c>
      <c r="O368" s="1">
        <v>0.0</v>
      </c>
      <c r="P368" s="1">
        <v>134.0</v>
      </c>
      <c r="Q368" s="1">
        <v>71.0</v>
      </c>
      <c r="V368" s="2">
        <f>VLOOKUP(B368,'202324'!B:C,2,FALSE)-A368</f>
        <v>11</v>
      </c>
    </row>
    <row r="369">
      <c r="A369" s="1">
        <f t="shared" si="1"/>
        <v>367</v>
      </c>
      <c r="B369" s="1" t="s">
        <v>1427</v>
      </c>
      <c r="C369" s="1" t="s">
        <v>1034</v>
      </c>
      <c r="D369" s="1" t="s">
        <v>66</v>
      </c>
      <c r="E369" s="11">
        <f t="shared" si="2"/>
        <v>209.35</v>
      </c>
      <c r="F369" s="11">
        <f t="shared" si="3"/>
        <v>2.754605263</v>
      </c>
      <c r="G369" s="1">
        <v>76.0</v>
      </c>
      <c r="H369" s="1">
        <v>4.0</v>
      </c>
      <c r="I369" s="1">
        <v>8.0</v>
      </c>
      <c r="J369" s="1">
        <v>12.0</v>
      </c>
      <c r="K369" s="1">
        <v>86.0</v>
      </c>
      <c r="L369" s="1">
        <v>0.0</v>
      </c>
      <c r="M369" s="1">
        <v>0.0</v>
      </c>
      <c r="N369" s="1">
        <v>0.0</v>
      </c>
      <c r="O369" s="1">
        <v>0.0</v>
      </c>
      <c r="P369" s="1">
        <v>201.0</v>
      </c>
      <c r="Q369" s="1">
        <v>108.0</v>
      </c>
      <c r="V369" s="2">
        <f>VLOOKUP(B369,'202324'!B:C,2,FALSE)-A369</f>
        <v>34</v>
      </c>
    </row>
    <row r="370">
      <c r="A370" s="1">
        <f t="shared" si="1"/>
        <v>368</v>
      </c>
      <c r="B370" s="1" t="s">
        <v>1428</v>
      </c>
      <c r="C370" s="1" t="s">
        <v>1042</v>
      </c>
      <c r="D370" s="1" t="s">
        <v>31</v>
      </c>
      <c r="E370" s="11">
        <f t="shared" si="2"/>
        <v>208.2</v>
      </c>
      <c r="F370" s="11">
        <f t="shared" si="3"/>
        <v>2.974285714</v>
      </c>
      <c r="G370" s="1">
        <v>70.0</v>
      </c>
      <c r="H370" s="1">
        <v>12.0</v>
      </c>
      <c r="I370" s="1">
        <v>10.0</v>
      </c>
      <c r="J370" s="1">
        <v>22.0</v>
      </c>
      <c r="K370" s="1">
        <v>94.0</v>
      </c>
      <c r="L370" s="1">
        <v>0.0</v>
      </c>
      <c r="M370" s="1">
        <v>0.0</v>
      </c>
      <c r="N370" s="1">
        <v>0.0</v>
      </c>
      <c r="O370" s="1">
        <v>0.0</v>
      </c>
      <c r="P370" s="1">
        <v>142.0</v>
      </c>
      <c r="Q370" s="1">
        <v>55.0</v>
      </c>
      <c r="V370" s="2">
        <f>VLOOKUP(B370,'202324'!B:C,2,FALSE)-A370</f>
        <v>15</v>
      </c>
    </row>
    <row r="371">
      <c r="A371" s="1">
        <f t="shared" si="1"/>
        <v>369</v>
      </c>
      <c r="B371" s="1" t="s">
        <v>1429</v>
      </c>
      <c r="C371" s="1" t="s">
        <v>1116</v>
      </c>
      <c r="D371" s="1" t="s">
        <v>31</v>
      </c>
      <c r="E371" s="11">
        <f t="shared" si="2"/>
        <v>208.05</v>
      </c>
      <c r="F371" s="11">
        <f t="shared" si="3"/>
        <v>2.537195122</v>
      </c>
      <c r="G371" s="1">
        <v>82.0</v>
      </c>
      <c r="H371" s="1">
        <v>11.0</v>
      </c>
      <c r="I371" s="1">
        <v>16.0</v>
      </c>
      <c r="J371" s="1">
        <v>27.0</v>
      </c>
      <c r="K371" s="1">
        <v>120.0</v>
      </c>
      <c r="L371" s="1">
        <v>2.0</v>
      </c>
      <c r="M371" s="1">
        <v>3.0</v>
      </c>
      <c r="N371" s="1">
        <v>0.0</v>
      </c>
      <c r="O371" s="1">
        <v>1.0</v>
      </c>
      <c r="P371" s="1">
        <v>43.0</v>
      </c>
      <c r="Q371" s="1">
        <v>67.0</v>
      </c>
      <c r="V371" s="2">
        <f>VLOOKUP(B371,'202324'!B:C,2,FALSE)-A371</f>
        <v>-13</v>
      </c>
    </row>
    <row r="372">
      <c r="A372" s="1">
        <f t="shared" si="1"/>
        <v>370</v>
      </c>
      <c r="B372" s="1" t="s">
        <v>1430</v>
      </c>
      <c r="C372" s="1" t="s">
        <v>1044</v>
      </c>
      <c r="D372" s="1" t="s">
        <v>31</v>
      </c>
      <c r="E372" s="11">
        <f t="shared" si="2"/>
        <v>208</v>
      </c>
      <c r="F372" s="11">
        <f t="shared" si="3"/>
        <v>2.6</v>
      </c>
      <c r="G372" s="1">
        <v>80.0</v>
      </c>
      <c r="H372" s="1">
        <v>8.0</v>
      </c>
      <c r="I372" s="1">
        <v>10.0</v>
      </c>
      <c r="J372" s="1">
        <v>18.0</v>
      </c>
      <c r="K372" s="1">
        <v>86.0</v>
      </c>
      <c r="L372" s="1">
        <v>0.0</v>
      </c>
      <c r="M372" s="1">
        <v>0.0</v>
      </c>
      <c r="N372" s="1">
        <v>2.0</v>
      </c>
      <c r="O372" s="1">
        <v>1.0</v>
      </c>
      <c r="P372" s="1">
        <v>170.0</v>
      </c>
      <c r="Q372" s="1">
        <v>67.0</v>
      </c>
      <c r="V372" s="2">
        <f>VLOOKUP(B372,'202324'!B:C,2,FALSE)-A372</f>
        <v>22</v>
      </c>
    </row>
    <row r="373">
      <c r="A373" s="1">
        <f t="shared" si="1"/>
        <v>371</v>
      </c>
      <c r="B373" s="1" t="s">
        <v>1431</v>
      </c>
      <c r="C373" s="1" t="s">
        <v>1085</v>
      </c>
      <c r="D373" s="1" t="s">
        <v>66</v>
      </c>
      <c r="E373" s="11">
        <f t="shared" si="2"/>
        <v>207.25</v>
      </c>
      <c r="F373" s="11">
        <f t="shared" si="3"/>
        <v>2.763333333</v>
      </c>
      <c r="G373" s="1">
        <v>75.0</v>
      </c>
      <c r="H373" s="1">
        <v>2.0</v>
      </c>
      <c r="I373" s="1">
        <v>17.0</v>
      </c>
      <c r="J373" s="1">
        <v>19.0</v>
      </c>
      <c r="K373" s="1">
        <v>56.0</v>
      </c>
      <c r="L373" s="1">
        <v>0.0</v>
      </c>
      <c r="M373" s="1">
        <v>0.0</v>
      </c>
      <c r="N373" s="1">
        <v>0.0</v>
      </c>
      <c r="O373" s="1">
        <v>0.0</v>
      </c>
      <c r="P373" s="1">
        <v>45.0</v>
      </c>
      <c r="Q373" s="1">
        <v>207.0</v>
      </c>
      <c r="V373" s="2">
        <f>VLOOKUP(B373,'202324'!B:C,2,FALSE)-A373</f>
        <v>-14</v>
      </c>
    </row>
    <row r="374">
      <c r="A374" s="1">
        <f t="shared" si="1"/>
        <v>371</v>
      </c>
      <c r="B374" s="1" t="s">
        <v>1432</v>
      </c>
      <c r="C374" s="1" t="s">
        <v>1175</v>
      </c>
      <c r="D374" s="1" t="s">
        <v>31</v>
      </c>
      <c r="E374" s="11">
        <f t="shared" si="2"/>
        <v>207.25</v>
      </c>
      <c r="F374" s="11">
        <f t="shared" si="3"/>
        <v>2.691558442</v>
      </c>
      <c r="G374" s="1">
        <v>77.0</v>
      </c>
      <c r="H374" s="1">
        <v>11.0</v>
      </c>
      <c r="I374" s="1">
        <v>7.0</v>
      </c>
      <c r="J374" s="1">
        <v>18.0</v>
      </c>
      <c r="K374" s="1">
        <v>98.0</v>
      </c>
      <c r="L374" s="1">
        <v>2.0</v>
      </c>
      <c r="M374" s="1">
        <v>3.0</v>
      </c>
      <c r="N374" s="1">
        <v>0.0</v>
      </c>
      <c r="O374" s="1">
        <v>0.0</v>
      </c>
      <c r="P374" s="1">
        <v>165.0</v>
      </c>
      <c r="Q374" s="1">
        <v>60.0</v>
      </c>
      <c r="V374" s="2">
        <f>VLOOKUP(B374,'202324'!B:C,2,FALSE)-A374</f>
        <v>23</v>
      </c>
    </row>
    <row r="375">
      <c r="A375" s="1">
        <f t="shared" si="1"/>
        <v>373</v>
      </c>
      <c r="B375" s="1" t="s">
        <v>1433</v>
      </c>
      <c r="C375" s="1" t="s">
        <v>1172</v>
      </c>
      <c r="D375" s="1" t="s">
        <v>31</v>
      </c>
      <c r="E375" s="11">
        <f t="shared" si="2"/>
        <v>206.8</v>
      </c>
      <c r="F375" s="11">
        <f t="shared" si="3"/>
        <v>3.086567164</v>
      </c>
      <c r="G375" s="1">
        <v>67.0</v>
      </c>
      <c r="H375" s="1">
        <v>17.0</v>
      </c>
      <c r="I375" s="1">
        <v>14.0</v>
      </c>
      <c r="J375" s="1">
        <v>31.0</v>
      </c>
      <c r="K375" s="1">
        <v>112.0</v>
      </c>
      <c r="L375" s="1">
        <v>8.0</v>
      </c>
      <c r="M375" s="1">
        <v>8.0</v>
      </c>
      <c r="N375" s="1">
        <v>0.0</v>
      </c>
      <c r="O375" s="1">
        <v>0.0</v>
      </c>
      <c r="P375" s="1">
        <v>48.0</v>
      </c>
      <c r="Q375" s="1">
        <v>31.0</v>
      </c>
      <c r="V375" s="2">
        <f>VLOOKUP(B375,'202324'!B:C,2,FALSE)-A375</f>
        <v>-15</v>
      </c>
    </row>
    <row r="376">
      <c r="A376" s="1">
        <f t="shared" si="1"/>
        <v>374</v>
      </c>
      <c r="B376" s="1" t="s">
        <v>1434</v>
      </c>
      <c r="C376" s="1" t="s">
        <v>1111</v>
      </c>
      <c r="D376" s="1" t="s">
        <v>31</v>
      </c>
      <c r="E376" s="11">
        <f t="shared" si="2"/>
        <v>206.6</v>
      </c>
      <c r="F376" s="11">
        <f t="shared" si="3"/>
        <v>2.791891892</v>
      </c>
      <c r="G376" s="1">
        <v>74.0</v>
      </c>
      <c r="H376" s="1">
        <v>21.0</v>
      </c>
      <c r="I376" s="1">
        <v>8.0</v>
      </c>
      <c r="J376" s="1">
        <v>29.0</v>
      </c>
      <c r="K376" s="1">
        <v>111.0</v>
      </c>
      <c r="L376" s="1">
        <v>1.0</v>
      </c>
      <c r="M376" s="1">
        <v>1.0</v>
      </c>
      <c r="N376" s="1">
        <v>1.0</v>
      </c>
      <c r="O376" s="1">
        <v>0.0</v>
      </c>
      <c r="P376" s="1">
        <v>56.0</v>
      </c>
      <c r="Q376" s="1">
        <v>22.0</v>
      </c>
      <c r="V376" s="2">
        <f>VLOOKUP(B376,'202324'!B:C,2,FALSE)-A376</f>
        <v>-12</v>
      </c>
    </row>
    <row r="377">
      <c r="A377" s="1">
        <f t="shared" si="1"/>
        <v>375</v>
      </c>
      <c r="B377" s="1" t="s">
        <v>1435</v>
      </c>
      <c r="C377" s="1" t="s">
        <v>1038</v>
      </c>
      <c r="D377" s="1" t="s">
        <v>66</v>
      </c>
      <c r="E377" s="11">
        <f t="shared" si="2"/>
        <v>206.5</v>
      </c>
      <c r="F377" s="11">
        <f t="shared" si="3"/>
        <v>2.717105263</v>
      </c>
      <c r="G377" s="1">
        <v>76.0</v>
      </c>
      <c r="H377" s="1">
        <v>4.0</v>
      </c>
      <c r="I377" s="1">
        <v>10.0</v>
      </c>
      <c r="J377" s="1">
        <v>14.0</v>
      </c>
      <c r="K377" s="1">
        <v>79.0</v>
      </c>
      <c r="L377" s="1">
        <v>0.0</v>
      </c>
      <c r="M377" s="1">
        <v>0.0</v>
      </c>
      <c r="N377" s="1">
        <v>0.0</v>
      </c>
      <c r="O377" s="1">
        <v>0.0</v>
      </c>
      <c r="P377" s="1">
        <v>140.0</v>
      </c>
      <c r="Q377" s="1">
        <v>140.0</v>
      </c>
      <c r="V377" s="2">
        <f>VLOOKUP(B377,'202324'!B:C,2,FALSE)-A377</f>
        <v>11</v>
      </c>
    </row>
    <row r="378">
      <c r="A378" s="1">
        <f t="shared" si="1"/>
        <v>376</v>
      </c>
      <c r="B378" s="1" t="s">
        <v>1436</v>
      </c>
      <c r="C378" s="1" t="s">
        <v>1106</v>
      </c>
      <c r="D378" s="1" t="s">
        <v>31</v>
      </c>
      <c r="E378" s="11">
        <f t="shared" si="2"/>
        <v>206.2</v>
      </c>
      <c r="F378" s="11">
        <f t="shared" si="3"/>
        <v>2.610126582</v>
      </c>
      <c r="G378" s="1">
        <v>79.0</v>
      </c>
      <c r="H378" s="1">
        <v>13.0</v>
      </c>
      <c r="I378" s="1">
        <v>16.0</v>
      </c>
      <c r="J378" s="1">
        <v>29.0</v>
      </c>
      <c r="K378" s="1">
        <v>153.0</v>
      </c>
      <c r="L378" s="1">
        <v>0.0</v>
      </c>
      <c r="M378" s="1">
        <v>5.0</v>
      </c>
      <c r="N378" s="1">
        <v>0.0</v>
      </c>
      <c r="O378" s="1">
        <v>0.0</v>
      </c>
      <c r="P378" s="1">
        <v>42.0</v>
      </c>
      <c r="Q378" s="1">
        <v>17.0</v>
      </c>
      <c r="V378" s="2">
        <f>VLOOKUP(B378,'202324'!B:C,2,FALSE)-A378</f>
        <v>-18</v>
      </c>
    </row>
    <row r="379">
      <c r="A379" s="1">
        <f t="shared" si="1"/>
        <v>377</v>
      </c>
      <c r="B379" s="1" t="s">
        <v>1437</v>
      </c>
      <c r="C379" s="1" t="s">
        <v>1065</v>
      </c>
      <c r="D379" s="1" t="s">
        <v>5</v>
      </c>
      <c r="E379" s="11">
        <f t="shared" si="2"/>
        <v>205.8</v>
      </c>
      <c r="F379" s="11">
        <f t="shared" si="3"/>
        <v>4.677272727</v>
      </c>
      <c r="G379" s="1">
        <v>44.0</v>
      </c>
      <c r="R379" s="1">
        <v>14.0</v>
      </c>
      <c r="S379" s="1">
        <v>129.0</v>
      </c>
      <c r="T379" s="12">
        <v>1181.0</v>
      </c>
      <c r="U379" s="1">
        <v>1.0</v>
      </c>
      <c r="V379" s="2">
        <f>VLOOKUP(B379,'202324'!B:C,2,FALSE)-A379</f>
        <v>-25</v>
      </c>
    </row>
    <row r="380">
      <c r="A380" s="1">
        <f t="shared" si="1"/>
        <v>378</v>
      </c>
      <c r="B380" s="1" t="s">
        <v>1438</v>
      </c>
      <c r="C380" s="1" t="s">
        <v>1040</v>
      </c>
      <c r="D380" s="1" t="s">
        <v>31</v>
      </c>
      <c r="E380" s="11">
        <f t="shared" si="2"/>
        <v>205.6</v>
      </c>
      <c r="F380" s="11">
        <f t="shared" si="3"/>
        <v>2.602531646</v>
      </c>
      <c r="G380" s="1">
        <v>79.0</v>
      </c>
      <c r="H380" s="1">
        <v>10.0</v>
      </c>
      <c r="I380" s="1">
        <v>20.0</v>
      </c>
      <c r="J380" s="1">
        <v>30.0</v>
      </c>
      <c r="K380" s="1">
        <v>90.0</v>
      </c>
      <c r="L380" s="1">
        <v>3.0</v>
      </c>
      <c r="M380" s="1">
        <v>3.0</v>
      </c>
      <c r="N380" s="1">
        <v>1.0</v>
      </c>
      <c r="O380" s="1">
        <v>0.0</v>
      </c>
      <c r="P380" s="1">
        <v>46.0</v>
      </c>
      <c r="Q380" s="1">
        <v>75.0</v>
      </c>
      <c r="V380" s="2">
        <f>VLOOKUP(B380,'202324'!B:C,2,FALSE)-A380</f>
        <v>-16</v>
      </c>
    </row>
    <row r="381">
      <c r="A381" s="1">
        <f t="shared" si="1"/>
        <v>379</v>
      </c>
      <c r="B381" s="1" t="s">
        <v>1439</v>
      </c>
      <c r="C381" s="1" t="s">
        <v>1046</v>
      </c>
      <c r="D381" s="1" t="s">
        <v>31</v>
      </c>
      <c r="E381" s="11">
        <f t="shared" si="2"/>
        <v>205.3</v>
      </c>
      <c r="F381" s="11">
        <f t="shared" si="3"/>
        <v>3.019117647</v>
      </c>
      <c r="G381" s="1">
        <v>68.0</v>
      </c>
      <c r="H381" s="1">
        <v>6.0</v>
      </c>
      <c r="I381" s="1">
        <v>22.0</v>
      </c>
      <c r="J381" s="1">
        <v>28.0</v>
      </c>
      <c r="K381" s="1">
        <v>97.0</v>
      </c>
      <c r="L381" s="1">
        <v>0.0</v>
      </c>
      <c r="M381" s="1">
        <v>0.0</v>
      </c>
      <c r="N381" s="1">
        <v>2.0</v>
      </c>
      <c r="O381" s="1">
        <v>2.0</v>
      </c>
      <c r="P381" s="1">
        <v>98.0</v>
      </c>
      <c r="Q381" s="1">
        <v>43.0</v>
      </c>
      <c r="V381" s="2">
        <f>VLOOKUP(B381,'202324'!B:C,2,FALSE)-A381</f>
        <v>-1</v>
      </c>
    </row>
    <row r="382">
      <c r="A382" s="1">
        <f t="shared" si="1"/>
        <v>380</v>
      </c>
      <c r="B382" s="1" t="s">
        <v>1440</v>
      </c>
      <c r="C382" s="1" t="s">
        <v>1036</v>
      </c>
      <c r="D382" s="1" t="s">
        <v>31</v>
      </c>
      <c r="E382" s="11">
        <f t="shared" si="2"/>
        <v>204.75</v>
      </c>
      <c r="F382" s="11">
        <f t="shared" si="3"/>
        <v>2.527777778</v>
      </c>
      <c r="G382" s="1">
        <v>81.0</v>
      </c>
      <c r="H382" s="1">
        <v>12.0</v>
      </c>
      <c r="I382" s="1">
        <v>18.0</v>
      </c>
      <c r="J382" s="1">
        <v>30.0</v>
      </c>
      <c r="K382" s="1">
        <v>106.0</v>
      </c>
      <c r="L382" s="1">
        <v>0.0</v>
      </c>
      <c r="M382" s="1">
        <v>1.0</v>
      </c>
      <c r="N382" s="1">
        <v>0.0</v>
      </c>
      <c r="O382" s="1">
        <v>2.0</v>
      </c>
      <c r="P382" s="1">
        <v>65.0</v>
      </c>
      <c r="Q382" s="1">
        <v>34.0</v>
      </c>
      <c r="V382" s="2">
        <f>VLOOKUP(B382,'202324'!B:C,2,FALSE)-A382</f>
        <v>-9</v>
      </c>
    </row>
    <row r="383">
      <c r="A383" s="1">
        <f t="shared" si="1"/>
        <v>381</v>
      </c>
      <c r="B383" s="1" t="s">
        <v>1441</v>
      </c>
      <c r="C383" s="1" t="s">
        <v>1082</v>
      </c>
      <c r="D383" s="1" t="s">
        <v>66</v>
      </c>
      <c r="E383" s="11">
        <f t="shared" si="2"/>
        <v>204.6</v>
      </c>
      <c r="F383" s="11">
        <f t="shared" si="3"/>
        <v>3.1</v>
      </c>
      <c r="G383" s="1">
        <v>66.0</v>
      </c>
      <c r="H383" s="1">
        <v>3.0</v>
      </c>
      <c r="I383" s="1">
        <v>13.0</v>
      </c>
      <c r="J383" s="1">
        <v>16.0</v>
      </c>
      <c r="K383" s="1">
        <v>61.0</v>
      </c>
      <c r="L383" s="1">
        <v>0.0</v>
      </c>
      <c r="M383" s="1">
        <v>0.0</v>
      </c>
      <c r="N383" s="1">
        <v>0.0</v>
      </c>
      <c r="O383" s="1">
        <v>1.0</v>
      </c>
      <c r="P383" s="1">
        <v>186.0</v>
      </c>
      <c r="Q383" s="1">
        <v>109.0</v>
      </c>
      <c r="V383" s="2">
        <f>VLOOKUP(B383,'202324'!B:C,2,FALSE)-A383</f>
        <v>28</v>
      </c>
    </row>
    <row r="384">
      <c r="A384" s="1">
        <f t="shared" si="1"/>
        <v>382</v>
      </c>
      <c r="B384" s="1" t="s">
        <v>1442</v>
      </c>
      <c r="C384" s="1" t="s">
        <v>1091</v>
      </c>
      <c r="D384" s="1" t="s">
        <v>5</v>
      </c>
      <c r="E384" s="11">
        <f t="shared" si="2"/>
        <v>204.6</v>
      </c>
      <c r="F384" s="11">
        <f t="shared" si="3"/>
        <v>4.011764706</v>
      </c>
      <c r="G384" s="1">
        <v>51.0</v>
      </c>
      <c r="R384" s="1">
        <v>23.0</v>
      </c>
      <c r="S384" s="1">
        <v>132.0</v>
      </c>
      <c r="T384" s="12">
        <v>1072.0</v>
      </c>
      <c r="U384" s="1">
        <v>4.0</v>
      </c>
      <c r="V384" s="2">
        <f>VLOOKUP(B384,'202324'!B:C,2,FALSE)-A384</f>
        <v>-27</v>
      </c>
    </row>
    <row r="385">
      <c r="A385" s="1">
        <f t="shared" si="1"/>
        <v>383</v>
      </c>
      <c r="B385" s="1" t="s">
        <v>1443</v>
      </c>
      <c r="C385" s="1" t="s">
        <v>1156</v>
      </c>
      <c r="D385" s="1" t="s">
        <v>31</v>
      </c>
      <c r="E385" s="11">
        <f t="shared" si="2"/>
        <v>204.45</v>
      </c>
      <c r="F385" s="11">
        <f t="shared" si="3"/>
        <v>2.621153846</v>
      </c>
      <c r="G385" s="1">
        <v>78.0</v>
      </c>
      <c r="H385" s="1">
        <v>12.0</v>
      </c>
      <c r="I385" s="1">
        <v>18.0</v>
      </c>
      <c r="J385" s="1">
        <v>30.0</v>
      </c>
      <c r="K385" s="1">
        <v>109.0</v>
      </c>
      <c r="L385" s="1">
        <v>0.0</v>
      </c>
      <c r="M385" s="1">
        <v>2.0</v>
      </c>
      <c r="N385" s="1">
        <v>2.0</v>
      </c>
      <c r="O385" s="1">
        <v>0.0</v>
      </c>
      <c r="P385" s="1">
        <v>57.0</v>
      </c>
      <c r="Q385" s="1">
        <v>36.0</v>
      </c>
      <c r="V385" s="2">
        <f>VLOOKUP(B385,'202324'!B:C,2,FALSE)-A385</f>
        <v>-15</v>
      </c>
    </row>
    <row r="386">
      <c r="A386" s="1">
        <f t="shared" si="1"/>
        <v>384</v>
      </c>
      <c r="B386" s="1" t="s">
        <v>1444</v>
      </c>
      <c r="C386" s="1" t="s">
        <v>1030</v>
      </c>
      <c r="D386" s="1" t="s">
        <v>28</v>
      </c>
      <c r="E386" s="11">
        <f t="shared" si="2"/>
        <v>203.65</v>
      </c>
      <c r="F386" s="11">
        <f t="shared" si="3"/>
        <v>4.525555556</v>
      </c>
      <c r="G386" s="1">
        <v>45.0</v>
      </c>
      <c r="H386" s="1">
        <v>16.0</v>
      </c>
      <c r="I386" s="1">
        <v>18.0</v>
      </c>
      <c r="J386" s="1">
        <v>34.0</v>
      </c>
      <c r="K386" s="1">
        <v>103.0</v>
      </c>
      <c r="L386" s="1">
        <v>7.0</v>
      </c>
      <c r="M386" s="1">
        <v>5.0</v>
      </c>
      <c r="N386" s="1">
        <v>0.0</v>
      </c>
      <c r="O386" s="1">
        <v>0.0</v>
      </c>
      <c r="P386" s="1">
        <v>49.0</v>
      </c>
      <c r="Q386" s="1">
        <v>18.0</v>
      </c>
      <c r="V386" s="2">
        <f>VLOOKUP(B386,'202324'!B:C,2,FALSE)-A386</f>
        <v>-16</v>
      </c>
    </row>
    <row r="387">
      <c r="A387" s="1">
        <f t="shared" si="1"/>
        <v>385</v>
      </c>
      <c r="B387" s="1" t="s">
        <v>1445</v>
      </c>
      <c r="C387" s="1" t="s">
        <v>1040</v>
      </c>
      <c r="D387" s="1" t="s">
        <v>66</v>
      </c>
      <c r="E387" s="11">
        <f t="shared" si="2"/>
        <v>203.55</v>
      </c>
      <c r="F387" s="11">
        <f t="shared" si="3"/>
        <v>2.678289474</v>
      </c>
      <c r="G387" s="1">
        <v>76.0</v>
      </c>
      <c r="H387" s="1">
        <v>6.0</v>
      </c>
      <c r="I387" s="1">
        <v>25.0</v>
      </c>
      <c r="J387" s="1">
        <v>31.0</v>
      </c>
      <c r="K387" s="1">
        <v>93.0</v>
      </c>
      <c r="L387" s="1">
        <v>0.0</v>
      </c>
      <c r="M387" s="1">
        <v>9.0</v>
      </c>
      <c r="N387" s="1">
        <v>0.0</v>
      </c>
      <c r="O387" s="1">
        <v>0.0</v>
      </c>
      <c r="P387" s="1">
        <v>63.0</v>
      </c>
      <c r="Q387" s="1">
        <v>66.0</v>
      </c>
      <c r="V387" s="2">
        <f>VLOOKUP(B387,'202324'!B:C,2,FALSE)-A387</f>
        <v>-12</v>
      </c>
    </row>
    <row r="388">
      <c r="A388" s="1">
        <f t="shared" si="1"/>
        <v>386</v>
      </c>
      <c r="B388" s="1" t="s">
        <v>1446</v>
      </c>
      <c r="C388" s="1" t="s">
        <v>1032</v>
      </c>
      <c r="D388" s="1" t="s">
        <v>31</v>
      </c>
      <c r="E388" s="11">
        <f t="shared" si="2"/>
        <v>203.45</v>
      </c>
      <c r="F388" s="11">
        <f t="shared" si="3"/>
        <v>3.633035714</v>
      </c>
      <c r="G388" s="1">
        <v>56.0</v>
      </c>
      <c r="H388" s="1">
        <v>15.0</v>
      </c>
      <c r="I388" s="1">
        <v>9.0</v>
      </c>
      <c r="J388" s="1">
        <v>24.0</v>
      </c>
      <c r="K388" s="1">
        <v>118.0</v>
      </c>
      <c r="L388" s="1">
        <v>1.0</v>
      </c>
      <c r="M388" s="1">
        <v>0.0</v>
      </c>
      <c r="N388" s="1">
        <v>0.0</v>
      </c>
      <c r="O388" s="1">
        <v>0.0</v>
      </c>
      <c r="P388" s="1">
        <v>117.0</v>
      </c>
      <c r="Q388" s="1">
        <v>18.0</v>
      </c>
      <c r="V388" s="2">
        <f>VLOOKUP(B388,'202324'!B:C,2,FALSE)-A388</f>
        <v>1</v>
      </c>
    </row>
    <row r="389">
      <c r="A389" s="1">
        <f t="shared" si="1"/>
        <v>387</v>
      </c>
      <c r="B389" s="1" t="s">
        <v>1447</v>
      </c>
      <c r="C389" s="1" t="s">
        <v>1156</v>
      </c>
      <c r="D389" s="1" t="s">
        <v>66</v>
      </c>
      <c r="E389" s="11">
        <f t="shared" si="2"/>
        <v>202.75</v>
      </c>
      <c r="F389" s="11">
        <f t="shared" si="3"/>
        <v>3.026119403</v>
      </c>
      <c r="G389" s="1">
        <v>67.0</v>
      </c>
      <c r="H389" s="1">
        <v>9.0</v>
      </c>
      <c r="I389" s="1">
        <v>19.0</v>
      </c>
      <c r="J389" s="1">
        <v>28.0</v>
      </c>
      <c r="K389" s="1">
        <v>88.0</v>
      </c>
      <c r="L389" s="1">
        <v>0.0</v>
      </c>
      <c r="M389" s="1">
        <v>3.0</v>
      </c>
      <c r="N389" s="1">
        <v>0.0</v>
      </c>
      <c r="O389" s="1">
        <v>2.0</v>
      </c>
      <c r="P389" s="1">
        <v>45.0</v>
      </c>
      <c r="Q389" s="1">
        <v>83.0</v>
      </c>
      <c r="V389" s="2">
        <f>VLOOKUP(B389,'202324'!B:C,2,FALSE)-A389</f>
        <v>-16</v>
      </c>
    </row>
    <row r="390">
      <c r="A390" s="1">
        <f t="shared" si="1"/>
        <v>388</v>
      </c>
      <c r="B390" s="1" t="s">
        <v>1448</v>
      </c>
      <c r="C390" s="1" t="s">
        <v>1120</v>
      </c>
      <c r="D390" s="1" t="s">
        <v>31</v>
      </c>
      <c r="E390" s="11">
        <f t="shared" si="2"/>
        <v>201.95</v>
      </c>
      <c r="F390" s="11">
        <f t="shared" si="3"/>
        <v>2.524375</v>
      </c>
      <c r="G390" s="1">
        <v>80.0</v>
      </c>
      <c r="H390" s="1">
        <v>12.0</v>
      </c>
      <c r="I390" s="1">
        <v>16.0</v>
      </c>
      <c r="J390" s="1">
        <v>28.0</v>
      </c>
      <c r="K390" s="1">
        <v>86.0</v>
      </c>
      <c r="L390" s="1">
        <v>3.0</v>
      </c>
      <c r="M390" s="1">
        <v>2.0</v>
      </c>
      <c r="N390" s="1">
        <v>0.0</v>
      </c>
      <c r="O390" s="1">
        <v>1.0</v>
      </c>
      <c r="P390" s="1">
        <v>107.0</v>
      </c>
      <c r="Q390" s="1">
        <v>35.0</v>
      </c>
      <c r="V390" s="2">
        <f>VLOOKUP(B390,'202324'!B:C,2,FALSE)-A390</f>
        <v>2</v>
      </c>
    </row>
    <row r="391">
      <c r="A391" s="1">
        <f t="shared" si="1"/>
        <v>389</v>
      </c>
      <c r="B391" s="1" t="s">
        <v>1449</v>
      </c>
      <c r="C391" s="1" t="s">
        <v>1073</v>
      </c>
      <c r="D391" s="1" t="s">
        <v>28</v>
      </c>
      <c r="E391" s="11">
        <f t="shared" si="2"/>
        <v>201.1</v>
      </c>
      <c r="F391" s="11">
        <f t="shared" si="3"/>
        <v>2.54556962</v>
      </c>
      <c r="G391" s="1">
        <v>79.0</v>
      </c>
      <c r="H391" s="1">
        <v>12.0</v>
      </c>
      <c r="I391" s="1">
        <v>15.0</v>
      </c>
      <c r="J391" s="1">
        <v>27.0</v>
      </c>
      <c r="K391" s="1">
        <v>128.0</v>
      </c>
      <c r="L391" s="1">
        <v>1.0</v>
      </c>
      <c r="M391" s="1">
        <v>1.0</v>
      </c>
      <c r="N391" s="1">
        <v>0.0</v>
      </c>
      <c r="O391" s="1">
        <v>1.0</v>
      </c>
      <c r="P391" s="1">
        <v>56.0</v>
      </c>
      <c r="Q391" s="1">
        <v>33.0</v>
      </c>
      <c r="V391" s="2">
        <f>VLOOKUP(B391,'202324'!B:C,2,FALSE)-A391</f>
        <v>-11</v>
      </c>
    </row>
    <row r="392">
      <c r="A392" s="1">
        <f t="shared" si="1"/>
        <v>390</v>
      </c>
      <c r="B392" s="1" t="s">
        <v>1450</v>
      </c>
      <c r="C392" s="1" t="s">
        <v>1040</v>
      </c>
      <c r="D392" s="1" t="s">
        <v>28</v>
      </c>
      <c r="E392" s="11">
        <f t="shared" si="2"/>
        <v>200.65</v>
      </c>
      <c r="F392" s="11">
        <f t="shared" si="3"/>
        <v>2.508125</v>
      </c>
      <c r="G392" s="1">
        <v>80.0</v>
      </c>
      <c r="H392" s="1">
        <v>13.0</v>
      </c>
      <c r="I392" s="1">
        <v>13.0</v>
      </c>
      <c r="J392" s="1">
        <v>26.0</v>
      </c>
      <c r="K392" s="1">
        <v>116.0</v>
      </c>
      <c r="L392" s="1">
        <v>0.0</v>
      </c>
      <c r="M392" s="1">
        <v>0.0</v>
      </c>
      <c r="N392" s="1">
        <v>0.0</v>
      </c>
      <c r="O392" s="1">
        <v>0.0</v>
      </c>
      <c r="P392" s="1">
        <v>89.0</v>
      </c>
      <c r="Q392" s="1">
        <v>28.0</v>
      </c>
      <c r="V392" s="2">
        <f>VLOOKUP(B392,'202324'!B:C,2,FALSE)-A392</f>
        <v>-3</v>
      </c>
    </row>
    <row r="393">
      <c r="A393" s="1">
        <f t="shared" si="1"/>
        <v>391</v>
      </c>
      <c r="B393" s="1" t="s">
        <v>1451</v>
      </c>
      <c r="C393" s="1" t="s">
        <v>1080</v>
      </c>
      <c r="D393" s="1" t="s">
        <v>66</v>
      </c>
      <c r="E393" s="11">
        <f t="shared" si="2"/>
        <v>200.55</v>
      </c>
      <c r="F393" s="11">
        <f t="shared" si="3"/>
        <v>2.747260274</v>
      </c>
      <c r="G393" s="1">
        <v>73.0</v>
      </c>
      <c r="H393" s="1">
        <v>2.0</v>
      </c>
      <c r="I393" s="1">
        <v>10.0</v>
      </c>
      <c r="J393" s="1">
        <v>12.0</v>
      </c>
      <c r="K393" s="1">
        <v>105.0</v>
      </c>
      <c r="L393" s="1">
        <v>0.0</v>
      </c>
      <c r="M393" s="1">
        <v>0.0</v>
      </c>
      <c r="N393" s="1">
        <v>0.0</v>
      </c>
      <c r="O393" s="1">
        <v>0.0</v>
      </c>
      <c r="P393" s="1">
        <v>153.0</v>
      </c>
      <c r="Q393" s="1">
        <v>111.0</v>
      </c>
      <c r="V393" s="2">
        <f>VLOOKUP(B393,'202324'!B:C,2,FALSE)-A393</f>
        <v>22</v>
      </c>
    </row>
    <row r="394">
      <c r="A394" s="1">
        <f t="shared" si="1"/>
        <v>392</v>
      </c>
      <c r="B394" s="1" t="s">
        <v>1452</v>
      </c>
      <c r="C394" s="1" t="s">
        <v>1097</v>
      </c>
      <c r="D394" s="1" t="s">
        <v>28</v>
      </c>
      <c r="E394" s="11">
        <f t="shared" si="2"/>
        <v>199.6</v>
      </c>
      <c r="F394" s="11">
        <f t="shared" si="3"/>
        <v>2.434146341</v>
      </c>
      <c r="G394" s="1">
        <v>82.0</v>
      </c>
      <c r="H394" s="1">
        <v>7.0</v>
      </c>
      <c r="I394" s="1">
        <v>21.0</v>
      </c>
      <c r="J394" s="1">
        <v>28.0</v>
      </c>
      <c r="K394" s="1">
        <v>81.0</v>
      </c>
      <c r="L394" s="1">
        <v>0.0</v>
      </c>
      <c r="M394" s="1">
        <v>0.0</v>
      </c>
      <c r="N394" s="1">
        <v>1.0</v>
      </c>
      <c r="O394" s="1">
        <v>0.0</v>
      </c>
      <c r="P394" s="1">
        <v>86.0</v>
      </c>
      <c r="Q394" s="1">
        <v>65.0</v>
      </c>
      <c r="V394" s="2">
        <f>VLOOKUP(B394,'202324'!B:C,2,FALSE)-A394</f>
        <v>0</v>
      </c>
    </row>
    <row r="395">
      <c r="A395" s="1">
        <f t="shared" si="1"/>
        <v>393</v>
      </c>
      <c r="B395" s="1" t="s">
        <v>1453</v>
      </c>
      <c r="C395" s="1" t="s">
        <v>1032</v>
      </c>
      <c r="D395" s="1" t="s">
        <v>66</v>
      </c>
      <c r="E395" s="11">
        <f t="shared" si="2"/>
        <v>199.35</v>
      </c>
      <c r="F395" s="11">
        <f t="shared" si="3"/>
        <v>2.555769231</v>
      </c>
      <c r="G395" s="1">
        <v>78.0</v>
      </c>
      <c r="H395" s="1">
        <v>1.0</v>
      </c>
      <c r="I395" s="1">
        <v>25.0</v>
      </c>
      <c r="J395" s="1">
        <v>26.0</v>
      </c>
      <c r="K395" s="1">
        <v>52.0</v>
      </c>
      <c r="L395" s="1">
        <v>0.0</v>
      </c>
      <c r="M395" s="1">
        <v>0.0</v>
      </c>
      <c r="N395" s="1">
        <v>0.0</v>
      </c>
      <c r="O395" s="1">
        <v>0.0</v>
      </c>
      <c r="P395" s="1">
        <v>41.0</v>
      </c>
      <c r="Q395" s="1">
        <v>159.0</v>
      </c>
      <c r="V395" s="2">
        <f>VLOOKUP(B395,'202324'!B:C,2,FALSE)-A395</f>
        <v>-13</v>
      </c>
    </row>
    <row r="396">
      <c r="A396" s="1">
        <f t="shared" si="1"/>
        <v>394</v>
      </c>
      <c r="B396" s="1" t="s">
        <v>1454</v>
      </c>
      <c r="C396" s="1" t="s">
        <v>1038</v>
      </c>
      <c r="D396" s="1" t="s">
        <v>66</v>
      </c>
      <c r="E396" s="11">
        <f t="shared" si="2"/>
        <v>199.15</v>
      </c>
      <c r="F396" s="11">
        <f t="shared" si="3"/>
        <v>2.728082192</v>
      </c>
      <c r="G396" s="1">
        <v>73.0</v>
      </c>
      <c r="H396" s="1">
        <v>3.0</v>
      </c>
      <c r="I396" s="1">
        <v>23.0</v>
      </c>
      <c r="J396" s="1">
        <v>26.0</v>
      </c>
      <c r="K396" s="1">
        <v>99.0</v>
      </c>
      <c r="L396" s="1">
        <v>1.0</v>
      </c>
      <c r="M396" s="1">
        <v>4.0</v>
      </c>
      <c r="N396" s="1">
        <v>0.0</v>
      </c>
      <c r="O396" s="1">
        <v>0.0</v>
      </c>
      <c r="P396" s="1">
        <v>49.0</v>
      </c>
      <c r="Q396" s="1">
        <v>100.0</v>
      </c>
      <c r="V396" s="2">
        <f>VLOOKUP(B396,'202324'!B:C,2,FALSE)-A396</f>
        <v>-13</v>
      </c>
    </row>
    <row r="397">
      <c r="A397" s="1">
        <f t="shared" si="1"/>
        <v>395</v>
      </c>
      <c r="B397" s="1" t="s">
        <v>1455</v>
      </c>
      <c r="C397" s="1" t="s">
        <v>1175</v>
      </c>
      <c r="D397" s="1" t="s">
        <v>5</v>
      </c>
      <c r="E397" s="11">
        <f t="shared" si="2"/>
        <v>198.9</v>
      </c>
      <c r="F397" s="11">
        <f t="shared" si="3"/>
        <v>4.520454545</v>
      </c>
      <c r="G397" s="1">
        <v>44.0</v>
      </c>
      <c r="R397" s="1">
        <v>10.0</v>
      </c>
      <c r="S397" s="1">
        <v>140.0</v>
      </c>
      <c r="T397" s="12">
        <v>1243.0</v>
      </c>
      <c r="U397" s="1">
        <v>2.0</v>
      </c>
      <c r="V397" s="2">
        <f>VLOOKUP(B397,'202324'!B:C,2,FALSE)-A397</f>
        <v>-28</v>
      </c>
    </row>
    <row r="398">
      <c r="A398" s="1">
        <f t="shared" si="1"/>
        <v>396</v>
      </c>
      <c r="B398" s="1" t="s">
        <v>1456</v>
      </c>
      <c r="C398" s="1" t="s">
        <v>1065</v>
      </c>
      <c r="D398" s="1" t="s">
        <v>66</v>
      </c>
      <c r="E398" s="11">
        <f t="shared" si="2"/>
        <v>197.9</v>
      </c>
      <c r="F398" s="11">
        <f t="shared" si="3"/>
        <v>3.141269841</v>
      </c>
      <c r="G398" s="1">
        <v>63.0</v>
      </c>
      <c r="H398" s="1">
        <v>4.0</v>
      </c>
      <c r="I398" s="1">
        <v>24.0</v>
      </c>
      <c r="J398" s="1">
        <v>28.0</v>
      </c>
      <c r="K398" s="1">
        <v>88.0</v>
      </c>
      <c r="L398" s="1">
        <v>0.0</v>
      </c>
      <c r="M398" s="1">
        <v>7.0</v>
      </c>
      <c r="N398" s="1">
        <v>0.0</v>
      </c>
      <c r="O398" s="1">
        <v>1.0</v>
      </c>
      <c r="P398" s="1">
        <v>84.0</v>
      </c>
      <c r="Q398" s="1">
        <v>65.0</v>
      </c>
      <c r="V398" s="2">
        <f>VLOOKUP(B398,'202324'!B:C,2,FALSE)-A398</f>
        <v>3</v>
      </c>
    </row>
    <row r="399">
      <c r="A399" s="1">
        <f t="shared" si="1"/>
        <v>397</v>
      </c>
      <c r="B399" s="1" t="s">
        <v>1457</v>
      </c>
      <c r="C399" s="1" t="s">
        <v>1146</v>
      </c>
      <c r="D399" s="1" t="s">
        <v>28</v>
      </c>
      <c r="E399" s="11">
        <f t="shared" si="2"/>
        <v>197.6</v>
      </c>
      <c r="F399" s="11">
        <f t="shared" si="3"/>
        <v>3.187096774</v>
      </c>
      <c r="G399" s="1">
        <v>62.0</v>
      </c>
      <c r="H399" s="1">
        <v>13.0</v>
      </c>
      <c r="I399" s="1">
        <v>17.0</v>
      </c>
      <c r="J399" s="1">
        <v>30.0</v>
      </c>
      <c r="K399" s="1">
        <v>117.0</v>
      </c>
      <c r="L399" s="1">
        <v>7.0</v>
      </c>
      <c r="M399" s="1">
        <v>3.0</v>
      </c>
      <c r="N399" s="1">
        <v>0.0</v>
      </c>
      <c r="O399" s="1">
        <v>0.0</v>
      </c>
      <c r="P399" s="1">
        <v>46.0</v>
      </c>
      <c r="Q399" s="1">
        <v>27.0</v>
      </c>
      <c r="V399" s="2">
        <f>VLOOKUP(B399,'202324'!B:C,2,FALSE)-A399</f>
        <v>-13</v>
      </c>
    </row>
    <row r="400">
      <c r="A400" s="1">
        <f t="shared" si="1"/>
        <v>398</v>
      </c>
      <c r="B400" s="1" t="s">
        <v>1458</v>
      </c>
      <c r="C400" s="1" t="s">
        <v>1156</v>
      </c>
      <c r="D400" s="1" t="s">
        <v>36</v>
      </c>
      <c r="E400" s="11">
        <f t="shared" si="2"/>
        <v>196.8</v>
      </c>
      <c r="F400" s="11">
        <f t="shared" si="3"/>
        <v>2.771830986</v>
      </c>
      <c r="G400" s="1">
        <v>71.0</v>
      </c>
      <c r="H400" s="1">
        <v>10.0</v>
      </c>
      <c r="I400" s="1">
        <v>16.0</v>
      </c>
      <c r="J400" s="1">
        <v>26.0</v>
      </c>
      <c r="K400" s="1">
        <v>86.0</v>
      </c>
      <c r="L400" s="1">
        <v>0.0</v>
      </c>
      <c r="M400" s="1">
        <v>0.0</v>
      </c>
      <c r="N400" s="1">
        <v>0.0</v>
      </c>
      <c r="O400" s="1">
        <v>0.0</v>
      </c>
      <c r="P400" s="1">
        <v>108.0</v>
      </c>
      <c r="Q400" s="1">
        <v>46.0</v>
      </c>
      <c r="V400" s="2">
        <f>VLOOKUP(B400,'202324'!B:C,2,FALSE)-A400</f>
        <v>11</v>
      </c>
    </row>
    <row r="401">
      <c r="A401" s="1">
        <f t="shared" si="1"/>
        <v>399</v>
      </c>
      <c r="B401" s="1" t="s">
        <v>1459</v>
      </c>
      <c r="C401" s="1" t="s">
        <v>1085</v>
      </c>
      <c r="D401" s="1" t="s">
        <v>66</v>
      </c>
      <c r="E401" s="11">
        <f t="shared" si="2"/>
        <v>196.75</v>
      </c>
      <c r="F401" s="11">
        <f t="shared" si="3"/>
        <v>3.07421875</v>
      </c>
      <c r="G401" s="1">
        <v>64.0</v>
      </c>
      <c r="H401" s="1">
        <v>2.0</v>
      </c>
      <c r="I401" s="1">
        <v>10.0</v>
      </c>
      <c r="J401" s="1">
        <v>12.0</v>
      </c>
      <c r="K401" s="1">
        <v>56.0</v>
      </c>
      <c r="L401" s="1">
        <v>0.0</v>
      </c>
      <c r="M401" s="1">
        <v>0.0</v>
      </c>
      <c r="N401" s="1">
        <v>0.0</v>
      </c>
      <c r="O401" s="1">
        <v>0.0</v>
      </c>
      <c r="P401" s="1">
        <v>195.0</v>
      </c>
      <c r="Q401" s="1">
        <v>123.0</v>
      </c>
      <c r="V401" s="2">
        <f>VLOOKUP(B401,'202324'!B:C,2,FALSE)-A401</f>
        <v>35</v>
      </c>
    </row>
    <row r="402">
      <c r="A402" s="1">
        <f t="shared" si="1"/>
        <v>400</v>
      </c>
      <c r="B402" s="1" t="s">
        <v>1460</v>
      </c>
      <c r="C402" s="1" t="s">
        <v>1032</v>
      </c>
      <c r="D402" s="1" t="s">
        <v>66</v>
      </c>
      <c r="E402" s="11">
        <f t="shared" si="2"/>
        <v>196.7</v>
      </c>
      <c r="F402" s="11">
        <f t="shared" si="3"/>
        <v>3.576363636</v>
      </c>
      <c r="G402" s="1">
        <v>55.0</v>
      </c>
      <c r="H402" s="1">
        <v>3.0</v>
      </c>
      <c r="I402" s="1">
        <v>20.0</v>
      </c>
      <c r="J402" s="1">
        <v>23.0</v>
      </c>
      <c r="K402" s="1">
        <v>62.0</v>
      </c>
      <c r="L402" s="1">
        <v>0.0</v>
      </c>
      <c r="M402" s="1">
        <v>7.0</v>
      </c>
      <c r="N402" s="1">
        <v>0.0</v>
      </c>
      <c r="O402" s="1">
        <v>1.0</v>
      </c>
      <c r="P402" s="1">
        <v>92.0</v>
      </c>
      <c r="Q402" s="1">
        <v>116.0</v>
      </c>
      <c r="V402" s="2">
        <f>VLOOKUP(B402,'202324'!B:C,2,FALSE)-A402</f>
        <v>7</v>
      </c>
    </row>
    <row r="403">
      <c r="A403" s="1">
        <f t="shared" si="1"/>
        <v>401</v>
      </c>
      <c r="B403" s="1" t="s">
        <v>1461</v>
      </c>
      <c r="C403" s="1" t="s">
        <v>1080</v>
      </c>
      <c r="D403" s="1" t="s">
        <v>5</v>
      </c>
      <c r="E403" s="11">
        <f t="shared" si="2"/>
        <v>196.5</v>
      </c>
      <c r="F403" s="11">
        <f t="shared" si="3"/>
        <v>5.614285714</v>
      </c>
      <c r="G403" s="1">
        <v>35.0</v>
      </c>
      <c r="R403" s="1">
        <v>19.0</v>
      </c>
      <c r="S403" s="1">
        <v>89.0</v>
      </c>
      <c r="T403" s="1">
        <v>890.0</v>
      </c>
      <c r="U403" s="1">
        <v>2.0</v>
      </c>
      <c r="V403" s="2">
        <f>VLOOKUP(B403,'202324'!B:C,2,FALSE)-A403</f>
        <v>-27</v>
      </c>
    </row>
    <row r="404">
      <c r="A404" s="1">
        <f t="shared" si="1"/>
        <v>402</v>
      </c>
      <c r="B404" s="1" t="s">
        <v>1462</v>
      </c>
      <c r="C404" s="1" t="s">
        <v>1042</v>
      </c>
      <c r="D404" s="1" t="s">
        <v>66</v>
      </c>
      <c r="E404" s="11">
        <f t="shared" si="2"/>
        <v>196</v>
      </c>
      <c r="F404" s="11">
        <f t="shared" si="3"/>
        <v>2.684931507</v>
      </c>
      <c r="G404" s="1">
        <v>73.0</v>
      </c>
      <c r="H404" s="1">
        <v>4.0</v>
      </c>
      <c r="I404" s="1">
        <v>16.0</v>
      </c>
      <c r="J404" s="1">
        <v>20.0</v>
      </c>
      <c r="K404" s="1">
        <v>77.0</v>
      </c>
      <c r="L404" s="1">
        <v>0.0</v>
      </c>
      <c r="M404" s="1">
        <v>1.0</v>
      </c>
      <c r="N404" s="1">
        <v>1.0</v>
      </c>
      <c r="O404" s="1">
        <v>0.0</v>
      </c>
      <c r="P404" s="1">
        <v>60.0</v>
      </c>
      <c r="Q404" s="1">
        <v>137.0</v>
      </c>
      <c r="V404" s="2">
        <f>VLOOKUP(B404,'202324'!B:C,2,FALSE)-A404</f>
        <v>-6</v>
      </c>
    </row>
    <row r="405">
      <c r="A405" s="1">
        <f t="shared" si="1"/>
        <v>403</v>
      </c>
      <c r="B405" s="1" t="s">
        <v>1463</v>
      </c>
      <c r="C405" s="1" t="s">
        <v>1097</v>
      </c>
      <c r="D405" s="1" t="s">
        <v>31</v>
      </c>
      <c r="E405" s="11">
        <f t="shared" si="2"/>
        <v>195.1</v>
      </c>
      <c r="F405" s="11">
        <f t="shared" si="3"/>
        <v>3.547272727</v>
      </c>
      <c r="G405" s="1">
        <v>55.0</v>
      </c>
      <c r="H405" s="1">
        <v>15.0</v>
      </c>
      <c r="I405" s="1">
        <v>19.0</v>
      </c>
      <c r="J405" s="1">
        <v>34.0</v>
      </c>
      <c r="K405" s="1">
        <v>85.0</v>
      </c>
      <c r="L405" s="1">
        <v>2.0</v>
      </c>
      <c r="M405" s="1">
        <v>6.0</v>
      </c>
      <c r="N405" s="1">
        <v>0.0</v>
      </c>
      <c r="O405" s="1">
        <v>0.0</v>
      </c>
      <c r="P405" s="1">
        <v>36.0</v>
      </c>
      <c r="Q405" s="1">
        <v>31.0</v>
      </c>
      <c r="V405" s="2">
        <f>VLOOKUP(B405,'202324'!B:C,2,FALSE)-A405</f>
        <v>-14</v>
      </c>
    </row>
    <row r="406">
      <c r="A406" s="1">
        <f t="shared" si="1"/>
        <v>404</v>
      </c>
      <c r="B406" s="1" t="s">
        <v>1464</v>
      </c>
      <c r="C406" s="1" t="s">
        <v>1156</v>
      </c>
      <c r="D406" s="1" t="s">
        <v>36</v>
      </c>
      <c r="E406" s="11">
        <f t="shared" si="2"/>
        <v>195.05</v>
      </c>
      <c r="F406" s="11">
        <f t="shared" si="3"/>
        <v>3.680188679</v>
      </c>
      <c r="G406" s="1">
        <v>53.0</v>
      </c>
      <c r="H406" s="1">
        <v>16.0</v>
      </c>
      <c r="I406" s="1">
        <v>13.0</v>
      </c>
      <c r="J406" s="1">
        <v>29.0</v>
      </c>
      <c r="K406" s="1">
        <v>110.0</v>
      </c>
      <c r="L406" s="1">
        <v>1.0</v>
      </c>
      <c r="M406" s="1">
        <v>1.0</v>
      </c>
      <c r="N406" s="1">
        <v>0.0</v>
      </c>
      <c r="O406" s="1">
        <v>0.0</v>
      </c>
      <c r="P406" s="1">
        <v>43.0</v>
      </c>
      <c r="Q406" s="1">
        <v>28.0</v>
      </c>
      <c r="V406" s="2">
        <f>VLOOKUP(B406,'202324'!B:C,2,FALSE)-A406</f>
        <v>-10</v>
      </c>
    </row>
    <row r="407">
      <c r="A407" s="1">
        <f t="shared" si="1"/>
        <v>405</v>
      </c>
      <c r="B407" s="1" t="s">
        <v>1465</v>
      </c>
      <c r="C407" s="1" t="s">
        <v>1048</v>
      </c>
      <c r="D407" s="1" t="s">
        <v>66</v>
      </c>
      <c r="E407" s="11">
        <f t="shared" si="2"/>
        <v>194.9</v>
      </c>
      <c r="F407" s="11">
        <f t="shared" si="3"/>
        <v>2.564473684</v>
      </c>
      <c r="G407" s="1">
        <v>76.0</v>
      </c>
      <c r="H407" s="1">
        <v>1.0</v>
      </c>
      <c r="I407" s="1">
        <v>19.0</v>
      </c>
      <c r="J407" s="1">
        <v>20.0</v>
      </c>
      <c r="K407" s="1">
        <v>74.0</v>
      </c>
      <c r="L407" s="1">
        <v>0.0</v>
      </c>
      <c r="M407" s="1">
        <v>0.0</v>
      </c>
      <c r="N407" s="1">
        <v>0.0</v>
      </c>
      <c r="O407" s="1">
        <v>2.0</v>
      </c>
      <c r="P407" s="1">
        <v>144.0</v>
      </c>
      <c r="Q407" s="1">
        <v>84.0</v>
      </c>
      <c r="V407" s="2">
        <f>VLOOKUP(B407,'202324'!B:C,2,FALSE)-A407</f>
        <v>20</v>
      </c>
    </row>
    <row r="408">
      <c r="A408" s="1">
        <f t="shared" si="1"/>
        <v>406</v>
      </c>
      <c r="B408" s="1" t="s">
        <v>1466</v>
      </c>
      <c r="C408" s="1" t="s">
        <v>1080</v>
      </c>
      <c r="D408" s="1" t="s">
        <v>31</v>
      </c>
      <c r="E408" s="11">
        <f t="shared" si="2"/>
        <v>194.3</v>
      </c>
      <c r="F408" s="11">
        <f t="shared" si="3"/>
        <v>2.661643836</v>
      </c>
      <c r="G408" s="1">
        <v>73.0</v>
      </c>
      <c r="H408" s="1">
        <v>14.0</v>
      </c>
      <c r="I408" s="1">
        <v>13.0</v>
      </c>
      <c r="J408" s="1">
        <v>27.0</v>
      </c>
      <c r="K408" s="1">
        <v>117.0</v>
      </c>
      <c r="L408" s="1">
        <v>3.0</v>
      </c>
      <c r="M408" s="1">
        <v>2.0</v>
      </c>
      <c r="N408" s="1">
        <v>0.0</v>
      </c>
      <c r="O408" s="1">
        <v>0.0</v>
      </c>
      <c r="P408" s="1">
        <v>48.0</v>
      </c>
      <c r="Q408" s="1">
        <v>34.0</v>
      </c>
      <c r="V408" s="2">
        <f>VLOOKUP(B408,'202324'!B:C,2,FALSE)-A408</f>
        <v>-7</v>
      </c>
    </row>
    <row r="409">
      <c r="A409" s="1">
        <f t="shared" si="1"/>
        <v>407</v>
      </c>
      <c r="B409" s="1" t="s">
        <v>1467</v>
      </c>
      <c r="C409" s="1" t="s">
        <v>1067</v>
      </c>
      <c r="D409" s="1" t="s">
        <v>66</v>
      </c>
      <c r="E409" s="11">
        <f t="shared" si="2"/>
        <v>193.7</v>
      </c>
      <c r="F409" s="11">
        <f t="shared" si="3"/>
        <v>2.617567568</v>
      </c>
      <c r="G409" s="1">
        <v>74.0</v>
      </c>
      <c r="H409" s="1">
        <v>3.0</v>
      </c>
      <c r="I409" s="1">
        <v>17.0</v>
      </c>
      <c r="J409" s="1">
        <v>20.0</v>
      </c>
      <c r="K409" s="1">
        <v>84.0</v>
      </c>
      <c r="L409" s="1">
        <v>0.0</v>
      </c>
      <c r="M409" s="1">
        <v>0.0</v>
      </c>
      <c r="N409" s="1">
        <v>0.0</v>
      </c>
      <c r="O409" s="1">
        <v>1.0</v>
      </c>
      <c r="P409" s="1">
        <v>92.0</v>
      </c>
      <c r="Q409" s="1">
        <v>106.0</v>
      </c>
      <c r="V409" s="2">
        <f>VLOOKUP(B409,'202324'!B:C,2,FALSE)-A409</f>
        <v>12</v>
      </c>
    </row>
    <row r="410">
      <c r="A410" s="1">
        <f t="shared" si="1"/>
        <v>408</v>
      </c>
      <c r="B410" s="1" t="s">
        <v>1468</v>
      </c>
      <c r="C410" s="1" t="s">
        <v>1054</v>
      </c>
      <c r="D410" s="1" t="s">
        <v>28</v>
      </c>
      <c r="E410" s="11">
        <f t="shared" si="2"/>
        <v>193.65</v>
      </c>
      <c r="F410" s="11">
        <f t="shared" si="3"/>
        <v>3.520909091</v>
      </c>
      <c r="G410" s="1">
        <v>55.0</v>
      </c>
      <c r="H410" s="1">
        <v>10.0</v>
      </c>
      <c r="I410" s="1">
        <v>12.0</v>
      </c>
      <c r="J410" s="1">
        <v>22.0</v>
      </c>
      <c r="K410" s="1">
        <v>56.0</v>
      </c>
      <c r="L410" s="1">
        <v>0.0</v>
      </c>
      <c r="M410" s="1">
        <v>0.0</v>
      </c>
      <c r="N410" s="1">
        <v>0.0</v>
      </c>
      <c r="O410" s="1">
        <v>1.0</v>
      </c>
      <c r="P410" s="1">
        <v>179.0</v>
      </c>
      <c r="Q410" s="1">
        <v>40.0</v>
      </c>
      <c r="V410" s="2">
        <f>VLOOKUP(B410,'202324'!B:C,2,FALSE)-A410</f>
        <v>28</v>
      </c>
    </row>
    <row r="411">
      <c r="A411" s="1">
        <f t="shared" si="1"/>
        <v>409</v>
      </c>
      <c r="B411" s="1" t="s">
        <v>1469</v>
      </c>
      <c r="C411" s="1" t="s">
        <v>1076</v>
      </c>
      <c r="D411" s="1" t="s">
        <v>36</v>
      </c>
      <c r="E411" s="11">
        <f t="shared" si="2"/>
        <v>192.9</v>
      </c>
      <c r="F411" s="11">
        <f t="shared" si="3"/>
        <v>2.352439024</v>
      </c>
      <c r="G411" s="1">
        <v>82.0</v>
      </c>
      <c r="H411" s="1">
        <v>16.0</v>
      </c>
      <c r="I411" s="1">
        <v>12.0</v>
      </c>
      <c r="J411" s="1">
        <v>28.0</v>
      </c>
      <c r="K411" s="1">
        <v>122.0</v>
      </c>
      <c r="L411" s="1">
        <v>1.0</v>
      </c>
      <c r="M411" s="1">
        <v>1.0</v>
      </c>
      <c r="N411" s="1">
        <v>0.0</v>
      </c>
      <c r="O411" s="1">
        <v>0.0</v>
      </c>
      <c r="P411" s="1">
        <v>44.0</v>
      </c>
      <c r="Q411" s="1">
        <v>17.0</v>
      </c>
      <c r="V411" s="2">
        <f>VLOOKUP(B411,'202324'!B:C,2,FALSE)-A411</f>
        <v>-7</v>
      </c>
    </row>
    <row r="412">
      <c r="A412" s="1">
        <f t="shared" si="1"/>
        <v>410</v>
      </c>
      <c r="B412" s="1" t="s">
        <v>1470</v>
      </c>
      <c r="C412" s="1" t="s">
        <v>1032</v>
      </c>
      <c r="D412" s="1" t="s">
        <v>66</v>
      </c>
      <c r="E412" s="11">
        <f t="shared" si="2"/>
        <v>192.75</v>
      </c>
      <c r="F412" s="11">
        <f t="shared" si="3"/>
        <v>2.60472973</v>
      </c>
      <c r="G412" s="1">
        <v>74.0</v>
      </c>
      <c r="H412" s="1">
        <v>0.0</v>
      </c>
      <c r="I412" s="1">
        <v>8.0</v>
      </c>
      <c r="J412" s="1">
        <v>8.0</v>
      </c>
      <c r="K412" s="1">
        <v>47.0</v>
      </c>
      <c r="L412" s="1">
        <v>0.0</v>
      </c>
      <c r="M412" s="1">
        <v>0.0</v>
      </c>
      <c r="N412" s="1">
        <v>0.0</v>
      </c>
      <c r="O412" s="1">
        <v>0.0</v>
      </c>
      <c r="P412" s="1">
        <v>175.0</v>
      </c>
      <c r="Q412" s="1">
        <v>168.0</v>
      </c>
      <c r="V412" s="2">
        <f>VLOOKUP(B412,'202324'!B:C,2,FALSE)-A412</f>
        <v>27</v>
      </c>
    </row>
    <row r="413">
      <c r="A413" s="1">
        <f t="shared" si="1"/>
        <v>411</v>
      </c>
      <c r="B413" s="1" t="s">
        <v>1471</v>
      </c>
      <c r="C413" s="1" t="s">
        <v>1069</v>
      </c>
      <c r="D413" s="1" t="s">
        <v>31</v>
      </c>
      <c r="E413" s="11">
        <f t="shared" si="2"/>
        <v>192.65</v>
      </c>
      <c r="F413" s="11">
        <f t="shared" si="3"/>
        <v>3.057936508</v>
      </c>
      <c r="G413" s="1">
        <v>63.0</v>
      </c>
      <c r="H413" s="1">
        <v>14.0</v>
      </c>
      <c r="I413" s="1">
        <v>20.0</v>
      </c>
      <c r="J413" s="1">
        <v>34.0</v>
      </c>
      <c r="K413" s="1">
        <v>90.0</v>
      </c>
      <c r="L413" s="1">
        <v>1.0</v>
      </c>
      <c r="M413" s="1">
        <v>3.0</v>
      </c>
      <c r="N413" s="1">
        <v>0.0</v>
      </c>
      <c r="O413" s="1">
        <v>0.0</v>
      </c>
      <c r="P413" s="1">
        <v>29.0</v>
      </c>
      <c r="Q413" s="1">
        <v>29.0</v>
      </c>
      <c r="V413" s="2">
        <f>VLOOKUP(B413,'202324'!B:C,2,FALSE)-A413</f>
        <v>-14</v>
      </c>
    </row>
    <row r="414">
      <c r="A414" s="1">
        <f t="shared" si="1"/>
        <v>412</v>
      </c>
      <c r="B414" s="1" t="s">
        <v>1472</v>
      </c>
      <c r="C414" s="1" t="s">
        <v>1085</v>
      </c>
      <c r="D414" s="1" t="s">
        <v>66</v>
      </c>
      <c r="E414" s="11">
        <f t="shared" si="2"/>
        <v>192.6</v>
      </c>
      <c r="F414" s="11">
        <f t="shared" si="3"/>
        <v>2.348780488</v>
      </c>
      <c r="G414" s="1">
        <v>82.0</v>
      </c>
      <c r="H414" s="1">
        <v>2.0</v>
      </c>
      <c r="I414" s="1">
        <v>15.0</v>
      </c>
      <c r="J414" s="1">
        <v>17.0</v>
      </c>
      <c r="K414" s="1">
        <v>102.0</v>
      </c>
      <c r="L414" s="1">
        <v>0.0</v>
      </c>
      <c r="M414" s="1">
        <v>0.0</v>
      </c>
      <c r="N414" s="1">
        <v>0.0</v>
      </c>
      <c r="O414" s="1">
        <v>1.0</v>
      </c>
      <c r="P414" s="1">
        <v>86.0</v>
      </c>
      <c r="Q414" s="1">
        <v>111.0</v>
      </c>
      <c r="V414" s="2">
        <f>VLOOKUP(B414,'202324'!B:C,2,FALSE)-A414</f>
        <v>9</v>
      </c>
    </row>
    <row r="415">
      <c r="A415" s="1">
        <f t="shared" si="1"/>
        <v>413</v>
      </c>
      <c r="B415" s="1" t="s">
        <v>1473</v>
      </c>
      <c r="C415" s="1" t="s">
        <v>1065</v>
      </c>
      <c r="D415" s="1" t="s">
        <v>36</v>
      </c>
      <c r="E415" s="11">
        <f t="shared" si="2"/>
        <v>192.5</v>
      </c>
      <c r="F415" s="11">
        <f t="shared" si="3"/>
        <v>2.830882353</v>
      </c>
      <c r="G415" s="1">
        <v>68.0</v>
      </c>
      <c r="H415" s="1">
        <v>11.0</v>
      </c>
      <c r="I415" s="1">
        <v>11.0</v>
      </c>
      <c r="J415" s="1">
        <v>22.0</v>
      </c>
      <c r="K415" s="1">
        <v>91.0</v>
      </c>
      <c r="L415" s="1">
        <v>0.0</v>
      </c>
      <c r="M415" s="1">
        <v>0.0</v>
      </c>
      <c r="N415" s="1">
        <v>2.0</v>
      </c>
      <c r="O415" s="1">
        <v>0.0</v>
      </c>
      <c r="P415" s="1">
        <v>80.0</v>
      </c>
      <c r="Q415" s="1">
        <v>65.0</v>
      </c>
      <c r="V415" s="2">
        <f>VLOOKUP(B415,'202324'!B:C,2,FALSE)-A415</f>
        <v>6</v>
      </c>
    </row>
    <row r="416">
      <c r="A416" s="1">
        <f t="shared" si="1"/>
        <v>414</v>
      </c>
      <c r="B416" s="1" t="s">
        <v>1474</v>
      </c>
      <c r="C416" s="1" t="s">
        <v>1087</v>
      </c>
      <c r="D416" s="1" t="s">
        <v>66</v>
      </c>
      <c r="E416" s="11">
        <f t="shared" si="2"/>
        <v>192.45</v>
      </c>
      <c r="F416" s="11">
        <f t="shared" si="3"/>
        <v>3.154918033</v>
      </c>
      <c r="G416" s="1">
        <v>61.0</v>
      </c>
      <c r="H416" s="1">
        <v>6.0</v>
      </c>
      <c r="I416" s="1">
        <v>18.0</v>
      </c>
      <c r="J416" s="1">
        <v>24.0</v>
      </c>
      <c r="K416" s="1">
        <v>126.0</v>
      </c>
      <c r="L416" s="1">
        <v>0.0</v>
      </c>
      <c r="M416" s="1">
        <v>5.0</v>
      </c>
      <c r="N416" s="1">
        <v>1.0</v>
      </c>
      <c r="O416" s="1">
        <v>0.0</v>
      </c>
      <c r="P416" s="1">
        <v>47.0</v>
      </c>
      <c r="Q416" s="1">
        <v>60.0</v>
      </c>
      <c r="V416" s="2">
        <f>VLOOKUP(B416,'202324'!B:C,2,FALSE)-A416</f>
        <v>-8</v>
      </c>
    </row>
    <row r="417">
      <c r="A417" s="1">
        <f t="shared" si="1"/>
        <v>415</v>
      </c>
      <c r="B417" s="1" t="s">
        <v>1475</v>
      </c>
      <c r="C417" s="1" t="s">
        <v>1054</v>
      </c>
      <c r="D417" s="1" t="s">
        <v>28</v>
      </c>
      <c r="E417" s="11">
        <f t="shared" si="2"/>
        <v>192.4</v>
      </c>
      <c r="F417" s="11">
        <f t="shared" si="3"/>
        <v>2.466666667</v>
      </c>
      <c r="G417" s="1">
        <v>78.0</v>
      </c>
      <c r="H417" s="1">
        <v>11.0</v>
      </c>
      <c r="I417" s="1">
        <v>19.0</v>
      </c>
      <c r="J417" s="1">
        <v>30.0</v>
      </c>
      <c r="K417" s="1">
        <v>112.0</v>
      </c>
      <c r="L417" s="1">
        <v>1.0</v>
      </c>
      <c r="M417" s="1">
        <v>5.0</v>
      </c>
      <c r="N417" s="1">
        <v>0.0</v>
      </c>
      <c r="O417" s="1">
        <v>0.0</v>
      </c>
      <c r="P417" s="1">
        <v>44.0</v>
      </c>
      <c r="Q417" s="1">
        <v>29.0</v>
      </c>
      <c r="V417" s="2">
        <f>VLOOKUP(B417,'202324'!B:C,2,FALSE)-A417</f>
        <v>-11</v>
      </c>
    </row>
    <row r="418">
      <c r="A418" s="1">
        <f t="shared" si="1"/>
        <v>416</v>
      </c>
      <c r="B418" s="1" t="s">
        <v>1476</v>
      </c>
      <c r="C418" s="1" t="s">
        <v>1034</v>
      </c>
      <c r="D418" s="1" t="s">
        <v>66</v>
      </c>
      <c r="E418" s="11">
        <f t="shared" si="2"/>
        <v>192.3</v>
      </c>
      <c r="F418" s="11">
        <f t="shared" si="3"/>
        <v>2.786956522</v>
      </c>
      <c r="G418" s="1">
        <v>69.0</v>
      </c>
      <c r="H418" s="1">
        <v>2.0</v>
      </c>
      <c r="I418" s="1">
        <v>11.0</v>
      </c>
      <c r="J418" s="1">
        <v>13.0</v>
      </c>
      <c r="K418" s="1">
        <v>53.0</v>
      </c>
      <c r="L418" s="1">
        <v>0.0</v>
      </c>
      <c r="M418" s="1">
        <v>0.0</v>
      </c>
      <c r="N418" s="1">
        <v>0.0</v>
      </c>
      <c r="O418" s="1">
        <v>0.0</v>
      </c>
      <c r="P418" s="1">
        <v>198.0</v>
      </c>
      <c r="Q418" s="1">
        <v>109.0</v>
      </c>
      <c r="V418" s="2">
        <f>VLOOKUP(B418,'202324'!B:C,2,FALSE)-A418</f>
        <v>28</v>
      </c>
    </row>
    <row r="419">
      <c r="A419" s="1">
        <f t="shared" si="1"/>
        <v>417</v>
      </c>
      <c r="B419" s="1" t="s">
        <v>1477</v>
      </c>
      <c r="C419" s="1" t="s">
        <v>1082</v>
      </c>
      <c r="D419" s="1" t="s">
        <v>36</v>
      </c>
      <c r="E419" s="11">
        <f t="shared" si="2"/>
        <v>192.25</v>
      </c>
      <c r="F419" s="11">
        <f t="shared" si="3"/>
        <v>3.697115385</v>
      </c>
      <c r="G419" s="1">
        <v>52.0</v>
      </c>
      <c r="H419" s="1">
        <v>12.0</v>
      </c>
      <c r="I419" s="1">
        <v>13.0</v>
      </c>
      <c r="J419" s="1">
        <v>25.0</v>
      </c>
      <c r="K419" s="1">
        <v>90.0</v>
      </c>
      <c r="L419" s="1">
        <v>7.0</v>
      </c>
      <c r="M419" s="1">
        <v>4.0</v>
      </c>
      <c r="N419" s="1">
        <v>0.0</v>
      </c>
      <c r="O419" s="1">
        <v>0.0</v>
      </c>
      <c r="P419" s="1">
        <v>75.0</v>
      </c>
      <c r="Q419" s="1">
        <v>56.0</v>
      </c>
      <c r="V419" s="2">
        <f>VLOOKUP(B419,'202324'!B:C,2,FALSE)-A419</f>
        <v>-2</v>
      </c>
    </row>
    <row r="420">
      <c r="A420" s="1">
        <f t="shared" si="1"/>
        <v>417</v>
      </c>
      <c r="B420" s="1" t="s">
        <v>1478</v>
      </c>
      <c r="C420" s="1" t="s">
        <v>1082</v>
      </c>
      <c r="D420" s="1" t="s">
        <v>66</v>
      </c>
      <c r="E420" s="11">
        <f t="shared" si="2"/>
        <v>192.25</v>
      </c>
      <c r="F420" s="11">
        <f t="shared" si="3"/>
        <v>2.827205882</v>
      </c>
      <c r="G420" s="1">
        <v>68.0</v>
      </c>
      <c r="H420" s="1">
        <v>3.0</v>
      </c>
      <c r="I420" s="1">
        <v>20.0</v>
      </c>
      <c r="J420" s="1">
        <v>23.0</v>
      </c>
      <c r="K420" s="1">
        <v>79.0</v>
      </c>
      <c r="L420" s="1">
        <v>0.0</v>
      </c>
      <c r="M420" s="1">
        <v>5.0</v>
      </c>
      <c r="N420" s="1">
        <v>0.0</v>
      </c>
      <c r="O420" s="1">
        <v>0.0</v>
      </c>
      <c r="P420" s="1">
        <v>75.0</v>
      </c>
      <c r="Q420" s="1">
        <v>106.0</v>
      </c>
      <c r="V420" s="2">
        <f>VLOOKUP(B420,'202324'!B:C,2,FALSE)-A420</f>
        <v>-2</v>
      </c>
    </row>
    <row r="421">
      <c r="A421" s="1">
        <f t="shared" si="1"/>
        <v>419</v>
      </c>
      <c r="B421" s="1" t="s">
        <v>1479</v>
      </c>
      <c r="C421" s="1" t="s">
        <v>1082</v>
      </c>
      <c r="D421" s="1" t="s">
        <v>31</v>
      </c>
      <c r="E421" s="11">
        <f t="shared" si="2"/>
        <v>191.8</v>
      </c>
      <c r="F421" s="11">
        <f t="shared" si="3"/>
        <v>2.996875</v>
      </c>
      <c r="G421" s="1">
        <v>64.0</v>
      </c>
      <c r="H421" s="1">
        <v>12.0</v>
      </c>
      <c r="I421" s="1">
        <v>10.0</v>
      </c>
      <c r="J421" s="1">
        <v>22.0</v>
      </c>
      <c r="K421" s="1">
        <v>61.0</v>
      </c>
      <c r="L421" s="1">
        <v>0.0</v>
      </c>
      <c r="M421" s="1">
        <v>0.0</v>
      </c>
      <c r="N421" s="1">
        <v>0.0</v>
      </c>
      <c r="O421" s="1">
        <v>0.0</v>
      </c>
      <c r="P421" s="1">
        <v>118.0</v>
      </c>
      <c r="Q421" s="1">
        <v>72.0</v>
      </c>
      <c r="V421" s="2">
        <f>VLOOKUP(B421,'202324'!B:C,2,FALSE)-A421</f>
        <v>9</v>
      </c>
    </row>
    <row r="422">
      <c r="A422" s="1">
        <f t="shared" si="1"/>
        <v>420</v>
      </c>
      <c r="B422" s="1" t="s">
        <v>1480</v>
      </c>
      <c r="C422" s="1" t="s">
        <v>1078</v>
      </c>
      <c r="D422" s="1" t="s">
        <v>31</v>
      </c>
      <c r="E422" s="11">
        <f t="shared" si="2"/>
        <v>191.15</v>
      </c>
      <c r="F422" s="11">
        <f t="shared" si="3"/>
        <v>2.331097561</v>
      </c>
      <c r="G422" s="1">
        <v>82.0</v>
      </c>
      <c r="H422" s="1">
        <v>8.0</v>
      </c>
      <c r="I422" s="1">
        <v>8.0</v>
      </c>
      <c r="J422" s="1">
        <v>16.0</v>
      </c>
      <c r="K422" s="1">
        <v>130.0</v>
      </c>
      <c r="L422" s="1">
        <v>0.0</v>
      </c>
      <c r="M422" s="1">
        <v>1.0</v>
      </c>
      <c r="N422" s="1">
        <v>1.0</v>
      </c>
      <c r="O422" s="1">
        <v>1.0</v>
      </c>
      <c r="P422" s="1">
        <v>89.0</v>
      </c>
      <c r="Q422" s="1">
        <v>62.0</v>
      </c>
      <c r="V422" s="2">
        <f>VLOOKUP(B422,'202324'!B:C,2,FALSE)-A422</f>
        <v>3</v>
      </c>
    </row>
    <row r="423">
      <c r="A423" s="1">
        <f t="shared" si="1"/>
        <v>421</v>
      </c>
      <c r="B423" s="1" t="s">
        <v>1481</v>
      </c>
      <c r="C423" s="1" t="s">
        <v>1156</v>
      </c>
      <c r="D423" s="1" t="s">
        <v>31</v>
      </c>
      <c r="E423" s="11">
        <f t="shared" si="2"/>
        <v>191.05</v>
      </c>
      <c r="F423" s="11">
        <f t="shared" si="3"/>
        <v>3.898979592</v>
      </c>
      <c r="G423" s="1">
        <v>49.0</v>
      </c>
      <c r="H423" s="1">
        <v>12.0</v>
      </c>
      <c r="I423" s="1">
        <v>15.0</v>
      </c>
      <c r="J423" s="1">
        <v>27.0</v>
      </c>
      <c r="K423" s="1">
        <v>115.0</v>
      </c>
      <c r="L423" s="1">
        <v>1.0</v>
      </c>
      <c r="M423" s="1">
        <v>2.0</v>
      </c>
      <c r="N423" s="1">
        <v>0.0</v>
      </c>
      <c r="O423" s="1">
        <v>0.0</v>
      </c>
      <c r="P423" s="1">
        <v>63.0</v>
      </c>
      <c r="Q423" s="1">
        <v>25.0</v>
      </c>
      <c r="V423" s="2">
        <f>VLOOKUP(B423,'202324'!B:C,2,FALSE)-A423</f>
        <v>-6</v>
      </c>
    </row>
    <row r="424">
      <c r="A424" s="1">
        <f t="shared" si="1"/>
        <v>422</v>
      </c>
      <c r="B424" s="1" t="s">
        <v>1482</v>
      </c>
      <c r="C424" s="1" t="s">
        <v>1082</v>
      </c>
      <c r="D424" s="1" t="s">
        <v>31</v>
      </c>
      <c r="E424" s="11">
        <f t="shared" si="2"/>
        <v>190.9</v>
      </c>
      <c r="F424" s="11">
        <f t="shared" si="3"/>
        <v>2.447435897</v>
      </c>
      <c r="G424" s="1">
        <v>78.0</v>
      </c>
      <c r="H424" s="1">
        <v>6.0</v>
      </c>
      <c r="I424" s="1">
        <v>23.0</v>
      </c>
      <c r="J424" s="1">
        <v>29.0</v>
      </c>
      <c r="K424" s="1">
        <v>113.0</v>
      </c>
      <c r="L424" s="1">
        <v>0.0</v>
      </c>
      <c r="M424" s="1">
        <v>0.0</v>
      </c>
      <c r="N424" s="1">
        <v>0.0</v>
      </c>
      <c r="O424" s="1">
        <v>1.0</v>
      </c>
      <c r="P424" s="1">
        <v>34.0</v>
      </c>
      <c r="Q424" s="1">
        <v>49.0</v>
      </c>
      <c r="V424" s="2">
        <f>VLOOKUP(B424,'202324'!B:C,2,FALSE)-A424</f>
        <v>-15</v>
      </c>
    </row>
    <row r="425">
      <c r="A425" s="1">
        <f t="shared" si="1"/>
        <v>422</v>
      </c>
      <c r="B425" s="1" t="s">
        <v>1483</v>
      </c>
      <c r="C425" s="1" t="s">
        <v>1046</v>
      </c>
      <c r="D425" s="1" t="s">
        <v>28</v>
      </c>
      <c r="E425" s="11">
        <f t="shared" si="2"/>
        <v>190.9</v>
      </c>
      <c r="F425" s="11">
        <f t="shared" si="3"/>
        <v>2.849253731</v>
      </c>
      <c r="G425" s="1">
        <v>67.0</v>
      </c>
      <c r="H425" s="1">
        <v>14.0</v>
      </c>
      <c r="I425" s="1">
        <v>15.0</v>
      </c>
      <c r="J425" s="1">
        <v>29.0</v>
      </c>
      <c r="K425" s="1">
        <v>105.0</v>
      </c>
      <c r="L425" s="1">
        <v>2.0</v>
      </c>
      <c r="M425" s="1">
        <v>3.0</v>
      </c>
      <c r="N425" s="1">
        <v>0.0</v>
      </c>
      <c r="O425" s="1">
        <v>0.0</v>
      </c>
      <c r="P425" s="1">
        <v>54.0</v>
      </c>
      <c r="Q425" s="1">
        <v>23.0</v>
      </c>
      <c r="V425" s="2">
        <f>VLOOKUP(B425,'202324'!B:C,2,FALSE)-A425</f>
        <v>-10</v>
      </c>
    </row>
    <row r="426">
      <c r="A426" s="1">
        <f t="shared" si="1"/>
        <v>424</v>
      </c>
      <c r="B426" s="1" t="s">
        <v>1484</v>
      </c>
      <c r="C426" s="1" t="s">
        <v>1175</v>
      </c>
      <c r="D426" s="1" t="s">
        <v>36</v>
      </c>
      <c r="E426" s="11">
        <f t="shared" si="2"/>
        <v>190.25</v>
      </c>
      <c r="F426" s="11">
        <f t="shared" si="3"/>
        <v>2.642361111</v>
      </c>
      <c r="G426" s="1">
        <v>72.0</v>
      </c>
      <c r="H426" s="1">
        <v>13.0</v>
      </c>
      <c r="I426" s="1">
        <v>10.0</v>
      </c>
      <c r="J426" s="1">
        <v>23.0</v>
      </c>
      <c r="K426" s="1">
        <v>137.0</v>
      </c>
      <c r="L426" s="1">
        <v>3.0</v>
      </c>
      <c r="M426" s="1">
        <v>1.0</v>
      </c>
      <c r="N426" s="1">
        <v>0.0</v>
      </c>
      <c r="O426" s="1">
        <v>0.0</v>
      </c>
      <c r="P426" s="1">
        <v>55.0</v>
      </c>
      <c r="Q426" s="1">
        <v>28.0</v>
      </c>
      <c r="V426" s="2">
        <f>VLOOKUP(B426,'202324'!B:C,2,FALSE)-A426</f>
        <v>-9</v>
      </c>
    </row>
    <row r="427">
      <c r="A427" s="1">
        <f t="shared" si="1"/>
        <v>425</v>
      </c>
      <c r="B427" s="1" t="s">
        <v>1485</v>
      </c>
      <c r="C427" s="1" t="s">
        <v>1040</v>
      </c>
      <c r="D427" s="1" t="s">
        <v>36</v>
      </c>
      <c r="E427" s="11">
        <f t="shared" si="2"/>
        <v>188.8</v>
      </c>
      <c r="F427" s="11">
        <f t="shared" si="3"/>
        <v>3.2</v>
      </c>
      <c r="G427" s="1">
        <v>59.0</v>
      </c>
      <c r="H427" s="1">
        <v>9.0</v>
      </c>
      <c r="I427" s="1">
        <v>22.0</v>
      </c>
      <c r="J427" s="1">
        <v>31.0</v>
      </c>
      <c r="K427" s="1">
        <v>117.0</v>
      </c>
      <c r="L427" s="1">
        <v>0.0</v>
      </c>
      <c r="M427" s="1">
        <v>4.0</v>
      </c>
      <c r="N427" s="1">
        <v>1.0</v>
      </c>
      <c r="O427" s="1">
        <v>0.0</v>
      </c>
      <c r="P427" s="1">
        <v>28.0</v>
      </c>
      <c r="Q427" s="1">
        <v>24.0</v>
      </c>
      <c r="V427" s="2">
        <f>VLOOKUP(B427,'202324'!B:C,2,FALSE)-A427</f>
        <v>-16</v>
      </c>
    </row>
    <row r="428">
      <c r="A428" s="1">
        <f t="shared" si="1"/>
        <v>426</v>
      </c>
      <c r="B428" s="1" t="s">
        <v>1486</v>
      </c>
      <c r="C428" s="1" t="s">
        <v>1036</v>
      </c>
      <c r="D428" s="1" t="s">
        <v>31</v>
      </c>
      <c r="E428" s="11">
        <f t="shared" si="2"/>
        <v>188.6</v>
      </c>
      <c r="F428" s="11">
        <f t="shared" si="3"/>
        <v>2.449350649</v>
      </c>
      <c r="G428" s="1">
        <v>77.0</v>
      </c>
      <c r="H428" s="1">
        <v>10.0</v>
      </c>
      <c r="I428" s="1">
        <v>6.0</v>
      </c>
      <c r="J428" s="1">
        <v>16.0</v>
      </c>
      <c r="K428" s="1">
        <v>92.0</v>
      </c>
      <c r="L428" s="1">
        <v>1.0</v>
      </c>
      <c r="M428" s="1">
        <v>0.0</v>
      </c>
      <c r="N428" s="1">
        <v>2.0</v>
      </c>
      <c r="O428" s="1">
        <v>0.0</v>
      </c>
      <c r="P428" s="1">
        <v>166.0</v>
      </c>
      <c r="Q428" s="1">
        <v>35.0</v>
      </c>
      <c r="V428" s="2">
        <f>VLOOKUP(B428,'202324'!B:C,2,FALSE)-A428</f>
        <v>19</v>
      </c>
    </row>
    <row r="429">
      <c r="A429" s="1">
        <f t="shared" si="1"/>
        <v>427</v>
      </c>
      <c r="B429" s="1" t="s">
        <v>1487</v>
      </c>
      <c r="C429" s="1" t="s">
        <v>1034</v>
      </c>
      <c r="D429" s="1" t="s">
        <v>66</v>
      </c>
      <c r="E429" s="11">
        <f t="shared" si="2"/>
        <v>188.15</v>
      </c>
      <c r="F429" s="11">
        <f t="shared" si="3"/>
        <v>2.443506494</v>
      </c>
      <c r="G429" s="1">
        <v>77.0</v>
      </c>
      <c r="H429" s="1">
        <v>2.0</v>
      </c>
      <c r="I429" s="1">
        <v>22.0</v>
      </c>
      <c r="J429" s="1">
        <v>24.0</v>
      </c>
      <c r="K429" s="1">
        <v>57.0</v>
      </c>
      <c r="L429" s="1">
        <v>0.0</v>
      </c>
      <c r="M429" s="1">
        <v>0.0</v>
      </c>
      <c r="N429" s="1">
        <v>0.0</v>
      </c>
      <c r="O429" s="1">
        <v>0.0</v>
      </c>
      <c r="P429" s="1">
        <v>79.0</v>
      </c>
      <c r="Q429" s="1">
        <v>114.0</v>
      </c>
      <c r="V429" s="2">
        <f>VLOOKUP(B429,'202324'!B:C,2,FALSE)-A429</f>
        <v>0</v>
      </c>
    </row>
    <row r="430">
      <c r="A430" s="1">
        <f t="shared" si="1"/>
        <v>428</v>
      </c>
      <c r="B430" s="1" t="s">
        <v>1488</v>
      </c>
      <c r="C430" s="1" t="s">
        <v>1032</v>
      </c>
      <c r="D430" s="1" t="s">
        <v>5</v>
      </c>
      <c r="E430" s="11">
        <f t="shared" si="2"/>
        <v>188.1</v>
      </c>
      <c r="F430" s="11">
        <f t="shared" si="3"/>
        <v>4.7025</v>
      </c>
      <c r="G430" s="1">
        <v>40.0</v>
      </c>
      <c r="R430" s="1">
        <v>23.0</v>
      </c>
      <c r="S430" s="1">
        <v>120.0</v>
      </c>
      <c r="T430" s="1">
        <v>967.0</v>
      </c>
      <c r="U430" s="1">
        <v>3.0</v>
      </c>
      <c r="V430" s="2">
        <f>VLOOKUP(B430,'202324'!B:C,2,FALSE)-A430</f>
        <v>-25</v>
      </c>
    </row>
    <row r="431">
      <c r="A431" s="1">
        <f t="shared" si="1"/>
        <v>429</v>
      </c>
      <c r="B431" s="1" t="s">
        <v>1489</v>
      </c>
      <c r="C431" s="1" t="s">
        <v>1156</v>
      </c>
      <c r="D431" s="1" t="s">
        <v>5</v>
      </c>
      <c r="E431" s="11">
        <f t="shared" si="2"/>
        <v>187.8</v>
      </c>
      <c r="F431" s="11">
        <f t="shared" si="3"/>
        <v>4.580487805</v>
      </c>
      <c r="G431" s="1">
        <v>41.0</v>
      </c>
      <c r="R431" s="1">
        <v>13.0</v>
      </c>
      <c r="S431" s="1">
        <v>130.0</v>
      </c>
      <c r="T431" s="12">
        <v>1136.0</v>
      </c>
      <c r="U431" s="1">
        <v>1.0</v>
      </c>
      <c r="V431" s="2">
        <f>VLOOKUP(B431,'202324'!B:C,2,FALSE)-A431</f>
        <v>-24</v>
      </c>
    </row>
    <row r="432">
      <c r="A432" s="1">
        <f t="shared" si="1"/>
        <v>430</v>
      </c>
      <c r="B432" s="1" t="s">
        <v>1490</v>
      </c>
      <c r="C432" s="1" t="s">
        <v>1156</v>
      </c>
      <c r="D432" s="1" t="s">
        <v>31</v>
      </c>
      <c r="E432" s="11">
        <f t="shared" si="2"/>
        <v>187.1</v>
      </c>
      <c r="F432" s="11">
        <f t="shared" si="3"/>
        <v>3.017741935</v>
      </c>
      <c r="G432" s="1">
        <v>62.0</v>
      </c>
      <c r="H432" s="1">
        <v>9.0</v>
      </c>
      <c r="I432" s="1">
        <v>9.0</v>
      </c>
      <c r="J432" s="1">
        <v>18.0</v>
      </c>
      <c r="K432" s="1">
        <v>92.0</v>
      </c>
      <c r="L432" s="1">
        <v>0.0</v>
      </c>
      <c r="M432" s="1">
        <v>0.0</v>
      </c>
      <c r="N432" s="1">
        <v>0.0</v>
      </c>
      <c r="O432" s="1">
        <v>1.0</v>
      </c>
      <c r="P432" s="1">
        <v>156.0</v>
      </c>
      <c r="Q432" s="1">
        <v>34.0</v>
      </c>
      <c r="V432" s="2">
        <f>VLOOKUP(B432,'202324'!B:C,2,FALSE)-A432</f>
        <v>18</v>
      </c>
    </row>
    <row r="433">
      <c r="A433" s="1">
        <f t="shared" si="1"/>
        <v>431</v>
      </c>
      <c r="B433" s="1" t="s">
        <v>1491</v>
      </c>
      <c r="C433" s="1" t="s">
        <v>1048</v>
      </c>
      <c r="D433" s="1" t="s">
        <v>36</v>
      </c>
      <c r="E433" s="11">
        <f t="shared" si="2"/>
        <v>186.75</v>
      </c>
      <c r="F433" s="11">
        <f t="shared" si="3"/>
        <v>2.787313433</v>
      </c>
      <c r="G433" s="1">
        <v>67.0</v>
      </c>
      <c r="H433" s="1">
        <v>12.0</v>
      </c>
      <c r="I433" s="1">
        <v>10.0</v>
      </c>
      <c r="J433" s="1">
        <v>22.0</v>
      </c>
      <c r="K433" s="1">
        <v>114.0</v>
      </c>
      <c r="L433" s="1">
        <v>2.0</v>
      </c>
      <c r="M433" s="1">
        <v>2.0</v>
      </c>
      <c r="N433" s="1">
        <v>1.0</v>
      </c>
      <c r="O433" s="1">
        <v>0.0</v>
      </c>
      <c r="P433" s="1">
        <v>75.0</v>
      </c>
      <c r="Q433" s="1">
        <v>35.0</v>
      </c>
      <c r="V433" s="2">
        <f>VLOOKUP(B433,'202324'!B:C,2,FALSE)-A433</f>
        <v>-2</v>
      </c>
    </row>
    <row r="434">
      <c r="A434" s="1">
        <f t="shared" si="1"/>
        <v>432</v>
      </c>
      <c r="B434" s="1" t="s">
        <v>1492</v>
      </c>
      <c r="C434" s="1" t="s">
        <v>1080</v>
      </c>
      <c r="D434" s="1" t="s">
        <v>66</v>
      </c>
      <c r="E434" s="11">
        <f t="shared" si="2"/>
        <v>185.65</v>
      </c>
      <c r="F434" s="11">
        <f t="shared" si="3"/>
        <v>3.375454545</v>
      </c>
      <c r="G434" s="1">
        <v>55.0</v>
      </c>
      <c r="H434" s="1">
        <v>4.0</v>
      </c>
      <c r="I434" s="1">
        <v>13.0</v>
      </c>
      <c r="J434" s="1">
        <v>17.0</v>
      </c>
      <c r="K434" s="1">
        <v>72.0</v>
      </c>
      <c r="L434" s="1">
        <v>0.0</v>
      </c>
      <c r="M434" s="1">
        <v>3.0</v>
      </c>
      <c r="N434" s="1">
        <v>0.0</v>
      </c>
      <c r="O434" s="1">
        <v>0.0</v>
      </c>
      <c r="P434" s="1">
        <v>29.0</v>
      </c>
      <c r="Q434" s="1">
        <v>165.0</v>
      </c>
      <c r="V434" s="2">
        <f>VLOOKUP(B434,'202324'!B:C,2,FALSE)-A434</f>
        <v>-10</v>
      </c>
    </row>
    <row r="435">
      <c r="A435" s="1">
        <f t="shared" si="1"/>
        <v>433</v>
      </c>
      <c r="B435" s="1" t="s">
        <v>1493</v>
      </c>
      <c r="C435" s="1" t="s">
        <v>1030</v>
      </c>
      <c r="D435" s="1" t="s">
        <v>28</v>
      </c>
      <c r="E435" s="11">
        <f t="shared" si="2"/>
        <v>185.45</v>
      </c>
      <c r="F435" s="11">
        <f t="shared" si="3"/>
        <v>2.318125</v>
      </c>
      <c r="G435" s="1">
        <v>80.0</v>
      </c>
      <c r="H435" s="1">
        <v>5.0</v>
      </c>
      <c r="I435" s="1">
        <v>8.0</v>
      </c>
      <c r="J435" s="1">
        <v>13.0</v>
      </c>
      <c r="K435" s="1">
        <v>92.0</v>
      </c>
      <c r="L435" s="1">
        <v>0.0</v>
      </c>
      <c r="M435" s="1">
        <v>0.0</v>
      </c>
      <c r="N435" s="1">
        <v>1.0</v>
      </c>
      <c r="O435" s="1">
        <v>0.0</v>
      </c>
      <c r="P435" s="1">
        <v>207.0</v>
      </c>
      <c r="Q435" s="1">
        <v>37.0</v>
      </c>
      <c r="V435" s="2">
        <f>VLOOKUP(B435,'202324'!B:C,2,FALSE)-A435</f>
        <v>29</v>
      </c>
    </row>
    <row r="436">
      <c r="A436" s="1">
        <f t="shared" si="1"/>
        <v>434</v>
      </c>
      <c r="B436" s="1" t="s">
        <v>1494</v>
      </c>
      <c r="C436" s="1" t="s">
        <v>1067</v>
      </c>
      <c r="D436" s="1" t="s">
        <v>28</v>
      </c>
      <c r="E436" s="11">
        <f t="shared" si="2"/>
        <v>185.25</v>
      </c>
      <c r="F436" s="11">
        <f t="shared" si="3"/>
        <v>2.60915493</v>
      </c>
      <c r="G436" s="1">
        <v>71.0</v>
      </c>
      <c r="H436" s="1">
        <v>11.0</v>
      </c>
      <c r="I436" s="1">
        <v>19.0</v>
      </c>
      <c r="J436" s="1">
        <v>30.0</v>
      </c>
      <c r="K436" s="1">
        <v>98.0</v>
      </c>
      <c r="L436" s="1">
        <v>0.0</v>
      </c>
      <c r="M436" s="1">
        <v>2.0</v>
      </c>
      <c r="N436" s="1">
        <v>0.0</v>
      </c>
      <c r="O436" s="1">
        <v>0.0</v>
      </c>
      <c r="P436" s="1">
        <v>35.0</v>
      </c>
      <c r="Q436" s="1">
        <v>35.0</v>
      </c>
      <c r="V436" s="2">
        <f>VLOOKUP(B436,'202324'!B:C,2,FALSE)-A436</f>
        <v>-10</v>
      </c>
    </row>
    <row r="437">
      <c r="A437" s="1">
        <f t="shared" si="1"/>
        <v>435</v>
      </c>
      <c r="B437" s="1" t="s">
        <v>1495</v>
      </c>
      <c r="C437" s="1" t="s">
        <v>1052</v>
      </c>
      <c r="D437" s="1" t="s">
        <v>5</v>
      </c>
      <c r="E437" s="11">
        <f t="shared" si="2"/>
        <v>185.1</v>
      </c>
      <c r="F437" s="11">
        <f t="shared" si="3"/>
        <v>4.871052632</v>
      </c>
      <c r="G437" s="1">
        <v>38.0</v>
      </c>
      <c r="R437" s="1">
        <v>18.0</v>
      </c>
      <c r="S437" s="1">
        <v>102.0</v>
      </c>
      <c r="T437" s="1">
        <v>937.0</v>
      </c>
      <c r="U437" s="1">
        <v>1.0</v>
      </c>
      <c r="V437" s="2">
        <f>VLOOKUP(B437,'202324'!B:C,2,FALSE)-A437</f>
        <v>-21</v>
      </c>
    </row>
    <row r="438">
      <c r="A438" s="1">
        <f t="shared" si="1"/>
        <v>436</v>
      </c>
      <c r="B438" s="1" t="s">
        <v>1496</v>
      </c>
      <c r="C438" s="1" t="s">
        <v>1038</v>
      </c>
      <c r="D438" s="1" t="s">
        <v>66</v>
      </c>
      <c r="E438" s="11">
        <f t="shared" si="2"/>
        <v>184.55</v>
      </c>
      <c r="F438" s="11">
        <f t="shared" si="3"/>
        <v>3.025409836</v>
      </c>
      <c r="G438" s="1">
        <v>61.0</v>
      </c>
      <c r="H438" s="1">
        <v>6.0</v>
      </c>
      <c r="I438" s="1">
        <v>18.0</v>
      </c>
      <c r="J438" s="1">
        <v>24.0</v>
      </c>
      <c r="K438" s="1">
        <v>78.0</v>
      </c>
      <c r="L438" s="1">
        <v>2.0</v>
      </c>
      <c r="M438" s="1">
        <v>9.0</v>
      </c>
      <c r="N438" s="1">
        <v>0.0</v>
      </c>
      <c r="O438" s="1">
        <v>0.0</v>
      </c>
      <c r="P438" s="1">
        <v>63.0</v>
      </c>
      <c r="Q438" s="1">
        <v>85.0</v>
      </c>
      <c r="V438" s="2">
        <f>VLOOKUP(B438,'202324'!B:C,2,FALSE)-A438</f>
        <v>-4</v>
      </c>
    </row>
    <row r="439">
      <c r="A439" s="1">
        <f t="shared" si="1"/>
        <v>437</v>
      </c>
      <c r="B439" s="1" t="s">
        <v>1497</v>
      </c>
      <c r="C439" s="1" t="s">
        <v>1040</v>
      </c>
      <c r="D439" s="1" t="s">
        <v>66</v>
      </c>
      <c r="E439" s="11">
        <f t="shared" si="2"/>
        <v>183.4</v>
      </c>
      <c r="F439" s="11">
        <f t="shared" si="3"/>
        <v>2.413157895</v>
      </c>
      <c r="G439" s="1">
        <v>76.0</v>
      </c>
      <c r="H439" s="1">
        <v>3.0</v>
      </c>
      <c r="I439" s="1">
        <v>14.0</v>
      </c>
      <c r="J439" s="1">
        <v>17.0</v>
      </c>
      <c r="K439" s="1">
        <v>73.0</v>
      </c>
      <c r="L439" s="1">
        <v>0.0</v>
      </c>
      <c r="M439" s="1">
        <v>0.0</v>
      </c>
      <c r="N439" s="1">
        <v>0.0</v>
      </c>
      <c r="O439" s="1">
        <v>0.0</v>
      </c>
      <c r="P439" s="1">
        <v>114.0</v>
      </c>
      <c r="Q439" s="1">
        <v>103.0</v>
      </c>
      <c r="V439" s="2">
        <f>VLOOKUP(B439,'202324'!B:C,2,FALSE)-A439</f>
        <v>8</v>
      </c>
    </row>
    <row r="440">
      <c r="A440" s="1">
        <f t="shared" si="1"/>
        <v>438</v>
      </c>
      <c r="B440" s="1" t="s">
        <v>1498</v>
      </c>
      <c r="C440" s="1" t="s">
        <v>1087</v>
      </c>
      <c r="D440" s="1" t="s">
        <v>28</v>
      </c>
      <c r="E440" s="11">
        <f t="shared" si="2"/>
        <v>183.3</v>
      </c>
      <c r="F440" s="11">
        <f t="shared" si="3"/>
        <v>2.477027027</v>
      </c>
      <c r="G440" s="1">
        <v>74.0</v>
      </c>
      <c r="H440" s="1">
        <v>10.0</v>
      </c>
      <c r="I440" s="1">
        <v>18.0</v>
      </c>
      <c r="J440" s="1">
        <v>28.0</v>
      </c>
      <c r="K440" s="1">
        <v>128.0</v>
      </c>
      <c r="L440" s="1">
        <v>2.0</v>
      </c>
      <c r="M440" s="1">
        <v>5.0</v>
      </c>
      <c r="N440" s="1">
        <v>0.0</v>
      </c>
      <c r="O440" s="1">
        <v>0.0</v>
      </c>
      <c r="P440" s="1">
        <v>28.0</v>
      </c>
      <c r="Q440" s="1">
        <v>21.0</v>
      </c>
      <c r="V440" s="2">
        <f>VLOOKUP(B440,'202324'!B:C,2,FALSE)-A440</f>
        <v>-13</v>
      </c>
    </row>
    <row r="441">
      <c r="A441" s="1">
        <f t="shared" si="1"/>
        <v>439</v>
      </c>
      <c r="B441" s="1" t="s">
        <v>1499</v>
      </c>
      <c r="C441" s="1" t="s">
        <v>1116</v>
      </c>
      <c r="D441" s="1" t="s">
        <v>28</v>
      </c>
      <c r="E441" s="11">
        <f t="shared" si="2"/>
        <v>182.7</v>
      </c>
      <c r="F441" s="11">
        <f t="shared" si="3"/>
        <v>2.28375</v>
      </c>
      <c r="G441" s="1">
        <v>80.0</v>
      </c>
      <c r="H441" s="1">
        <v>11.0</v>
      </c>
      <c r="I441" s="1">
        <v>7.0</v>
      </c>
      <c r="J441" s="1">
        <v>18.0</v>
      </c>
      <c r="K441" s="1">
        <v>94.0</v>
      </c>
      <c r="L441" s="1">
        <v>0.0</v>
      </c>
      <c r="M441" s="1">
        <v>1.0</v>
      </c>
      <c r="N441" s="1">
        <v>0.0</v>
      </c>
      <c r="O441" s="1">
        <v>0.0</v>
      </c>
      <c r="P441" s="1">
        <v>122.0</v>
      </c>
      <c r="Q441" s="1">
        <v>45.0</v>
      </c>
      <c r="V441" s="2">
        <f>VLOOKUP(B441,'202324'!B:C,2,FALSE)-A441</f>
        <v>11</v>
      </c>
    </row>
    <row r="442">
      <c r="A442" s="1">
        <f t="shared" si="1"/>
        <v>440</v>
      </c>
      <c r="B442" s="1" t="s">
        <v>1500</v>
      </c>
      <c r="C442" s="1" t="s">
        <v>1030</v>
      </c>
      <c r="D442" s="1" t="s">
        <v>36</v>
      </c>
      <c r="E442" s="11">
        <f t="shared" si="2"/>
        <v>182.65</v>
      </c>
      <c r="F442" s="11">
        <f t="shared" si="3"/>
        <v>3.204385965</v>
      </c>
      <c r="G442" s="1">
        <v>57.0</v>
      </c>
      <c r="H442" s="1">
        <v>13.0</v>
      </c>
      <c r="I442" s="1">
        <v>12.0</v>
      </c>
      <c r="J442" s="1">
        <v>25.0</v>
      </c>
      <c r="K442" s="1">
        <v>85.0</v>
      </c>
      <c r="L442" s="1">
        <v>0.0</v>
      </c>
      <c r="M442" s="1">
        <v>0.0</v>
      </c>
      <c r="N442" s="1">
        <v>3.0</v>
      </c>
      <c r="O442" s="1">
        <v>0.0</v>
      </c>
      <c r="P442" s="1">
        <v>59.0</v>
      </c>
      <c r="Q442" s="1">
        <v>38.0</v>
      </c>
      <c r="V442" s="2">
        <f>VLOOKUP(B442,'202324'!B:C,2,FALSE)-A442</f>
        <v>-5</v>
      </c>
    </row>
    <row r="443">
      <c r="A443" s="1">
        <f t="shared" si="1"/>
        <v>441</v>
      </c>
      <c r="B443" s="1" t="s">
        <v>1501</v>
      </c>
      <c r="C443" s="1" t="s">
        <v>1175</v>
      </c>
      <c r="D443" s="1" t="s">
        <v>66</v>
      </c>
      <c r="E443" s="11">
        <f t="shared" si="2"/>
        <v>182.15</v>
      </c>
      <c r="F443" s="11">
        <f t="shared" si="3"/>
        <v>2.639855072</v>
      </c>
      <c r="G443" s="1">
        <v>69.0</v>
      </c>
      <c r="H443" s="1">
        <v>5.0</v>
      </c>
      <c r="I443" s="1">
        <v>14.0</v>
      </c>
      <c r="J443" s="1">
        <v>19.0</v>
      </c>
      <c r="K443" s="1">
        <v>69.0</v>
      </c>
      <c r="L443" s="1">
        <v>0.0</v>
      </c>
      <c r="M443" s="1">
        <v>0.0</v>
      </c>
      <c r="N443" s="1">
        <v>0.0</v>
      </c>
      <c r="O443" s="1">
        <v>2.0</v>
      </c>
      <c r="P443" s="1">
        <v>69.0</v>
      </c>
      <c r="Q443" s="1">
        <v>110.0</v>
      </c>
      <c r="V443" s="2">
        <f>VLOOKUP(B443,'202324'!B:C,2,FALSE)-A443</f>
        <v>-4</v>
      </c>
    </row>
    <row r="444">
      <c r="A444" s="1">
        <f t="shared" si="1"/>
        <v>442</v>
      </c>
      <c r="B444" s="1" t="s">
        <v>1502</v>
      </c>
      <c r="C444" s="1" t="s">
        <v>1065</v>
      </c>
      <c r="D444" s="1" t="s">
        <v>31</v>
      </c>
      <c r="E444" s="11">
        <f t="shared" si="2"/>
        <v>181.8</v>
      </c>
      <c r="F444" s="11">
        <f t="shared" si="3"/>
        <v>3.305454545</v>
      </c>
      <c r="G444" s="1">
        <v>55.0</v>
      </c>
      <c r="H444" s="1">
        <v>12.0</v>
      </c>
      <c r="I444" s="1">
        <v>17.0</v>
      </c>
      <c r="J444" s="1">
        <v>29.0</v>
      </c>
      <c r="K444" s="1">
        <v>109.0</v>
      </c>
      <c r="L444" s="1">
        <v>4.0</v>
      </c>
      <c r="M444" s="1">
        <v>5.0</v>
      </c>
      <c r="N444" s="1">
        <v>0.0</v>
      </c>
      <c r="O444" s="1">
        <v>0.0</v>
      </c>
      <c r="P444" s="1">
        <v>28.0</v>
      </c>
      <c r="Q444" s="1">
        <v>25.0</v>
      </c>
      <c r="V444" s="2">
        <f>VLOOKUP(B444,'202324'!B:C,2,FALSE)-A444</f>
        <v>-12</v>
      </c>
    </row>
    <row r="445">
      <c r="A445" s="1">
        <f t="shared" si="1"/>
        <v>442</v>
      </c>
      <c r="B445" s="1" t="s">
        <v>1503</v>
      </c>
      <c r="C445" s="1" t="s">
        <v>1111</v>
      </c>
      <c r="D445" s="1" t="s">
        <v>31</v>
      </c>
      <c r="E445" s="11">
        <f t="shared" si="2"/>
        <v>181.8</v>
      </c>
      <c r="F445" s="11">
        <f t="shared" si="3"/>
        <v>2.424</v>
      </c>
      <c r="G445" s="1">
        <v>75.0</v>
      </c>
      <c r="H445" s="1">
        <v>5.0</v>
      </c>
      <c r="I445" s="1">
        <v>9.0</v>
      </c>
      <c r="J445" s="1">
        <v>14.0</v>
      </c>
      <c r="K445" s="1">
        <v>72.0</v>
      </c>
      <c r="L445" s="1">
        <v>0.0</v>
      </c>
      <c r="M445" s="1">
        <v>0.0</v>
      </c>
      <c r="N445" s="1">
        <v>0.0</v>
      </c>
      <c r="O445" s="1">
        <v>0.0</v>
      </c>
      <c r="P445" s="1">
        <v>228.0</v>
      </c>
      <c r="Q445" s="1">
        <v>33.0</v>
      </c>
      <c r="V445" s="2">
        <f>VLOOKUP(B445,'202324'!B:C,2,FALSE)-A445</f>
        <v>37</v>
      </c>
    </row>
    <row r="446">
      <c r="A446" s="1">
        <f t="shared" si="1"/>
        <v>444</v>
      </c>
      <c r="B446" s="1" t="s">
        <v>1504</v>
      </c>
      <c r="C446" s="1" t="s">
        <v>1146</v>
      </c>
      <c r="D446" s="1" t="s">
        <v>66</v>
      </c>
      <c r="E446" s="11">
        <f t="shared" si="2"/>
        <v>181.6</v>
      </c>
      <c r="F446" s="11">
        <f t="shared" si="3"/>
        <v>2.594285714</v>
      </c>
      <c r="G446" s="1">
        <v>70.0</v>
      </c>
      <c r="H446" s="1">
        <v>7.0</v>
      </c>
      <c r="I446" s="1">
        <v>19.0</v>
      </c>
      <c r="J446" s="1">
        <v>26.0</v>
      </c>
      <c r="K446" s="1">
        <v>100.0</v>
      </c>
      <c r="L446" s="1">
        <v>0.0</v>
      </c>
      <c r="M446" s="1">
        <v>10.0</v>
      </c>
      <c r="N446" s="1">
        <v>0.0</v>
      </c>
      <c r="O446" s="1">
        <v>0.0</v>
      </c>
      <c r="P446" s="1">
        <v>26.0</v>
      </c>
      <c r="Q446" s="1">
        <v>68.0</v>
      </c>
      <c r="V446" s="2">
        <f>VLOOKUP(B446,'202324'!B:C,2,FALSE)-A446</f>
        <v>-14</v>
      </c>
    </row>
    <row r="447">
      <c r="A447" s="1">
        <f t="shared" si="1"/>
        <v>445</v>
      </c>
      <c r="B447" s="1" t="s">
        <v>1505</v>
      </c>
      <c r="C447" s="1" t="s">
        <v>1146</v>
      </c>
      <c r="D447" s="1" t="s">
        <v>28</v>
      </c>
      <c r="E447" s="11">
        <f t="shared" si="2"/>
        <v>181.45</v>
      </c>
      <c r="F447" s="11">
        <f t="shared" si="3"/>
        <v>2.749242424</v>
      </c>
      <c r="G447" s="1">
        <v>66.0</v>
      </c>
      <c r="H447" s="1">
        <v>7.0</v>
      </c>
      <c r="I447" s="1">
        <v>9.0</v>
      </c>
      <c r="J447" s="1">
        <v>16.0</v>
      </c>
      <c r="K447" s="1">
        <v>73.0</v>
      </c>
      <c r="L447" s="1">
        <v>0.0</v>
      </c>
      <c r="M447" s="1">
        <v>0.0</v>
      </c>
      <c r="N447" s="1">
        <v>0.0</v>
      </c>
      <c r="O447" s="1">
        <v>2.0</v>
      </c>
      <c r="P447" s="1">
        <v>147.0</v>
      </c>
      <c r="Q447" s="1">
        <v>62.0</v>
      </c>
      <c r="V447" s="2">
        <f>VLOOKUP(B447,'202324'!B:C,2,FALSE)-A447</f>
        <v>15</v>
      </c>
    </row>
    <row r="448">
      <c r="A448" s="1">
        <f t="shared" si="1"/>
        <v>446</v>
      </c>
      <c r="B448" s="1" t="s">
        <v>1506</v>
      </c>
      <c r="C448" s="1" t="s">
        <v>1052</v>
      </c>
      <c r="D448" s="1" t="s">
        <v>66</v>
      </c>
      <c r="E448" s="11">
        <f t="shared" si="2"/>
        <v>181.2</v>
      </c>
      <c r="F448" s="11">
        <f t="shared" si="3"/>
        <v>2.588571429</v>
      </c>
      <c r="G448" s="1">
        <v>70.0</v>
      </c>
      <c r="H448" s="1">
        <v>3.0</v>
      </c>
      <c r="I448" s="1">
        <v>11.0</v>
      </c>
      <c r="J448" s="1">
        <v>14.0</v>
      </c>
      <c r="K448" s="1">
        <v>77.0</v>
      </c>
      <c r="L448" s="1">
        <v>0.0</v>
      </c>
      <c r="M448" s="1">
        <v>0.0</v>
      </c>
      <c r="N448" s="1">
        <v>0.0</v>
      </c>
      <c r="O448" s="1">
        <v>0.0</v>
      </c>
      <c r="P448" s="1">
        <v>72.0</v>
      </c>
      <c r="Q448" s="1">
        <v>142.0</v>
      </c>
      <c r="V448" s="2">
        <f>VLOOKUP(B448,'202324'!B:C,2,FALSE)-A448</f>
        <v>-4</v>
      </c>
    </row>
    <row r="449">
      <c r="A449" s="1">
        <f t="shared" si="1"/>
        <v>447</v>
      </c>
      <c r="B449" s="1" t="s">
        <v>1507</v>
      </c>
      <c r="C449" s="1" t="s">
        <v>1172</v>
      </c>
      <c r="D449" s="1" t="s">
        <v>66</v>
      </c>
      <c r="E449" s="11">
        <f t="shared" si="2"/>
        <v>180.1</v>
      </c>
      <c r="F449" s="11">
        <f t="shared" si="3"/>
        <v>2.369736842</v>
      </c>
      <c r="G449" s="1">
        <v>76.0</v>
      </c>
      <c r="H449" s="1">
        <v>2.0</v>
      </c>
      <c r="I449" s="1">
        <v>14.0</v>
      </c>
      <c r="J449" s="1">
        <v>16.0</v>
      </c>
      <c r="K449" s="1">
        <v>71.0</v>
      </c>
      <c r="L449" s="1">
        <v>0.0</v>
      </c>
      <c r="M449" s="1">
        <v>2.0</v>
      </c>
      <c r="N449" s="1">
        <v>0.0</v>
      </c>
      <c r="O449" s="1">
        <v>0.0</v>
      </c>
      <c r="P449" s="1">
        <v>56.0</v>
      </c>
      <c r="Q449" s="1">
        <v>148.0</v>
      </c>
      <c r="V449" s="2">
        <f>VLOOKUP(B449,'202324'!B:C,2,FALSE)-A449</f>
        <v>-6</v>
      </c>
    </row>
    <row r="450">
      <c r="A450" s="1">
        <f t="shared" si="1"/>
        <v>448</v>
      </c>
      <c r="B450" s="1" t="s">
        <v>1508</v>
      </c>
      <c r="C450" s="1" t="s">
        <v>1032</v>
      </c>
      <c r="D450" s="1" t="s">
        <v>66</v>
      </c>
      <c r="E450" s="11">
        <f t="shared" si="2"/>
        <v>179.6</v>
      </c>
      <c r="F450" s="11">
        <f t="shared" si="3"/>
        <v>2.80625</v>
      </c>
      <c r="G450" s="1">
        <v>64.0</v>
      </c>
      <c r="H450" s="1">
        <v>1.0</v>
      </c>
      <c r="I450" s="1">
        <v>4.0</v>
      </c>
      <c r="J450" s="1">
        <v>5.0</v>
      </c>
      <c r="K450" s="1">
        <v>52.0</v>
      </c>
      <c r="L450" s="1">
        <v>0.0</v>
      </c>
      <c r="M450" s="1">
        <v>0.0</v>
      </c>
      <c r="N450" s="1">
        <v>0.0</v>
      </c>
      <c r="O450" s="1">
        <v>0.0</v>
      </c>
      <c r="P450" s="1">
        <v>246.0</v>
      </c>
      <c r="Q450" s="1">
        <v>102.0</v>
      </c>
      <c r="V450" s="2">
        <f>VLOOKUP(B450,'202324'!B:C,2,FALSE)-A450</f>
        <v>46</v>
      </c>
    </row>
    <row r="451">
      <c r="A451" s="1">
        <f t="shared" si="1"/>
        <v>449</v>
      </c>
      <c r="B451" s="1" t="s">
        <v>1509</v>
      </c>
      <c r="C451" s="1" t="s">
        <v>1044</v>
      </c>
      <c r="D451" s="1" t="s">
        <v>31</v>
      </c>
      <c r="E451" s="11">
        <f t="shared" si="2"/>
        <v>178.65</v>
      </c>
      <c r="F451" s="11">
        <f t="shared" si="3"/>
        <v>4.357317073</v>
      </c>
      <c r="G451" s="1">
        <v>41.0</v>
      </c>
      <c r="H451" s="1">
        <v>9.0</v>
      </c>
      <c r="I451" s="1">
        <v>18.0</v>
      </c>
      <c r="J451" s="1">
        <v>27.0</v>
      </c>
      <c r="K451" s="1">
        <v>110.0</v>
      </c>
      <c r="L451" s="1">
        <v>4.0</v>
      </c>
      <c r="M451" s="1">
        <v>2.0</v>
      </c>
      <c r="N451" s="1">
        <v>0.0</v>
      </c>
      <c r="O451" s="1">
        <v>0.0</v>
      </c>
      <c r="P451" s="1">
        <v>39.0</v>
      </c>
      <c r="Q451" s="1">
        <v>31.0</v>
      </c>
      <c r="V451" s="2">
        <f>VLOOKUP(B451,'202324'!B:C,2,FALSE)-A451</f>
        <v>-9</v>
      </c>
    </row>
    <row r="452">
      <c r="A452" s="1">
        <f t="shared" si="1"/>
        <v>450</v>
      </c>
      <c r="B452" s="1" t="s">
        <v>1510</v>
      </c>
      <c r="C452" s="1" t="s">
        <v>1046</v>
      </c>
      <c r="D452" s="1" t="s">
        <v>66</v>
      </c>
      <c r="E452" s="11">
        <f t="shared" si="2"/>
        <v>178.55</v>
      </c>
      <c r="F452" s="11">
        <f t="shared" si="3"/>
        <v>2.289102564</v>
      </c>
      <c r="G452" s="1">
        <v>78.0</v>
      </c>
      <c r="H452" s="1">
        <v>2.0</v>
      </c>
      <c r="I452" s="1">
        <v>9.0</v>
      </c>
      <c r="J452" s="1">
        <v>11.0</v>
      </c>
      <c r="K452" s="1">
        <v>61.0</v>
      </c>
      <c r="L452" s="1">
        <v>0.0</v>
      </c>
      <c r="M452" s="1">
        <v>0.0</v>
      </c>
      <c r="N452" s="1">
        <v>0.0</v>
      </c>
      <c r="O452" s="1">
        <v>0.0</v>
      </c>
      <c r="P452" s="1">
        <v>83.0</v>
      </c>
      <c r="Q452" s="1">
        <v>166.0</v>
      </c>
      <c r="V452" s="2">
        <f>VLOOKUP(B452,'202324'!B:C,2,FALSE)-A452</f>
        <v>2</v>
      </c>
    </row>
    <row r="453">
      <c r="A453" s="1">
        <f t="shared" si="1"/>
        <v>451</v>
      </c>
      <c r="B453" s="1" t="s">
        <v>1511</v>
      </c>
      <c r="C453" s="1" t="s">
        <v>1087</v>
      </c>
      <c r="D453" s="1" t="s">
        <v>5</v>
      </c>
      <c r="E453" s="11">
        <f t="shared" si="2"/>
        <v>177.9</v>
      </c>
      <c r="F453" s="11">
        <f t="shared" si="3"/>
        <v>6.353571429</v>
      </c>
      <c r="G453" s="1">
        <v>28.0</v>
      </c>
      <c r="R453" s="1">
        <v>14.0</v>
      </c>
      <c r="S453" s="1">
        <v>69.0</v>
      </c>
      <c r="T453" s="1">
        <v>768.0</v>
      </c>
      <c r="U453" s="1">
        <v>3.0</v>
      </c>
      <c r="V453" s="2">
        <f>VLOOKUP(B453,'202324'!B:C,2,FALSE)-A453</f>
        <v>-18</v>
      </c>
    </row>
    <row r="454">
      <c r="A454" s="1">
        <f t="shared" si="1"/>
        <v>452</v>
      </c>
      <c r="B454" s="1" t="s">
        <v>1512</v>
      </c>
      <c r="C454" s="1" t="s">
        <v>1087</v>
      </c>
      <c r="D454" s="1" t="s">
        <v>36</v>
      </c>
      <c r="E454" s="11">
        <f t="shared" si="2"/>
        <v>177.15</v>
      </c>
      <c r="F454" s="11">
        <f t="shared" si="3"/>
        <v>2.362</v>
      </c>
      <c r="G454" s="1">
        <v>75.0</v>
      </c>
      <c r="H454" s="1">
        <v>15.0</v>
      </c>
      <c r="I454" s="1">
        <v>10.0</v>
      </c>
      <c r="J454" s="1">
        <v>25.0</v>
      </c>
      <c r="K454" s="1">
        <v>72.0</v>
      </c>
      <c r="L454" s="1">
        <v>0.0</v>
      </c>
      <c r="M454" s="1">
        <v>0.0</v>
      </c>
      <c r="N454" s="1">
        <v>5.0</v>
      </c>
      <c r="O454" s="1">
        <v>2.0</v>
      </c>
      <c r="P454" s="1">
        <v>19.0</v>
      </c>
      <c r="Q454" s="1">
        <v>46.0</v>
      </c>
      <c r="V454" s="2">
        <f>VLOOKUP(B454,'202324'!B:C,2,FALSE)-A454</f>
        <v>-15</v>
      </c>
    </row>
    <row r="455">
      <c r="A455" s="1">
        <f t="shared" si="1"/>
        <v>453</v>
      </c>
      <c r="B455" s="1" t="s">
        <v>1513</v>
      </c>
      <c r="C455" s="1" t="s">
        <v>1044</v>
      </c>
      <c r="D455" s="1" t="s">
        <v>66</v>
      </c>
      <c r="E455" s="11">
        <f t="shared" si="2"/>
        <v>176.6</v>
      </c>
      <c r="F455" s="11">
        <f t="shared" si="3"/>
        <v>2.323684211</v>
      </c>
      <c r="G455" s="1">
        <v>76.0</v>
      </c>
      <c r="H455" s="1">
        <v>3.0</v>
      </c>
      <c r="I455" s="1">
        <v>17.0</v>
      </c>
      <c r="J455" s="1">
        <v>20.0</v>
      </c>
      <c r="K455" s="1">
        <v>77.0</v>
      </c>
      <c r="L455" s="1">
        <v>0.0</v>
      </c>
      <c r="M455" s="1">
        <v>0.0</v>
      </c>
      <c r="N455" s="1">
        <v>0.0</v>
      </c>
      <c r="O455" s="1">
        <v>1.0</v>
      </c>
      <c r="P455" s="1">
        <v>46.0</v>
      </c>
      <c r="Q455" s="1">
        <v>111.0</v>
      </c>
      <c r="V455" s="2">
        <f>VLOOKUP(B455,'202324'!B:C,2,FALSE)-A455</f>
        <v>-8</v>
      </c>
    </row>
    <row r="456">
      <c r="A456" s="1">
        <f t="shared" si="1"/>
        <v>454</v>
      </c>
      <c r="B456" s="1" t="s">
        <v>1514</v>
      </c>
      <c r="C456" s="1" t="s">
        <v>1040</v>
      </c>
      <c r="D456" s="1" t="s">
        <v>28</v>
      </c>
      <c r="E456" s="11">
        <f t="shared" si="2"/>
        <v>176.3</v>
      </c>
      <c r="F456" s="11">
        <f t="shared" si="3"/>
        <v>2.20375</v>
      </c>
      <c r="G456" s="1">
        <v>80.0</v>
      </c>
      <c r="H456" s="1">
        <v>4.0</v>
      </c>
      <c r="I456" s="1">
        <v>8.0</v>
      </c>
      <c r="J456" s="1">
        <v>12.0</v>
      </c>
      <c r="K456" s="1">
        <v>61.0</v>
      </c>
      <c r="L456" s="1">
        <v>0.0</v>
      </c>
      <c r="M456" s="1">
        <v>0.0</v>
      </c>
      <c r="N456" s="1">
        <v>1.0</v>
      </c>
      <c r="O456" s="1">
        <v>0.0</v>
      </c>
      <c r="P456" s="1">
        <v>168.0</v>
      </c>
      <c r="Q456" s="1">
        <v>86.0</v>
      </c>
      <c r="V456" s="2">
        <f>VLOOKUP(B456,'202324'!B:C,2,FALSE)-A456</f>
        <v>21</v>
      </c>
    </row>
    <row r="457">
      <c r="A457" s="1">
        <f t="shared" si="1"/>
        <v>455</v>
      </c>
      <c r="B457" s="1" t="s">
        <v>1515</v>
      </c>
      <c r="C457" s="1" t="s">
        <v>1032</v>
      </c>
      <c r="D457" s="1" t="s">
        <v>31</v>
      </c>
      <c r="E457" s="11">
        <f t="shared" si="2"/>
        <v>176.05</v>
      </c>
      <c r="F457" s="11">
        <f t="shared" si="3"/>
        <v>2.379054054</v>
      </c>
      <c r="G457" s="1">
        <v>74.0</v>
      </c>
      <c r="H457" s="1">
        <v>11.0</v>
      </c>
      <c r="I457" s="1">
        <v>8.0</v>
      </c>
      <c r="J457" s="1">
        <v>19.0</v>
      </c>
      <c r="K457" s="1">
        <v>77.0</v>
      </c>
      <c r="L457" s="1">
        <v>0.0</v>
      </c>
      <c r="M457" s="1">
        <v>0.0</v>
      </c>
      <c r="N457" s="1">
        <v>1.0</v>
      </c>
      <c r="O457" s="1">
        <v>0.0</v>
      </c>
      <c r="P457" s="1">
        <v>123.0</v>
      </c>
      <c r="Q457" s="1">
        <v>38.0</v>
      </c>
      <c r="V457" s="2">
        <f>VLOOKUP(B457,'202324'!B:C,2,FALSE)-A457</f>
        <v>9</v>
      </c>
    </row>
    <row r="458">
      <c r="A458" s="1">
        <f t="shared" si="1"/>
        <v>456</v>
      </c>
      <c r="B458" s="1" t="s">
        <v>1516</v>
      </c>
      <c r="C458" s="1" t="s">
        <v>1073</v>
      </c>
      <c r="D458" s="1" t="s">
        <v>66</v>
      </c>
      <c r="E458" s="11">
        <f t="shared" si="2"/>
        <v>175.95</v>
      </c>
      <c r="F458" s="11">
        <f t="shared" si="3"/>
        <v>2.44375</v>
      </c>
      <c r="G458" s="1">
        <v>72.0</v>
      </c>
      <c r="H458" s="1">
        <v>8.0</v>
      </c>
      <c r="I458" s="1">
        <v>14.0</v>
      </c>
      <c r="J458" s="1">
        <v>22.0</v>
      </c>
      <c r="K458" s="1">
        <v>90.0</v>
      </c>
      <c r="L458" s="1">
        <v>0.0</v>
      </c>
      <c r="M458" s="1">
        <v>0.0</v>
      </c>
      <c r="N458" s="1">
        <v>0.0</v>
      </c>
      <c r="O458" s="1">
        <v>0.0</v>
      </c>
      <c r="P458" s="1">
        <v>57.0</v>
      </c>
      <c r="Q458" s="1">
        <v>66.0</v>
      </c>
      <c r="V458" s="2">
        <f>VLOOKUP(B458,'202324'!B:C,2,FALSE)-A458</f>
        <v>-4</v>
      </c>
    </row>
    <row r="459">
      <c r="A459" s="1">
        <f t="shared" si="1"/>
        <v>457</v>
      </c>
      <c r="B459" s="1" t="s">
        <v>1517</v>
      </c>
      <c r="C459" s="1" t="s">
        <v>1044</v>
      </c>
      <c r="D459" s="1" t="s">
        <v>66</v>
      </c>
      <c r="E459" s="11">
        <f t="shared" si="2"/>
        <v>175.2</v>
      </c>
      <c r="F459" s="11">
        <f t="shared" si="3"/>
        <v>2.433333333</v>
      </c>
      <c r="G459" s="1">
        <v>72.0</v>
      </c>
      <c r="H459" s="1">
        <v>4.0</v>
      </c>
      <c r="I459" s="1">
        <v>10.0</v>
      </c>
      <c r="J459" s="1">
        <v>14.0</v>
      </c>
      <c r="K459" s="1">
        <v>51.0</v>
      </c>
      <c r="L459" s="1">
        <v>0.0</v>
      </c>
      <c r="M459" s="1">
        <v>0.0</v>
      </c>
      <c r="N459" s="1">
        <v>0.0</v>
      </c>
      <c r="O459" s="1">
        <v>1.0</v>
      </c>
      <c r="P459" s="1">
        <v>62.0</v>
      </c>
      <c r="Q459" s="1">
        <v>156.0</v>
      </c>
      <c r="V459" s="2">
        <f>VLOOKUP(B459,'202324'!B:C,2,FALSE)-A459</f>
        <v>-2</v>
      </c>
    </row>
    <row r="460">
      <c r="A460" s="1">
        <f t="shared" si="1"/>
        <v>458</v>
      </c>
      <c r="B460" s="1" t="s">
        <v>1518</v>
      </c>
      <c r="C460" s="1" t="s">
        <v>1111</v>
      </c>
      <c r="D460" s="1" t="s">
        <v>66</v>
      </c>
      <c r="E460" s="11">
        <f t="shared" si="2"/>
        <v>174.75</v>
      </c>
      <c r="F460" s="11">
        <f t="shared" si="3"/>
        <v>2.688461538</v>
      </c>
      <c r="G460" s="1">
        <v>65.0</v>
      </c>
      <c r="H460" s="1">
        <v>5.0</v>
      </c>
      <c r="I460" s="1">
        <v>16.0</v>
      </c>
      <c r="J460" s="1">
        <v>21.0</v>
      </c>
      <c r="K460" s="1">
        <v>76.0</v>
      </c>
      <c r="L460" s="1">
        <v>0.0</v>
      </c>
      <c r="M460" s="1">
        <v>0.0</v>
      </c>
      <c r="N460" s="1">
        <v>0.0</v>
      </c>
      <c r="O460" s="1">
        <v>0.0</v>
      </c>
      <c r="P460" s="1">
        <v>105.0</v>
      </c>
      <c r="Q460" s="1">
        <v>59.0</v>
      </c>
      <c r="V460" s="2">
        <f>VLOOKUP(B460,'202324'!B:C,2,FALSE)-A460</f>
        <v>5</v>
      </c>
    </row>
    <row r="461">
      <c r="A461" s="1">
        <f t="shared" si="1"/>
        <v>459</v>
      </c>
      <c r="B461" s="1" t="s">
        <v>1519</v>
      </c>
      <c r="C461" s="1" t="s">
        <v>1116</v>
      </c>
      <c r="D461" s="1" t="s">
        <v>66</v>
      </c>
      <c r="E461" s="11">
        <f t="shared" si="2"/>
        <v>174.25</v>
      </c>
      <c r="F461" s="11">
        <f t="shared" si="3"/>
        <v>2.233974359</v>
      </c>
      <c r="G461" s="1">
        <v>78.0</v>
      </c>
      <c r="H461" s="1">
        <v>1.0</v>
      </c>
      <c r="I461" s="1">
        <v>17.0</v>
      </c>
      <c r="J461" s="1">
        <v>18.0</v>
      </c>
      <c r="K461" s="1">
        <v>77.0</v>
      </c>
      <c r="L461" s="1">
        <v>0.0</v>
      </c>
      <c r="M461" s="1">
        <v>1.0</v>
      </c>
      <c r="N461" s="1">
        <v>0.0</v>
      </c>
      <c r="O461" s="1">
        <v>1.0</v>
      </c>
      <c r="P461" s="1">
        <v>65.0</v>
      </c>
      <c r="Q461" s="1">
        <v>111.0</v>
      </c>
      <c r="V461" s="2">
        <f>VLOOKUP(B461,'202324'!B:C,2,FALSE)-A461</f>
        <v>-3</v>
      </c>
    </row>
    <row r="462">
      <c r="A462" s="1">
        <f t="shared" si="1"/>
        <v>460</v>
      </c>
      <c r="B462" s="1" t="s">
        <v>1520</v>
      </c>
      <c r="C462" s="1" t="s">
        <v>1054</v>
      </c>
      <c r="D462" s="1" t="s">
        <v>5</v>
      </c>
      <c r="E462" s="11">
        <f t="shared" si="2"/>
        <v>174</v>
      </c>
      <c r="F462" s="11">
        <f t="shared" si="3"/>
        <v>4.35</v>
      </c>
      <c r="G462" s="1">
        <v>40.0</v>
      </c>
      <c r="R462" s="1">
        <v>17.0</v>
      </c>
      <c r="S462" s="1">
        <v>111.0</v>
      </c>
      <c r="T462" s="1">
        <v>945.0</v>
      </c>
      <c r="U462" s="1">
        <v>2.0</v>
      </c>
      <c r="V462" s="2">
        <f>VLOOKUP(B462,'202324'!B:C,2,FALSE)-A462</f>
        <v>-18</v>
      </c>
    </row>
    <row r="463">
      <c r="A463" s="1">
        <f t="shared" si="1"/>
        <v>460</v>
      </c>
      <c r="B463" s="1" t="s">
        <v>1521</v>
      </c>
      <c r="C463" s="1" t="s">
        <v>1073</v>
      </c>
      <c r="D463" s="1" t="s">
        <v>31</v>
      </c>
      <c r="E463" s="11">
        <f t="shared" si="2"/>
        <v>174</v>
      </c>
      <c r="F463" s="11">
        <f t="shared" si="3"/>
        <v>2.351351351</v>
      </c>
      <c r="G463" s="1">
        <v>74.0</v>
      </c>
      <c r="H463" s="1">
        <v>8.0</v>
      </c>
      <c r="I463" s="1">
        <v>19.0</v>
      </c>
      <c r="J463" s="1">
        <v>27.0</v>
      </c>
      <c r="K463" s="1">
        <v>106.0</v>
      </c>
      <c r="L463" s="1">
        <v>2.0</v>
      </c>
      <c r="M463" s="1">
        <v>5.0</v>
      </c>
      <c r="N463" s="1">
        <v>0.0</v>
      </c>
      <c r="O463" s="1">
        <v>0.0</v>
      </c>
      <c r="P463" s="1">
        <v>30.0</v>
      </c>
      <c r="Q463" s="1">
        <v>35.0</v>
      </c>
      <c r="V463" s="2">
        <f>VLOOKUP(B463,'202324'!B:C,2,FALSE)-A463</f>
        <v>-11</v>
      </c>
    </row>
    <row r="464">
      <c r="A464" s="1">
        <f t="shared" si="1"/>
        <v>462</v>
      </c>
      <c r="B464" s="1" t="s">
        <v>1522</v>
      </c>
      <c r="C464" s="1" t="s">
        <v>1032</v>
      </c>
      <c r="D464" s="1" t="s">
        <v>28</v>
      </c>
      <c r="E464" s="11">
        <f t="shared" si="2"/>
        <v>173.9</v>
      </c>
      <c r="F464" s="11">
        <f t="shared" si="3"/>
        <v>3.105357143</v>
      </c>
      <c r="G464" s="1">
        <v>56.0</v>
      </c>
      <c r="H464" s="1">
        <v>14.0</v>
      </c>
      <c r="I464" s="1">
        <v>13.0</v>
      </c>
      <c r="J464" s="1">
        <v>27.0</v>
      </c>
      <c r="K464" s="1">
        <v>96.0</v>
      </c>
      <c r="L464" s="1">
        <v>1.0</v>
      </c>
      <c r="M464" s="1">
        <v>2.0</v>
      </c>
      <c r="N464" s="1">
        <v>0.0</v>
      </c>
      <c r="O464" s="1">
        <v>0.0</v>
      </c>
      <c r="P464" s="1">
        <v>34.0</v>
      </c>
      <c r="Q464" s="1">
        <v>24.0</v>
      </c>
      <c r="V464" s="2">
        <f>VLOOKUP(B464,'202324'!B:C,2,FALSE)-A464</f>
        <v>-12</v>
      </c>
    </row>
    <row r="465">
      <c r="A465" s="1">
        <f t="shared" si="1"/>
        <v>463</v>
      </c>
      <c r="B465" s="1" t="s">
        <v>1523</v>
      </c>
      <c r="C465" s="1" t="s">
        <v>1076</v>
      </c>
      <c r="D465" s="1" t="s">
        <v>66</v>
      </c>
      <c r="E465" s="11">
        <f t="shared" si="2"/>
        <v>173.6</v>
      </c>
      <c r="F465" s="11">
        <f t="shared" si="3"/>
        <v>2.755555556</v>
      </c>
      <c r="G465" s="1">
        <v>63.0</v>
      </c>
      <c r="H465" s="1">
        <v>5.0</v>
      </c>
      <c r="I465" s="1">
        <v>10.0</v>
      </c>
      <c r="J465" s="1">
        <v>15.0</v>
      </c>
      <c r="K465" s="1">
        <v>60.0</v>
      </c>
      <c r="L465" s="1">
        <v>0.0</v>
      </c>
      <c r="M465" s="1">
        <v>0.0</v>
      </c>
      <c r="N465" s="1">
        <v>0.0</v>
      </c>
      <c r="O465" s="1">
        <v>0.0</v>
      </c>
      <c r="P465" s="1">
        <v>116.0</v>
      </c>
      <c r="Q465" s="1">
        <v>101.0</v>
      </c>
      <c r="V465" s="2">
        <f>VLOOKUP(B465,'202324'!B:C,2,FALSE)-A465</f>
        <v>6</v>
      </c>
    </row>
    <row r="466">
      <c r="A466" s="1">
        <f t="shared" si="1"/>
        <v>464</v>
      </c>
      <c r="B466" s="1" t="s">
        <v>1524</v>
      </c>
      <c r="C466" s="1" t="s">
        <v>1120</v>
      </c>
      <c r="D466" s="1" t="s">
        <v>36</v>
      </c>
      <c r="E466" s="11">
        <f t="shared" si="2"/>
        <v>173.45</v>
      </c>
      <c r="F466" s="11">
        <f t="shared" si="3"/>
        <v>2.19556962</v>
      </c>
      <c r="G466" s="1">
        <v>79.0</v>
      </c>
      <c r="H466" s="1">
        <v>5.0</v>
      </c>
      <c r="I466" s="1">
        <v>14.0</v>
      </c>
      <c r="J466" s="1">
        <v>19.0</v>
      </c>
      <c r="K466" s="1">
        <v>86.0</v>
      </c>
      <c r="L466" s="1">
        <v>0.0</v>
      </c>
      <c r="M466" s="1">
        <v>0.0</v>
      </c>
      <c r="N466" s="1">
        <v>1.0</v>
      </c>
      <c r="O466" s="1">
        <v>0.0</v>
      </c>
      <c r="P466" s="1">
        <v>137.0</v>
      </c>
      <c r="Q466" s="1">
        <v>32.0</v>
      </c>
      <c r="V466" s="2">
        <f>VLOOKUP(B466,'202324'!B:C,2,FALSE)-A466</f>
        <v>8</v>
      </c>
    </row>
    <row r="467">
      <c r="A467" s="1">
        <f t="shared" si="1"/>
        <v>465</v>
      </c>
      <c r="B467" s="1" t="s">
        <v>1525</v>
      </c>
      <c r="C467" s="1" t="s">
        <v>1048</v>
      </c>
      <c r="D467" s="1" t="s">
        <v>31</v>
      </c>
      <c r="E467" s="11">
        <f t="shared" si="2"/>
        <v>172.65</v>
      </c>
      <c r="F467" s="11">
        <f t="shared" si="3"/>
        <v>2.502173913</v>
      </c>
      <c r="G467" s="1">
        <v>69.0</v>
      </c>
      <c r="H467" s="1">
        <v>7.0</v>
      </c>
      <c r="I467" s="1">
        <v>8.0</v>
      </c>
      <c r="J467" s="1">
        <v>15.0</v>
      </c>
      <c r="K467" s="1">
        <v>111.0</v>
      </c>
      <c r="L467" s="1">
        <v>0.0</v>
      </c>
      <c r="M467" s="1">
        <v>0.0</v>
      </c>
      <c r="N467" s="1">
        <v>0.0</v>
      </c>
      <c r="O467" s="1">
        <v>0.0</v>
      </c>
      <c r="P467" s="1">
        <v>129.0</v>
      </c>
      <c r="Q467" s="1">
        <v>33.0</v>
      </c>
      <c r="V467" s="2">
        <f>VLOOKUP(B467,'202324'!B:C,2,FALSE)-A467</f>
        <v>7</v>
      </c>
    </row>
    <row r="468">
      <c r="A468" s="1">
        <f t="shared" si="1"/>
        <v>466</v>
      </c>
      <c r="B468" s="1" t="s">
        <v>1526</v>
      </c>
      <c r="C468" s="1" t="s">
        <v>1042</v>
      </c>
      <c r="D468" s="1" t="s">
        <v>66</v>
      </c>
      <c r="E468" s="11">
        <f t="shared" si="2"/>
        <v>171.7</v>
      </c>
      <c r="F468" s="11">
        <f t="shared" si="3"/>
        <v>2.725396825</v>
      </c>
      <c r="G468" s="1">
        <v>63.0</v>
      </c>
      <c r="H468" s="1">
        <v>1.0</v>
      </c>
      <c r="I468" s="1">
        <v>6.0</v>
      </c>
      <c r="J468" s="1">
        <v>7.0</v>
      </c>
      <c r="K468" s="1">
        <v>81.0</v>
      </c>
      <c r="L468" s="1">
        <v>0.0</v>
      </c>
      <c r="M468" s="1">
        <v>0.0</v>
      </c>
      <c r="N468" s="1">
        <v>0.0</v>
      </c>
      <c r="O468" s="1">
        <v>0.0</v>
      </c>
      <c r="P468" s="1">
        <v>202.0</v>
      </c>
      <c r="Q468" s="1">
        <v>76.0</v>
      </c>
      <c r="V468" s="2">
        <f>VLOOKUP(B468,'202324'!B:C,2,FALSE)-A468</f>
        <v>37</v>
      </c>
    </row>
    <row r="469">
      <c r="A469" s="1">
        <f t="shared" si="1"/>
        <v>467</v>
      </c>
      <c r="B469" s="1" t="s">
        <v>1527</v>
      </c>
      <c r="C469" s="1" t="s">
        <v>1030</v>
      </c>
      <c r="D469" s="1" t="s">
        <v>66</v>
      </c>
      <c r="E469" s="11">
        <f t="shared" si="2"/>
        <v>171.1</v>
      </c>
      <c r="F469" s="11">
        <f t="shared" si="3"/>
        <v>2.9</v>
      </c>
      <c r="G469" s="1">
        <v>59.0</v>
      </c>
      <c r="H469" s="1">
        <v>3.0</v>
      </c>
      <c r="I469" s="1">
        <v>15.0</v>
      </c>
      <c r="J469" s="1">
        <v>18.0</v>
      </c>
      <c r="K469" s="1">
        <v>73.0</v>
      </c>
      <c r="L469" s="1">
        <v>0.0</v>
      </c>
      <c r="M469" s="1">
        <v>1.0</v>
      </c>
      <c r="N469" s="1">
        <v>0.0</v>
      </c>
      <c r="O469" s="1">
        <v>0.0</v>
      </c>
      <c r="P469" s="1">
        <v>76.0</v>
      </c>
      <c r="Q469" s="1">
        <v>99.0</v>
      </c>
      <c r="V469" s="2">
        <f>VLOOKUP(B469,'202324'!B:C,2,FALSE)-A469</f>
        <v>-1</v>
      </c>
    </row>
    <row r="470">
      <c r="A470" s="1">
        <f t="shared" si="1"/>
        <v>468</v>
      </c>
      <c r="B470" s="1" t="s">
        <v>1528</v>
      </c>
      <c r="C470" s="1" t="s">
        <v>1085</v>
      </c>
      <c r="D470" s="1" t="s">
        <v>31</v>
      </c>
      <c r="E470" s="11">
        <f t="shared" si="2"/>
        <v>170.8</v>
      </c>
      <c r="F470" s="11">
        <f t="shared" si="3"/>
        <v>2.218181818</v>
      </c>
      <c r="G470" s="1">
        <v>77.0</v>
      </c>
      <c r="H470" s="1">
        <v>9.0</v>
      </c>
      <c r="I470" s="1">
        <v>15.0</v>
      </c>
      <c r="J470" s="1">
        <v>24.0</v>
      </c>
      <c r="K470" s="1">
        <v>86.0</v>
      </c>
      <c r="L470" s="1">
        <v>0.0</v>
      </c>
      <c r="M470" s="1">
        <v>0.0</v>
      </c>
      <c r="N470" s="1">
        <v>2.0</v>
      </c>
      <c r="O470" s="1">
        <v>1.0</v>
      </c>
      <c r="P470" s="1">
        <v>58.0</v>
      </c>
      <c r="Q470" s="1">
        <v>32.0</v>
      </c>
      <c r="V470" s="2">
        <f>VLOOKUP(B470,'202324'!B:C,2,FALSE)-A470</f>
        <v>-7</v>
      </c>
    </row>
    <row r="471">
      <c r="A471" s="1">
        <f t="shared" si="1"/>
        <v>469</v>
      </c>
      <c r="B471" s="1" t="s">
        <v>1529</v>
      </c>
      <c r="C471" s="1" t="s">
        <v>1036</v>
      </c>
      <c r="D471" s="1" t="s">
        <v>66</v>
      </c>
      <c r="E471" s="11">
        <f t="shared" si="2"/>
        <v>170.45</v>
      </c>
      <c r="F471" s="11">
        <f t="shared" si="3"/>
        <v>2.078658537</v>
      </c>
      <c r="G471" s="1">
        <v>82.0</v>
      </c>
      <c r="H471" s="1">
        <v>3.0</v>
      </c>
      <c r="I471" s="1">
        <v>13.0</v>
      </c>
      <c r="J471" s="1">
        <v>16.0</v>
      </c>
      <c r="K471" s="1">
        <v>94.0</v>
      </c>
      <c r="L471" s="1">
        <v>0.0</v>
      </c>
      <c r="M471" s="1">
        <v>1.0</v>
      </c>
      <c r="N471" s="1">
        <v>0.0</v>
      </c>
      <c r="O471" s="1">
        <v>0.0</v>
      </c>
      <c r="P471" s="1">
        <v>77.0</v>
      </c>
      <c r="Q471" s="1">
        <v>88.0</v>
      </c>
      <c r="V471" s="2">
        <f>VLOOKUP(B471,'202324'!B:C,2,FALSE)-A471</f>
        <v>-1</v>
      </c>
    </row>
    <row r="472">
      <c r="A472" s="1">
        <f t="shared" si="1"/>
        <v>470</v>
      </c>
      <c r="B472" s="1" t="s">
        <v>1530</v>
      </c>
      <c r="C472" s="1" t="s">
        <v>1076</v>
      </c>
      <c r="D472" s="1" t="s">
        <v>66</v>
      </c>
      <c r="E472" s="11">
        <f t="shared" si="2"/>
        <v>170.35</v>
      </c>
      <c r="F472" s="11">
        <f t="shared" si="3"/>
        <v>2.077439024</v>
      </c>
      <c r="G472" s="1">
        <v>82.0</v>
      </c>
      <c r="H472" s="1">
        <v>1.0</v>
      </c>
      <c r="I472" s="1">
        <v>10.0</v>
      </c>
      <c r="J472" s="1">
        <v>11.0</v>
      </c>
      <c r="K472" s="1">
        <v>63.0</v>
      </c>
      <c r="L472" s="1">
        <v>0.0</v>
      </c>
      <c r="M472" s="1">
        <v>0.0</v>
      </c>
      <c r="N472" s="1">
        <v>0.0</v>
      </c>
      <c r="O472" s="1">
        <v>0.0</v>
      </c>
      <c r="P472" s="1">
        <v>151.0</v>
      </c>
      <c r="Q472" s="1">
        <v>103.0</v>
      </c>
      <c r="V472" s="2">
        <f>VLOOKUP(B472,'202324'!B:C,2,FALSE)-A472</f>
        <v>23</v>
      </c>
    </row>
    <row r="473">
      <c r="A473" s="1">
        <f t="shared" si="1"/>
        <v>471</v>
      </c>
      <c r="B473" s="1" t="s">
        <v>1531</v>
      </c>
      <c r="C473" s="1" t="s">
        <v>1080</v>
      </c>
      <c r="D473" s="1" t="s">
        <v>66</v>
      </c>
      <c r="E473" s="11">
        <f t="shared" si="2"/>
        <v>170.15</v>
      </c>
      <c r="F473" s="11">
        <f t="shared" si="3"/>
        <v>2.789344262</v>
      </c>
      <c r="G473" s="1">
        <v>61.0</v>
      </c>
      <c r="H473" s="1">
        <v>2.0</v>
      </c>
      <c r="I473" s="1">
        <v>12.0</v>
      </c>
      <c r="J473" s="1">
        <v>14.0</v>
      </c>
      <c r="K473" s="1">
        <v>51.0</v>
      </c>
      <c r="L473" s="1">
        <v>0.0</v>
      </c>
      <c r="M473" s="1">
        <v>0.0</v>
      </c>
      <c r="N473" s="1">
        <v>0.0</v>
      </c>
      <c r="O473" s="1">
        <v>1.0</v>
      </c>
      <c r="P473" s="1">
        <v>129.0</v>
      </c>
      <c r="Q473" s="1">
        <v>105.0</v>
      </c>
      <c r="V473" s="2">
        <f>VLOOKUP(B473,'202324'!B:C,2,FALSE)-A473</f>
        <v>14</v>
      </c>
    </row>
    <row r="474">
      <c r="A474" s="1">
        <f t="shared" si="1"/>
        <v>472</v>
      </c>
      <c r="B474" s="1" t="s">
        <v>1532</v>
      </c>
      <c r="C474" s="1" t="s">
        <v>1065</v>
      </c>
      <c r="D474" s="1" t="s">
        <v>5</v>
      </c>
      <c r="E474" s="11">
        <f t="shared" si="2"/>
        <v>170.1</v>
      </c>
      <c r="F474" s="11">
        <f t="shared" si="3"/>
        <v>3.697826087</v>
      </c>
      <c r="G474" s="1">
        <v>46.0</v>
      </c>
      <c r="R474" s="1">
        <v>13.0</v>
      </c>
      <c r="S474" s="1">
        <v>151.0</v>
      </c>
      <c r="T474" s="12">
        <v>1192.0</v>
      </c>
      <c r="U474" s="1">
        <v>0.0</v>
      </c>
      <c r="V474" s="2">
        <f>VLOOKUP(B474,'202324'!B:C,2,FALSE)-A474</f>
        <v>-18</v>
      </c>
    </row>
    <row r="475">
      <c r="A475" s="1">
        <f t="shared" si="1"/>
        <v>473</v>
      </c>
      <c r="B475" s="1" t="s">
        <v>1533</v>
      </c>
      <c r="C475" s="1" t="s">
        <v>1054</v>
      </c>
      <c r="D475" s="1" t="s">
        <v>66</v>
      </c>
      <c r="E475" s="11">
        <f t="shared" si="2"/>
        <v>169.65</v>
      </c>
      <c r="F475" s="11">
        <f t="shared" si="3"/>
        <v>2.61</v>
      </c>
      <c r="G475" s="1">
        <v>65.0</v>
      </c>
      <c r="H475" s="1">
        <v>3.0</v>
      </c>
      <c r="I475" s="1">
        <v>11.0</v>
      </c>
      <c r="J475" s="1">
        <v>14.0</v>
      </c>
      <c r="K475" s="1">
        <v>83.0</v>
      </c>
      <c r="L475" s="1">
        <v>0.0</v>
      </c>
      <c r="M475" s="1">
        <v>0.0</v>
      </c>
      <c r="N475" s="1">
        <v>0.0</v>
      </c>
      <c r="O475" s="1">
        <v>1.0</v>
      </c>
      <c r="P475" s="1">
        <v>109.0</v>
      </c>
      <c r="Q475" s="1">
        <v>83.0</v>
      </c>
      <c r="V475" s="2">
        <f>VLOOKUP(B475,'202324'!B:C,2,FALSE)-A475</f>
        <v>8</v>
      </c>
    </row>
    <row r="476">
      <c r="A476" s="1">
        <f t="shared" si="1"/>
        <v>474</v>
      </c>
      <c r="B476" s="1" t="s">
        <v>1534</v>
      </c>
      <c r="C476" s="1" t="s">
        <v>1034</v>
      </c>
      <c r="D476" s="1" t="s">
        <v>28</v>
      </c>
      <c r="E476" s="11">
        <f t="shared" si="2"/>
        <v>169</v>
      </c>
      <c r="F476" s="11">
        <f t="shared" si="3"/>
        <v>3.072727273</v>
      </c>
      <c r="G476" s="1">
        <v>55.0</v>
      </c>
      <c r="H476" s="1">
        <v>7.0</v>
      </c>
      <c r="I476" s="1">
        <v>7.0</v>
      </c>
      <c r="J476" s="1">
        <v>14.0</v>
      </c>
      <c r="K476" s="1">
        <v>59.0</v>
      </c>
      <c r="L476" s="1">
        <v>1.0</v>
      </c>
      <c r="M476" s="1">
        <v>1.0</v>
      </c>
      <c r="N476" s="1">
        <v>0.0</v>
      </c>
      <c r="O476" s="1">
        <v>0.0</v>
      </c>
      <c r="P476" s="1">
        <v>210.0</v>
      </c>
      <c r="Q476" s="1">
        <v>27.0</v>
      </c>
      <c r="V476" s="2">
        <f>VLOOKUP(B476,'202324'!B:C,2,FALSE)-A476</f>
        <v>34</v>
      </c>
    </row>
    <row r="477">
      <c r="A477" s="1">
        <f t="shared" si="1"/>
        <v>475</v>
      </c>
      <c r="B477" s="1" t="s">
        <v>1535</v>
      </c>
      <c r="C477" s="1" t="s">
        <v>1076</v>
      </c>
      <c r="D477" s="1" t="s">
        <v>66</v>
      </c>
      <c r="E477" s="11">
        <f t="shared" si="2"/>
        <v>167.65</v>
      </c>
      <c r="F477" s="11">
        <f t="shared" si="3"/>
        <v>2.235333333</v>
      </c>
      <c r="G477" s="1">
        <v>75.0</v>
      </c>
      <c r="H477" s="1">
        <v>4.0</v>
      </c>
      <c r="I477" s="1">
        <v>21.0</v>
      </c>
      <c r="J477" s="1">
        <v>25.0</v>
      </c>
      <c r="K477" s="1">
        <v>57.0</v>
      </c>
      <c r="L477" s="1">
        <v>0.0</v>
      </c>
      <c r="M477" s="1">
        <v>0.0</v>
      </c>
      <c r="N477" s="1">
        <v>0.0</v>
      </c>
      <c r="O477" s="1">
        <v>0.0</v>
      </c>
      <c r="P477" s="1">
        <v>39.0</v>
      </c>
      <c r="Q477" s="1">
        <v>89.0</v>
      </c>
      <c r="V477" s="2">
        <f>VLOOKUP(B477,'202324'!B:C,2,FALSE)-A477</f>
        <v>-11</v>
      </c>
    </row>
    <row r="478">
      <c r="A478" s="1">
        <f t="shared" si="1"/>
        <v>476</v>
      </c>
      <c r="B478" s="1" t="s">
        <v>1536</v>
      </c>
      <c r="C478" s="1" t="s">
        <v>1048</v>
      </c>
      <c r="D478" s="1" t="s">
        <v>66</v>
      </c>
      <c r="E478" s="11">
        <f t="shared" si="2"/>
        <v>167.55</v>
      </c>
      <c r="F478" s="11">
        <f t="shared" si="3"/>
        <v>3.285294118</v>
      </c>
      <c r="G478" s="1">
        <v>51.0</v>
      </c>
      <c r="H478" s="1">
        <v>4.0</v>
      </c>
      <c r="I478" s="1">
        <v>14.0</v>
      </c>
      <c r="J478" s="1">
        <v>18.0</v>
      </c>
      <c r="K478" s="1">
        <v>98.0</v>
      </c>
      <c r="L478" s="1">
        <v>1.0</v>
      </c>
      <c r="M478" s="1">
        <v>3.0</v>
      </c>
      <c r="N478" s="1">
        <v>0.0</v>
      </c>
      <c r="O478" s="1">
        <v>0.0</v>
      </c>
      <c r="P478" s="1">
        <v>83.0</v>
      </c>
      <c r="Q478" s="1">
        <v>59.0</v>
      </c>
      <c r="V478" s="2">
        <f>VLOOKUP(B478,'202324'!B:C,2,FALSE)-A478</f>
        <v>1</v>
      </c>
    </row>
    <row r="479">
      <c r="A479" s="1">
        <f t="shared" si="1"/>
        <v>477</v>
      </c>
      <c r="B479" s="1" t="s">
        <v>1537</v>
      </c>
      <c r="C479" s="1" t="s">
        <v>1048</v>
      </c>
      <c r="D479" s="1" t="s">
        <v>5</v>
      </c>
      <c r="E479" s="11">
        <f t="shared" si="2"/>
        <v>167.4</v>
      </c>
      <c r="F479" s="11">
        <f t="shared" si="3"/>
        <v>6.2</v>
      </c>
      <c r="G479" s="1">
        <v>27.0</v>
      </c>
      <c r="R479" s="1">
        <v>16.0</v>
      </c>
      <c r="S479" s="1">
        <v>51.0</v>
      </c>
      <c r="T479" s="1">
        <v>633.0</v>
      </c>
      <c r="U479" s="1">
        <v>2.0</v>
      </c>
      <c r="V479" s="2">
        <f>VLOOKUP(B479,'202324'!B:C,2,FALSE)-A479</f>
        <v>-20</v>
      </c>
    </row>
    <row r="480">
      <c r="A480" s="1">
        <f t="shared" si="1"/>
        <v>477</v>
      </c>
      <c r="B480" s="1" t="s">
        <v>1538</v>
      </c>
      <c r="C480" s="1" t="s">
        <v>1106</v>
      </c>
      <c r="D480" s="1" t="s">
        <v>5</v>
      </c>
      <c r="E480" s="11">
        <f t="shared" si="2"/>
        <v>167.4</v>
      </c>
      <c r="F480" s="11">
        <f t="shared" si="3"/>
        <v>5.58</v>
      </c>
      <c r="G480" s="1">
        <v>30.0</v>
      </c>
      <c r="R480" s="1">
        <v>15.0</v>
      </c>
      <c r="S480" s="1">
        <v>72.0</v>
      </c>
      <c r="T480" s="1">
        <v>758.0</v>
      </c>
      <c r="U480" s="1">
        <v>1.0</v>
      </c>
      <c r="V480" s="2">
        <f>VLOOKUP(B480,'202324'!B:C,2,FALSE)-A480</f>
        <v>-20</v>
      </c>
    </row>
    <row r="481">
      <c r="A481" s="1">
        <f t="shared" si="1"/>
        <v>479</v>
      </c>
      <c r="B481" s="1" t="s">
        <v>1539</v>
      </c>
      <c r="C481" s="1" t="s">
        <v>1040</v>
      </c>
      <c r="D481" s="1" t="s">
        <v>5</v>
      </c>
      <c r="E481" s="11">
        <f t="shared" si="2"/>
        <v>167.1</v>
      </c>
      <c r="F481" s="11">
        <f t="shared" si="3"/>
        <v>6.188888889</v>
      </c>
      <c r="G481" s="1">
        <v>27.0</v>
      </c>
      <c r="R481" s="1">
        <v>18.0</v>
      </c>
      <c r="S481" s="1">
        <v>69.0</v>
      </c>
      <c r="T481" s="1">
        <v>702.0</v>
      </c>
      <c r="U481" s="1">
        <v>2.0</v>
      </c>
      <c r="V481" s="2">
        <f>VLOOKUP(B481,'202324'!B:C,2,FALSE)-A481</f>
        <v>-20</v>
      </c>
    </row>
    <row r="482">
      <c r="A482" s="1">
        <f t="shared" si="1"/>
        <v>480</v>
      </c>
      <c r="B482" s="1" t="s">
        <v>1540</v>
      </c>
      <c r="C482" s="1" t="s">
        <v>1080</v>
      </c>
      <c r="D482" s="1" t="s">
        <v>31</v>
      </c>
      <c r="E482" s="11">
        <f t="shared" si="2"/>
        <v>166.6</v>
      </c>
      <c r="F482" s="11">
        <f t="shared" si="3"/>
        <v>2.313888889</v>
      </c>
      <c r="G482" s="1">
        <v>72.0</v>
      </c>
      <c r="H482" s="1">
        <v>8.0</v>
      </c>
      <c r="I482" s="1">
        <v>11.0</v>
      </c>
      <c r="J482" s="1">
        <v>19.0</v>
      </c>
      <c r="K482" s="1">
        <v>76.0</v>
      </c>
      <c r="L482" s="1">
        <v>0.0</v>
      </c>
      <c r="M482" s="1">
        <v>0.0</v>
      </c>
      <c r="N482" s="1">
        <v>2.0</v>
      </c>
      <c r="O482" s="1">
        <v>0.0</v>
      </c>
      <c r="P482" s="1">
        <v>86.0</v>
      </c>
      <c r="Q482" s="1">
        <v>51.0</v>
      </c>
      <c r="V482" s="2">
        <f>VLOOKUP(B482,'202324'!B:C,2,FALSE)-A482</f>
        <v>3</v>
      </c>
    </row>
    <row r="483">
      <c r="A483" s="1">
        <f t="shared" si="1"/>
        <v>481</v>
      </c>
      <c r="B483" s="1" t="s">
        <v>1541</v>
      </c>
      <c r="C483" s="1" t="s">
        <v>1032</v>
      </c>
      <c r="D483" s="1" t="s">
        <v>31</v>
      </c>
      <c r="E483" s="11">
        <f t="shared" si="2"/>
        <v>166.45</v>
      </c>
      <c r="F483" s="11">
        <f t="shared" si="3"/>
        <v>2.642063492</v>
      </c>
      <c r="G483" s="1">
        <v>63.0</v>
      </c>
      <c r="H483" s="1">
        <v>6.0</v>
      </c>
      <c r="I483" s="1">
        <v>6.0</v>
      </c>
      <c r="J483" s="1">
        <v>12.0</v>
      </c>
      <c r="K483" s="1">
        <v>110.0</v>
      </c>
      <c r="L483" s="1">
        <v>1.0</v>
      </c>
      <c r="M483" s="1">
        <v>0.0</v>
      </c>
      <c r="N483" s="1">
        <v>1.0</v>
      </c>
      <c r="O483" s="1">
        <v>0.0</v>
      </c>
      <c r="P483" s="1">
        <v>147.0</v>
      </c>
      <c r="Q483" s="1">
        <v>26.0</v>
      </c>
      <c r="V483" s="2">
        <f>VLOOKUP(B483,'202324'!B:C,2,FALSE)-A483</f>
        <v>19</v>
      </c>
    </row>
    <row r="484">
      <c r="A484" s="1">
        <f t="shared" si="1"/>
        <v>482</v>
      </c>
      <c r="B484" s="1" t="s">
        <v>1542</v>
      </c>
      <c r="C484" s="1" t="s">
        <v>1078</v>
      </c>
      <c r="D484" s="1" t="s">
        <v>66</v>
      </c>
      <c r="E484" s="11">
        <f t="shared" si="2"/>
        <v>165.95</v>
      </c>
      <c r="F484" s="11">
        <f t="shared" si="3"/>
        <v>2.337323944</v>
      </c>
      <c r="G484" s="1">
        <v>71.0</v>
      </c>
      <c r="H484" s="1">
        <v>2.0</v>
      </c>
      <c r="I484" s="1">
        <v>22.0</v>
      </c>
      <c r="J484" s="1">
        <v>24.0</v>
      </c>
      <c r="K484" s="1">
        <v>80.0</v>
      </c>
      <c r="L484" s="1">
        <v>1.0</v>
      </c>
      <c r="M484" s="1">
        <v>5.0</v>
      </c>
      <c r="N484" s="1">
        <v>0.0</v>
      </c>
      <c r="O484" s="1">
        <v>0.0</v>
      </c>
      <c r="P484" s="1">
        <v>67.0</v>
      </c>
      <c r="Q484" s="1">
        <v>55.0</v>
      </c>
      <c r="V484" s="2">
        <f>VLOOKUP(B484,'202324'!B:C,2,FALSE)-A484</f>
        <v>-5</v>
      </c>
    </row>
    <row r="485">
      <c r="A485" s="1">
        <f t="shared" si="1"/>
        <v>482</v>
      </c>
      <c r="B485" s="1" t="s">
        <v>1543</v>
      </c>
      <c r="C485" s="1" t="s">
        <v>1085</v>
      </c>
      <c r="D485" s="1" t="s">
        <v>31</v>
      </c>
      <c r="E485" s="11">
        <f t="shared" si="2"/>
        <v>165.95</v>
      </c>
      <c r="F485" s="11">
        <f t="shared" si="3"/>
        <v>2.242567568</v>
      </c>
      <c r="G485" s="1">
        <v>74.0</v>
      </c>
      <c r="H485" s="1">
        <v>7.0</v>
      </c>
      <c r="I485" s="1">
        <v>12.0</v>
      </c>
      <c r="J485" s="1">
        <v>19.0</v>
      </c>
      <c r="K485" s="1">
        <v>71.0</v>
      </c>
      <c r="L485" s="1">
        <v>0.0</v>
      </c>
      <c r="M485" s="1">
        <v>0.0</v>
      </c>
      <c r="N485" s="1">
        <v>2.0</v>
      </c>
      <c r="O485" s="1">
        <v>2.0</v>
      </c>
      <c r="P485" s="1">
        <v>97.0</v>
      </c>
      <c r="Q485" s="1">
        <v>42.0</v>
      </c>
      <c r="V485" s="2">
        <f>VLOOKUP(B485,'202324'!B:C,2,FALSE)-A485</f>
        <v>7</v>
      </c>
    </row>
    <row r="486">
      <c r="A486" s="1">
        <f t="shared" si="1"/>
        <v>484</v>
      </c>
      <c r="B486" s="1" t="s">
        <v>1544</v>
      </c>
      <c r="C486" s="1" t="s">
        <v>1065</v>
      </c>
      <c r="D486" s="1" t="s">
        <v>66</v>
      </c>
      <c r="E486" s="11">
        <f t="shared" si="2"/>
        <v>165.5</v>
      </c>
      <c r="F486" s="11">
        <f t="shared" si="3"/>
        <v>2.330985915</v>
      </c>
      <c r="G486" s="1">
        <v>71.0</v>
      </c>
      <c r="H486" s="1">
        <v>2.0</v>
      </c>
      <c r="I486" s="1">
        <v>15.0</v>
      </c>
      <c r="J486" s="1">
        <v>17.0</v>
      </c>
      <c r="K486" s="1">
        <v>55.0</v>
      </c>
      <c r="L486" s="1">
        <v>0.0</v>
      </c>
      <c r="M486" s="1">
        <v>2.0</v>
      </c>
      <c r="N486" s="1">
        <v>0.0</v>
      </c>
      <c r="O486" s="1">
        <v>1.0</v>
      </c>
      <c r="P486" s="1">
        <v>50.0</v>
      </c>
      <c r="Q486" s="1">
        <v>129.0</v>
      </c>
      <c r="V486" s="2">
        <f>VLOOKUP(B486,'202324'!B:C,2,FALSE)-A486</f>
        <v>-14</v>
      </c>
    </row>
    <row r="487">
      <c r="A487" s="1">
        <f t="shared" si="1"/>
        <v>485</v>
      </c>
      <c r="B487" s="1" t="s">
        <v>1545</v>
      </c>
      <c r="C487" s="1" t="s">
        <v>1085</v>
      </c>
      <c r="D487" s="1" t="s">
        <v>36</v>
      </c>
      <c r="E487" s="11">
        <f t="shared" si="2"/>
        <v>165.35</v>
      </c>
      <c r="F487" s="11">
        <f t="shared" si="3"/>
        <v>2.204666667</v>
      </c>
      <c r="G487" s="1">
        <v>75.0</v>
      </c>
      <c r="H487" s="1">
        <v>11.0</v>
      </c>
      <c r="I487" s="1">
        <v>9.0</v>
      </c>
      <c r="J487" s="1">
        <v>20.0</v>
      </c>
      <c r="K487" s="1">
        <v>112.0</v>
      </c>
      <c r="L487" s="1">
        <v>0.0</v>
      </c>
      <c r="M487" s="1">
        <v>0.0</v>
      </c>
      <c r="N487" s="1">
        <v>0.0</v>
      </c>
      <c r="O487" s="1">
        <v>0.0</v>
      </c>
      <c r="P487" s="1">
        <v>51.0</v>
      </c>
      <c r="Q487" s="1">
        <v>30.0</v>
      </c>
      <c r="V487" s="2">
        <f>VLOOKUP(B487,'202324'!B:C,2,FALSE)-A487</f>
        <v>-14</v>
      </c>
    </row>
    <row r="488">
      <c r="A488" s="1">
        <f t="shared" si="1"/>
        <v>486</v>
      </c>
      <c r="B488" s="1" t="s">
        <v>1546</v>
      </c>
      <c r="C488" s="1" t="s">
        <v>1036</v>
      </c>
      <c r="D488" s="1" t="s">
        <v>66</v>
      </c>
      <c r="E488" s="11">
        <f t="shared" si="2"/>
        <v>165.25</v>
      </c>
      <c r="F488" s="11">
        <f t="shared" si="3"/>
        <v>2.118589744</v>
      </c>
      <c r="G488" s="1">
        <v>78.0</v>
      </c>
      <c r="H488" s="1">
        <v>1.0</v>
      </c>
      <c r="I488" s="1">
        <v>10.0</v>
      </c>
      <c r="J488" s="1">
        <v>11.0</v>
      </c>
      <c r="K488" s="1">
        <v>41.0</v>
      </c>
      <c r="L488" s="1">
        <v>0.0</v>
      </c>
      <c r="M488" s="1">
        <v>0.0</v>
      </c>
      <c r="N488" s="1">
        <v>0.0</v>
      </c>
      <c r="O488" s="1">
        <v>1.0</v>
      </c>
      <c r="P488" s="1">
        <v>135.0</v>
      </c>
      <c r="Q488" s="1">
        <v>122.0</v>
      </c>
      <c r="V488" s="2">
        <f>VLOOKUP(B488,'202324'!B:C,2,FALSE)-A488</f>
        <v>14</v>
      </c>
    </row>
    <row r="489">
      <c r="A489" s="1">
        <f t="shared" si="1"/>
        <v>487</v>
      </c>
      <c r="B489" s="1" t="s">
        <v>1547</v>
      </c>
      <c r="C489" s="1" t="s">
        <v>1106</v>
      </c>
      <c r="D489" s="1" t="s">
        <v>31</v>
      </c>
      <c r="E489" s="11">
        <f t="shared" si="2"/>
        <v>165.2</v>
      </c>
      <c r="F489" s="11">
        <f t="shared" si="3"/>
        <v>2.326760563</v>
      </c>
      <c r="G489" s="1">
        <v>71.0</v>
      </c>
      <c r="H489" s="1">
        <v>6.0</v>
      </c>
      <c r="I489" s="1">
        <v>15.0</v>
      </c>
      <c r="J489" s="1">
        <v>21.0</v>
      </c>
      <c r="K489" s="1">
        <v>68.0</v>
      </c>
      <c r="L489" s="1">
        <v>3.0</v>
      </c>
      <c r="M489" s="1">
        <v>2.0</v>
      </c>
      <c r="N489" s="1">
        <v>1.0</v>
      </c>
      <c r="O489" s="1">
        <v>2.0</v>
      </c>
      <c r="P489" s="1">
        <v>82.0</v>
      </c>
      <c r="Q489" s="1">
        <v>49.0</v>
      </c>
      <c r="V489" s="2">
        <f>VLOOKUP(B489,'202324'!B:C,2,FALSE)-A489</f>
        <v>-1</v>
      </c>
    </row>
    <row r="490">
      <c r="A490" s="1">
        <f t="shared" si="1"/>
        <v>488</v>
      </c>
      <c r="B490" s="1" t="s">
        <v>1548</v>
      </c>
      <c r="C490" s="1" t="s">
        <v>1087</v>
      </c>
      <c r="D490" s="1" t="s">
        <v>66</v>
      </c>
      <c r="E490" s="11">
        <f t="shared" si="2"/>
        <v>164.9</v>
      </c>
      <c r="F490" s="11">
        <f t="shared" si="3"/>
        <v>2.843103448</v>
      </c>
      <c r="G490" s="1">
        <v>58.0</v>
      </c>
      <c r="H490" s="1">
        <v>1.0</v>
      </c>
      <c r="I490" s="1">
        <v>15.0</v>
      </c>
      <c r="J490" s="1">
        <v>16.0</v>
      </c>
      <c r="K490" s="1">
        <v>71.0</v>
      </c>
      <c r="L490" s="1">
        <v>0.0</v>
      </c>
      <c r="M490" s="1">
        <v>0.0</v>
      </c>
      <c r="N490" s="1">
        <v>0.0</v>
      </c>
      <c r="O490" s="1">
        <v>1.0</v>
      </c>
      <c r="P490" s="1">
        <v>64.0</v>
      </c>
      <c r="Q490" s="1">
        <v>111.0</v>
      </c>
      <c r="V490" s="2">
        <f>VLOOKUP(B490,'202324'!B:C,2,FALSE)-A490</f>
        <v>-6</v>
      </c>
    </row>
    <row r="491">
      <c r="A491" s="1">
        <f t="shared" si="1"/>
        <v>489</v>
      </c>
      <c r="B491" s="1" t="s">
        <v>1549</v>
      </c>
      <c r="C491" s="1" t="s">
        <v>1106</v>
      </c>
      <c r="D491" s="1" t="s">
        <v>36</v>
      </c>
      <c r="E491" s="11">
        <f t="shared" si="2"/>
        <v>164.05</v>
      </c>
      <c r="F491" s="11">
        <f t="shared" si="3"/>
        <v>2.247260274</v>
      </c>
      <c r="G491" s="1">
        <v>73.0</v>
      </c>
      <c r="H491" s="1">
        <v>6.0</v>
      </c>
      <c r="I491" s="1">
        <v>16.0</v>
      </c>
      <c r="J491" s="1">
        <v>22.0</v>
      </c>
      <c r="K491" s="1">
        <v>99.0</v>
      </c>
      <c r="L491" s="1">
        <v>0.0</v>
      </c>
      <c r="M491" s="1">
        <v>0.0</v>
      </c>
      <c r="N491" s="1">
        <v>1.0</v>
      </c>
      <c r="O491" s="1">
        <v>1.0</v>
      </c>
      <c r="P491" s="1">
        <v>63.0</v>
      </c>
      <c r="Q491" s="1">
        <v>27.0</v>
      </c>
      <c r="V491" s="2">
        <f>VLOOKUP(B491,'202324'!B:C,2,FALSE)-A491</f>
        <v>-5</v>
      </c>
    </row>
    <row r="492">
      <c r="A492" s="1">
        <f t="shared" si="1"/>
        <v>490</v>
      </c>
      <c r="B492" s="1" t="s">
        <v>1550</v>
      </c>
      <c r="C492" s="1" t="s">
        <v>1111</v>
      </c>
      <c r="D492" s="1" t="s">
        <v>5</v>
      </c>
      <c r="E492" s="11">
        <f t="shared" si="2"/>
        <v>163.5</v>
      </c>
      <c r="F492" s="11">
        <f t="shared" si="3"/>
        <v>4.302631579</v>
      </c>
      <c r="G492" s="1">
        <v>38.0</v>
      </c>
      <c r="R492" s="1">
        <v>13.0</v>
      </c>
      <c r="S492" s="1">
        <v>114.0</v>
      </c>
      <c r="T492" s="1">
        <v>975.0</v>
      </c>
      <c r="U492" s="1">
        <v>1.0</v>
      </c>
      <c r="V492" s="2">
        <f>VLOOKUP(B492,'202324'!B:C,2,FALSE)-A492</f>
        <v>-24</v>
      </c>
    </row>
    <row r="493">
      <c r="A493" s="1">
        <f t="shared" si="1"/>
        <v>491</v>
      </c>
      <c r="B493" s="1" t="s">
        <v>1551</v>
      </c>
      <c r="C493" s="1" t="s">
        <v>1048</v>
      </c>
      <c r="D493" s="1" t="s">
        <v>31</v>
      </c>
      <c r="E493" s="11">
        <f t="shared" si="2"/>
        <v>162.55</v>
      </c>
      <c r="F493" s="11">
        <f t="shared" si="3"/>
        <v>2.006790123</v>
      </c>
      <c r="G493" s="1">
        <v>81.0</v>
      </c>
      <c r="H493" s="1">
        <v>11.0</v>
      </c>
      <c r="I493" s="1">
        <v>4.0</v>
      </c>
      <c r="J493" s="1">
        <v>15.0</v>
      </c>
      <c r="K493" s="1">
        <v>81.0</v>
      </c>
      <c r="L493" s="1">
        <v>0.0</v>
      </c>
      <c r="M493" s="1">
        <v>0.0</v>
      </c>
      <c r="N493" s="1">
        <v>2.0</v>
      </c>
      <c r="O493" s="1">
        <v>0.0</v>
      </c>
      <c r="P493" s="1">
        <v>83.0</v>
      </c>
      <c r="Q493" s="1">
        <v>55.0</v>
      </c>
      <c r="V493" s="2">
        <f>VLOOKUP(B493,'202324'!B:C,2,FALSE)-A493</f>
        <v>5</v>
      </c>
    </row>
    <row r="494">
      <c r="A494" s="1">
        <f t="shared" si="1"/>
        <v>492</v>
      </c>
      <c r="B494" s="1" t="s">
        <v>1552</v>
      </c>
      <c r="C494" s="1" t="s">
        <v>1030</v>
      </c>
      <c r="D494" s="1" t="s">
        <v>66</v>
      </c>
      <c r="E494" s="11">
        <f t="shared" si="2"/>
        <v>162.3</v>
      </c>
      <c r="F494" s="11">
        <f t="shared" si="3"/>
        <v>2.02875</v>
      </c>
      <c r="G494" s="1">
        <v>80.0</v>
      </c>
      <c r="H494" s="1">
        <v>3.0</v>
      </c>
      <c r="I494" s="1">
        <v>13.0</v>
      </c>
      <c r="J494" s="1">
        <v>16.0</v>
      </c>
      <c r="K494" s="1">
        <v>76.0</v>
      </c>
      <c r="L494" s="1">
        <v>0.0</v>
      </c>
      <c r="M494" s="1">
        <v>0.0</v>
      </c>
      <c r="N494" s="1">
        <v>0.0</v>
      </c>
      <c r="O494" s="1">
        <v>0.0</v>
      </c>
      <c r="P494" s="1">
        <v>78.0</v>
      </c>
      <c r="Q494" s="1">
        <v>89.0</v>
      </c>
      <c r="V494" s="2">
        <f>VLOOKUP(B494,'202324'!B:C,2,FALSE)-A494</f>
        <v>3</v>
      </c>
    </row>
    <row r="495">
      <c r="A495" s="1">
        <f t="shared" si="1"/>
        <v>493</v>
      </c>
      <c r="B495" s="1" t="s">
        <v>1553</v>
      </c>
      <c r="C495" s="1" t="s">
        <v>1073</v>
      </c>
      <c r="D495" s="1" t="s">
        <v>66</v>
      </c>
      <c r="E495" s="11">
        <f t="shared" si="2"/>
        <v>162.25</v>
      </c>
      <c r="F495" s="11">
        <f t="shared" si="3"/>
        <v>2.317857143</v>
      </c>
      <c r="G495" s="1">
        <v>70.0</v>
      </c>
      <c r="H495" s="1">
        <v>3.0</v>
      </c>
      <c r="I495" s="1">
        <v>10.0</v>
      </c>
      <c r="J495" s="1">
        <v>13.0</v>
      </c>
      <c r="K495" s="1">
        <v>107.0</v>
      </c>
      <c r="L495" s="1">
        <v>0.0</v>
      </c>
      <c r="M495" s="1">
        <v>0.0</v>
      </c>
      <c r="N495" s="1">
        <v>0.0</v>
      </c>
      <c r="O495" s="1">
        <v>0.0</v>
      </c>
      <c r="P495" s="1">
        <v>25.0</v>
      </c>
      <c r="Q495" s="1">
        <v>113.0</v>
      </c>
      <c r="V495" s="2">
        <f>VLOOKUP(B495,'202324'!B:C,2,FALSE)-A495</f>
        <v>-21</v>
      </c>
    </row>
    <row r="496">
      <c r="A496" s="1">
        <f t="shared" si="1"/>
        <v>494</v>
      </c>
      <c r="B496" s="1" t="s">
        <v>1554</v>
      </c>
      <c r="C496" s="1" t="s">
        <v>1082</v>
      </c>
      <c r="D496" s="1" t="s">
        <v>66</v>
      </c>
      <c r="E496" s="11">
        <f t="shared" si="2"/>
        <v>162.2</v>
      </c>
      <c r="F496" s="11">
        <f t="shared" si="3"/>
        <v>2.079487179</v>
      </c>
      <c r="G496" s="1">
        <v>78.0</v>
      </c>
      <c r="H496" s="1">
        <v>1.0</v>
      </c>
      <c r="I496" s="1">
        <v>13.0</v>
      </c>
      <c r="J496" s="1">
        <v>14.0</v>
      </c>
      <c r="K496" s="1">
        <v>71.0</v>
      </c>
      <c r="L496" s="1">
        <v>0.0</v>
      </c>
      <c r="M496" s="1">
        <v>0.0</v>
      </c>
      <c r="N496" s="1">
        <v>0.0</v>
      </c>
      <c r="O496" s="1">
        <v>0.0</v>
      </c>
      <c r="P496" s="1">
        <v>62.0</v>
      </c>
      <c r="Q496" s="1">
        <v>123.0</v>
      </c>
      <c r="V496" s="2">
        <f>VLOOKUP(B496,'202324'!B:C,2,FALSE)-A496</f>
        <v>-4</v>
      </c>
    </row>
    <row r="497">
      <c r="A497" s="1">
        <f t="shared" si="1"/>
        <v>495</v>
      </c>
      <c r="B497" s="1" t="s">
        <v>1555</v>
      </c>
      <c r="C497" s="1" t="s">
        <v>1078</v>
      </c>
      <c r="D497" s="1" t="s">
        <v>66</v>
      </c>
      <c r="E497" s="11">
        <f t="shared" si="2"/>
        <v>161.65</v>
      </c>
      <c r="F497" s="11">
        <f t="shared" si="3"/>
        <v>1.971341463</v>
      </c>
      <c r="G497" s="1">
        <v>82.0</v>
      </c>
      <c r="H497" s="1">
        <v>1.0</v>
      </c>
      <c r="I497" s="1">
        <v>9.0</v>
      </c>
      <c r="J497" s="1">
        <v>10.0</v>
      </c>
      <c r="K497" s="1">
        <v>41.0</v>
      </c>
      <c r="L497" s="1">
        <v>0.0</v>
      </c>
      <c r="M497" s="1">
        <v>0.0</v>
      </c>
      <c r="N497" s="1">
        <v>0.0</v>
      </c>
      <c r="O497" s="1">
        <v>0.0</v>
      </c>
      <c r="P497" s="1">
        <v>189.0</v>
      </c>
      <c r="Q497" s="1">
        <v>87.0</v>
      </c>
      <c r="V497" s="2">
        <f>VLOOKUP(B497,'202324'!B:C,2,FALSE)-A497</f>
        <v>29</v>
      </c>
    </row>
    <row r="498">
      <c r="A498" s="1">
        <f t="shared" si="1"/>
        <v>496</v>
      </c>
      <c r="B498" s="1" t="s">
        <v>1556</v>
      </c>
      <c r="C498" s="1" t="s">
        <v>1097</v>
      </c>
      <c r="D498" s="1" t="s">
        <v>31</v>
      </c>
      <c r="E498" s="11">
        <f t="shared" si="2"/>
        <v>160.7</v>
      </c>
      <c r="F498" s="11">
        <f t="shared" si="3"/>
        <v>2.63442623</v>
      </c>
      <c r="G498" s="1">
        <v>61.0</v>
      </c>
      <c r="H498" s="1">
        <v>3.0</v>
      </c>
      <c r="I498" s="1">
        <v>9.0</v>
      </c>
      <c r="J498" s="1">
        <v>12.0</v>
      </c>
      <c r="K498" s="1">
        <v>42.0</v>
      </c>
      <c r="L498" s="1">
        <v>0.0</v>
      </c>
      <c r="M498" s="1">
        <v>0.0</v>
      </c>
      <c r="N498" s="1">
        <v>0.0</v>
      </c>
      <c r="O498" s="1">
        <v>0.0</v>
      </c>
      <c r="P498" s="1">
        <v>242.0</v>
      </c>
      <c r="Q498" s="1">
        <v>29.0</v>
      </c>
      <c r="V498" s="2">
        <f>VLOOKUP(B498,'202324'!B:C,2,FALSE)-A498</f>
        <v>43</v>
      </c>
    </row>
    <row r="499">
      <c r="A499" s="1">
        <f t="shared" si="1"/>
        <v>497</v>
      </c>
      <c r="B499" s="1" t="s">
        <v>1557</v>
      </c>
      <c r="C499" s="1" t="s">
        <v>1082</v>
      </c>
      <c r="D499" s="1" t="s">
        <v>28</v>
      </c>
      <c r="E499" s="11">
        <f t="shared" si="2"/>
        <v>160.1</v>
      </c>
      <c r="F499" s="11">
        <f t="shared" si="3"/>
        <v>3.406382979</v>
      </c>
      <c r="G499" s="1">
        <v>47.0</v>
      </c>
      <c r="H499" s="1">
        <v>4.0</v>
      </c>
      <c r="I499" s="1">
        <v>19.0</v>
      </c>
      <c r="J499" s="1">
        <v>23.0</v>
      </c>
      <c r="K499" s="1">
        <v>95.0</v>
      </c>
      <c r="L499" s="1">
        <v>2.0</v>
      </c>
      <c r="M499" s="1">
        <v>9.0</v>
      </c>
      <c r="N499" s="1">
        <v>0.0</v>
      </c>
      <c r="O499" s="1">
        <v>0.0</v>
      </c>
      <c r="P499" s="1">
        <v>76.0</v>
      </c>
      <c r="Q499" s="1">
        <v>22.0</v>
      </c>
      <c r="V499" s="2">
        <f>VLOOKUP(B499,'202324'!B:C,2,FALSE)-A499</f>
        <v>0</v>
      </c>
    </row>
    <row r="500">
      <c r="A500" s="1">
        <f t="shared" si="1"/>
        <v>498</v>
      </c>
      <c r="B500" s="1" t="s">
        <v>1558</v>
      </c>
      <c r="C500" s="1" t="s">
        <v>1146</v>
      </c>
      <c r="D500" s="1" t="s">
        <v>5</v>
      </c>
      <c r="E500" s="11">
        <f t="shared" si="2"/>
        <v>159.3</v>
      </c>
      <c r="F500" s="11">
        <f t="shared" si="3"/>
        <v>4.425</v>
      </c>
      <c r="G500" s="1">
        <v>36.0</v>
      </c>
      <c r="R500" s="1">
        <v>14.0</v>
      </c>
      <c r="S500" s="1">
        <v>95.0</v>
      </c>
      <c r="T500" s="1">
        <v>846.0</v>
      </c>
      <c r="U500" s="1">
        <v>2.0</v>
      </c>
      <c r="V500" s="2">
        <f>VLOOKUP(B500,'202324'!B:C,2,FALSE)-A500</f>
        <v>-22</v>
      </c>
    </row>
    <row r="501">
      <c r="A501" s="1">
        <f t="shared" si="1"/>
        <v>499</v>
      </c>
      <c r="B501" s="1" t="s">
        <v>1559</v>
      </c>
      <c r="C501" s="1" t="s">
        <v>1116</v>
      </c>
      <c r="D501" s="1" t="s">
        <v>5</v>
      </c>
      <c r="E501" s="11">
        <f t="shared" si="2"/>
        <v>159</v>
      </c>
      <c r="F501" s="11">
        <f t="shared" si="3"/>
        <v>6.913043478</v>
      </c>
      <c r="G501" s="1">
        <v>23.0</v>
      </c>
      <c r="R501" s="1">
        <v>15.0</v>
      </c>
      <c r="S501" s="1">
        <v>45.0</v>
      </c>
      <c r="T501" s="1">
        <v>575.0</v>
      </c>
      <c r="U501" s="1">
        <v>3.0</v>
      </c>
      <c r="V501" s="2">
        <f>VLOOKUP(B501,'202324'!B:C,2,FALSE)-A501</f>
        <v>-20</v>
      </c>
    </row>
    <row r="502">
      <c r="A502" s="1">
        <f t="shared" si="1"/>
        <v>500</v>
      </c>
      <c r="B502" s="1" t="s">
        <v>1560</v>
      </c>
      <c r="C502" s="1" t="s">
        <v>1076</v>
      </c>
      <c r="D502" s="1" t="s">
        <v>66</v>
      </c>
      <c r="E502" s="11">
        <f t="shared" si="2"/>
        <v>158.2</v>
      </c>
      <c r="F502" s="11">
        <f t="shared" si="3"/>
        <v>2.636666667</v>
      </c>
      <c r="G502" s="1">
        <v>60.0</v>
      </c>
      <c r="H502" s="1">
        <v>3.0</v>
      </c>
      <c r="I502" s="1">
        <v>16.0</v>
      </c>
      <c r="J502" s="1">
        <v>19.0</v>
      </c>
      <c r="K502" s="1">
        <v>73.0</v>
      </c>
      <c r="L502" s="1">
        <v>0.0</v>
      </c>
      <c r="M502" s="1">
        <v>2.0</v>
      </c>
      <c r="N502" s="1">
        <v>0.0</v>
      </c>
      <c r="O502" s="1">
        <v>0.0</v>
      </c>
      <c r="P502" s="1">
        <v>22.0</v>
      </c>
      <c r="Q502" s="1">
        <v>105.0</v>
      </c>
      <c r="V502" s="2">
        <f>VLOOKUP(B502,'202324'!B:C,2,FALSE)-A502</f>
        <v>-10</v>
      </c>
    </row>
    <row r="503">
      <c r="A503" s="1">
        <f t="shared" si="1"/>
        <v>501</v>
      </c>
      <c r="B503" s="1" t="s">
        <v>1561</v>
      </c>
      <c r="C503" s="1" t="s">
        <v>1091</v>
      </c>
      <c r="D503" s="1" t="s">
        <v>31</v>
      </c>
      <c r="E503" s="11">
        <f t="shared" si="2"/>
        <v>158</v>
      </c>
      <c r="F503" s="11">
        <f t="shared" si="3"/>
        <v>2.507936508</v>
      </c>
      <c r="G503" s="1">
        <v>63.0</v>
      </c>
      <c r="H503" s="1">
        <v>13.0</v>
      </c>
      <c r="I503" s="1">
        <v>10.0</v>
      </c>
      <c r="J503" s="1">
        <v>23.0</v>
      </c>
      <c r="K503" s="1">
        <v>78.0</v>
      </c>
      <c r="L503" s="1">
        <v>4.0</v>
      </c>
      <c r="M503" s="1">
        <v>2.0</v>
      </c>
      <c r="N503" s="1">
        <v>0.0</v>
      </c>
      <c r="O503" s="1">
        <v>1.0</v>
      </c>
      <c r="P503" s="1">
        <v>60.0</v>
      </c>
      <c r="Q503" s="1">
        <v>15.0</v>
      </c>
      <c r="V503" s="2">
        <f>VLOOKUP(B503,'202324'!B:C,2,FALSE)-A503</f>
        <v>-2</v>
      </c>
    </row>
    <row r="504">
      <c r="A504" s="1">
        <f t="shared" si="1"/>
        <v>502</v>
      </c>
      <c r="B504" s="1" t="s">
        <v>1562</v>
      </c>
      <c r="C504" s="1" t="s">
        <v>1067</v>
      </c>
      <c r="D504" s="1" t="s">
        <v>31</v>
      </c>
      <c r="E504" s="11">
        <f t="shared" si="2"/>
        <v>157.85</v>
      </c>
      <c r="F504" s="11">
        <f t="shared" si="3"/>
        <v>2.505555556</v>
      </c>
      <c r="G504" s="1">
        <v>63.0</v>
      </c>
      <c r="H504" s="1">
        <v>8.0</v>
      </c>
      <c r="I504" s="1">
        <v>6.0</v>
      </c>
      <c r="J504" s="1">
        <v>14.0</v>
      </c>
      <c r="K504" s="1">
        <v>73.0</v>
      </c>
      <c r="L504" s="1">
        <v>0.0</v>
      </c>
      <c r="M504" s="1">
        <v>0.0</v>
      </c>
      <c r="N504" s="1">
        <v>0.0</v>
      </c>
      <c r="O504" s="1">
        <v>0.0</v>
      </c>
      <c r="P504" s="1">
        <v>141.0</v>
      </c>
      <c r="Q504" s="1">
        <v>36.0</v>
      </c>
      <c r="V504" s="2">
        <f>VLOOKUP(B504,'202324'!B:C,2,FALSE)-A504</f>
        <v>20</v>
      </c>
    </row>
    <row r="505">
      <c r="A505" s="1">
        <f t="shared" si="1"/>
        <v>503</v>
      </c>
      <c r="B505" s="1" t="s">
        <v>1563</v>
      </c>
      <c r="C505" s="1" t="s">
        <v>1080</v>
      </c>
      <c r="D505" s="1" t="s">
        <v>28</v>
      </c>
      <c r="E505" s="11">
        <f t="shared" si="2"/>
        <v>157.8</v>
      </c>
      <c r="F505" s="11">
        <f t="shared" si="3"/>
        <v>3.357446809</v>
      </c>
      <c r="G505" s="1">
        <v>47.0</v>
      </c>
      <c r="H505" s="1">
        <v>13.0</v>
      </c>
      <c r="I505" s="1">
        <v>11.0</v>
      </c>
      <c r="J505" s="1">
        <v>24.0</v>
      </c>
      <c r="K505" s="1">
        <v>97.0</v>
      </c>
      <c r="L505" s="1">
        <v>0.0</v>
      </c>
      <c r="M505" s="1">
        <v>1.0</v>
      </c>
      <c r="N505" s="1">
        <v>0.0</v>
      </c>
      <c r="O505" s="1">
        <v>0.0</v>
      </c>
      <c r="P505" s="1">
        <v>18.0</v>
      </c>
      <c r="Q505" s="1">
        <v>23.0</v>
      </c>
      <c r="V505" s="2">
        <f>VLOOKUP(B505,'202324'!B:C,2,FALSE)-A505</f>
        <v>-13</v>
      </c>
    </row>
    <row r="506">
      <c r="A506" s="1">
        <f t="shared" si="1"/>
        <v>504</v>
      </c>
      <c r="B506" s="1" t="s">
        <v>1564</v>
      </c>
      <c r="C506" s="1" t="s">
        <v>1111</v>
      </c>
      <c r="D506" s="1" t="s">
        <v>66</v>
      </c>
      <c r="E506" s="11">
        <f t="shared" si="2"/>
        <v>157.65</v>
      </c>
      <c r="F506" s="11">
        <f t="shared" si="3"/>
        <v>2.318382353</v>
      </c>
      <c r="G506" s="1">
        <v>68.0</v>
      </c>
      <c r="H506" s="1">
        <v>2.0</v>
      </c>
      <c r="I506" s="1">
        <v>15.0</v>
      </c>
      <c r="J506" s="1">
        <v>17.0</v>
      </c>
      <c r="K506" s="1">
        <v>69.0</v>
      </c>
      <c r="L506" s="1">
        <v>0.0</v>
      </c>
      <c r="M506" s="1">
        <v>4.0</v>
      </c>
      <c r="N506" s="1">
        <v>0.0</v>
      </c>
      <c r="O506" s="1">
        <v>0.0</v>
      </c>
      <c r="P506" s="1">
        <v>69.0</v>
      </c>
      <c r="Q506" s="1">
        <v>90.0</v>
      </c>
      <c r="V506" s="2">
        <f>VLOOKUP(B506,'202324'!B:C,2,FALSE)-A506</f>
        <v>0</v>
      </c>
    </row>
    <row r="507">
      <c r="A507" s="1">
        <f t="shared" si="1"/>
        <v>505</v>
      </c>
      <c r="B507" s="1" t="s">
        <v>1565</v>
      </c>
      <c r="C507" s="1" t="s">
        <v>1175</v>
      </c>
      <c r="D507" s="1" t="s">
        <v>66</v>
      </c>
      <c r="E507" s="11">
        <f t="shared" si="2"/>
        <v>157.3</v>
      </c>
      <c r="F507" s="11">
        <f t="shared" si="3"/>
        <v>2.184722222</v>
      </c>
      <c r="G507" s="1">
        <v>72.0</v>
      </c>
      <c r="H507" s="1">
        <v>1.0</v>
      </c>
      <c r="I507" s="1">
        <v>16.0</v>
      </c>
      <c r="J507" s="1">
        <v>17.0</v>
      </c>
      <c r="K507" s="1">
        <v>93.0</v>
      </c>
      <c r="L507" s="1">
        <v>0.0</v>
      </c>
      <c r="M507" s="1">
        <v>9.0</v>
      </c>
      <c r="N507" s="1">
        <v>0.0</v>
      </c>
      <c r="O507" s="1">
        <v>0.0</v>
      </c>
      <c r="P507" s="1">
        <v>48.0</v>
      </c>
      <c r="Q507" s="1">
        <v>83.0</v>
      </c>
      <c r="V507" s="2">
        <f>VLOOKUP(B507,'202324'!B:C,2,FALSE)-A507</f>
        <v>-8</v>
      </c>
    </row>
    <row r="508">
      <c r="A508" s="1">
        <f t="shared" si="1"/>
        <v>506</v>
      </c>
      <c r="B508" s="1" t="s">
        <v>1566</v>
      </c>
      <c r="C508" s="1" t="s">
        <v>1076</v>
      </c>
      <c r="D508" s="1" t="s">
        <v>5</v>
      </c>
      <c r="E508" s="11">
        <f t="shared" si="2"/>
        <v>156.9</v>
      </c>
      <c r="F508" s="11">
        <f t="shared" si="3"/>
        <v>4.614705882</v>
      </c>
      <c r="G508" s="1">
        <v>34.0</v>
      </c>
      <c r="R508" s="1">
        <v>12.0</v>
      </c>
      <c r="S508" s="1">
        <v>114.0</v>
      </c>
      <c r="T508" s="1">
        <v>973.0</v>
      </c>
      <c r="U508" s="1">
        <v>0.0</v>
      </c>
      <c r="V508" s="2">
        <f>VLOOKUP(B508,'202324'!B:C,2,FALSE)-A508</f>
        <v>-19</v>
      </c>
    </row>
    <row r="509">
      <c r="A509" s="1">
        <f t="shared" si="1"/>
        <v>506</v>
      </c>
      <c r="B509" s="1" t="s">
        <v>1567</v>
      </c>
      <c r="C509" s="1" t="s">
        <v>1076</v>
      </c>
      <c r="D509" s="1" t="s">
        <v>5</v>
      </c>
      <c r="E509" s="11">
        <f t="shared" si="2"/>
        <v>156.9</v>
      </c>
      <c r="F509" s="11">
        <f t="shared" si="3"/>
        <v>4.240540541</v>
      </c>
      <c r="G509" s="1">
        <v>37.0</v>
      </c>
      <c r="R509" s="1">
        <v>7.0</v>
      </c>
      <c r="S509" s="1">
        <v>116.0</v>
      </c>
      <c r="T509" s="12">
        <v>1023.0</v>
      </c>
      <c r="U509" s="1">
        <v>1.0</v>
      </c>
      <c r="V509" s="2">
        <f>VLOOKUP(B509,'202324'!B:C,2,FALSE)-A509</f>
        <v>-19</v>
      </c>
    </row>
    <row r="510">
      <c r="A510" s="1">
        <f t="shared" si="1"/>
        <v>508</v>
      </c>
      <c r="B510" s="1" t="s">
        <v>1568</v>
      </c>
      <c r="C510" s="1" t="s">
        <v>1146</v>
      </c>
      <c r="D510" s="1" t="s">
        <v>66</v>
      </c>
      <c r="E510" s="11">
        <f t="shared" si="2"/>
        <v>156.2</v>
      </c>
      <c r="F510" s="11">
        <f t="shared" si="3"/>
        <v>1.9525</v>
      </c>
      <c r="G510" s="1">
        <v>80.0</v>
      </c>
      <c r="H510" s="1">
        <v>6.0</v>
      </c>
      <c r="I510" s="1">
        <v>10.0</v>
      </c>
      <c r="J510" s="1">
        <v>16.0</v>
      </c>
      <c r="K510" s="1">
        <v>69.0</v>
      </c>
      <c r="L510" s="1">
        <v>0.0</v>
      </c>
      <c r="M510" s="1">
        <v>0.0</v>
      </c>
      <c r="N510" s="1">
        <v>0.0</v>
      </c>
      <c r="O510" s="1">
        <v>0.0</v>
      </c>
      <c r="P510" s="1">
        <v>72.0</v>
      </c>
      <c r="Q510" s="1">
        <v>79.0</v>
      </c>
      <c r="V510" s="2">
        <f>VLOOKUP(B510,'202324'!B:C,2,FALSE)-A510</f>
        <v>-3</v>
      </c>
    </row>
    <row r="511">
      <c r="A511" s="1">
        <f t="shared" si="1"/>
        <v>509</v>
      </c>
      <c r="B511" s="1" t="s">
        <v>1569</v>
      </c>
      <c r="C511" s="1" t="s">
        <v>1570</v>
      </c>
      <c r="D511" s="1" t="s">
        <v>31</v>
      </c>
      <c r="E511" s="11">
        <f t="shared" si="2"/>
        <v>156.05</v>
      </c>
      <c r="F511" s="11">
        <f t="shared" si="3"/>
        <v>2.167361111</v>
      </c>
      <c r="G511" s="1">
        <v>72.0</v>
      </c>
      <c r="H511" s="1">
        <v>11.0</v>
      </c>
      <c r="I511" s="1">
        <v>4.0</v>
      </c>
      <c r="J511" s="1">
        <v>15.0</v>
      </c>
      <c r="K511" s="1">
        <v>90.0</v>
      </c>
      <c r="L511" s="1">
        <v>4.0</v>
      </c>
      <c r="M511" s="1">
        <v>0.0</v>
      </c>
      <c r="N511" s="1">
        <v>2.0</v>
      </c>
      <c r="O511" s="1">
        <v>0.0</v>
      </c>
      <c r="P511" s="1">
        <v>83.0</v>
      </c>
      <c r="Q511" s="1">
        <v>33.0</v>
      </c>
      <c r="V511" s="2">
        <f>VLOOKUP(B511,'202324'!B:C,2,FALSE)-A511</f>
        <v>1</v>
      </c>
    </row>
    <row r="512">
      <c r="A512" s="1">
        <f t="shared" si="1"/>
        <v>510</v>
      </c>
      <c r="B512" s="1" t="s">
        <v>1571</v>
      </c>
      <c r="C512" s="1" t="s">
        <v>1091</v>
      </c>
      <c r="D512" s="1" t="s">
        <v>66</v>
      </c>
      <c r="E512" s="11">
        <f t="shared" si="2"/>
        <v>155.45</v>
      </c>
      <c r="F512" s="11">
        <f t="shared" si="3"/>
        <v>2.35530303</v>
      </c>
      <c r="G512" s="1">
        <v>66.0</v>
      </c>
      <c r="H512" s="1">
        <v>5.0</v>
      </c>
      <c r="I512" s="1">
        <v>16.0</v>
      </c>
      <c r="J512" s="1">
        <v>21.0</v>
      </c>
      <c r="K512" s="1">
        <v>61.0</v>
      </c>
      <c r="L512" s="1">
        <v>2.0</v>
      </c>
      <c r="M512" s="1">
        <v>7.0</v>
      </c>
      <c r="N512" s="1">
        <v>0.0</v>
      </c>
      <c r="O512" s="1">
        <v>1.0</v>
      </c>
      <c r="P512" s="1">
        <v>37.0</v>
      </c>
      <c r="Q512" s="1">
        <v>79.0</v>
      </c>
      <c r="V512" s="2">
        <f>VLOOKUP(B512,'202324'!B:C,2,FALSE)-A512</f>
        <v>-10</v>
      </c>
    </row>
    <row r="513">
      <c r="A513" s="1">
        <f t="shared" si="1"/>
        <v>511</v>
      </c>
      <c r="B513" s="1" t="s">
        <v>1572</v>
      </c>
      <c r="C513" s="1" t="s">
        <v>1172</v>
      </c>
      <c r="D513" s="1" t="s">
        <v>36</v>
      </c>
      <c r="E513" s="11">
        <f t="shared" si="2"/>
        <v>154.9</v>
      </c>
      <c r="F513" s="11">
        <f t="shared" si="3"/>
        <v>2.121917808</v>
      </c>
      <c r="G513" s="1">
        <v>73.0</v>
      </c>
      <c r="H513" s="1">
        <v>5.0</v>
      </c>
      <c r="I513" s="1">
        <v>9.0</v>
      </c>
      <c r="J513" s="1">
        <v>14.0</v>
      </c>
      <c r="K513" s="1">
        <v>120.0</v>
      </c>
      <c r="L513" s="1">
        <v>1.0</v>
      </c>
      <c r="M513" s="1">
        <v>2.0</v>
      </c>
      <c r="N513" s="1">
        <v>1.0</v>
      </c>
      <c r="O513" s="1">
        <v>0.0</v>
      </c>
      <c r="P513" s="1">
        <v>84.0</v>
      </c>
      <c r="Q513" s="1">
        <v>28.0</v>
      </c>
      <c r="V513" s="2">
        <f>VLOOKUP(B513,'202324'!B:C,2,FALSE)-A513</f>
        <v>1</v>
      </c>
    </row>
    <row r="514">
      <c r="A514" s="1">
        <f t="shared" si="1"/>
        <v>512</v>
      </c>
      <c r="B514" s="1" t="s">
        <v>1573</v>
      </c>
      <c r="C514" s="1" t="s">
        <v>1076</v>
      </c>
      <c r="D514" s="1" t="s">
        <v>31</v>
      </c>
      <c r="E514" s="11">
        <f t="shared" si="2"/>
        <v>154.85</v>
      </c>
      <c r="F514" s="11">
        <f t="shared" si="3"/>
        <v>3.441111111</v>
      </c>
      <c r="G514" s="1">
        <v>45.0</v>
      </c>
      <c r="H514" s="1">
        <v>10.0</v>
      </c>
      <c r="I514" s="1">
        <v>9.0</v>
      </c>
      <c r="J514" s="1">
        <v>19.0</v>
      </c>
      <c r="K514" s="1">
        <v>73.0</v>
      </c>
      <c r="L514" s="1">
        <v>0.0</v>
      </c>
      <c r="M514" s="1">
        <v>0.0</v>
      </c>
      <c r="N514" s="1">
        <v>0.0</v>
      </c>
      <c r="O514" s="1">
        <v>0.0</v>
      </c>
      <c r="P514" s="1">
        <v>101.0</v>
      </c>
      <c r="Q514" s="1">
        <v>22.0</v>
      </c>
      <c r="V514" s="2">
        <f>VLOOKUP(B514,'202324'!B:C,2,FALSE)-A514</f>
        <v>5</v>
      </c>
    </row>
    <row r="515">
      <c r="A515" s="1">
        <f t="shared" si="1"/>
        <v>513</v>
      </c>
      <c r="B515" s="1" t="s">
        <v>1574</v>
      </c>
      <c r="C515" s="1" t="s">
        <v>1082</v>
      </c>
      <c r="D515" s="1" t="s">
        <v>31</v>
      </c>
      <c r="E515" s="11">
        <f t="shared" si="2"/>
        <v>154.65</v>
      </c>
      <c r="F515" s="11">
        <f t="shared" si="3"/>
        <v>2.5775</v>
      </c>
      <c r="G515" s="1">
        <v>60.0</v>
      </c>
      <c r="H515" s="1">
        <v>6.0</v>
      </c>
      <c r="I515" s="1">
        <v>10.0</v>
      </c>
      <c r="J515" s="1">
        <v>16.0</v>
      </c>
      <c r="K515" s="1">
        <v>58.0</v>
      </c>
      <c r="L515" s="1">
        <v>0.0</v>
      </c>
      <c r="M515" s="1">
        <v>0.0</v>
      </c>
      <c r="N515" s="1">
        <v>0.0</v>
      </c>
      <c r="O515" s="1">
        <v>0.0</v>
      </c>
      <c r="P515" s="1">
        <v>159.0</v>
      </c>
      <c r="Q515" s="1">
        <v>26.0</v>
      </c>
      <c r="V515" s="2">
        <f>VLOOKUP(B515,'202324'!B:C,2,FALSE)-A515</f>
        <v>17</v>
      </c>
    </row>
    <row r="516">
      <c r="A516" s="1">
        <f t="shared" si="1"/>
        <v>514</v>
      </c>
      <c r="B516" s="1" t="s">
        <v>1575</v>
      </c>
      <c r="C516" s="1" t="s">
        <v>1091</v>
      </c>
      <c r="D516" s="1" t="s">
        <v>66</v>
      </c>
      <c r="E516" s="11">
        <f t="shared" si="2"/>
        <v>154.05</v>
      </c>
      <c r="F516" s="11">
        <f t="shared" si="3"/>
        <v>2.299253731</v>
      </c>
      <c r="G516" s="1">
        <v>67.0</v>
      </c>
      <c r="H516" s="1">
        <v>5.0</v>
      </c>
      <c r="I516" s="1">
        <v>1.0</v>
      </c>
      <c r="J516" s="1">
        <v>6.0</v>
      </c>
      <c r="K516" s="1">
        <v>60.0</v>
      </c>
      <c r="L516" s="1">
        <v>0.0</v>
      </c>
      <c r="M516" s="1">
        <v>0.0</v>
      </c>
      <c r="N516" s="1">
        <v>0.0</v>
      </c>
      <c r="O516" s="1">
        <v>0.0</v>
      </c>
      <c r="P516" s="1">
        <v>143.0</v>
      </c>
      <c r="Q516" s="1">
        <v>97.0</v>
      </c>
      <c r="V516" s="2">
        <f>VLOOKUP(B516,'202324'!B:C,2,FALSE)-A516</f>
        <v>14</v>
      </c>
    </row>
    <row r="517">
      <c r="A517" s="1">
        <f t="shared" si="1"/>
        <v>515</v>
      </c>
      <c r="B517" s="1" t="s">
        <v>1576</v>
      </c>
      <c r="C517" s="1" t="s">
        <v>1032</v>
      </c>
      <c r="D517" s="1" t="s">
        <v>31</v>
      </c>
      <c r="E517" s="11">
        <f t="shared" si="2"/>
        <v>153.75</v>
      </c>
      <c r="F517" s="11">
        <f t="shared" si="3"/>
        <v>2.956730769</v>
      </c>
      <c r="G517" s="1">
        <v>52.0</v>
      </c>
      <c r="H517" s="1">
        <v>10.0</v>
      </c>
      <c r="I517" s="1">
        <v>11.0</v>
      </c>
      <c r="J517" s="1">
        <v>21.0</v>
      </c>
      <c r="K517" s="1">
        <v>92.0</v>
      </c>
      <c r="L517" s="1">
        <v>0.0</v>
      </c>
      <c r="M517" s="1">
        <v>1.0</v>
      </c>
      <c r="N517" s="1">
        <v>1.0</v>
      </c>
      <c r="O517" s="1">
        <v>1.0</v>
      </c>
      <c r="P517" s="1">
        <v>55.0</v>
      </c>
      <c r="Q517" s="1">
        <v>13.0</v>
      </c>
      <c r="V517" s="2">
        <f>VLOOKUP(B517,'202324'!B:C,2,FALSE)-A517</f>
        <v>-9</v>
      </c>
    </row>
    <row r="518">
      <c r="A518" s="1">
        <f t="shared" si="1"/>
        <v>516</v>
      </c>
      <c r="B518" s="1" t="s">
        <v>1577</v>
      </c>
      <c r="C518" s="1" t="s">
        <v>1032</v>
      </c>
      <c r="D518" s="1" t="s">
        <v>36</v>
      </c>
      <c r="E518" s="11">
        <f t="shared" si="2"/>
        <v>152.4</v>
      </c>
      <c r="F518" s="11">
        <f t="shared" si="3"/>
        <v>1.953846154</v>
      </c>
      <c r="G518" s="1">
        <v>78.0</v>
      </c>
      <c r="H518" s="1">
        <v>8.0</v>
      </c>
      <c r="I518" s="1">
        <v>11.0</v>
      </c>
      <c r="J518" s="1">
        <v>19.0</v>
      </c>
      <c r="K518" s="1">
        <v>79.0</v>
      </c>
      <c r="L518" s="1">
        <v>0.0</v>
      </c>
      <c r="M518" s="1">
        <v>0.0</v>
      </c>
      <c r="N518" s="1">
        <v>0.0</v>
      </c>
      <c r="O518" s="1">
        <v>0.0</v>
      </c>
      <c r="P518" s="1">
        <v>84.0</v>
      </c>
      <c r="Q518" s="1">
        <v>29.0</v>
      </c>
      <c r="V518" s="2">
        <f>VLOOKUP(B518,'202324'!B:C,2,FALSE)-A518</f>
        <v>5</v>
      </c>
    </row>
    <row r="519">
      <c r="A519" s="1">
        <f t="shared" si="1"/>
        <v>517</v>
      </c>
      <c r="B519" s="1" t="s">
        <v>1578</v>
      </c>
      <c r="C519" s="1" t="s">
        <v>1073</v>
      </c>
      <c r="D519" s="1" t="s">
        <v>31</v>
      </c>
      <c r="E519" s="11">
        <f t="shared" si="2"/>
        <v>150.8</v>
      </c>
      <c r="F519" s="11">
        <f t="shared" si="3"/>
        <v>2.393650794</v>
      </c>
      <c r="G519" s="1">
        <v>63.0</v>
      </c>
      <c r="H519" s="1">
        <v>8.0</v>
      </c>
      <c r="I519" s="1">
        <v>16.0</v>
      </c>
      <c r="J519" s="1">
        <v>24.0</v>
      </c>
      <c r="K519" s="1">
        <v>96.0</v>
      </c>
      <c r="L519" s="1">
        <v>1.0</v>
      </c>
      <c r="M519" s="1">
        <v>6.0</v>
      </c>
      <c r="N519" s="1">
        <v>0.0</v>
      </c>
      <c r="O519" s="1">
        <v>0.0</v>
      </c>
      <c r="P519" s="1">
        <v>28.0</v>
      </c>
      <c r="Q519" s="1">
        <v>18.0</v>
      </c>
      <c r="V519" s="2">
        <f>VLOOKUP(B519,'202324'!B:C,2,FALSE)-A519</f>
        <v>-9</v>
      </c>
    </row>
    <row r="520">
      <c r="A520" s="1">
        <f t="shared" si="1"/>
        <v>517</v>
      </c>
      <c r="B520" s="1" t="s">
        <v>1579</v>
      </c>
      <c r="C520" s="1" t="s">
        <v>1172</v>
      </c>
      <c r="D520" s="1" t="s">
        <v>66</v>
      </c>
      <c r="E520" s="11">
        <f t="shared" si="2"/>
        <v>150.8</v>
      </c>
      <c r="F520" s="11">
        <f t="shared" si="3"/>
        <v>2.9</v>
      </c>
      <c r="G520" s="1">
        <v>52.0</v>
      </c>
      <c r="H520" s="1">
        <v>0.0</v>
      </c>
      <c r="I520" s="1">
        <v>9.0</v>
      </c>
      <c r="J520" s="1">
        <v>9.0</v>
      </c>
      <c r="K520" s="1">
        <v>32.0</v>
      </c>
      <c r="L520" s="1">
        <v>0.0</v>
      </c>
      <c r="M520" s="1">
        <v>0.0</v>
      </c>
      <c r="N520" s="1">
        <v>0.0</v>
      </c>
      <c r="O520" s="1">
        <v>1.0</v>
      </c>
      <c r="P520" s="1">
        <v>168.0</v>
      </c>
      <c r="Q520" s="1">
        <v>94.0</v>
      </c>
      <c r="V520" s="2">
        <f>VLOOKUP(B520,'202324'!B:C,2,FALSE)-A520</f>
        <v>28</v>
      </c>
    </row>
    <row r="521">
      <c r="A521" s="1">
        <f t="shared" si="1"/>
        <v>519</v>
      </c>
      <c r="B521" s="1" t="s">
        <v>1580</v>
      </c>
      <c r="C521" s="1" t="s">
        <v>1091</v>
      </c>
      <c r="D521" s="1" t="s">
        <v>36</v>
      </c>
      <c r="E521" s="11">
        <f t="shared" si="2"/>
        <v>150.6</v>
      </c>
      <c r="F521" s="11">
        <f t="shared" si="3"/>
        <v>2.642105263</v>
      </c>
      <c r="G521" s="1">
        <v>57.0</v>
      </c>
      <c r="H521" s="1">
        <v>11.0</v>
      </c>
      <c r="I521" s="1">
        <v>12.0</v>
      </c>
      <c r="J521" s="1">
        <v>23.0</v>
      </c>
      <c r="K521" s="1">
        <v>81.0</v>
      </c>
      <c r="L521" s="1">
        <v>3.0</v>
      </c>
      <c r="M521" s="1">
        <v>2.0</v>
      </c>
      <c r="N521" s="1">
        <v>0.0</v>
      </c>
      <c r="O521" s="1">
        <v>0.0</v>
      </c>
      <c r="P521" s="1">
        <v>36.0</v>
      </c>
      <c r="Q521" s="1">
        <v>24.0</v>
      </c>
      <c r="V521" s="2">
        <f>VLOOKUP(B521,'202324'!B:C,2,FALSE)-A521</f>
        <v>-8</v>
      </c>
    </row>
    <row r="522">
      <c r="A522" s="1">
        <f t="shared" si="1"/>
        <v>520</v>
      </c>
      <c r="B522" s="1" t="s">
        <v>1581</v>
      </c>
      <c r="C522" s="1" t="s">
        <v>1120</v>
      </c>
      <c r="D522" s="1" t="s">
        <v>66</v>
      </c>
      <c r="E522" s="11">
        <f t="shared" si="2"/>
        <v>150.55</v>
      </c>
      <c r="F522" s="11">
        <f t="shared" si="3"/>
        <v>2.090972222</v>
      </c>
      <c r="G522" s="1">
        <v>72.0</v>
      </c>
      <c r="H522" s="1">
        <v>4.0</v>
      </c>
      <c r="I522" s="1">
        <v>14.0</v>
      </c>
      <c r="J522" s="1">
        <v>18.0</v>
      </c>
      <c r="K522" s="1">
        <v>48.0</v>
      </c>
      <c r="L522" s="1">
        <v>0.0</v>
      </c>
      <c r="M522" s="1">
        <v>0.0</v>
      </c>
      <c r="N522" s="1">
        <v>0.0</v>
      </c>
      <c r="O522" s="1">
        <v>0.0</v>
      </c>
      <c r="P522" s="1">
        <v>53.0</v>
      </c>
      <c r="Q522" s="1">
        <v>96.0</v>
      </c>
      <c r="V522" s="2">
        <f>VLOOKUP(B522,'202324'!B:C,2,FALSE)-A522</f>
        <v>-5</v>
      </c>
    </row>
    <row r="523">
      <c r="A523" s="1">
        <f t="shared" si="1"/>
        <v>521</v>
      </c>
      <c r="B523" s="1" t="s">
        <v>1582</v>
      </c>
      <c r="C523" s="1" t="s">
        <v>1172</v>
      </c>
      <c r="D523" s="1" t="s">
        <v>66</v>
      </c>
      <c r="E523" s="11">
        <f t="shared" si="2"/>
        <v>149.6</v>
      </c>
      <c r="F523" s="11">
        <f t="shared" si="3"/>
        <v>3.252173913</v>
      </c>
      <c r="G523" s="1">
        <v>46.0</v>
      </c>
      <c r="H523" s="1">
        <v>2.0</v>
      </c>
      <c r="I523" s="1">
        <v>6.0</v>
      </c>
      <c r="J523" s="1">
        <v>8.0</v>
      </c>
      <c r="K523" s="1">
        <v>51.0</v>
      </c>
      <c r="L523" s="1">
        <v>0.0</v>
      </c>
      <c r="M523" s="1">
        <v>0.0</v>
      </c>
      <c r="N523" s="1">
        <v>0.0</v>
      </c>
      <c r="O523" s="1">
        <v>0.0</v>
      </c>
      <c r="P523" s="1">
        <v>116.0</v>
      </c>
      <c r="Q523" s="1">
        <v>113.0</v>
      </c>
      <c r="V523" s="2">
        <f>VLOOKUP(B523,'202324'!B:C,2,FALSE)-A523</f>
        <v>13</v>
      </c>
    </row>
    <row r="524">
      <c r="A524" s="1">
        <f t="shared" si="1"/>
        <v>522</v>
      </c>
      <c r="B524" s="1" t="s">
        <v>1583</v>
      </c>
      <c r="C524" s="1" t="s">
        <v>1172</v>
      </c>
      <c r="D524" s="1" t="s">
        <v>66</v>
      </c>
      <c r="E524" s="11">
        <f t="shared" si="2"/>
        <v>149.1</v>
      </c>
      <c r="F524" s="11">
        <f t="shared" si="3"/>
        <v>1.961842105</v>
      </c>
      <c r="G524" s="1">
        <v>76.0</v>
      </c>
      <c r="H524" s="1">
        <v>5.0</v>
      </c>
      <c r="I524" s="1">
        <v>10.0</v>
      </c>
      <c r="J524" s="1">
        <v>15.0</v>
      </c>
      <c r="K524" s="1">
        <v>93.0</v>
      </c>
      <c r="L524" s="1">
        <v>0.0</v>
      </c>
      <c r="M524" s="1">
        <v>7.0</v>
      </c>
      <c r="N524" s="1">
        <v>0.0</v>
      </c>
      <c r="O524" s="1">
        <v>0.0</v>
      </c>
      <c r="P524" s="1">
        <v>26.0</v>
      </c>
      <c r="Q524" s="1">
        <v>82.0</v>
      </c>
      <c r="V524" s="2">
        <f>VLOOKUP(B524,'202324'!B:C,2,FALSE)-A524</f>
        <v>-10</v>
      </c>
    </row>
    <row r="525">
      <c r="A525" s="1">
        <f t="shared" si="1"/>
        <v>523</v>
      </c>
      <c r="B525" s="1" t="s">
        <v>1584</v>
      </c>
      <c r="C525" s="1" t="s">
        <v>1036</v>
      </c>
      <c r="D525" s="1" t="s">
        <v>36</v>
      </c>
      <c r="E525" s="11">
        <f t="shared" si="2"/>
        <v>148.55</v>
      </c>
      <c r="F525" s="11">
        <f t="shared" si="3"/>
        <v>2.750925926</v>
      </c>
      <c r="G525" s="1">
        <v>54.0</v>
      </c>
      <c r="H525" s="1">
        <v>12.0</v>
      </c>
      <c r="I525" s="1">
        <v>10.0</v>
      </c>
      <c r="J525" s="1">
        <v>22.0</v>
      </c>
      <c r="K525" s="1">
        <v>82.0</v>
      </c>
      <c r="L525" s="1">
        <v>3.0</v>
      </c>
      <c r="M525" s="1">
        <v>1.0</v>
      </c>
      <c r="N525" s="1">
        <v>0.0</v>
      </c>
      <c r="O525" s="1">
        <v>0.0</v>
      </c>
      <c r="P525" s="1">
        <v>43.0</v>
      </c>
      <c r="Q525" s="1">
        <v>17.0</v>
      </c>
      <c r="V525" s="2">
        <f>VLOOKUP(B525,'202324'!B:C,2,FALSE)-A525</f>
        <v>-4</v>
      </c>
    </row>
    <row r="526">
      <c r="A526" s="1">
        <f t="shared" si="1"/>
        <v>523</v>
      </c>
      <c r="B526" s="1" t="s">
        <v>1585</v>
      </c>
      <c r="C526" s="1" t="s">
        <v>1146</v>
      </c>
      <c r="D526" s="1" t="s">
        <v>28</v>
      </c>
      <c r="E526" s="11">
        <f t="shared" si="2"/>
        <v>148.55</v>
      </c>
      <c r="F526" s="11">
        <f t="shared" si="3"/>
        <v>2.122142857</v>
      </c>
      <c r="G526" s="1">
        <v>70.0</v>
      </c>
      <c r="H526" s="1">
        <v>9.0</v>
      </c>
      <c r="I526" s="1">
        <v>15.0</v>
      </c>
      <c r="J526" s="1">
        <v>24.0</v>
      </c>
      <c r="K526" s="1">
        <v>72.0</v>
      </c>
      <c r="L526" s="1">
        <v>0.0</v>
      </c>
      <c r="M526" s="1">
        <v>1.0</v>
      </c>
      <c r="N526" s="1">
        <v>0.0</v>
      </c>
      <c r="O526" s="1">
        <v>0.0</v>
      </c>
      <c r="P526" s="1">
        <v>43.0</v>
      </c>
      <c r="Q526" s="1">
        <v>24.0</v>
      </c>
      <c r="V526" s="2">
        <f>VLOOKUP(B526,'202324'!B:C,2,FALSE)-A526</f>
        <v>-4</v>
      </c>
    </row>
    <row r="527">
      <c r="A527" s="1">
        <f t="shared" si="1"/>
        <v>525</v>
      </c>
      <c r="B527" s="1" t="s">
        <v>1586</v>
      </c>
      <c r="C527" s="1" t="s">
        <v>1085</v>
      </c>
      <c r="D527" s="1" t="s">
        <v>5</v>
      </c>
      <c r="E527" s="11">
        <f t="shared" si="2"/>
        <v>148.2</v>
      </c>
      <c r="F527" s="11">
        <f t="shared" si="3"/>
        <v>4.63125</v>
      </c>
      <c r="G527" s="1">
        <v>32.0</v>
      </c>
      <c r="R527" s="1">
        <v>16.0</v>
      </c>
      <c r="S527" s="1">
        <v>85.0</v>
      </c>
      <c r="T527" s="1">
        <v>759.0</v>
      </c>
      <c r="U527" s="1">
        <v>0.0</v>
      </c>
      <c r="V527" s="2">
        <f>VLOOKUP(B527,'202324'!B:C,2,FALSE)-A527</f>
        <v>-18</v>
      </c>
    </row>
    <row r="528">
      <c r="A528" s="1">
        <f t="shared" si="1"/>
        <v>526</v>
      </c>
      <c r="B528" s="1" t="s">
        <v>1587</v>
      </c>
      <c r="C528" s="1" t="s">
        <v>1156</v>
      </c>
      <c r="D528" s="1" t="s">
        <v>36</v>
      </c>
      <c r="E528" s="11">
        <f t="shared" si="2"/>
        <v>148.05</v>
      </c>
      <c r="F528" s="11">
        <f t="shared" si="3"/>
        <v>2.741666667</v>
      </c>
      <c r="G528" s="1">
        <v>54.0</v>
      </c>
      <c r="H528" s="1">
        <v>5.0</v>
      </c>
      <c r="I528" s="1">
        <v>7.0</v>
      </c>
      <c r="J528" s="1">
        <v>12.0</v>
      </c>
      <c r="K528" s="1">
        <v>55.0</v>
      </c>
      <c r="L528" s="1">
        <v>0.0</v>
      </c>
      <c r="M528" s="1">
        <v>0.0</v>
      </c>
      <c r="N528" s="1">
        <v>1.0</v>
      </c>
      <c r="O528" s="1">
        <v>0.0</v>
      </c>
      <c r="P528" s="1">
        <v>163.0</v>
      </c>
      <c r="Q528" s="1">
        <v>36.0</v>
      </c>
      <c r="V528" s="2">
        <f>VLOOKUP(B528,'202324'!B:C,2,FALSE)-A528</f>
        <v>24</v>
      </c>
    </row>
    <row r="529">
      <c r="A529" s="1">
        <f t="shared" si="1"/>
        <v>527</v>
      </c>
      <c r="B529" s="1" t="s">
        <v>1588</v>
      </c>
      <c r="C529" s="1" t="s">
        <v>1156</v>
      </c>
      <c r="D529" s="1" t="s">
        <v>66</v>
      </c>
      <c r="E529" s="11">
        <f t="shared" si="2"/>
        <v>147.8</v>
      </c>
      <c r="F529" s="11">
        <f t="shared" si="3"/>
        <v>2.052777778</v>
      </c>
      <c r="G529" s="1">
        <v>72.0</v>
      </c>
      <c r="H529" s="1">
        <v>4.0</v>
      </c>
      <c r="I529" s="1">
        <v>9.0</v>
      </c>
      <c r="J529" s="1">
        <v>13.0</v>
      </c>
      <c r="K529" s="1">
        <v>76.0</v>
      </c>
      <c r="L529" s="1">
        <v>0.0</v>
      </c>
      <c r="M529" s="1">
        <v>0.0</v>
      </c>
      <c r="N529" s="1">
        <v>0.0</v>
      </c>
      <c r="O529" s="1">
        <v>0.0</v>
      </c>
      <c r="P529" s="1">
        <v>28.0</v>
      </c>
      <c r="Q529" s="1">
        <v>110.0</v>
      </c>
      <c r="V529" s="2">
        <f>VLOOKUP(B529,'202324'!B:C,2,FALSE)-A529</f>
        <v>-11</v>
      </c>
    </row>
    <row r="530">
      <c r="A530" s="1">
        <f t="shared" si="1"/>
        <v>528</v>
      </c>
      <c r="B530" s="1" t="s">
        <v>1589</v>
      </c>
      <c r="C530" s="1" t="s">
        <v>1034</v>
      </c>
      <c r="D530" s="1" t="s">
        <v>31</v>
      </c>
      <c r="E530" s="11">
        <f t="shared" si="2"/>
        <v>147.35</v>
      </c>
      <c r="F530" s="11">
        <f t="shared" si="3"/>
        <v>1.819135802</v>
      </c>
      <c r="G530" s="1">
        <v>81.0</v>
      </c>
      <c r="H530" s="1">
        <v>10.0</v>
      </c>
      <c r="I530" s="1">
        <v>1.0</v>
      </c>
      <c r="J530" s="1">
        <v>11.0</v>
      </c>
      <c r="K530" s="1">
        <v>57.0</v>
      </c>
      <c r="L530" s="1">
        <v>0.0</v>
      </c>
      <c r="M530" s="1">
        <v>0.0</v>
      </c>
      <c r="N530" s="1">
        <v>1.0</v>
      </c>
      <c r="O530" s="1">
        <v>0.0</v>
      </c>
      <c r="P530" s="1">
        <v>121.0</v>
      </c>
      <c r="Q530" s="1">
        <v>53.0</v>
      </c>
      <c r="V530" s="2">
        <f>VLOOKUP(B530,'202324'!B:C,2,FALSE)-A530</f>
        <v>14</v>
      </c>
    </row>
    <row r="531">
      <c r="A531" s="1">
        <f t="shared" si="1"/>
        <v>529</v>
      </c>
      <c r="B531" s="1" t="s">
        <v>1590</v>
      </c>
      <c r="C531" s="1" t="s">
        <v>1175</v>
      </c>
      <c r="D531" s="1" t="s">
        <v>66</v>
      </c>
      <c r="E531" s="11">
        <f t="shared" si="2"/>
        <v>147.25</v>
      </c>
      <c r="F531" s="11">
        <f t="shared" si="3"/>
        <v>2.583333333</v>
      </c>
      <c r="G531" s="1">
        <v>57.0</v>
      </c>
      <c r="H531" s="1">
        <v>6.0</v>
      </c>
      <c r="I531" s="1">
        <v>6.0</v>
      </c>
      <c r="J531" s="1">
        <v>12.0</v>
      </c>
      <c r="K531" s="1">
        <v>72.0</v>
      </c>
      <c r="L531" s="1">
        <v>0.0</v>
      </c>
      <c r="M531" s="1">
        <v>0.0</v>
      </c>
      <c r="N531" s="1">
        <v>0.0</v>
      </c>
      <c r="O531" s="1">
        <v>0.0</v>
      </c>
      <c r="P531" s="1">
        <v>35.0</v>
      </c>
      <c r="Q531" s="1">
        <v>108.0</v>
      </c>
      <c r="V531" s="2">
        <f>VLOOKUP(B531,'202324'!B:C,2,FALSE)-A531</f>
        <v>-7</v>
      </c>
    </row>
    <row r="532">
      <c r="A532" s="1">
        <f t="shared" si="1"/>
        <v>530</v>
      </c>
      <c r="B532" s="1" t="s">
        <v>1591</v>
      </c>
      <c r="C532" s="1" t="s">
        <v>1042</v>
      </c>
      <c r="D532" s="1" t="s">
        <v>28</v>
      </c>
      <c r="E532" s="11">
        <f t="shared" si="2"/>
        <v>147.05</v>
      </c>
      <c r="F532" s="11">
        <f t="shared" si="3"/>
        <v>2.450833333</v>
      </c>
      <c r="G532" s="1">
        <v>60.0</v>
      </c>
      <c r="H532" s="1">
        <v>5.0</v>
      </c>
      <c r="I532" s="1">
        <v>12.0</v>
      </c>
      <c r="J532" s="1">
        <v>17.0</v>
      </c>
      <c r="K532" s="1">
        <v>105.0</v>
      </c>
      <c r="L532" s="1">
        <v>2.0</v>
      </c>
      <c r="M532" s="1">
        <v>2.0</v>
      </c>
      <c r="N532" s="1">
        <v>0.0</v>
      </c>
      <c r="O532" s="1">
        <v>0.0</v>
      </c>
      <c r="P532" s="1">
        <v>53.0</v>
      </c>
      <c r="Q532" s="1">
        <v>35.0</v>
      </c>
      <c r="V532" s="2">
        <f>VLOOKUP(B532,'202324'!B:C,2,FALSE)-A532</f>
        <v>-5</v>
      </c>
    </row>
    <row r="533">
      <c r="A533" s="1">
        <f t="shared" si="1"/>
        <v>531</v>
      </c>
      <c r="B533" s="1" t="s">
        <v>1592</v>
      </c>
      <c r="C533" s="1" t="s">
        <v>1078</v>
      </c>
      <c r="D533" s="1" t="s">
        <v>5</v>
      </c>
      <c r="E533" s="11">
        <f t="shared" si="2"/>
        <v>146.1</v>
      </c>
      <c r="F533" s="11">
        <f t="shared" si="3"/>
        <v>6.0875</v>
      </c>
      <c r="G533" s="1">
        <v>24.0</v>
      </c>
      <c r="R533" s="1">
        <v>13.0</v>
      </c>
      <c r="S533" s="1">
        <v>49.0</v>
      </c>
      <c r="T533" s="1">
        <v>572.0</v>
      </c>
      <c r="U533" s="1">
        <v>3.0</v>
      </c>
      <c r="V533" s="2">
        <f>VLOOKUP(B533,'202324'!B:C,2,FALSE)-A533</f>
        <v>-17</v>
      </c>
    </row>
    <row r="534">
      <c r="A534" s="1">
        <f t="shared" si="1"/>
        <v>531</v>
      </c>
      <c r="B534" s="1" t="s">
        <v>1593</v>
      </c>
      <c r="C534" s="1" t="s">
        <v>1570</v>
      </c>
      <c r="D534" s="1" t="s">
        <v>36</v>
      </c>
      <c r="E534" s="11">
        <f t="shared" si="2"/>
        <v>146.1</v>
      </c>
      <c r="F534" s="11">
        <f t="shared" si="3"/>
        <v>1.803703704</v>
      </c>
      <c r="G534" s="1">
        <v>81.0</v>
      </c>
      <c r="H534" s="1">
        <v>7.0</v>
      </c>
      <c r="I534" s="1">
        <v>12.0</v>
      </c>
      <c r="J534" s="1">
        <v>19.0</v>
      </c>
      <c r="K534" s="1">
        <v>102.0</v>
      </c>
      <c r="L534" s="1">
        <v>1.0</v>
      </c>
      <c r="M534" s="1">
        <v>3.0</v>
      </c>
      <c r="N534" s="1">
        <v>1.0</v>
      </c>
      <c r="O534" s="1">
        <v>1.0</v>
      </c>
      <c r="P534" s="1">
        <v>16.0</v>
      </c>
      <c r="Q534" s="1">
        <v>36.0</v>
      </c>
      <c r="V534" s="2">
        <f>VLOOKUP(B534,'202324'!B:C,2,FALSE)-A534</f>
        <v>-13</v>
      </c>
    </row>
    <row r="535">
      <c r="A535" s="1">
        <f t="shared" si="1"/>
        <v>533</v>
      </c>
      <c r="B535" s="1" t="s">
        <v>1594</v>
      </c>
      <c r="C535" s="1" t="s">
        <v>1069</v>
      </c>
      <c r="D535" s="1" t="s">
        <v>66</v>
      </c>
      <c r="E535" s="11">
        <f t="shared" si="2"/>
        <v>145.95</v>
      </c>
      <c r="F535" s="11">
        <f t="shared" si="3"/>
        <v>2.806730769</v>
      </c>
      <c r="G535" s="1">
        <v>52.0</v>
      </c>
      <c r="H535" s="1">
        <v>1.0</v>
      </c>
      <c r="I535" s="1">
        <v>8.0</v>
      </c>
      <c r="J535" s="1">
        <v>9.0</v>
      </c>
      <c r="K535" s="1">
        <v>52.0</v>
      </c>
      <c r="L535" s="1">
        <v>0.0</v>
      </c>
      <c r="M535" s="1">
        <v>0.0</v>
      </c>
      <c r="N535" s="1">
        <v>0.0</v>
      </c>
      <c r="O535" s="1">
        <v>0.0</v>
      </c>
      <c r="P535" s="1">
        <v>147.0</v>
      </c>
      <c r="Q535" s="1">
        <v>80.0</v>
      </c>
      <c r="V535" s="2">
        <f>VLOOKUP(B535,'202324'!B:C,2,FALSE)-A535</f>
        <v>19</v>
      </c>
    </row>
    <row r="536">
      <c r="A536" s="1">
        <f t="shared" si="1"/>
        <v>534</v>
      </c>
      <c r="B536" s="1" t="s">
        <v>1595</v>
      </c>
      <c r="C536" s="1" t="s">
        <v>1078</v>
      </c>
      <c r="D536" s="1" t="s">
        <v>28</v>
      </c>
      <c r="E536" s="11">
        <f t="shared" si="2"/>
        <v>145.05</v>
      </c>
      <c r="F536" s="11">
        <f t="shared" si="3"/>
        <v>2.901</v>
      </c>
      <c r="G536" s="1">
        <v>50.0</v>
      </c>
      <c r="H536" s="1">
        <v>8.0</v>
      </c>
      <c r="I536" s="1">
        <v>4.0</v>
      </c>
      <c r="J536" s="1">
        <v>12.0</v>
      </c>
      <c r="K536" s="1">
        <v>95.0</v>
      </c>
      <c r="L536" s="1">
        <v>1.0</v>
      </c>
      <c r="M536" s="1">
        <v>0.0</v>
      </c>
      <c r="N536" s="1">
        <v>1.0</v>
      </c>
      <c r="O536" s="1">
        <v>0.0</v>
      </c>
      <c r="P536" s="1">
        <v>113.0</v>
      </c>
      <c r="Q536" s="1">
        <v>16.0</v>
      </c>
      <c r="V536" s="2">
        <f>VLOOKUP(B536,'202324'!B:C,2,FALSE)-A536</f>
        <v>12</v>
      </c>
    </row>
    <row r="537">
      <c r="A537" s="1">
        <f t="shared" si="1"/>
        <v>535</v>
      </c>
      <c r="B537" s="1" t="s">
        <v>1596</v>
      </c>
      <c r="C537" s="1" t="s">
        <v>1040</v>
      </c>
      <c r="D537" s="1" t="s">
        <v>36</v>
      </c>
      <c r="E537" s="11">
        <f t="shared" si="2"/>
        <v>144.35</v>
      </c>
      <c r="F537" s="11">
        <f t="shared" si="3"/>
        <v>2.673148148</v>
      </c>
      <c r="G537" s="1">
        <v>54.0</v>
      </c>
      <c r="H537" s="1">
        <v>9.0</v>
      </c>
      <c r="I537" s="1">
        <v>12.0</v>
      </c>
      <c r="J537" s="1">
        <v>21.0</v>
      </c>
      <c r="K537" s="1">
        <v>83.0</v>
      </c>
      <c r="L537" s="1">
        <v>1.0</v>
      </c>
      <c r="M537" s="1">
        <v>0.0</v>
      </c>
      <c r="N537" s="1">
        <v>0.0</v>
      </c>
      <c r="O537" s="1">
        <v>0.0</v>
      </c>
      <c r="P537" s="1">
        <v>31.0</v>
      </c>
      <c r="Q537" s="1">
        <v>31.0</v>
      </c>
      <c r="V537" s="2">
        <f>VLOOKUP(B537,'202324'!B:C,2,FALSE)-A537</f>
        <v>-9</v>
      </c>
    </row>
    <row r="538">
      <c r="A538" s="1">
        <f t="shared" si="1"/>
        <v>536</v>
      </c>
      <c r="B538" s="1" t="s">
        <v>1597</v>
      </c>
      <c r="C538" s="1" t="s">
        <v>1073</v>
      </c>
      <c r="D538" s="1" t="s">
        <v>36</v>
      </c>
      <c r="E538" s="11">
        <f t="shared" si="2"/>
        <v>144.3</v>
      </c>
      <c r="F538" s="11">
        <f t="shared" si="3"/>
        <v>1.976712329</v>
      </c>
      <c r="G538" s="1">
        <v>73.0</v>
      </c>
      <c r="H538" s="1">
        <v>6.0</v>
      </c>
      <c r="I538" s="1">
        <v>13.0</v>
      </c>
      <c r="J538" s="1">
        <v>19.0</v>
      </c>
      <c r="K538" s="1">
        <v>79.0</v>
      </c>
      <c r="L538" s="1">
        <v>0.0</v>
      </c>
      <c r="M538" s="1">
        <v>0.0</v>
      </c>
      <c r="N538" s="1">
        <v>0.0</v>
      </c>
      <c r="O538" s="1">
        <v>0.0</v>
      </c>
      <c r="P538" s="1">
        <v>78.0</v>
      </c>
      <c r="Q538" s="1">
        <v>23.0</v>
      </c>
      <c r="V538" s="2">
        <f>VLOOKUP(B538,'202324'!B:C,2,FALSE)-A538</f>
        <v>3</v>
      </c>
    </row>
    <row r="539">
      <c r="A539" s="1">
        <f t="shared" si="1"/>
        <v>537</v>
      </c>
      <c r="B539" s="1" t="s">
        <v>1598</v>
      </c>
      <c r="C539" s="1" t="s">
        <v>1116</v>
      </c>
      <c r="D539" s="1" t="s">
        <v>66</v>
      </c>
      <c r="E539" s="11">
        <f t="shared" si="2"/>
        <v>143.6</v>
      </c>
      <c r="F539" s="11">
        <f t="shared" si="3"/>
        <v>2.279365079</v>
      </c>
      <c r="G539" s="1">
        <v>63.0</v>
      </c>
      <c r="H539" s="1">
        <v>2.0</v>
      </c>
      <c r="I539" s="1">
        <v>12.0</v>
      </c>
      <c r="J539" s="1">
        <v>14.0</v>
      </c>
      <c r="K539" s="1">
        <v>75.0</v>
      </c>
      <c r="L539" s="1">
        <v>1.0</v>
      </c>
      <c r="M539" s="1">
        <v>3.0</v>
      </c>
      <c r="N539" s="1">
        <v>0.0</v>
      </c>
      <c r="O539" s="1">
        <v>0.0</v>
      </c>
      <c r="P539" s="1">
        <v>66.0</v>
      </c>
      <c r="Q539" s="1">
        <v>76.0</v>
      </c>
      <c r="V539" s="2">
        <f>VLOOKUP(B539,'202324'!B:C,2,FALSE)-A539</f>
        <v>0</v>
      </c>
    </row>
    <row r="540">
      <c r="A540" s="1">
        <f t="shared" si="1"/>
        <v>538</v>
      </c>
      <c r="B540" s="1" t="s">
        <v>1599</v>
      </c>
      <c r="C540" s="1" t="s">
        <v>1067</v>
      </c>
      <c r="D540" s="1" t="s">
        <v>31</v>
      </c>
      <c r="E540" s="11">
        <f t="shared" si="2"/>
        <v>143.3</v>
      </c>
      <c r="F540" s="11">
        <f t="shared" si="3"/>
        <v>1.79125</v>
      </c>
      <c r="G540" s="1">
        <v>80.0</v>
      </c>
      <c r="H540" s="1">
        <v>4.0</v>
      </c>
      <c r="I540" s="1">
        <v>13.0</v>
      </c>
      <c r="J540" s="1">
        <v>17.0</v>
      </c>
      <c r="K540" s="1">
        <v>74.0</v>
      </c>
      <c r="L540" s="1">
        <v>0.0</v>
      </c>
      <c r="M540" s="1">
        <v>0.0</v>
      </c>
      <c r="N540" s="1">
        <v>0.0</v>
      </c>
      <c r="O540" s="1">
        <v>0.0</v>
      </c>
      <c r="P540" s="1">
        <v>108.0</v>
      </c>
      <c r="Q540" s="1">
        <v>23.0</v>
      </c>
      <c r="V540" s="2">
        <f>VLOOKUP(B540,'202324'!B:C,2,FALSE)-A540</f>
        <v>10</v>
      </c>
    </row>
    <row r="541">
      <c r="A541" s="1">
        <f t="shared" si="1"/>
        <v>539</v>
      </c>
      <c r="B541" s="1" t="s">
        <v>1600</v>
      </c>
      <c r="C541" s="1" t="s">
        <v>1175</v>
      </c>
      <c r="D541" s="1" t="s">
        <v>28</v>
      </c>
      <c r="E541" s="11">
        <f t="shared" si="2"/>
        <v>142.8</v>
      </c>
      <c r="F541" s="11">
        <f t="shared" si="3"/>
        <v>2.163636364</v>
      </c>
      <c r="G541" s="1">
        <v>66.0</v>
      </c>
      <c r="H541" s="1">
        <v>10.0</v>
      </c>
      <c r="I541" s="1">
        <v>13.0</v>
      </c>
      <c r="J541" s="1">
        <v>23.0</v>
      </c>
      <c r="K541" s="1">
        <v>71.0</v>
      </c>
      <c r="L541" s="1">
        <v>3.0</v>
      </c>
      <c r="M541" s="1">
        <v>3.0</v>
      </c>
      <c r="N541" s="1">
        <v>0.0</v>
      </c>
      <c r="O541" s="1">
        <v>0.0</v>
      </c>
      <c r="P541" s="1">
        <v>28.0</v>
      </c>
      <c r="Q541" s="1">
        <v>27.0</v>
      </c>
      <c r="V541" s="2">
        <f>VLOOKUP(B541,'202324'!B:C,2,FALSE)-A541</f>
        <v>-12</v>
      </c>
    </row>
    <row r="542">
      <c r="A542" s="1">
        <f t="shared" si="1"/>
        <v>540</v>
      </c>
      <c r="B542" s="1" t="s">
        <v>1601</v>
      </c>
      <c r="C542" s="1" t="s">
        <v>1085</v>
      </c>
      <c r="D542" s="1" t="s">
        <v>36</v>
      </c>
      <c r="E542" s="11">
        <f t="shared" si="2"/>
        <v>142.75</v>
      </c>
      <c r="F542" s="11">
        <f t="shared" si="3"/>
        <v>2.799019608</v>
      </c>
      <c r="G542" s="1">
        <v>51.0</v>
      </c>
      <c r="H542" s="1">
        <v>12.0</v>
      </c>
      <c r="I542" s="1">
        <v>11.0</v>
      </c>
      <c r="J542" s="1">
        <v>23.0</v>
      </c>
      <c r="K542" s="1">
        <v>68.0</v>
      </c>
      <c r="L542" s="1">
        <v>1.0</v>
      </c>
      <c r="M542" s="1">
        <v>1.0</v>
      </c>
      <c r="N542" s="1">
        <v>0.0</v>
      </c>
      <c r="O542" s="1">
        <v>0.0</v>
      </c>
      <c r="P542" s="1">
        <v>35.0</v>
      </c>
      <c r="Q542" s="1">
        <v>19.0</v>
      </c>
      <c r="V542" s="2">
        <f>VLOOKUP(B542,'202324'!B:C,2,FALSE)-A542</f>
        <v>-11</v>
      </c>
    </row>
    <row r="543">
      <c r="A543" s="1">
        <f t="shared" si="1"/>
        <v>541</v>
      </c>
      <c r="B543" s="1" t="s">
        <v>1602</v>
      </c>
      <c r="C543" s="1" t="s">
        <v>1052</v>
      </c>
      <c r="D543" s="1" t="s">
        <v>31</v>
      </c>
      <c r="E543" s="11">
        <f t="shared" si="2"/>
        <v>142.4</v>
      </c>
      <c r="F543" s="11">
        <f t="shared" si="3"/>
        <v>2.589090909</v>
      </c>
      <c r="G543" s="1">
        <v>55.0</v>
      </c>
      <c r="H543" s="1">
        <v>4.0</v>
      </c>
      <c r="I543" s="1">
        <v>3.0</v>
      </c>
      <c r="J543" s="1">
        <v>7.0</v>
      </c>
      <c r="K543" s="1">
        <v>59.0</v>
      </c>
      <c r="L543" s="1">
        <v>0.0</v>
      </c>
      <c r="M543" s="1">
        <v>0.0</v>
      </c>
      <c r="N543" s="1">
        <v>0.0</v>
      </c>
      <c r="O543" s="1">
        <v>0.0</v>
      </c>
      <c r="P543" s="1">
        <v>124.0</v>
      </c>
      <c r="Q543" s="1">
        <v>85.0</v>
      </c>
      <c r="V543" s="2">
        <f>VLOOKUP(B543,'202324'!B:C,2,FALSE)-A543</f>
        <v>19</v>
      </c>
    </row>
    <row r="544">
      <c r="A544" s="1">
        <f t="shared" si="1"/>
        <v>542</v>
      </c>
      <c r="B544" s="1" t="s">
        <v>1603</v>
      </c>
      <c r="C544" s="1" t="s">
        <v>1091</v>
      </c>
      <c r="D544" s="1" t="s">
        <v>28</v>
      </c>
      <c r="E544" s="11">
        <f t="shared" si="2"/>
        <v>141.7</v>
      </c>
      <c r="F544" s="11">
        <f t="shared" si="3"/>
        <v>2.401694915</v>
      </c>
      <c r="G544" s="1">
        <v>59.0</v>
      </c>
      <c r="H544" s="1">
        <v>6.0</v>
      </c>
      <c r="I544" s="1">
        <v>12.0</v>
      </c>
      <c r="J544" s="1">
        <v>18.0</v>
      </c>
      <c r="K544" s="1">
        <v>78.0</v>
      </c>
      <c r="L544" s="1">
        <v>0.0</v>
      </c>
      <c r="M544" s="1">
        <v>0.0</v>
      </c>
      <c r="N544" s="1">
        <v>0.0</v>
      </c>
      <c r="O544" s="1">
        <v>2.0</v>
      </c>
      <c r="P544" s="1">
        <v>52.0</v>
      </c>
      <c r="Q544" s="1">
        <v>35.0</v>
      </c>
      <c r="V544" s="2">
        <f>VLOOKUP(B544,'202324'!B:C,2,FALSE)-A544</f>
        <v>-3</v>
      </c>
    </row>
    <row r="545">
      <c r="A545" s="1">
        <f t="shared" si="1"/>
        <v>543</v>
      </c>
      <c r="B545" s="1" t="s">
        <v>1604</v>
      </c>
      <c r="C545" s="1" t="s">
        <v>1052</v>
      </c>
      <c r="D545" s="1" t="s">
        <v>36</v>
      </c>
      <c r="E545" s="11">
        <f t="shared" si="2"/>
        <v>141</v>
      </c>
      <c r="F545" s="11">
        <f t="shared" si="3"/>
        <v>2.711538462</v>
      </c>
      <c r="G545" s="1">
        <v>52.0</v>
      </c>
      <c r="H545" s="1">
        <v>5.0</v>
      </c>
      <c r="I545" s="1">
        <v>15.0</v>
      </c>
      <c r="J545" s="1">
        <v>20.0</v>
      </c>
      <c r="K545" s="1">
        <v>86.0</v>
      </c>
      <c r="L545" s="1">
        <v>0.0</v>
      </c>
      <c r="M545" s="1">
        <v>2.0</v>
      </c>
      <c r="N545" s="1">
        <v>0.0</v>
      </c>
      <c r="O545" s="1">
        <v>0.0</v>
      </c>
      <c r="P545" s="1">
        <v>40.0</v>
      </c>
      <c r="Q545" s="1">
        <v>33.0</v>
      </c>
      <c r="V545" s="2">
        <f>VLOOKUP(B545,'202324'!B:C,2,FALSE)-A545</f>
        <v>-6</v>
      </c>
    </row>
    <row r="546">
      <c r="A546" s="1">
        <f t="shared" si="1"/>
        <v>544</v>
      </c>
      <c r="B546" s="1" t="s">
        <v>1605</v>
      </c>
      <c r="C546" s="1" t="s">
        <v>1082</v>
      </c>
      <c r="D546" s="1" t="s">
        <v>66</v>
      </c>
      <c r="E546" s="11">
        <f t="shared" si="2"/>
        <v>140.7</v>
      </c>
      <c r="F546" s="11">
        <f t="shared" si="3"/>
        <v>2.01</v>
      </c>
      <c r="G546" s="1">
        <v>70.0</v>
      </c>
      <c r="H546" s="1">
        <v>0.0</v>
      </c>
      <c r="I546" s="1">
        <v>14.0</v>
      </c>
      <c r="J546" s="1">
        <v>14.0</v>
      </c>
      <c r="K546" s="1">
        <v>75.0</v>
      </c>
      <c r="L546" s="1">
        <v>0.0</v>
      </c>
      <c r="M546" s="1">
        <v>0.0</v>
      </c>
      <c r="N546" s="1">
        <v>0.0</v>
      </c>
      <c r="O546" s="1">
        <v>1.0</v>
      </c>
      <c r="P546" s="1">
        <v>22.0</v>
      </c>
      <c r="Q546" s="1">
        <v>103.0</v>
      </c>
      <c r="V546" s="2">
        <f>VLOOKUP(B546,'202324'!B:C,2,FALSE)-A546</f>
        <v>-11</v>
      </c>
    </row>
    <row r="547">
      <c r="A547" s="1">
        <f t="shared" si="1"/>
        <v>545</v>
      </c>
      <c r="B547" s="1" t="s">
        <v>1606</v>
      </c>
      <c r="C547" s="1" t="s">
        <v>1040</v>
      </c>
      <c r="D547" s="1" t="s">
        <v>36</v>
      </c>
      <c r="E547" s="11">
        <f t="shared" si="2"/>
        <v>140.1</v>
      </c>
      <c r="F547" s="11">
        <f t="shared" si="3"/>
        <v>2.296721311</v>
      </c>
      <c r="G547" s="1">
        <v>61.0</v>
      </c>
      <c r="H547" s="1">
        <v>13.0</v>
      </c>
      <c r="I547" s="1">
        <v>6.0</v>
      </c>
      <c r="J547" s="1">
        <v>19.0</v>
      </c>
      <c r="K547" s="1">
        <v>91.0</v>
      </c>
      <c r="L547" s="1">
        <v>1.0</v>
      </c>
      <c r="M547" s="1">
        <v>0.0</v>
      </c>
      <c r="N547" s="1">
        <v>0.0</v>
      </c>
      <c r="O547" s="1">
        <v>0.0</v>
      </c>
      <c r="P547" s="1">
        <v>26.0</v>
      </c>
      <c r="Q547" s="1">
        <v>18.0</v>
      </c>
      <c r="V547" s="2">
        <f>VLOOKUP(B547,'202324'!B:C,2,FALSE)-A547</f>
        <v>-9</v>
      </c>
    </row>
    <row r="548">
      <c r="A548" s="1">
        <f t="shared" si="1"/>
        <v>546</v>
      </c>
      <c r="B548" s="1" t="s">
        <v>1607</v>
      </c>
      <c r="C548" s="1" t="s">
        <v>1065</v>
      </c>
      <c r="D548" s="1" t="s">
        <v>28</v>
      </c>
      <c r="E548" s="11">
        <f t="shared" si="2"/>
        <v>139.85</v>
      </c>
      <c r="F548" s="11">
        <f t="shared" si="3"/>
        <v>2.689423077</v>
      </c>
      <c r="G548" s="1">
        <v>52.0</v>
      </c>
      <c r="H548" s="1">
        <v>5.0</v>
      </c>
      <c r="I548" s="1">
        <v>10.0</v>
      </c>
      <c r="J548" s="1">
        <v>15.0</v>
      </c>
      <c r="K548" s="1">
        <v>76.0</v>
      </c>
      <c r="L548" s="1">
        <v>0.0</v>
      </c>
      <c r="M548" s="1">
        <v>1.0</v>
      </c>
      <c r="N548" s="1">
        <v>0.0</v>
      </c>
      <c r="O548" s="1">
        <v>0.0</v>
      </c>
      <c r="P548" s="1">
        <v>121.0</v>
      </c>
      <c r="Q548" s="1">
        <v>14.0</v>
      </c>
      <c r="V548" s="2">
        <f>VLOOKUP(B548,'202324'!B:C,2,FALSE)-A548</f>
        <v>19</v>
      </c>
    </row>
    <row r="549">
      <c r="A549" s="1">
        <f t="shared" si="1"/>
        <v>547</v>
      </c>
      <c r="B549" s="1" t="s">
        <v>1608</v>
      </c>
      <c r="C549" s="1" t="s">
        <v>1076</v>
      </c>
      <c r="D549" s="1" t="s">
        <v>66</v>
      </c>
      <c r="E549" s="11">
        <f t="shared" si="2"/>
        <v>138.95</v>
      </c>
      <c r="F549" s="11">
        <f t="shared" si="3"/>
        <v>2.437719298</v>
      </c>
      <c r="G549" s="1">
        <v>57.0</v>
      </c>
      <c r="H549" s="1">
        <v>1.0</v>
      </c>
      <c r="I549" s="1">
        <v>8.0</v>
      </c>
      <c r="J549" s="1">
        <v>9.0</v>
      </c>
      <c r="K549" s="1">
        <v>63.0</v>
      </c>
      <c r="L549" s="1">
        <v>0.0</v>
      </c>
      <c r="M549" s="1">
        <v>0.0</v>
      </c>
      <c r="N549" s="1">
        <v>0.0</v>
      </c>
      <c r="O549" s="1">
        <v>0.0</v>
      </c>
      <c r="P549" s="1">
        <v>87.0</v>
      </c>
      <c r="Q549" s="1">
        <v>97.0</v>
      </c>
      <c r="V549" s="2">
        <f>VLOOKUP(B549,'202324'!B:C,2,FALSE)-A549</f>
        <v>12</v>
      </c>
    </row>
    <row r="550">
      <c r="A550" s="1">
        <f t="shared" si="1"/>
        <v>548</v>
      </c>
      <c r="B550" s="1" t="s">
        <v>1609</v>
      </c>
      <c r="C550" s="1" t="s">
        <v>1175</v>
      </c>
      <c r="D550" s="1" t="s">
        <v>5</v>
      </c>
      <c r="E550" s="11">
        <f t="shared" si="2"/>
        <v>138.6</v>
      </c>
      <c r="F550" s="11">
        <f t="shared" si="3"/>
        <v>4.2</v>
      </c>
      <c r="G550" s="1">
        <v>33.0</v>
      </c>
      <c r="R550" s="1">
        <v>17.0</v>
      </c>
      <c r="S550" s="1">
        <v>95.0</v>
      </c>
      <c r="T550" s="1">
        <v>767.0</v>
      </c>
      <c r="U550" s="1">
        <v>0.0</v>
      </c>
      <c r="V550" s="2">
        <f>VLOOKUP(B550,'202324'!B:C,2,FALSE)-A550</f>
        <v>-17</v>
      </c>
    </row>
    <row r="551">
      <c r="A551" s="1">
        <f t="shared" si="1"/>
        <v>548</v>
      </c>
      <c r="B551" s="1" t="s">
        <v>1610</v>
      </c>
      <c r="C551" s="1" t="s">
        <v>1082</v>
      </c>
      <c r="D551" s="1" t="s">
        <v>5</v>
      </c>
      <c r="E551" s="11">
        <f t="shared" si="2"/>
        <v>138.6</v>
      </c>
      <c r="F551" s="11">
        <f t="shared" si="3"/>
        <v>4.2</v>
      </c>
      <c r="G551" s="1">
        <v>33.0</v>
      </c>
      <c r="R551" s="1">
        <v>13.0</v>
      </c>
      <c r="S551" s="1">
        <v>103.0</v>
      </c>
      <c r="T551" s="1">
        <v>837.0</v>
      </c>
      <c r="U551" s="1">
        <v>1.0</v>
      </c>
      <c r="V551" s="2">
        <f>VLOOKUP(B551,'202324'!B:C,2,FALSE)-A551</f>
        <v>-17</v>
      </c>
    </row>
    <row r="552">
      <c r="A552" s="1">
        <f t="shared" si="1"/>
        <v>550</v>
      </c>
      <c r="B552" s="1" t="s">
        <v>1611</v>
      </c>
      <c r="C552" s="1" t="s">
        <v>1097</v>
      </c>
      <c r="D552" s="1" t="s">
        <v>66</v>
      </c>
      <c r="E552" s="11">
        <f t="shared" si="2"/>
        <v>138.4</v>
      </c>
      <c r="F552" s="11">
        <f t="shared" si="3"/>
        <v>2.232258065</v>
      </c>
      <c r="G552" s="1">
        <v>62.0</v>
      </c>
      <c r="H552" s="1">
        <v>6.0</v>
      </c>
      <c r="I552" s="1">
        <v>7.0</v>
      </c>
      <c r="J552" s="1">
        <v>13.0</v>
      </c>
      <c r="K552" s="1">
        <v>46.0</v>
      </c>
      <c r="L552" s="1">
        <v>0.0</v>
      </c>
      <c r="M552" s="1">
        <v>0.0</v>
      </c>
      <c r="N552" s="1">
        <v>0.0</v>
      </c>
      <c r="O552" s="1">
        <v>0.0</v>
      </c>
      <c r="P552" s="1">
        <v>74.0</v>
      </c>
      <c r="Q552" s="1">
        <v>83.0</v>
      </c>
      <c r="V552" s="2">
        <f>VLOOKUP(B552,'202324'!B:C,2,FALSE)-A552</f>
        <v>5</v>
      </c>
    </row>
    <row r="553">
      <c r="A553" s="1">
        <f t="shared" si="1"/>
        <v>551</v>
      </c>
      <c r="B553" s="1" t="s">
        <v>1612</v>
      </c>
      <c r="C553" s="1" t="s">
        <v>1111</v>
      </c>
      <c r="D553" s="1" t="s">
        <v>66</v>
      </c>
      <c r="E553" s="11">
        <f t="shared" si="2"/>
        <v>138.2</v>
      </c>
      <c r="F553" s="11">
        <f t="shared" si="3"/>
        <v>2.709803922</v>
      </c>
      <c r="G553" s="1">
        <v>51.0</v>
      </c>
      <c r="H553" s="1">
        <v>3.0</v>
      </c>
      <c r="I553" s="1">
        <v>7.0</v>
      </c>
      <c r="J553" s="1">
        <v>10.0</v>
      </c>
      <c r="K553" s="1">
        <v>44.0</v>
      </c>
      <c r="L553" s="1">
        <v>0.0</v>
      </c>
      <c r="M553" s="1">
        <v>0.0</v>
      </c>
      <c r="N553" s="1">
        <v>0.0</v>
      </c>
      <c r="O553" s="1">
        <v>0.0</v>
      </c>
      <c r="P553" s="1">
        <v>112.0</v>
      </c>
      <c r="Q553" s="1">
        <v>85.0</v>
      </c>
      <c r="V553" s="2">
        <f>VLOOKUP(B553,'202324'!B:C,2,FALSE)-A553</f>
        <v>17</v>
      </c>
    </row>
    <row r="554">
      <c r="A554" s="1">
        <f t="shared" si="1"/>
        <v>552</v>
      </c>
      <c r="B554" s="1" t="s">
        <v>1613</v>
      </c>
      <c r="C554" s="1" t="s">
        <v>1032</v>
      </c>
      <c r="D554" s="1" t="s">
        <v>5</v>
      </c>
      <c r="E554" s="11">
        <f t="shared" si="2"/>
        <v>138</v>
      </c>
      <c r="F554" s="11">
        <f t="shared" si="3"/>
        <v>5.52</v>
      </c>
      <c r="G554" s="1">
        <v>25.0</v>
      </c>
      <c r="R554" s="1">
        <v>12.0</v>
      </c>
      <c r="S554" s="1">
        <v>72.0</v>
      </c>
      <c r="T554" s="1">
        <v>700.0</v>
      </c>
      <c r="U554" s="1">
        <v>0.0</v>
      </c>
      <c r="V554" s="2">
        <f>VLOOKUP(B554,'202324'!B:C,2,FALSE)-A554</f>
        <v>-18</v>
      </c>
    </row>
    <row r="555">
      <c r="A555" s="1">
        <f t="shared" si="1"/>
        <v>553</v>
      </c>
      <c r="B555" s="1" t="s">
        <v>1614</v>
      </c>
      <c r="C555" s="1" t="s">
        <v>1172</v>
      </c>
      <c r="D555" s="1" t="s">
        <v>36</v>
      </c>
      <c r="E555" s="11">
        <f t="shared" si="2"/>
        <v>137.8</v>
      </c>
      <c r="F555" s="11">
        <f t="shared" si="3"/>
        <v>2.056716418</v>
      </c>
      <c r="G555" s="1">
        <v>67.0</v>
      </c>
      <c r="H555" s="1">
        <v>5.0</v>
      </c>
      <c r="I555" s="1">
        <v>6.0</v>
      </c>
      <c r="J555" s="1">
        <v>11.0</v>
      </c>
      <c r="K555" s="1">
        <v>66.0</v>
      </c>
      <c r="L555" s="1">
        <v>0.0</v>
      </c>
      <c r="M555" s="1">
        <v>0.0</v>
      </c>
      <c r="N555" s="1">
        <v>0.0</v>
      </c>
      <c r="O555" s="1">
        <v>0.0</v>
      </c>
      <c r="P555" s="1">
        <v>138.0</v>
      </c>
      <c r="Q555" s="1">
        <v>32.0</v>
      </c>
      <c r="V555" s="2">
        <f>VLOOKUP(B555,'202324'!B:C,2,FALSE)-A555</f>
        <v>20</v>
      </c>
    </row>
    <row r="556">
      <c r="A556" s="1">
        <f t="shared" si="1"/>
        <v>554</v>
      </c>
      <c r="B556" s="1" t="s">
        <v>1615</v>
      </c>
      <c r="C556" s="1" t="s">
        <v>1065</v>
      </c>
      <c r="D556" s="1" t="s">
        <v>66</v>
      </c>
      <c r="E556" s="11">
        <f t="shared" si="2"/>
        <v>137.75</v>
      </c>
      <c r="F556" s="11">
        <f t="shared" si="3"/>
        <v>2.025735294</v>
      </c>
      <c r="G556" s="1">
        <v>68.0</v>
      </c>
      <c r="H556" s="1">
        <v>1.0</v>
      </c>
      <c r="I556" s="1">
        <v>13.0</v>
      </c>
      <c r="J556" s="1">
        <v>14.0</v>
      </c>
      <c r="K556" s="1">
        <v>67.0</v>
      </c>
      <c r="L556" s="1">
        <v>0.0</v>
      </c>
      <c r="M556" s="1">
        <v>0.0</v>
      </c>
      <c r="N556" s="1">
        <v>0.0</v>
      </c>
      <c r="O556" s="1">
        <v>1.0</v>
      </c>
      <c r="P556" s="1">
        <v>55.0</v>
      </c>
      <c r="Q556" s="1">
        <v>79.0</v>
      </c>
      <c r="V556" s="2">
        <f>VLOOKUP(B556,'202324'!B:C,2,FALSE)-A556</f>
        <v>-5</v>
      </c>
    </row>
    <row r="557">
      <c r="A557" s="1">
        <f t="shared" si="1"/>
        <v>555</v>
      </c>
      <c r="B557" s="1" t="s">
        <v>1616</v>
      </c>
      <c r="C557" s="1" t="s">
        <v>1034</v>
      </c>
      <c r="D557" s="1" t="s">
        <v>66</v>
      </c>
      <c r="E557" s="11">
        <f t="shared" si="2"/>
        <v>137.1</v>
      </c>
      <c r="F557" s="11">
        <f t="shared" si="3"/>
        <v>2.323728814</v>
      </c>
      <c r="G557" s="1">
        <v>59.0</v>
      </c>
      <c r="H557" s="1">
        <v>3.0</v>
      </c>
      <c r="I557" s="1">
        <v>7.0</v>
      </c>
      <c r="J557" s="1">
        <v>10.0</v>
      </c>
      <c r="K557" s="1">
        <v>56.0</v>
      </c>
      <c r="L557" s="1">
        <v>0.0</v>
      </c>
      <c r="M557" s="1">
        <v>0.0</v>
      </c>
      <c r="N557" s="1">
        <v>0.0</v>
      </c>
      <c r="O557" s="1">
        <v>0.0</v>
      </c>
      <c r="P557" s="1">
        <v>96.0</v>
      </c>
      <c r="Q557" s="1">
        <v>82.0</v>
      </c>
      <c r="V557" s="2">
        <f>VLOOKUP(B557,'202324'!B:C,2,FALSE)-A557</f>
        <v>11</v>
      </c>
    </row>
    <row r="558">
      <c r="A558" s="1">
        <f t="shared" si="1"/>
        <v>556</v>
      </c>
      <c r="B558" s="1" t="s">
        <v>1617</v>
      </c>
      <c r="C558" s="1" t="s">
        <v>1046</v>
      </c>
      <c r="D558" s="1" t="s">
        <v>66</v>
      </c>
      <c r="E558" s="11">
        <f t="shared" si="2"/>
        <v>137.05</v>
      </c>
      <c r="F558" s="11">
        <f t="shared" si="3"/>
        <v>2.537962963</v>
      </c>
      <c r="G558" s="1">
        <v>54.0</v>
      </c>
      <c r="H558" s="1">
        <v>1.0</v>
      </c>
      <c r="I558" s="1">
        <v>6.0</v>
      </c>
      <c r="J558" s="1">
        <v>7.0</v>
      </c>
      <c r="K558" s="1">
        <v>30.0</v>
      </c>
      <c r="L558" s="1">
        <v>0.0</v>
      </c>
      <c r="M558" s="1">
        <v>0.0</v>
      </c>
      <c r="N558" s="1">
        <v>0.0</v>
      </c>
      <c r="O558" s="1">
        <v>0.0</v>
      </c>
      <c r="P558" s="1">
        <v>163.0</v>
      </c>
      <c r="Q558" s="1">
        <v>85.0</v>
      </c>
      <c r="V558" s="2">
        <f>VLOOKUP(B558,'202324'!B:C,2,FALSE)-A558</f>
        <v>23</v>
      </c>
    </row>
    <row r="559">
      <c r="A559" s="1">
        <f t="shared" si="1"/>
        <v>557</v>
      </c>
      <c r="B559" s="1" t="s">
        <v>1618</v>
      </c>
      <c r="C559" s="1" t="s">
        <v>1054</v>
      </c>
      <c r="D559" s="1" t="s">
        <v>31</v>
      </c>
      <c r="E559" s="11">
        <f t="shared" si="2"/>
        <v>136.9</v>
      </c>
      <c r="F559" s="11">
        <f t="shared" si="3"/>
        <v>2.043283582</v>
      </c>
      <c r="G559" s="1">
        <v>67.0</v>
      </c>
      <c r="H559" s="1">
        <v>5.0</v>
      </c>
      <c r="I559" s="1">
        <v>10.0</v>
      </c>
      <c r="J559" s="1">
        <v>15.0</v>
      </c>
      <c r="K559" s="1">
        <v>105.0</v>
      </c>
      <c r="L559" s="1">
        <v>2.0</v>
      </c>
      <c r="M559" s="1">
        <v>5.0</v>
      </c>
      <c r="N559" s="1">
        <v>0.0</v>
      </c>
      <c r="O559" s="1">
        <v>0.0</v>
      </c>
      <c r="P559" s="1">
        <v>24.0</v>
      </c>
      <c r="Q559" s="1">
        <v>47.0</v>
      </c>
      <c r="V559" s="2">
        <f>VLOOKUP(B559,'202324'!B:C,2,FALSE)-A559</f>
        <v>-13</v>
      </c>
    </row>
    <row r="560">
      <c r="A560" s="1">
        <f t="shared" si="1"/>
        <v>558</v>
      </c>
      <c r="B560" s="1" t="s">
        <v>1619</v>
      </c>
      <c r="C560" s="1" t="s">
        <v>1044</v>
      </c>
      <c r="D560" s="1" t="s">
        <v>28</v>
      </c>
      <c r="E560" s="11">
        <f t="shared" si="2"/>
        <v>136.25</v>
      </c>
      <c r="F560" s="11">
        <f t="shared" si="3"/>
        <v>1.841216216</v>
      </c>
      <c r="G560" s="1">
        <v>74.0</v>
      </c>
      <c r="H560" s="1">
        <v>11.0</v>
      </c>
      <c r="I560" s="1">
        <v>4.0</v>
      </c>
      <c r="J560" s="1">
        <v>15.0</v>
      </c>
      <c r="K560" s="1">
        <v>91.0</v>
      </c>
      <c r="L560" s="1">
        <v>4.0</v>
      </c>
      <c r="M560" s="1">
        <v>0.0</v>
      </c>
      <c r="N560" s="1">
        <v>0.0</v>
      </c>
      <c r="O560" s="1">
        <v>0.0</v>
      </c>
      <c r="P560" s="1">
        <v>55.0</v>
      </c>
      <c r="Q560" s="1">
        <v>20.0</v>
      </c>
      <c r="V560" s="2">
        <f>VLOOKUP(B560,'202324'!B:C,2,FALSE)-A560</f>
        <v>-2</v>
      </c>
    </row>
    <row r="561">
      <c r="A561" s="1">
        <f t="shared" si="1"/>
        <v>559</v>
      </c>
      <c r="B561" s="1" t="s">
        <v>1620</v>
      </c>
      <c r="C561" s="1" t="s">
        <v>1030</v>
      </c>
      <c r="D561" s="1" t="s">
        <v>28</v>
      </c>
      <c r="E561" s="11">
        <f t="shared" si="2"/>
        <v>136.05</v>
      </c>
      <c r="F561" s="11">
        <f t="shared" si="3"/>
        <v>1.814</v>
      </c>
      <c r="G561" s="1">
        <v>75.0</v>
      </c>
      <c r="H561" s="1">
        <v>6.0</v>
      </c>
      <c r="I561" s="1">
        <v>13.0</v>
      </c>
      <c r="J561" s="1">
        <v>19.0</v>
      </c>
      <c r="K561" s="1">
        <v>61.0</v>
      </c>
      <c r="L561" s="1">
        <v>0.0</v>
      </c>
      <c r="M561" s="1">
        <v>0.0</v>
      </c>
      <c r="N561" s="1">
        <v>1.0</v>
      </c>
      <c r="O561" s="1">
        <v>3.0</v>
      </c>
      <c r="P561" s="1">
        <v>33.0</v>
      </c>
      <c r="Q561" s="1">
        <v>40.0</v>
      </c>
      <c r="V561" s="2">
        <f>VLOOKUP(B561,'202324'!B:C,2,FALSE)-A561</f>
        <v>-12</v>
      </c>
    </row>
    <row r="562">
      <c r="A562" s="1">
        <f t="shared" si="1"/>
        <v>560</v>
      </c>
      <c r="B562" s="1" t="s">
        <v>1621</v>
      </c>
      <c r="C562" s="1" t="s">
        <v>1078</v>
      </c>
      <c r="D562" s="1" t="s">
        <v>28</v>
      </c>
      <c r="E562" s="11">
        <f t="shared" si="2"/>
        <v>135.9</v>
      </c>
      <c r="F562" s="11">
        <f t="shared" si="3"/>
        <v>2.191935484</v>
      </c>
      <c r="G562" s="1">
        <v>62.0</v>
      </c>
      <c r="H562" s="1">
        <v>7.0</v>
      </c>
      <c r="I562" s="1">
        <v>8.0</v>
      </c>
      <c r="J562" s="1">
        <v>15.0</v>
      </c>
      <c r="K562" s="1">
        <v>76.0</v>
      </c>
      <c r="L562" s="1">
        <v>0.0</v>
      </c>
      <c r="M562" s="1">
        <v>0.0</v>
      </c>
      <c r="N562" s="1">
        <v>2.0</v>
      </c>
      <c r="O562" s="1">
        <v>1.0</v>
      </c>
      <c r="P562" s="1">
        <v>64.0</v>
      </c>
      <c r="Q562" s="1">
        <v>28.0</v>
      </c>
      <c r="V562" s="2">
        <f>VLOOKUP(B562,'202324'!B:C,2,FALSE)-A562</f>
        <v>2</v>
      </c>
    </row>
    <row r="563">
      <c r="A563" s="1">
        <f t="shared" si="1"/>
        <v>561</v>
      </c>
      <c r="B563" s="1" t="s">
        <v>1622</v>
      </c>
      <c r="C563" s="1" t="s">
        <v>1042</v>
      </c>
      <c r="D563" s="1" t="s">
        <v>66</v>
      </c>
      <c r="E563" s="11">
        <f t="shared" si="2"/>
        <v>135.75</v>
      </c>
      <c r="F563" s="11">
        <f t="shared" si="3"/>
        <v>2.424107143</v>
      </c>
      <c r="G563" s="1">
        <v>56.0</v>
      </c>
      <c r="H563" s="1">
        <v>3.0</v>
      </c>
      <c r="I563" s="1">
        <v>10.0</v>
      </c>
      <c r="J563" s="1">
        <v>13.0</v>
      </c>
      <c r="K563" s="1">
        <v>65.0</v>
      </c>
      <c r="L563" s="1">
        <v>0.0</v>
      </c>
      <c r="M563" s="1">
        <v>0.0</v>
      </c>
      <c r="N563" s="1">
        <v>0.0</v>
      </c>
      <c r="O563" s="1">
        <v>0.0</v>
      </c>
      <c r="P563" s="1">
        <v>45.0</v>
      </c>
      <c r="Q563" s="1">
        <v>88.0</v>
      </c>
      <c r="V563" s="2">
        <f>VLOOKUP(B563,'202324'!B:C,2,FALSE)-A563</f>
        <v>-9</v>
      </c>
    </row>
    <row r="564">
      <c r="A564" s="1">
        <f t="shared" si="1"/>
        <v>562</v>
      </c>
      <c r="B564" s="1" t="s">
        <v>1623</v>
      </c>
      <c r="C564" s="1" t="s">
        <v>1048</v>
      </c>
      <c r="D564" s="1" t="s">
        <v>28</v>
      </c>
      <c r="E564" s="11">
        <f t="shared" si="2"/>
        <v>135.65</v>
      </c>
      <c r="F564" s="11">
        <f t="shared" si="3"/>
        <v>1.808666667</v>
      </c>
      <c r="G564" s="1">
        <v>75.0</v>
      </c>
      <c r="H564" s="1">
        <v>5.0</v>
      </c>
      <c r="I564" s="1">
        <v>2.0</v>
      </c>
      <c r="J564" s="1">
        <v>7.0</v>
      </c>
      <c r="K564" s="1">
        <v>68.0</v>
      </c>
      <c r="L564" s="1">
        <v>1.0</v>
      </c>
      <c r="M564" s="1">
        <v>0.0</v>
      </c>
      <c r="N564" s="1">
        <v>0.0</v>
      </c>
      <c r="O564" s="1">
        <v>0.0</v>
      </c>
      <c r="P564" s="1">
        <v>179.0</v>
      </c>
      <c r="Q564" s="1">
        <v>21.0</v>
      </c>
      <c r="V564" s="2">
        <f>VLOOKUP(B564,'202324'!B:C,2,FALSE)-A564</f>
        <v>25</v>
      </c>
    </row>
    <row r="565">
      <c r="A565" s="1">
        <f t="shared" si="1"/>
        <v>563</v>
      </c>
      <c r="B565" s="1" t="s">
        <v>1624</v>
      </c>
      <c r="C565" s="1" t="s">
        <v>1034</v>
      </c>
      <c r="D565" s="1" t="s">
        <v>31</v>
      </c>
      <c r="E565" s="11">
        <f t="shared" si="2"/>
        <v>135.6</v>
      </c>
      <c r="F565" s="11">
        <f t="shared" si="3"/>
        <v>1.965217391</v>
      </c>
      <c r="G565" s="1">
        <v>69.0</v>
      </c>
      <c r="H565" s="1">
        <v>6.0</v>
      </c>
      <c r="I565" s="1">
        <v>3.0</v>
      </c>
      <c r="J565" s="1">
        <v>9.0</v>
      </c>
      <c r="K565" s="1">
        <v>83.0</v>
      </c>
      <c r="L565" s="1">
        <v>0.0</v>
      </c>
      <c r="M565" s="1">
        <v>0.0</v>
      </c>
      <c r="N565" s="1">
        <v>2.0</v>
      </c>
      <c r="O565" s="1">
        <v>0.0</v>
      </c>
      <c r="P565" s="1">
        <v>96.0</v>
      </c>
      <c r="Q565" s="1">
        <v>41.0</v>
      </c>
      <c r="V565" s="2">
        <f>VLOOKUP(B565,'202324'!B:C,2,FALSE)-A565</f>
        <v>7</v>
      </c>
    </row>
    <row r="566">
      <c r="A566" s="1">
        <f t="shared" si="1"/>
        <v>564</v>
      </c>
      <c r="B566" s="1" t="s">
        <v>1625</v>
      </c>
      <c r="C566" s="1" t="s">
        <v>1076</v>
      </c>
      <c r="D566" s="1" t="s">
        <v>36</v>
      </c>
      <c r="E566" s="11">
        <f t="shared" si="2"/>
        <v>135.2</v>
      </c>
      <c r="F566" s="11">
        <f t="shared" si="3"/>
        <v>2.503703704</v>
      </c>
      <c r="G566" s="1">
        <v>54.0</v>
      </c>
      <c r="H566" s="1">
        <v>5.0</v>
      </c>
      <c r="I566" s="1">
        <v>7.0</v>
      </c>
      <c r="J566" s="1">
        <v>12.0</v>
      </c>
      <c r="K566" s="1">
        <v>57.0</v>
      </c>
      <c r="L566" s="1">
        <v>0.0</v>
      </c>
      <c r="M566" s="1">
        <v>0.0</v>
      </c>
      <c r="N566" s="1">
        <v>0.0</v>
      </c>
      <c r="O566" s="1">
        <v>0.0</v>
      </c>
      <c r="P566" s="1">
        <v>142.0</v>
      </c>
      <c r="Q566" s="1">
        <v>27.0</v>
      </c>
      <c r="V566" s="2">
        <f>VLOOKUP(B566,'202324'!B:C,2,FALSE)-A566</f>
        <v>14</v>
      </c>
    </row>
    <row r="567">
      <c r="A567" s="1">
        <f t="shared" si="1"/>
        <v>565</v>
      </c>
      <c r="B567" s="1" t="s">
        <v>1626</v>
      </c>
      <c r="C567" s="1" t="s">
        <v>1091</v>
      </c>
      <c r="D567" s="1" t="s">
        <v>5</v>
      </c>
      <c r="E567" s="11">
        <f t="shared" si="2"/>
        <v>134.7</v>
      </c>
      <c r="F567" s="11">
        <f t="shared" si="3"/>
        <v>5.180769231</v>
      </c>
      <c r="G567" s="1">
        <v>26.0</v>
      </c>
      <c r="R567" s="1">
        <v>12.0</v>
      </c>
      <c r="S567" s="1">
        <v>68.0</v>
      </c>
      <c r="T567" s="1">
        <v>659.0</v>
      </c>
      <c r="U567" s="1">
        <v>1.0</v>
      </c>
      <c r="V567" s="2">
        <f>VLOOKUP(B567,'202324'!B:C,2,FALSE)-A567</f>
        <v>-22</v>
      </c>
    </row>
    <row r="568">
      <c r="A568" s="1">
        <f t="shared" si="1"/>
        <v>566</v>
      </c>
      <c r="B568" s="1" t="s">
        <v>1627</v>
      </c>
      <c r="C568" s="1" t="s">
        <v>1040</v>
      </c>
      <c r="D568" s="1" t="s">
        <v>36</v>
      </c>
      <c r="E568" s="11">
        <f t="shared" si="2"/>
        <v>134.05</v>
      </c>
      <c r="F568" s="11">
        <f t="shared" si="3"/>
        <v>2.351754386</v>
      </c>
      <c r="G568" s="1">
        <v>57.0</v>
      </c>
      <c r="H568" s="1">
        <v>6.0</v>
      </c>
      <c r="I568" s="1">
        <v>13.0</v>
      </c>
      <c r="J568" s="1">
        <v>19.0</v>
      </c>
      <c r="K568" s="1">
        <v>89.0</v>
      </c>
      <c r="L568" s="1">
        <v>1.0</v>
      </c>
      <c r="M568" s="1">
        <v>1.0</v>
      </c>
      <c r="N568" s="1">
        <v>0.0</v>
      </c>
      <c r="O568" s="1">
        <v>0.0</v>
      </c>
      <c r="P568" s="1">
        <v>33.0</v>
      </c>
      <c r="Q568" s="1">
        <v>24.0</v>
      </c>
      <c r="V568" s="2">
        <f>VLOOKUP(B568,'202324'!B:C,2,FALSE)-A568</f>
        <v>-10</v>
      </c>
    </row>
    <row r="569">
      <c r="A569" s="1">
        <f t="shared" si="1"/>
        <v>567</v>
      </c>
      <c r="B569" s="1" t="s">
        <v>1628</v>
      </c>
      <c r="C569" s="1" t="s">
        <v>1034</v>
      </c>
      <c r="D569" s="1" t="s">
        <v>66</v>
      </c>
      <c r="E569" s="11">
        <f t="shared" si="2"/>
        <v>133.6</v>
      </c>
      <c r="F569" s="11">
        <f t="shared" si="3"/>
        <v>3.929411765</v>
      </c>
      <c r="G569" s="1">
        <v>34.0</v>
      </c>
      <c r="H569" s="1">
        <v>2.0</v>
      </c>
      <c r="I569" s="1">
        <v>17.0</v>
      </c>
      <c r="J569" s="1">
        <v>19.0</v>
      </c>
      <c r="K569" s="1">
        <v>53.0</v>
      </c>
      <c r="L569" s="1">
        <v>0.0</v>
      </c>
      <c r="M569" s="1">
        <v>7.0</v>
      </c>
      <c r="N569" s="1">
        <v>0.0</v>
      </c>
      <c r="O569" s="1">
        <v>0.0</v>
      </c>
      <c r="P569" s="1">
        <v>36.0</v>
      </c>
      <c r="Q569" s="1">
        <v>69.0</v>
      </c>
      <c r="V569" s="2">
        <f>VLOOKUP(B569,'202324'!B:C,2,FALSE)-A569</f>
        <v>-7</v>
      </c>
    </row>
    <row r="570">
      <c r="A570" s="1">
        <f t="shared" si="1"/>
        <v>568</v>
      </c>
      <c r="B570" s="1" t="s">
        <v>1629</v>
      </c>
      <c r="C570" s="1" t="s">
        <v>1097</v>
      </c>
      <c r="D570" s="1" t="s">
        <v>66</v>
      </c>
      <c r="E570" s="11">
        <f t="shared" si="2"/>
        <v>133.25</v>
      </c>
      <c r="F570" s="11">
        <f t="shared" si="3"/>
        <v>3.028409091</v>
      </c>
      <c r="G570" s="1">
        <v>44.0</v>
      </c>
      <c r="H570" s="1">
        <v>3.0</v>
      </c>
      <c r="I570" s="1">
        <v>7.0</v>
      </c>
      <c r="J570" s="1">
        <v>10.0</v>
      </c>
      <c r="K570" s="1">
        <v>61.0</v>
      </c>
      <c r="L570" s="1">
        <v>0.0</v>
      </c>
      <c r="M570" s="1">
        <v>0.0</v>
      </c>
      <c r="N570" s="1">
        <v>0.0</v>
      </c>
      <c r="O570" s="1">
        <v>0.0</v>
      </c>
      <c r="P570" s="1">
        <v>125.0</v>
      </c>
      <c r="Q570" s="1">
        <v>49.0</v>
      </c>
      <c r="V570" s="2">
        <f>VLOOKUP(B570,'202324'!B:C,2,FALSE)-A570</f>
        <v>11</v>
      </c>
    </row>
    <row r="571">
      <c r="A571" s="1">
        <f t="shared" si="1"/>
        <v>569</v>
      </c>
      <c r="B571" s="1" t="s">
        <v>1630</v>
      </c>
      <c r="C571" s="1" t="s">
        <v>1082</v>
      </c>
      <c r="D571" s="1" t="s">
        <v>28</v>
      </c>
      <c r="E571" s="11">
        <f t="shared" si="2"/>
        <v>131.5</v>
      </c>
      <c r="F571" s="11">
        <f t="shared" si="3"/>
        <v>2.683673469</v>
      </c>
      <c r="G571" s="1">
        <v>49.0</v>
      </c>
      <c r="H571" s="1">
        <v>15.0</v>
      </c>
      <c r="I571" s="1">
        <v>8.0</v>
      </c>
      <c r="J571" s="1">
        <v>23.0</v>
      </c>
      <c r="K571" s="1">
        <v>50.0</v>
      </c>
      <c r="L571" s="1">
        <v>3.0</v>
      </c>
      <c r="M571" s="1">
        <v>1.0</v>
      </c>
      <c r="N571" s="1">
        <v>0.0</v>
      </c>
      <c r="O571" s="1">
        <v>0.0</v>
      </c>
      <c r="P571" s="1">
        <v>20.0</v>
      </c>
      <c r="Q571" s="1">
        <v>16.0</v>
      </c>
      <c r="V571" s="2">
        <f>VLOOKUP(B571,'202324'!B:C,2,FALSE)-A571</f>
        <v>-7</v>
      </c>
    </row>
    <row r="572">
      <c r="A572" s="1">
        <f t="shared" si="1"/>
        <v>569</v>
      </c>
      <c r="B572" s="1" t="s">
        <v>1631</v>
      </c>
      <c r="C572" s="1" t="s">
        <v>1069</v>
      </c>
      <c r="D572" s="1" t="s">
        <v>66</v>
      </c>
      <c r="E572" s="11">
        <f t="shared" si="2"/>
        <v>131.5</v>
      </c>
      <c r="F572" s="11">
        <f t="shared" si="3"/>
        <v>2.63</v>
      </c>
      <c r="G572" s="1">
        <v>50.0</v>
      </c>
      <c r="H572" s="1">
        <v>2.0</v>
      </c>
      <c r="I572" s="1">
        <v>5.0</v>
      </c>
      <c r="J572" s="1">
        <v>7.0</v>
      </c>
      <c r="K572" s="1">
        <v>52.0</v>
      </c>
      <c r="L572" s="1">
        <v>0.0</v>
      </c>
      <c r="M572" s="1">
        <v>0.0</v>
      </c>
      <c r="N572" s="1">
        <v>0.0</v>
      </c>
      <c r="O572" s="1">
        <v>1.0</v>
      </c>
      <c r="P572" s="1">
        <v>130.0</v>
      </c>
      <c r="Q572" s="1">
        <v>68.0</v>
      </c>
      <c r="V572" s="2">
        <f>VLOOKUP(B572,'202324'!B:C,2,FALSE)-A572</f>
        <v>13</v>
      </c>
    </row>
    <row r="573">
      <c r="A573" s="1">
        <f t="shared" si="1"/>
        <v>571</v>
      </c>
      <c r="B573" s="1" t="s">
        <v>1632</v>
      </c>
      <c r="C573" s="1" t="s">
        <v>1156</v>
      </c>
      <c r="D573" s="1" t="s">
        <v>5</v>
      </c>
      <c r="E573" s="11">
        <f t="shared" si="2"/>
        <v>131.4</v>
      </c>
      <c r="F573" s="11">
        <f t="shared" si="3"/>
        <v>5.475</v>
      </c>
      <c r="G573" s="1">
        <v>24.0</v>
      </c>
      <c r="R573" s="1">
        <v>8.0</v>
      </c>
      <c r="S573" s="1">
        <v>73.0</v>
      </c>
      <c r="T573" s="1">
        <v>723.0</v>
      </c>
      <c r="U573" s="1">
        <v>0.0</v>
      </c>
      <c r="V573" s="2">
        <f>VLOOKUP(B573,'202324'!B:C,2,FALSE)-A573</f>
        <v>-20</v>
      </c>
    </row>
    <row r="574">
      <c r="A574" s="1">
        <f t="shared" si="1"/>
        <v>572</v>
      </c>
      <c r="B574" s="1" t="s">
        <v>1633</v>
      </c>
      <c r="C574" s="1" t="s">
        <v>1120</v>
      </c>
      <c r="D574" s="1" t="s">
        <v>5</v>
      </c>
      <c r="E574" s="11">
        <f t="shared" si="2"/>
        <v>131.1</v>
      </c>
      <c r="F574" s="11">
        <f t="shared" si="3"/>
        <v>5.244</v>
      </c>
      <c r="G574" s="1">
        <v>25.0</v>
      </c>
      <c r="R574" s="1">
        <v>11.0</v>
      </c>
      <c r="S574" s="1">
        <v>70.0</v>
      </c>
      <c r="T574" s="1">
        <v>657.0</v>
      </c>
      <c r="U574" s="1">
        <v>2.0</v>
      </c>
      <c r="V574" s="2">
        <f>VLOOKUP(B574,'202324'!B:C,2,FALSE)-A574</f>
        <v>-18</v>
      </c>
    </row>
    <row r="575">
      <c r="A575" s="1">
        <f t="shared" si="1"/>
        <v>572</v>
      </c>
      <c r="B575" s="1" t="s">
        <v>1634</v>
      </c>
      <c r="C575" s="1" t="s">
        <v>1052</v>
      </c>
      <c r="D575" s="1" t="s">
        <v>31</v>
      </c>
      <c r="E575" s="11">
        <f t="shared" si="2"/>
        <v>131.1</v>
      </c>
      <c r="F575" s="11">
        <f t="shared" si="3"/>
        <v>2.341071429</v>
      </c>
      <c r="G575" s="1">
        <v>56.0</v>
      </c>
      <c r="H575" s="1">
        <v>8.0</v>
      </c>
      <c r="I575" s="1">
        <v>8.0</v>
      </c>
      <c r="J575" s="1">
        <v>16.0</v>
      </c>
      <c r="K575" s="1">
        <v>83.0</v>
      </c>
      <c r="L575" s="1">
        <v>4.0</v>
      </c>
      <c r="M575" s="1">
        <v>1.0</v>
      </c>
      <c r="N575" s="1">
        <v>0.0</v>
      </c>
      <c r="O575" s="1">
        <v>0.0</v>
      </c>
      <c r="P575" s="1">
        <v>36.0</v>
      </c>
      <c r="Q575" s="1">
        <v>34.0</v>
      </c>
      <c r="V575" s="2">
        <f>VLOOKUP(B575,'202324'!B:C,2,FALSE)-A575</f>
        <v>-6</v>
      </c>
    </row>
    <row r="576">
      <c r="A576" s="1">
        <f t="shared" si="1"/>
        <v>574</v>
      </c>
      <c r="B576" s="1" t="s">
        <v>1635</v>
      </c>
      <c r="C576" s="1" t="s">
        <v>1085</v>
      </c>
      <c r="D576" s="1" t="s">
        <v>66</v>
      </c>
      <c r="E576" s="11">
        <f t="shared" si="2"/>
        <v>130.9</v>
      </c>
      <c r="F576" s="11">
        <f t="shared" si="3"/>
        <v>2.218644068</v>
      </c>
      <c r="G576" s="1">
        <v>59.0</v>
      </c>
      <c r="H576" s="1">
        <v>2.0</v>
      </c>
      <c r="I576" s="1">
        <v>17.0</v>
      </c>
      <c r="J576" s="1">
        <v>19.0</v>
      </c>
      <c r="K576" s="1">
        <v>73.0</v>
      </c>
      <c r="L576" s="1">
        <v>0.0</v>
      </c>
      <c r="M576" s="1">
        <v>2.0</v>
      </c>
      <c r="N576" s="1">
        <v>0.0</v>
      </c>
      <c r="O576" s="1">
        <v>0.0</v>
      </c>
      <c r="P576" s="1">
        <v>44.0</v>
      </c>
      <c r="Q576" s="1">
        <v>38.0</v>
      </c>
      <c r="V576" s="2">
        <f>VLOOKUP(B576,'202324'!B:C,2,FALSE)-A576</f>
        <v>-5</v>
      </c>
    </row>
    <row r="577">
      <c r="A577" s="1">
        <f t="shared" si="1"/>
        <v>575</v>
      </c>
      <c r="B577" s="1" t="s">
        <v>1636</v>
      </c>
      <c r="C577" s="1" t="s">
        <v>1097</v>
      </c>
      <c r="D577" s="1" t="s">
        <v>5</v>
      </c>
      <c r="E577" s="11">
        <f t="shared" si="2"/>
        <v>130.5</v>
      </c>
      <c r="F577" s="11">
        <f t="shared" si="3"/>
        <v>5.673913043</v>
      </c>
      <c r="G577" s="1">
        <v>23.0</v>
      </c>
      <c r="R577" s="1">
        <v>8.0</v>
      </c>
      <c r="S577" s="1">
        <v>66.0</v>
      </c>
      <c r="T577" s="1">
        <v>665.0</v>
      </c>
      <c r="U577" s="1">
        <v>2.0</v>
      </c>
      <c r="V577" s="2">
        <f>VLOOKUP(B577,'202324'!B:C,2,FALSE)-A577</f>
        <v>-17</v>
      </c>
    </row>
    <row r="578">
      <c r="A578" s="1">
        <f t="shared" si="1"/>
        <v>576</v>
      </c>
      <c r="B578" s="1" t="s">
        <v>1637</v>
      </c>
      <c r="C578" s="1" t="s">
        <v>1097</v>
      </c>
      <c r="D578" s="1" t="s">
        <v>66</v>
      </c>
      <c r="E578" s="11">
        <f t="shared" si="2"/>
        <v>130.35</v>
      </c>
      <c r="F578" s="11">
        <f t="shared" si="3"/>
        <v>2.715625</v>
      </c>
      <c r="G578" s="1">
        <v>48.0</v>
      </c>
      <c r="H578" s="1">
        <v>7.0</v>
      </c>
      <c r="I578" s="1">
        <v>6.0</v>
      </c>
      <c r="J578" s="1">
        <v>13.0</v>
      </c>
      <c r="K578" s="1">
        <v>60.0</v>
      </c>
      <c r="L578" s="1">
        <v>1.0</v>
      </c>
      <c r="M578" s="1">
        <v>0.0</v>
      </c>
      <c r="N578" s="1">
        <v>0.0</v>
      </c>
      <c r="O578" s="1">
        <v>0.0</v>
      </c>
      <c r="P578" s="1">
        <v>61.0</v>
      </c>
      <c r="Q578" s="1">
        <v>59.0</v>
      </c>
      <c r="V578" s="2">
        <f>VLOOKUP(B578,'202324'!B:C,2,FALSE)-A578</f>
        <v>-4</v>
      </c>
    </row>
    <row r="579">
      <c r="A579" s="1">
        <f t="shared" si="1"/>
        <v>577</v>
      </c>
      <c r="B579" s="1" t="s">
        <v>1638</v>
      </c>
      <c r="C579" s="1" t="s">
        <v>1044</v>
      </c>
      <c r="D579" s="1" t="s">
        <v>5</v>
      </c>
      <c r="E579" s="11">
        <f t="shared" si="2"/>
        <v>129.3</v>
      </c>
      <c r="F579" s="11">
        <f t="shared" si="3"/>
        <v>4.31</v>
      </c>
      <c r="G579" s="1">
        <v>30.0</v>
      </c>
      <c r="R579" s="1">
        <v>15.0</v>
      </c>
      <c r="S579" s="1">
        <v>84.0</v>
      </c>
      <c r="T579" s="1">
        <v>681.0</v>
      </c>
      <c r="U579" s="1">
        <v>2.0</v>
      </c>
      <c r="V579" s="2">
        <f>VLOOKUP(B579,'202324'!B:C,2,FALSE)-A579</f>
        <v>-13</v>
      </c>
    </row>
    <row r="580">
      <c r="A580" s="1">
        <f t="shared" si="1"/>
        <v>578</v>
      </c>
      <c r="B580" s="1" t="s">
        <v>1639</v>
      </c>
      <c r="C580" s="1" t="s">
        <v>1175</v>
      </c>
      <c r="D580" s="1" t="s">
        <v>31</v>
      </c>
      <c r="E580" s="11">
        <f t="shared" si="2"/>
        <v>128.75</v>
      </c>
      <c r="F580" s="11">
        <f t="shared" si="3"/>
        <v>2.043650794</v>
      </c>
      <c r="G580" s="1">
        <v>63.0</v>
      </c>
      <c r="H580" s="1">
        <v>5.0</v>
      </c>
      <c r="I580" s="1">
        <v>8.0</v>
      </c>
      <c r="J580" s="1">
        <v>13.0</v>
      </c>
      <c r="K580" s="1">
        <v>69.0</v>
      </c>
      <c r="L580" s="1">
        <v>0.0</v>
      </c>
      <c r="M580" s="1">
        <v>0.0</v>
      </c>
      <c r="N580" s="1">
        <v>1.0</v>
      </c>
      <c r="O580" s="1">
        <v>0.0</v>
      </c>
      <c r="P580" s="1">
        <v>75.0</v>
      </c>
      <c r="Q580" s="1">
        <v>39.0</v>
      </c>
      <c r="V580" s="2">
        <f>VLOOKUP(B580,'202324'!B:C,2,FALSE)-A580</f>
        <v>-2</v>
      </c>
    </row>
    <row r="581">
      <c r="A581" s="1">
        <f t="shared" si="1"/>
        <v>579</v>
      </c>
      <c r="B581" s="1" t="s">
        <v>1640</v>
      </c>
      <c r="C581" s="1" t="s">
        <v>1082</v>
      </c>
      <c r="D581" s="1" t="s">
        <v>31</v>
      </c>
      <c r="E581" s="11">
        <f t="shared" si="2"/>
        <v>128.1</v>
      </c>
      <c r="F581" s="11">
        <f t="shared" si="3"/>
        <v>2.511764706</v>
      </c>
      <c r="G581" s="1">
        <v>51.0</v>
      </c>
      <c r="H581" s="1">
        <v>8.0</v>
      </c>
      <c r="I581" s="1">
        <v>14.0</v>
      </c>
      <c r="J581" s="1">
        <v>22.0</v>
      </c>
      <c r="K581" s="1">
        <v>51.0</v>
      </c>
      <c r="L581" s="1">
        <v>0.0</v>
      </c>
      <c r="M581" s="1">
        <v>2.0</v>
      </c>
      <c r="N581" s="1">
        <v>0.0</v>
      </c>
      <c r="O581" s="1">
        <v>0.0</v>
      </c>
      <c r="P581" s="1">
        <v>26.0</v>
      </c>
      <c r="Q581" s="1">
        <v>31.0</v>
      </c>
      <c r="V581" s="2">
        <f>VLOOKUP(B581,'202324'!B:C,2,FALSE)-A581</f>
        <v>-8</v>
      </c>
    </row>
    <row r="582">
      <c r="A582" s="1">
        <f t="shared" si="1"/>
        <v>580</v>
      </c>
      <c r="B582" s="1" t="s">
        <v>1641</v>
      </c>
      <c r="C582" s="1" t="s">
        <v>1038</v>
      </c>
      <c r="D582" s="1" t="s">
        <v>31</v>
      </c>
      <c r="E582" s="11">
        <f t="shared" si="2"/>
        <v>127.75</v>
      </c>
      <c r="F582" s="11">
        <f t="shared" si="3"/>
        <v>2.129166667</v>
      </c>
      <c r="G582" s="1">
        <v>60.0</v>
      </c>
      <c r="H582" s="1">
        <v>2.0</v>
      </c>
      <c r="I582" s="1">
        <v>8.0</v>
      </c>
      <c r="J582" s="1">
        <v>10.0</v>
      </c>
      <c r="K582" s="1">
        <v>43.0</v>
      </c>
      <c r="L582" s="1">
        <v>0.0</v>
      </c>
      <c r="M582" s="1">
        <v>0.0</v>
      </c>
      <c r="N582" s="1">
        <v>0.0</v>
      </c>
      <c r="O582" s="1">
        <v>0.0</v>
      </c>
      <c r="P582" s="1">
        <v>175.0</v>
      </c>
      <c r="Q582" s="1">
        <v>24.0</v>
      </c>
      <c r="V582" s="2">
        <f>VLOOKUP(B582,'202324'!B:C,2,FALSE)-A582</f>
        <v>28</v>
      </c>
    </row>
    <row r="583">
      <c r="A583" s="1">
        <f t="shared" si="1"/>
        <v>581</v>
      </c>
      <c r="B583" s="1" t="s">
        <v>1642</v>
      </c>
      <c r="C583" s="1" t="s">
        <v>1032</v>
      </c>
      <c r="D583" s="1" t="s">
        <v>28</v>
      </c>
      <c r="E583" s="11">
        <f t="shared" si="2"/>
        <v>127.35</v>
      </c>
      <c r="F583" s="11">
        <f t="shared" si="3"/>
        <v>2.358333333</v>
      </c>
      <c r="G583" s="1">
        <v>54.0</v>
      </c>
      <c r="H583" s="1">
        <v>7.0</v>
      </c>
      <c r="I583" s="1">
        <v>10.0</v>
      </c>
      <c r="J583" s="1">
        <v>17.0</v>
      </c>
      <c r="K583" s="1">
        <v>54.0</v>
      </c>
      <c r="L583" s="1">
        <v>0.0</v>
      </c>
      <c r="M583" s="1">
        <v>0.0</v>
      </c>
      <c r="N583" s="1">
        <v>0.0</v>
      </c>
      <c r="O583" s="1">
        <v>0.0</v>
      </c>
      <c r="P583" s="1">
        <v>51.0</v>
      </c>
      <c r="Q583" s="1">
        <v>42.0</v>
      </c>
      <c r="V583" s="2">
        <f>VLOOKUP(B583,'202324'!B:C,2,FALSE)-A583</f>
        <v>-6</v>
      </c>
    </row>
    <row r="584">
      <c r="A584" s="1">
        <f t="shared" si="1"/>
        <v>582</v>
      </c>
      <c r="B584" s="1" t="s">
        <v>1643</v>
      </c>
      <c r="C584" s="1" t="s">
        <v>1044</v>
      </c>
      <c r="D584" s="1" t="s">
        <v>31</v>
      </c>
      <c r="E584" s="11">
        <f t="shared" si="2"/>
        <v>127.1</v>
      </c>
      <c r="F584" s="11">
        <f t="shared" si="3"/>
        <v>2.017460317</v>
      </c>
      <c r="G584" s="1">
        <v>63.0</v>
      </c>
      <c r="H584" s="1">
        <v>5.0</v>
      </c>
      <c r="I584" s="1">
        <v>5.0</v>
      </c>
      <c r="J584" s="1">
        <v>10.0</v>
      </c>
      <c r="K584" s="1">
        <v>60.0</v>
      </c>
      <c r="L584" s="1">
        <v>0.0</v>
      </c>
      <c r="M584" s="1">
        <v>0.0</v>
      </c>
      <c r="N584" s="1">
        <v>0.0</v>
      </c>
      <c r="O584" s="1">
        <v>0.0</v>
      </c>
      <c r="P584" s="1">
        <v>126.0</v>
      </c>
      <c r="Q584" s="1">
        <v>31.0</v>
      </c>
      <c r="V584" s="2">
        <f>VLOOKUP(B584,'202324'!B:C,2,FALSE)-A584</f>
        <v>14</v>
      </c>
    </row>
    <row r="585">
      <c r="A585" s="1">
        <f t="shared" si="1"/>
        <v>583</v>
      </c>
      <c r="B585" s="1" t="s">
        <v>1644</v>
      </c>
      <c r="C585" s="1" t="s">
        <v>1097</v>
      </c>
      <c r="D585" s="1" t="s">
        <v>66</v>
      </c>
      <c r="E585" s="11">
        <f t="shared" si="2"/>
        <v>126.85</v>
      </c>
      <c r="F585" s="11">
        <f t="shared" si="3"/>
        <v>2.265178571</v>
      </c>
      <c r="G585" s="1">
        <v>56.0</v>
      </c>
      <c r="H585" s="1">
        <v>3.0</v>
      </c>
      <c r="I585" s="1">
        <v>7.0</v>
      </c>
      <c r="J585" s="1">
        <v>10.0</v>
      </c>
      <c r="K585" s="1">
        <v>47.0</v>
      </c>
      <c r="L585" s="1">
        <v>0.0</v>
      </c>
      <c r="M585" s="1">
        <v>0.0</v>
      </c>
      <c r="N585" s="1">
        <v>0.0</v>
      </c>
      <c r="O585" s="1">
        <v>0.0</v>
      </c>
      <c r="P585" s="1">
        <v>121.0</v>
      </c>
      <c r="Q585" s="1">
        <v>53.0</v>
      </c>
      <c r="V585" s="2">
        <f>VLOOKUP(B585,'202324'!B:C,2,FALSE)-A585</f>
        <v>11</v>
      </c>
    </row>
    <row r="586">
      <c r="A586" s="1">
        <f t="shared" si="1"/>
        <v>584</v>
      </c>
      <c r="B586" s="1" t="s">
        <v>1645</v>
      </c>
      <c r="C586" s="1" t="s">
        <v>1175</v>
      </c>
      <c r="D586" s="1" t="s">
        <v>36</v>
      </c>
      <c r="E586" s="11">
        <f t="shared" si="2"/>
        <v>125.6</v>
      </c>
      <c r="F586" s="11">
        <f t="shared" si="3"/>
        <v>2.128813559</v>
      </c>
      <c r="G586" s="1">
        <v>59.0</v>
      </c>
      <c r="H586" s="1">
        <v>5.0</v>
      </c>
      <c r="I586" s="1">
        <v>9.0</v>
      </c>
      <c r="J586" s="1">
        <v>14.0</v>
      </c>
      <c r="K586" s="1">
        <v>70.0</v>
      </c>
      <c r="L586" s="1">
        <v>0.0</v>
      </c>
      <c r="M586" s="1">
        <v>1.0</v>
      </c>
      <c r="N586" s="1">
        <v>0.0</v>
      </c>
      <c r="O586" s="1">
        <v>0.0</v>
      </c>
      <c r="P586" s="1">
        <v>76.0</v>
      </c>
      <c r="Q586" s="1">
        <v>29.0</v>
      </c>
      <c r="V586" s="2">
        <f>VLOOKUP(B586,'202324'!B:C,2,FALSE)-A586</f>
        <v>1</v>
      </c>
    </row>
    <row r="587">
      <c r="A587" s="1">
        <f t="shared" si="1"/>
        <v>585</v>
      </c>
      <c r="B587" s="1" t="s">
        <v>1646</v>
      </c>
      <c r="C587" s="1" t="s">
        <v>1067</v>
      </c>
      <c r="D587" s="1" t="s">
        <v>66</v>
      </c>
      <c r="E587" s="11">
        <f t="shared" si="2"/>
        <v>125.1</v>
      </c>
      <c r="F587" s="11">
        <f t="shared" si="3"/>
        <v>3.051219512</v>
      </c>
      <c r="G587" s="1">
        <v>41.0</v>
      </c>
      <c r="H587" s="1">
        <v>1.0</v>
      </c>
      <c r="I587" s="1">
        <v>6.0</v>
      </c>
      <c r="J587" s="1">
        <v>7.0</v>
      </c>
      <c r="K587" s="1">
        <v>44.0</v>
      </c>
      <c r="L587" s="1">
        <v>0.0</v>
      </c>
      <c r="M587" s="1">
        <v>0.0</v>
      </c>
      <c r="N587" s="1">
        <v>0.0</v>
      </c>
      <c r="O587" s="1">
        <v>0.0</v>
      </c>
      <c r="P587" s="1">
        <v>106.0</v>
      </c>
      <c r="Q587" s="1">
        <v>87.0</v>
      </c>
      <c r="V587" s="2">
        <f>VLOOKUP(B587,'202324'!B:C,2,FALSE)-A587</f>
        <v>11</v>
      </c>
    </row>
    <row r="588">
      <c r="A588" s="1">
        <f t="shared" si="1"/>
        <v>586</v>
      </c>
      <c r="B588" s="1" t="s">
        <v>1647</v>
      </c>
      <c r="C588" s="1" t="s">
        <v>1078</v>
      </c>
      <c r="D588" s="1" t="s">
        <v>36</v>
      </c>
      <c r="E588" s="11">
        <f t="shared" si="2"/>
        <v>124.55</v>
      </c>
      <c r="F588" s="11">
        <f t="shared" si="3"/>
        <v>2.442156863</v>
      </c>
      <c r="G588" s="1">
        <v>51.0</v>
      </c>
      <c r="H588" s="1">
        <v>7.0</v>
      </c>
      <c r="I588" s="1">
        <v>8.0</v>
      </c>
      <c r="J588" s="1">
        <v>15.0</v>
      </c>
      <c r="K588" s="1">
        <v>101.0</v>
      </c>
      <c r="L588" s="1">
        <v>3.0</v>
      </c>
      <c r="M588" s="1">
        <v>1.0</v>
      </c>
      <c r="N588" s="1">
        <v>0.0</v>
      </c>
      <c r="O588" s="1">
        <v>0.0</v>
      </c>
      <c r="P588" s="1">
        <v>33.0</v>
      </c>
      <c r="Q588" s="1">
        <v>14.0</v>
      </c>
      <c r="V588" s="2">
        <f>VLOOKUP(B588,'202324'!B:C,2,FALSE)-A588</f>
        <v>-10</v>
      </c>
    </row>
    <row r="589">
      <c r="A589" s="1">
        <f t="shared" si="1"/>
        <v>587</v>
      </c>
      <c r="B589" s="1" t="s">
        <v>1648</v>
      </c>
      <c r="C589" s="1" t="s">
        <v>1046</v>
      </c>
      <c r="D589" s="1" t="s">
        <v>5</v>
      </c>
      <c r="E589" s="11">
        <f t="shared" si="2"/>
        <v>122.7</v>
      </c>
      <c r="F589" s="11">
        <f t="shared" si="3"/>
        <v>4.231034483</v>
      </c>
      <c r="G589" s="1">
        <v>29.0</v>
      </c>
      <c r="R589" s="1">
        <v>12.0</v>
      </c>
      <c r="S589" s="1">
        <v>80.0</v>
      </c>
      <c r="T589" s="1">
        <v>679.0</v>
      </c>
      <c r="U589" s="1">
        <v>1.0</v>
      </c>
      <c r="V589" s="2">
        <f>VLOOKUP(B589,'202324'!B:C,2,FALSE)-A589</f>
        <v>-13</v>
      </c>
    </row>
    <row r="590">
      <c r="A590" s="1">
        <f t="shared" si="1"/>
        <v>588</v>
      </c>
      <c r="B590" s="1" t="s">
        <v>1649</v>
      </c>
      <c r="C590" s="1" t="s">
        <v>1044</v>
      </c>
      <c r="D590" s="1" t="s">
        <v>28</v>
      </c>
      <c r="E590" s="11">
        <f t="shared" si="2"/>
        <v>122.2</v>
      </c>
      <c r="F590" s="11">
        <f t="shared" si="3"/>
        <v>2.071186441</v>
      </c>
      <c r="G590" s="1">
        <v>59.0</v>
      </c>
      <c r="H590" s="1">
        <v>7.0</v>
      </c>
      <c r="I590" s="1">
        <v>6.0</v>
      </c>
      <c r="J590" s="1">
        <v>13.0</v>
      </c>
      <c r="K590" s="1">
        <v>70.0</v>
      </c>
      <c r="L590" s="1">
        <v>0.0</v>
      </c>
      <c r="M590" s="1">
        <v>0.0</v>
      </c>
      <c r="N590" s="1">
        <v>1.0</v>
      </c>
      <c r="O590" s="1">
        <v>0.0</v>
      </c>
      <c r="P590" s="1">
        <v>82.0</v>
      </c>
      <c r="Q590" s="1">
        <v>14.0</v>
      </c>
      <c r="V590" s="2">
        <f>VLOOKUP(B590,'202324'!B:C,2,FALSE)-A590</f>
        <v>11</v>
      </c>
    </row>
    <row r="591">
      <c r="A591" s="1">
        <f t="shared" si="1"/>
        <v>589</v>
      </c>
      <c r="B591" s="1" t="s">
        <v>1650</v>
      </c>
      <c r="C591" s="1" t="s">
        <v>1038</v>
      </c>
      <c r="D591" s="1" t="s">
        <v>66</v>
      </c>
      <c r="E591" s="11">
        <f t="shared" si="2"/>
        <v>122.05</v>
      </c>
      <c r="F591" s="11">
        <f t="shared" si="3"/>
        <v>1.937301587</v>
      </c>
      <c r="G591" s="1">
        <v>63.0</v>
      </c>
      <c r="H591" s="1">
        <v>2.0</v>
      </c>
      <c r="I591" s="1">
        <v>9.0</v>
      </c>
      <c r="J591" s="1">
        <v>11.0</v>
      </c>
      <c r="K591" s="1">
        <v>59.0</v>
      </c>
      <c r="L591" s="1">
        <v>0.0</v>
      </c>
      <c r="M591" s="1">
        <v>0.0</v>
      </c>
      <c r="N591" s="1">
        <v>0.0</v>
      </c>
      <c r="O591" s="1">
        <v>0.0</v>
      </c>
      <c r="P591" s="1">
        <v>53.0</v>
      </c>
      <c r="Q591" s="1">
        <v>76.0</v>
      </c>
      <c r="V591" s="2">
        <f>VLOOKUP(B591,'202324'!B:C,2,FALSE)-A591</f>
        <v>0</v>
      </c>
    </row>
    <row r="592">
      <c r="A592" s="1">
        <f t="shared" si="1"/>
        <v>590</v>
      </c>
      <c r="B592" s="1" t="s">
        <v>1651</v>
      </c>
      <c r="C592" s="1" t="s">
        <v>1032</v>
      </c>
      <c r="D592" s="1" t="s">
        <v>66</v>
      </c>
      <c r="E592" s="11">
        <f t="shared" si="2"/>
        <v>121.85</v>
      </c>
      <c r="F592" s="11">
        <f t="shared" si="3"/>
        <v>2.648913043</v>
      </c>
      <c r="G592" s="1">
        <v>46.0</v>
      </c>
      <c r="H592" s="1">
        <v>3.0</v>
      </c>
      <c r="I592" s="1">
        <v>6.0</v>
      </c>
      <c r="J592" s="1">
        <v>9.0</v>
      </c>
      <c r="K592" s="1">
        <v>59.0</v>
      </c>
      <c r="L592" s="1">
        <v>0.0</v>
      </c>
      <c r="M592" s="1">
        <v>0.0</v>
      </c>
      <c r="N592" s="1">
        <v>0.0</v>
      </c>
      <c r="O592" s="1">
        <v>0.0</v>
      </c>
      <c r="P592" s="1">
        <v>51.0</v>
      </c>
      <c r="Q592" s="1">
        <v>86.0</v>
      </c>
      <c r="V592" s="2">
        <f>VLOOKUP(B592,'202324'!B:C,2,FALSE)-A592</f>
        <v>-1</v>
      </c>
    </row>
    <row r="593">
      <c r="A593" s="1">
        <f t="shared" si="1"/>
        <v>591</v>
      </c>
      <c r="B593" s="1" t="s">
        <v>1652</v>
      </c>
      <c r="C593" s="1" t="s">
        <v>1038</v>
      </c>
      <c r="D593" s="1" t="s">
        <v>66</v>
      </c>
      <c r="E593" s="11">
        <f t="shared" si="2"/>
        <v>121.8</v>
      </c>
      <c r="F593" s="11">
        <f t="shared" si="3"/>
        <v>3.205263158</v>
      </c>
      <c r="G593" s="1">
        <v>38.0</v>
      </c>
      <c r="H593" s="1">
        <v>1.0</v>
      </c>
      <c r="I593" s="1">
        <v>9.0</v>
      </c>
      <c r="J593" s="1">
        <v>10.0</v>
      </c>
      <c r="K593" s="1">
        <v>37.0</v>
      </c>
      <c r="L593" s="1">
        <v>0.0</v>
      </c>
      <c r="M593" s="1">
        <v>0.0</v>
      </c>
      <c r="N593" s="1">
        <v>0.0</v>
      </c>
      <c r="O593" s="1">
        <v>1.0</v>
      </c>
      <c r="P593" s="1">
        <v>88.0</v>
      </c>
      <c r="Q593" s="1">
        <v>78.0</v>
      </c>
      <c r="V593" s="2">
        <f>VLOOKUP(B593,'202324'!B:C,2,FALSE)-A593</f>
        <v>10</v>
      </c>
    </row>
    <row r="594">
      <c r="A594" s="1">
        <f t="shared" si="1"/>
        <v>592</v>
      </c>
      <c r="B594" s="1" t="s">
        <v>1653</v>
      </c>
      <c r="C594" s="1" t="s">
        <v>1106</v>
      </c>
      <c r="D594" s="1" t="s">
        <v>31</v>
      </c>
      <c r="E594" s="11">
        <f t="shared" si="2"/>
        <v>121.75</v>
      </c>
      <c r="F594" s="11">
        <f t="shared" si="3"/>
        <v>2.705555556</v>
      </c>
      <c r="G594" s="1">
        <v>45.0</v>
      </c>
      <c r="H594" s="1">
        <v>7.0</v>
      </c>
      <c r="I594" s="1">
        <v>6.0</v>
      </c>
      <c r="J594" s="1">
        <v>13.0</v>
      </c>
      <c r="K594" s="1">
        <v>43.0</v>
      </c>
      <c r="L594" s="1">
        <v>0.0</v>
      </c>
      <c r="M594" s="1">
        <v>0.0</v>
      </c>
      <c r="N594" s="1">
        <v>0.0</v>
      </c>
      <c r="O594" s="1">
        <v>0.0</v>
      </c>
      <c r="P594" s="1">
        <v>95.0</v>
      </c>
      <c r="Q594" s="1">
        <v>35.0</v>
      </c>
      <c r="V594" s="2">
        <f>VLOOKUP(B594,'202324'!B:C,2,FALSE)-A594</f>
        <v>10</v>
      </c>
    </row>
    <row r="595">
      <c r="A595" s="1">
        <f t="shared" si="1"/>
        <v>593</v>
      </c>
      <c r="B595" s="1" t="s">
        <v>1654</v>
      </c>
      <c r="C595" s="1" t="s">
        <v>1087</v>
      </c>
      <c r="D595" s="1" t="s">
        <v>28</v>
      </c>
      <c r="E595" s="11">
        <f t="shared" si="2"/>
        <v>121.35</v>
      </c>
      <c r="F595" s="11">
        <f t="shared" si="3"/>
        <v>2.128947368</v>
      </c>
      <c r="G595" s="1">
        <v>57.0</v>
      </c>
      <c r="H595" s="1">
        <v>4.0</v>
      </c>
      <c r="I595" s="1">
        <v>4.0</v>
      </c>
      <c r="J595" s="1">
        <v>8.0</v>
      </c>
      <c r="K595" s="1">
        <v>48.0</v>
      </c>
      <c r="L595" s="1">
        <v>0.0</v>
      </c>
      <c r="M595" s="1">
        <v>0.0</v>
      </c>
      <c r="N595" s="1">
        <v>0.0</v>
      </c>
      <c r="O595" s="1">
        <v>0.0</v>
      </c>
      <c r="P595" s="1">
        <v>151.0</v>
      </c>
      <c r="Q595" s="1">
        <v>29.0</v>
      </c>
      <c r="V595" s="2">
        <f>VLOOKUP(B595,'202324'!B:C,2,FALSE)-A595</f>
        <v>22</v>
      </c>
    </row>
    <row r="596">
      <c r="A596" s="1">
        <f t="shared" si="1"/>
        <v>594</v>
      </c>
      <c r="B596" s="1" t="s">
        <v>1655</v>
      </c>
      <c r="C596" s="1" t="s">
        <v>1175</v>
      </c>
      <c r="D596" s="1" t="s">
        <v>36</v>
      </c>
      <c r="E596" s="11">
        <f t="shared" si="2"/>
        <v>121.3</v>
      </c>
      <c r="F596" s="11">
        <f t="shared" si="3"/>
        <v>2.332692308</v>
      </c>
      <c r="G596" s="1">
        <v>52.0</v>
      </c>
      <c r="H596" s="1">
        <v>8.0</v>
      </c>
      <c r="I596" s="1">
        <v>6.0</v>
      </c>
      <c r="J596" s="1">
        <v>14.0</v>
      </c>
      <c r="K596" s="1">
        <v>43.0</v>
      </c>
      <c r="L596" s="1">
        <v>0.0</v>
      </c>
      <c r="M596" s="1">
        <v>1.0</v>
      </c>
      <c r="N596" s="1">
        <v>0.0</v>
      </c>
      <c r="O596" s="1">
        <v>0.0</v>
      </c>
      <c r="P596" s="1">
        <v>108.0</v>
      </c>
      <c r="Q596" s="1">
        <v>16.0</v>
      </c>
      <c r="V596" s="2">
        <f>VLOOKUP(B596,'202324'!B:C,2,FALSE)-A596</f>
        <v>10</v>
      </c>
    </row>
    <row r="597">
      <c r="A597" s="1">
        <f t="shared" si="1"/>
        <v>595</v>
      </c>
      <c r="B597" s="1" t="s">
        <v>1656</v>
      </c>
      <c r="C597" s="1" t="s">
        <v>1073</v>
      </c>
      <c r="D597" s="1" t="s">
        <v>5</v>
      </c>
      <c r="E597" s="11">
        <f t="shared" si="2"/>
        <v>120.6</v>
      </c>
      <c r="F597" s="11">
        <f t="shared" si="3"/>
        <v>7.5375</v>
      </c>
      <c r="G597" s="1">
        <v>16.0</v>
      </c>
      <c r="R597" s="1">
        <v>13.0</v>
      </c>
      <c r="S597" s="1">
        <v>28.0</v>
      </c>
      <c r="T597" s="1">
        <v>382.0</v>
      </c>
      <c r="U597" s="1">
        <v>3.0</v>
      </c>
      <c r="V597" s="2">
        <f>VLOOKUP(B597,'202324'!B:C,2,FALSE)-A597</f>
        <v>-14</v>
      </c>
    </row>
    <row r="598">
      <c r="A598" s="1">
        <f t="shared" si="1"/>
        <v>596</v>
      </c>
      <c r="B598" s="1" t="s">
        <v>1657</v>
      </c>
      <c r="C598" s="1" t="s">
        <v>1069</v>
      </c>
      <c r="D598" s="1" t="s">
        <v>28</v>
      </c>
      <c r="E598" s="11">
        <f t="shared" si="2"/>
        <v>120.5</v>
      </c>
      <c r="F598" s="11">
        <f t="shared" si="3"/>
        <v>2.042372881</v>
      </c>
      <c r="G598" s="1">
        <v>59.0</v>
      </c>
      <c r="H598" s="1">
        <v>6.0</v>
      </c>
      <c r="I598" s="1">
        <v>6.0</v>
      </c>
      <c r="J598" s="1">
        <v>12.0</v>
      </c>
      <c r="K598" s="1">
        <v>57.0</v>
      </c>
      <c r="L598" s="1">
        <v>1.0</v>
      </c>
      <c r="M598" s="1">
        <v>0.0</v>
      </c>
      <c r="N598" s="1">
        <v>0.0</v>
      </c>
      <c r="O598" s="1">
        <v>0.0</v>
      </c>
      <c r="P598" s="1">
        <v>100.0</v>
      </c>
      <c r="Q598" s="1">
        <v>24.0</v>
      </c>
      <c r="V598" s="2">
        <f>VLOOKUP(B598,'202324'!B:C,2,FALSE)-A598</f>
        <v>8</v>
      </c>
    </row>
    <row r="599">
      <c r="A599" s="1">
        <f t="shared" si="1"/>
        <v>597</v>
      </c>
      <c r="B599" s="1" t="s">
        <v>1658</v>
      </c>
      <c r="C599" s="1" t="s">
        <v>1097</v>
      </c>
      <c r="D599" s="1" t="s">
        <v>66</v>
      </c>
      <c r="E599" s="11">
        <f t="shared" si="2"/>
        <v>120.1</v>
      </c>
      <c r="F599" s="11">
        <f t="shared" si="3"/>
        <v>2.144642857</v>
      </c>
      <c r="G599" s="1">
        <v>56.0</v>
      </c>
      <c r="H599" s="1">
        <v>3.0</v>
      </c>
      <c r="I599" s="1">
        <v>11.0</v>
      </c>
      <c r="J599" s="1">
        <v>14.0</v>
      </c>
      <c r="K599" s="1">
        <v>43.0</v>
      </c>
      <c r="L599" s="1">
        <v>0.0</v>
      </c>
      <c r="M599" s="1">
        <v>0.0</v>
      </c>
      <c r="N599" s="1">
        <v>0.0</v>
      </c>
      <c r="O599" s="1">
        <v>0.0</v>
      </c>
      <c r="P599" s="1">
        <v>26.0</v>
      </c>
      <c r="Q599" s="1">
        <v>86.0</v>
      </c>
      <c r="V599" s="2">
        <f>VLOOKUP(B599,'202324'!B:C,2,FALSE)-A599</f>
        <v>-9</v>
      </c>
    </row>
    <row r="600">
      <c r="A600" s="1">
        <f t="shared" si="1"/>
        <v>598</v>
      </c>
      <c r="B600" s="1" t="s">
        <v>1659</v>
      </c>
      <c r="C600" s="1" t="s">
        <v>1097</v>
      </c>
      <c r="D600" s="1" t="s">
        <v>28</v>
      </c>
      <c r="E600" s="11">
        <f t="shared" si="2"/>
        <v>120</v>
      </c>
      <c r="F600" s="11">
        <f t="shared" si="3"/>
        <v>2.222222222</v>
      </c>
      <c r="G600" s="1">
        <v>54.0</v>
      </c>
      <c r="H600" s="1">
        <v>5.0</v>
      </c>
      <c r="I600" s="1">
        <v>8.0</v>
      </c>
      <c r="J600" s="1">
        <v>13.0</v>
      </c>
      <c r="K600" s="1">
        <v>77.0</v>
      </c>
      <c r="L600" s="1">
        <v>1.0</v>
      </c>
      <c r="M600" s="1">
        <v>1.0</v>
      </c>
      <c r="N600" s="1">
        <v>0.0</v>
      </c>
      <c r="O600" s="1">
        <v>0.0</v>
      </c>
      <c r="P600" s="1">
        <v>50.0</v>
      </c>
      <c r="Q600" s="1">
        <v>35.0</v>
      </c>
      <c r="V600" s="2">
        <f>VLOOKUP(B600,'202324'!B:C,2,FALSE)-A600</f>
        <v>-5</v>
      </c>
    </row>
    <row r="601">
      <c r="A601" s="1">
        <f t="shared" si="1"/>
        <v>599</v>
      </c>
      <c r="B601" s="1" t="s">
        <v>1660</v>
      </c>
      <c r="C601" s="1" t="s">
        <v>1172</v>
      </c>
      <c r="D601" s="1" t="s">
        <v>36</v>
      </c>
      <c r="E601" s="11">
        <f t="shared" si="2"/>
        <v>119.45</v>
      </c>
      <c r="F601" s="11">
        <f t="shared" si="3"/>
        <v>1.837692308</v>
      </c>
      <c r="G601" s="1">
        <v>65.0</v>
      </c>
      <c r="H601" s="1">
        <v>5.0</v>
      </c>
      <c r="I601" s="1">
        <v>11.0</v>
      </c>
      <c r="J601" s="1">
        <v>16.0</v>
      </c>
      <c r="K601" s="1">
        <v>84.0</v>
      </c>
      <c r="L601" s="1">
        <v>2.0</v>
      </c>
      <c r="M601" s="1">
        <v>0.0</v>
      </c>
      <c r="N601" s="1">
        <v>0.0</v>
      </c>
      <c r="O601" s="1">
        <v>0.0</v>
      </c>
      <c r="P601" s="1">
        <v>27.0</v>
      </c>
      <c r="Q601" s="1">
        <v>25.0</v>
      </c>
      <c r="V601" s="2">
        <f>VLOOKUP(B601,'202324'!B:C,2,FALSE)-A601</f>
        <v>-10</v>
      </c>
    </row>
    <row r="602">
      <c r="A602" s="1">
        <f t="shared" si="1"/>
        <v>600</v>
      </c>
      <c r="B602" s="1" t="s">
        <v>1661</v>
      </c>
      <c r="C602" s="1" t="s">
        <v>1036</v>
      </c>
      <c r="D602" s="1" t="s">
        <v>36</v>
      </c>
      <c r="E602" s="11">
        <f t="shared" si="2"/>
        <v>119.2</v>
      </c>
      <c r="F602" s="11">
        <f t="shared" si="3"/>
        <v>1.678873239</v>
      </c>
      <c r="G602" s="1">
        <v>71.0</v>
      </c>
      <c r="H602" s="1">
        <v>4.0</v>
      </c>
      <c r="I602" s="1">
        <v>8.0</v>
      </c>
      <c r="J602" s="1">
        <v>12.0</v>
      </c>
      <c r="K602" s="1">
        <v>108.0</v>
      </c>
      <c r="L602" s="1">
        <v>0.0</v>
      </c>
      <c r="M602" s="1">
        <v>0.0</v>
      </c>
      <c r="N602" s="1">
        <v>0.0</v>
      </c>
      <c r="O602" s="1">
        <v>0.0</v>
      </c>
      <c r="P602" s="1">
        <v>32.0</v>
      </c>
      <c r="Q602" s="1">
        <v>24.0</v>
      </c>
      <c r="V602" s="2">
        <f>VLOOKUP(B602,'202324'!B:C,2,FALSE)-A602</f>
        <v>-8</v>
      </c>
    </row>
    <row r="603">
      <c r="A603" s="1">
        <f t="shared" si="1"/>
        <v>601</v>
      </c>
      <c r="B603" s="1" t="s">
        <v>1662</v>
      </c>
      <c r="C603" s="1" t="s">
        <v>1172</v>
      </c>
      <c r="D603" s="1" t="s">
        <v>31</v>
      </c>
      <c r="E603" s="11">
        <f t="shared" si="2"/>
        <v>118.75</v>
      </c>
      <c r="F603" s="11">
        <f t="shared" si="3"/>
        <v>2.698863636</v>
      </c>
      <c r="G603" s="1">
        <v>44.0</v>
      </c>
      <c r="H603" s="1">
        <v>8.0</v>
      </c>
      <c r="I603" s="1">
        <v>4.0</v>
      </c>
      <c r="J603" s="1">
        <v>12.0</v>
      </c>
      <c r="K603" s="1">
        <v>88.0</v>
      </c>
      <c r="L603" s="1">
        <v>1.0</v>
      </c>
      <c r="M603" s="1">
        <v>0.0</v>
      </c>
      <c r="N603" s="1">
        <v>0.0</v>
      </c>
      <c r="O603" s="1">
        <v>0.0</v>
      </c>
      <c r="P603" s="1">
        <v>45.0</v>
      </c>
      <c r="Q603" s="1">
        <v>22.0</v>
      </c>
      <c r="V603" s="2">
        <f>VLOOKUP(B603,'202324'!B:C,2,FALSE)-A603</f>
        <v>-3</v>
      </c>
    </row>
    <row r="604">
      <c r="A604" s="1">
        <f t="shared" si="1"/>
        <v>602</v>
      </c>
      <c r="B604" s="1" t="s">
        <v>1663</v>
      </c>
      <c r="C604" s="1" t="s">
        <v>1038</v>
      </c>
      <c r="D604" s="1" t="s">
        <v>28</v>
      </c>
      <c r="E604" s="11">
        <f t="shared" si="2"/>
        <v>118.7</v>
      </c>
      <c r="F604" s="11">
        <f t="shared" si="3"/>
        <v>2.32745098</v>
      </c>
      <c r="G604" s="1">
        <v>51.0</v>
      </c>
      <c r="H604" s="1">
        <v>4.0</v>
      </c>
      <c r="I604" s="1">
        <v>12.0</v>
      </c>
      <c r="J604" s="1">
        <v>16.0</v>
      </c>
      <c r="K604" s="1">
        <v>56.0</v>
      </c>
      <c r="L604" s="1">
        <v>0.0</v>
      </c>
      <c r="M604" s="1">
        <v>1.0</v>
      </c>
      <c r="N604" s="1">
        <v>0.0</v>
      </c>
      <c r="O604" s="1">
        <v>0.0</v>
      </c>
      <c r="P604" s="1">
        <v>82.0</v>
      </c>
      <c r="Q604" s="1">
        <v>16.0</v>
      </c>
      <c r="V604" s="2">
        <f>VLOOKUP(B604,'202324'!B:C,2,FALSE)-A604</f>
        <v>2</v>
      </c>
    </row>
    <row r="605">
      <c r="A605" s="1">
        <f t="shared" si="1"/>
        <v>603</v>
      </c>
      <c r="B605" s="1" t="s">
        <v>1664</v>
      </c>
      <c r="C605" s="1" t="s">
        <v>1042</v>
      </c>
      <c r="D605" s="1" t="s">
        <v>5</v>
      </c>
      <c r="E605" s="11">
        <f t="shared" si="2"/>
        <v>118.2</v>
      </c>
      <c r="F605" s="11">
        <f t="shared" si="3"/>
        <v>4.925</v>
      </c>
      <c r="G605" s="1">
        <v>24.0</v>
      </c>
      <c r="R605" s="1">
        <v>11.0</v>
      </c>
      <c r="S605" s="1">
        <v>56.0</v>
      </c>
      <c r="T605" s="1">
        <v>554.0</v>
      </c>
      <c r="U605" s="1">
        <v>1.0</v>
      </c>
      <c r="V605" s="2">
        <f>VLOOKUP(B605,'202324'!B:C,2,FALSE)-A605</f>
        <v>-20</v>
      </c>
    </row>
    <row r="606">
      <c r="A606" s="1">
        <f t="shared" si="1"/>
        <v>603</v>
      </c>
      <c r="B606" s="1" t="s">
        <v>1665</v>
      </c>
      <c r="C606" s="1" t="s">
        <v>1034</v>
      </c>
      <c r="D606" s="1" t="s">
        <v>5</v>
      </c>
      <c r="E606" s="11">
        <f t="shared" si="2"/>
        <v>118.2</v>
      </c>
      <c r="F606" s="11">
        <f t="shared" si="3"/>
        <v>4.546153846</v>
      </c>
      <c r="G606" s="1">
        <v>26.0</v>
      </c>
      <c r="R606" s="1">
        <v>12.0</v>
      </c>
      <c r="S606" s="1">
        <v>83.0</v>
      </c>
      <c r="T606" s="1">
        <v>669.0</v>
      </c>
      <c r="U606" s="1">
        <v>2.0</v>
      </c>
      <c r="V606" s="2">
        <f>VLOOKUP(B606,'202324'!B:C,2,FALSE)-A606</f>
        <v>-20</v>
      </c>
    </row>
    <row r="607">
      <c r="A607" s="1">
        <f t="shared" si="1"/>
        <v>605</v>
      </c>
      <c r="B607" s="1" t="s">
        <v>1666</v>
      </c>
      <c r="C607" s="1" t="s">
        <v>1036</v>
      </c>
      <c r="D607" s="1" t="s">
        <v>5</v>
      </c>
      <c r="E607" s="11">
        <f t="shared" si="2"/>
        <v>117.9</v>
      </c>
      <c r="F607" s="11">
        <f t="shared" si="3"/>
        <v>5.126086957</v>
      </c>
      <c r="G607" s="1">
        <v>23.0</v>
      </c>
      <c r="R607" s="1">
        <v>12.0</v>
      </c>
      <c r="S607" s="1">
        <v>53.0</v>
      </c>
      <c r="T607" s="1">
        <v>528.0</v>
      </c>
      <c r="U607" s="1">
        <v>1.0</v>
      </c>
      <c r="V607" s="2">
        <f>VLOOKUP(B607,'202324'!B:C,2,FALSE)-A607</f>
        <v>-19</v>
      </c>
    </row>
    <row r="608">
      <c r="A608" s="1">
        <f t="shared" si="1"/>
        <v>606</v>
      </c>
      <c r="B608" s="1" t="s">
        <v>1667</v>
      </c>
      <c r="C608" s="1" t="s">
        <v>1116</v>
      </c>
      <c r="D608" s="1" t="s">
        <v>66</v>
      </c>
      <c r="E608" s="11">
        <f t="shared" si="2"/>
        <v>117.85</v>
      </c>
      <c r="F608" s="11">
        <f t="shared" si="3"/>
        <v>2.561956522</v>
      </c>
      <c r="G608" s="1">
        <v>46.0</v>
      </c>
      <c r="H608" s="1">
        <v>4.0</v>
      </c>
      <c r="I608" s="1">
        <v>5.0</v>
      </c>
      <c r="J608" s="1">
        <v>9.0</v>
      </c>
      <c r="K608" s="1">
        <v>69.0</v>
      </c>
      <c r="L608" s="1">
        <v>0.0</v>
      </c>
      <c r="M608" s="1">
        <v>1.0</v>
      </c>
      <c r="N608" s="1">
        <v>0.0</v>
      </c>
      <c r="O608" s="1">
        <v>0.0</v>
      </c>
      <c r="P608" s="1">
        <v>91.0</v>
      </c>
      <c r="Q608" s="1">
        <v>37.0</v>
      </c>
      <c r="V608" s="2">
        <f>VLOOKUP(B608,'202324'!B:C,2,FALSE)-A608</f>
        <v>4</v>
      </c>
    </row>
    <row r="609">
      <c r="A609" s="1">
        <f t="shared" si="1"/>
        <v>607</v>
      </c>
      <c r="B609" s="1" t="s">
        <v>1668</v>
      </c>
      <c r="C609" s="1" t="s">
        <v>1106</v>
      </c>
      <c r="D609" s="1" t="s">
        <v>28</v>
      </c>
      <c r="E609" s="11">
        <f t="shared" si="2"/>
        <v>116.4</v>
      </c>
      <c r="F609" s="11">
        <f t="shared" si="3"/>
        <v>2.196226415</v>
      </c>
      <c r="G609" s="1">
        <v>53.0</v>
      </c>
      <c r="H609" s="1">
        <v>1.0</v>
      </c>
      <c r="I609" s="1">
        <v>6.0</v>
      </c>
      <c r="J609" s="1">
        <v>7.0</v>
      </c>
      <c r="K609" s="1">
        <v>33.0</v>
      </c>
      <c r="L609" s="1">
        <v>0.0</v>
      </c>
      <c r="M609" s="1">
        <v>0.0</v>
      </c>
      <c r="N609" s="1">
        <v>0.0</v>
      </c>
      <c r="O609" s="1">
        <v>0.0</v>
      </c>
      <c r="P609" s="1">
        <v>194.0</v>
      </c>
      <c r="Q609" s="1">
        <v>19.0</v>
      </c>
      <c r="V609" s="2">
        <f>VLOOKUP(B609,'202324'!B:C,2,FALSE)-A609</f>
        <v>31</v>
      </c>
    </row>
    <row r="610">
      <c r="A610" s="1">
        <f t="shared" si="1"/>
        <v>608</v>
      </c>
      <c r="B610" s="1" t="s">
        <v>1669</v>
      </c>
      <c r="C610" s="1" t="s">
        <v>1146</v>
      </c>
      <c r="D610" s="1" t="s">
        <v>28</v>
      </c>
      <c r="E610" s="11">
        <f t="shared" si="2"/>
        <v>116.05</v>
      </c>
      <c r="F610" s="11">
        <f t="shared" si="3"/>
        <v>2.368367347</v>
      </c>
      <c r="G610" s="1">
        <v>49.0</v>
      </c>
      <c r="H610" s="1">
        <v>7.0</v>
      </c>
      <c r="I610" s="1">
        <v>9.0</v>
      </c>
      <c r="J610" s="1">
        <v>16.0</v>
      </c>
      <c r="K610" s="1">
        <v>92.0</v>
      </c>
      <c r="L610" s="1">
        <v>5.0</v>
      </c>
      <c r="M610" s="1">
        <v>4.0</v>
      </c>
      <c r="N610" s="1">
        <v>0.0</v>
      </c>
      <c r="O610" s="1">
        <v>0.0</v>
      </c>
      <c r="P610" s="1">
        <v>13.0</v>
      </c>
      <c r="Q610" s="1">
        <v>14.0</v>
      </c>
      <c r="V610" s="2">
        <f>VLOOKUP(B610,'202324'!B:C,2,FALSE)-A610</f>
        <v>-14</v>
      </c>
    </row>
    <row r="611">
      <c r="A611" s="1">
        <f t="shared" si="1"/>
        <v>609</v>
      </c>
      <c r="B611" s="1" t="s">
        <v>1670</v>
      </c>
      <c r="C611" s="1" t="s">
        <v>1067</v>
      </c>
      <c r="D611" s="1" t="s">
        <v>31</v>
      </c>
      <c r="E611" s="11">
        <f t="shared" si="2"/>
        <v>115.35</v>
      </c>
      <c r="F611" s="11">
        <f t="shared" si="3"/>
        <v>4.272222222</v>
      </c>
      <c r="G611" s="1">
        <v>27.0</v>
      </c>
      <c r="H611" s="1">
        <v>9.0</v>
      </c>
      <c r="I611" s="1">
        <v>10.0</v>
      </c>
      <c r="J611" s="1">
        <v>19.0</v>
      </c>
      <c r="K611" s="1">
        <v>56.0</v>
      </c>
      <c r="L611" s="1">
        <v>1.0</v>
      </c>
      <c r="M611" s="1">
        <v>2.0</v>
      </c>
      <c r="N611" s="1">
        <v>0.0</v>
      </c>
      <c r="O611" s="1">
        <v>0.0</v>
      </c>
      <c r="P611" s="1">
        <v>31.0</v>
      </c>
      <c r="Q611" s="1">
        <v>12.0</v>
      </c>
      <c r="V611" s="2">
        <f>VLOOKUP(B611,'202324'!B:C,2,FALSE)-A611</f>
        <v>-7</v>
      </c>
    </row>
    <row r="612">
      <c r="A612" s="1">
        <f t="shared" si="1"/>
        <v>610</v>
      </c>
      <c r="B612" s="1" t="s">
        <v>1671</v>
      </c>
      <c r="C612" s="1" t="s">
        <v>1042</v>
      </c>
      <c r="D612" s="1" t="s">
        <v>31</v>
      </c>
      <c r="E612" s="11">
        <f t="shared" si="2"/>
        <v>115.05</v>
      </c>
      <c r="F612" s="11">
        <f t="shared" si="3"/>
        <v>2.806097561</v>
      </c>
      <c r="G612" s="1">
        <v>41.0</v>
      </c>
      <c r="H612" s="1">
        <v>7.0</v>
      </c>
      <c r="I612" s="1">
        <v>13.0</v>
      </c>
      <c r="J612" s="1">
        <v>20.0</v>
      </c>
      <c r="K612" s="1">
        <v>62.0</v>
      </c>
      <c r="L612" s="1">
        <v>0.0</v>
      </c>
      <c r="M612" s="1">
        <v>4.0</v>
      </c>
      <c r="N612" s="1">
        <v>0.0</v>
      </c>
      <c r="O612" s="1">
        <v>0.0</v>
      </c>
      <c r="P612" s="1">
        <v>13.0</v>
      </c>
      <c r="Q612" s="1">
        <v>18.0</v>
      </c>
      <c r="V612" s="2">
        <f>VLOOKUP(B612,'202324'!B:C,2,FALSE)-A612</f>
        <v>-10</v>
      </c>
    </row>
    <row r="613">
      <c r="A613" s="1">
        <f t="shared" si="1"/>
        <v>611</v>
      </c>
      <c r="B613" s="1" t="s">
        <v>1672</v>
      </c>
      <c r="C613" s="1" t="s">
        <v>1038</v>
      </c>
      <c r="D613" s="1" t="s">
        <v>31</v>
      </c>
      <c r="E613" s="11">
        <f t="shared" si="2"/>
        <v>114.65</v>
      </c>
      <c r="F613" s="11">
        <f t="shared" si="3"/>
        <v>2.204807692</v>
      </c>
      <c r="G613" s="1">
        <v>52.0</v>
      </c>
      <c r="H613" s="1">
        <v>7.0</v>
      </c>
      <c r="I613" s="1">
        <v>3.0</v>
      </c>
      <c r="J613" s="1">
        <v>10.0</v>
      </c>
      <c r="K613" s="1">
        <v>38.0</v>
      </c>
      <c r="L613" s="1">
        <v>0.0</v>
      </c>
      <c r="M613" s="1">
        <v>0.0</v>
      </c>
      <c r="N613" s="1">
        <v>0.0</v>
      </c>
      <c r="O613" s="1">
        <v>0.0</v>
      </c>
      <c r="P613" s="1">
        <v>109.0</v>
      </c>
      <c r="Q613" s="1">
        <v>34.0</v>
      </c>
      <c r="V613" s="2">
        <f>VLOOKUP(B613,'202324'!B:C,2,FALSE)-A613</f>
        <v>8</v>
      </c>
    </row>
    <row r="614">
      <c r="A614" s="1">
        <f t="shared" si="1"/>
        <v>612</v>
      </c>
      <c r="B614" s="1" t="s">
        <v>1673</v>
      </c>
      <c r="C614" s="1" t="s">
        <v>1091</v>
      </c>
      <c r="D614" s="1" t="s">
        <v>28</v>
      </c>
      <c r="E614" s="11">
        <f t="shared" si="2"/>
        <v>113.95</v>
      </c>
      <c r="F614" s="11">
        <f t="shared" si="3"/>
        <v>1.899166667</v>
      </c>
      <c r="G614" s="1">
        <v>60.0</v>
      </c>
      <c r="H614" s="1">
        <v>1.0</v>
      </c>
      <c r="I614" s="1">
        <v>3.0</v>
      </c>
      <c r="J614" s="1">
        <v>4.0</v>
      </c>
      <c r="K614" s="1">
        <v>49.0</v>
      </c>
      <c r="L614" s="1">
        <v>0.0</v>
      </c>
      <c r="M614" s="1">
        <v>0.0</v>
      </c>
      <c r="N614" s="1">
        <v>0.0</v>
      </c>
      <c r="O614" s="1">
        <v>0.0</v>
      </c>
      <c r="P614" s="1">
        <v>187.0</v>
      </c>
      <c r="Q614" s="1">
        <v>21.0</v>
      </c>
      <c r="V614" s="2">
        <f>VLOOKUP(B614,'202324'!B:C,2,FALSE)-A614</f>
        <v>30</v>
      </c>
    </row>
    <row r="615">
      <c r="A615" s="1">
        <f t="shared" si="1"/>
        <v>613</v>
      </c>
      <c r="B615" s="1" t="s">
        <v>1674</v>
      </c>
      <c r="C615" s="1" t="s">
        <v>1172</v>
      </c>
      <c r="D615" s="1" t="s">
        <v>36</v>
      </c>
      <c r="E615" s="11">
        <f t="shared" si="2"/>
        <v>112.8</v>
      </c>
      <c r="F615" s="11">
        <f t="shared" si="3"/>
        <v>2.050909091</v>
      </c>
      <c r="G615" s="1">
        <v>55.0</v>
      </c>
      <c r="H615" s="1">
        <v>5.0</v>
      </c>
      <c r="I615" s="1">
        <v>12.0</v>
      </c>
      <c r="J615" s="1">
        <v>17.0</v>
      </c>
      <c r="K615" s="1">
        <v>57.0</v>
      </c>
      <c r="L615" s="1">
        <v>0.0</v>
      </c>
      <c r="M615" s="1">
        <v>0.0</v>
      </c>
      <c r="N615" s="1">
        <v>0.0</v>
      </c>
      <c r="O615" s="1">
        <v>0.0</v>
      </c>
      <c r="P615" s="1">
        <v>48.0</v>
      </c>
      <c r="Q615" s="1">
        <v>18.0</v>
      </c>
      <c r="V615" s="2">
        <f>VLOOKUP(B615,'202324'!B:C,2,FALSE)-A615</f>
        <v>-2</v>
      </c>
    </row>
    <row r="616">
      <c r="A616" s="1">
        <f t="shared" si="1"/>
        <v>614</v>
      </c>
      <c r="B616" s="1" t="s">
        <v>1675</v>
      </c>
      <c r="C616" s="1" t="s">
        <v>1087</v>
      </c>
      <c r="D616" s="1" t="s">
        <v>66</v>
      </c>
      <c r="E616" s="11">
        <f t="shared" si="2"/>
        <v>110.5</v>
      </c>
      <c r="F616" s="11">
        <f t="shared" si="3"/>
        <v>2.695121951</v>
      </c>
      <c r="G616" s="1">
        <v>41.0</v>
      </c>
      <c r="H616" s="1">
        <v>0.0</v>
      </c>
      <c r="I616" s="1">
        <v>5.0</v>
      </c>
      <c r="J616" s="1">
        <v>5.0</v>
      </c>
      <c r="K616" s="1">
        <v>36.0</v>
      </c>
      <c r="L616" s="1">
        <v>0.0</v>
      </c>
      <c r="M616" s="1">
        <v>0.0</v>
      </c>
      <c r="N616" s="1">
        <v>0.0</v>
      </c>
      <c r="O616" s="1">
        <v>0.0</v>
      </c>
      <c r="P616" s="1">
        <v>70.0</v>
      </c>
      <c r="Q616" s="1">
        <v>106.0</v>
      </c>
      <c r="V616" s="2">
        <f>VLOOKUP(B616,'202324'!B:C,2,FALSE)-A616</f>
        <v>6</v>
      </c>
    </row>
    <row r="617">
      <c r="A617" s="1">
        <f t="shared" si="1"/>
        <v>615</v>
      </c>
      <c r="B617" s="1" t="s">
        <v>1676</v>
      </c>
      <c r="C617" s="1" t="s">
        <v>1032</v>
      </c>
      <c r="D617" s="1" t="s">
        <v>5</v>
      </c>
      <c r="E617" s="11">
        <f t="shared" si="2"/>
        <v>110.4</v>
      </c>
      <c r="F617" s="11">
        <f t="shared" si="3"/>
        <v>5.018181818</v>
      </c>
      <c r="G617" s="1">
        <v>22.0</v>
      </c>
      <c r="R617" s="1">
        <v>11.0</v>
      </c>
      <c r="S617" s="1">
        <v>56.0</v>
      </c>
      <c r="T617" s="1">
        <v>518.0</v>
      </c>
      <c r="U617" s="1">
        <v>2.0</v>
      </c>
      <c r="V617" s="2">
        <f>VLOOKUP(B617,'202324'!B:C,2,FALSE)-A617</f>
        <v>-8</v>
      </c>
    </row>
    <row r="618">
      <c r="A618" s="1">
        <f t="shared" si="1"/>
        <v>616</v>
      </c>
      <c r="B618" s="1" t="s">
        <v>1677</v>
      </c>
      <c r="C618" s="1" t="s">
        <v>1146</v>
      </c>
      <c r="D618" s="1" t="s">
        <v>28</v>
      </c>
      <c r="E618" s="11">
        <f t="shared" si="2"/>
        <v>110.35</v>
      </c>
      <c r="F618" s="11">
        <f t="shared" si="3"/>
        <v>1.870338983</v>
      </c>
      <c r="G618" s="1">
        <v>59.0</v>
      </c>
      <c r="H618" s="1">
        <v>8.0</v>
      </c>
      <c r="I618" s="1">
        <v>8.0</v>
      </c>
      <c r="J618" s="1">
        <v>16.0</v>
      </c>
      <c r="K618" s="1">
        <v>61.0</v>
      </c>
      <c r="L618" s="1">
        <v>2.0</v>
      </c>
      <c r="M618" s="1">
        <v>4.0</v>
      </c>
      <c r="N618" s="1">
        <v>0.0</v>
      </c>
      <c r="O618" s="1">
        <v>0.0</v>
      </c>
      <c r="P618" s="1">
        <v>31.0</v>
      </c>
      <c r="Q618" s="1">
        <v>18.0</v>
      </c>
      <c r="V618" s="2">
        <f>VLOOKUP(B618,'202324'!B:C,2,FALSE)-A618</f>
        <v>-4</v>
      </c>
    </row>
    <row r="619">
      <c r="A619" s="1">
        <f t="shared" si="1"/>
        <v>617</v>
      </c>
      <c r="B619" s="1" t="s">
        <v>1678</v>
      </c>
      <c r="C619" s="1" t="s">
        <v>1036</v>
      </c>
      <c r="D619" s="1" t="s">
        <v>31</v>
      </c>
      <c r="E619" s="11">
        <f t="shared" si="2"/>
        <v>110.15</v>
      </c>
      <c r="F619" s="11">
        <f t="shared" si="3"/>
        <v>1.573571429</v>
      </c>
      <c r="G619" s="1">
        <v>70.0</v>
      </c>
      <c r="H619" s="1">
        <v>5.0</v>
      </c>
      <c r="I619" s="1">
        <v>7.0</v>
      </c>
      <c r="J619" s="1">
        <v>12.0</v>
      </c>
      <c r="K619" s="1">
        <v>52.0</v>
      </c>
      <c r="L619" s="1">
        <v>0.0</v>
      </c>
      <c r="M619" s="1">
        <v>0.0</v>
      </c>
      <c r="N619" s="1">
        <v>2.0</v>
      </c>
      <c r="O619" s="1">
        <v>1.0</v>
      </c>
      <c r="P619" s="1">
        <v>59.0</v>
      </c>
      <c r="Q619" s="1">
        <v>28.0</v>
      </c>
      <c r="V619" s="2">
        <f>VLOOKUP(B619,'202324'!B:C,2,FALSE)-A619</f>
        <v>1</v>
      </c>
    </row>
    <row r="620">
      <c r="A620" s="1">
        <f t="shared" si="1"/>
        <v>618</v>
      </c>
      <c r="B620" s="1" t="s">
        <v>1679</v>
      </c>
      <c r="C620" s="1" t="s">
        <v>1042</v>
      </c>
      <c r="D620" s="1" t="s">
        <v>31</v>
      </c>
      <c r="E620" s="11">
        <f t="shared" si="2"/>
        <v>109.85</v>
      </c>
      <c r="F620" s="11">
        <f t="shared" si="3"/>
        <v>2.679268293</v>
      </c>
      <c r="G620" s="1">
        <v>41.0</v>
      </c>
      <c r="H620" s="1">
        <v>6.0</v>
      </c>
      <c r="I620" s="1">
        <v>7.0</v>
      </c>
      <c r="J620" s="1">
        <v>13.0</v>
      </c>
      <c r="K620" s="1">
        <v>82.0</v>
      </c>
      <c r="L620" s="1">
        <v>0.0</v>
      </c>
      <c r="M620" s="1">
        <v>1.0</v>
      </c>
      <c r="N620" s="1">
        <v>0.0</v>
      </c>
      <c r="O620" s="1">
        <v>0.0</v>
      </c>
      <c r="P620" s="1">
        <v>31.0</v>
      </c>
      <c r="Q620" s="1">
        <v>20.0</v>
      </c>
      <c r="V620" s="2">
        <f>VLOOKUP(B620,'202324'!B:C,2,FALSE)-A620</f>
        <v>-5</v>
      </c>
    </row>
    <row r="621">
      <c r="A621" s="1">
        <f t="shared" si="1"/>
        <v>619</v>
      </c>
      <c r="B621" s="1" t="s">
        <v>1680</v>
      </c>
      <c r="C621" s="1" t="s">
        <v>1036</v>
      </c>
      <c r="D621" s="1" t="s">
        <v>66</v>
      </c>
      <c r="E621" s="11">
        <f t="shared" si="2"/>
        <v>109.6</v>
      </c>
      <c r="F621" s="11">
        <f t="shared" si="3"/>
        <v>2.02962963</v>
      </c>
      <c r="G621" s="1">
        <v>54.0</v>
      </c>
      <c r="H621" s="1">
        <v>1.0</v>
      </c>
      <c r="I621" s="1">
        <v>6.0</v>
      </c>
      <c r="J621" s="1">
        <v>7.0</v>
      </c>
      <c r="K621" s="1">
        <v>51.0</v>
      </c>
      <c r="L621" s="1">
        <v>0.0</v>
      </c>
      <c r="M621" s="1">
        <v>0.0</v>
      </c>
      <c r="N621" s="1">
        <v>0.0</v>
      </c>
      <c r="O621" s="1">
        <v>0.0</v>
      </c>
      <c r="P621" s="1">
        <v>66.0</v>
      </c>
      <c r="Q621" s="1">
        <v>77.0</v>
      </c>
      <c r="V621" s="2">
        <f>VLOOKUP(B621,'202324'!B:C,2,FALSE)-A621</f>
        <v>3</v>
      </c>
    </row>
    <row r="622">
      <c r="A622" s="1">
        <f t="shared" si="1"/>
        <v>620</v>
      </c>
      <c r="B622" s="1" t="s">
        <v>1681</v>
      </c>
      <c r="C622" s="1" t="s">
        <v>1067</v>
      </c>
      <c r="D622" s="1" t="s">
        <v>5</v>
      </c>
      <c r="E622" s="11">
        <f t="shared" si="2"/>
        <v>109.2</v>
      </c>
      <c r="F622" s="11">
        <f t="shared" si="3"/>
        <v>4.747826087</v>
      </c>
      <c r="G622" s="1">
        <v>23.0</v>
      </c>
      <c r="R622" s="1">
        <v>10.0</v>
      </c>
      <c r="S622" s="1">
        <v>67.0</v>
      </c>
      <c r="T622" s="1">
        <v>599.0</v>
      </c>
      <c r="U622" s="1">
        <v>0.0</v>
      </c>
      <c r="V622" s="2">
        <f>VLOOKUP(B622,'202324'!B:C,2,FALSE)-A622</f>
        <v>-11</v>
      </c>
    </row>
    <row r="623">
      <c r="A623" s="1">
        <f t="shared" si="1"/>
        <v>621</v>
      </c>
      <c r="B623" s="1" t="s">
        <v>1682</v>
      </c>
      <c r="C623" s="1" t="s">
        <v>1038</v>
      </c>
      <c r="D623" s="1" t="s">
        <v>66</v>
      </c>
      <c r="E623" s="11">
        <f t="shared" si="2"/>
        <v>108.85</v>
      </c>
      <c r="F623" s="11">
        <f t="shared" si="3"/>
        <v>2.654878049</v>
      </c>
      <c r="G623" s="1">
        <v>41.0</v>
      </c>
      <c r="H623" s="1">
        <v>4.0</v>
      </c>
      <c r="I623" s="1">
        <v>9.0</v>
      </c>
      <c r="J623" s="1">
        <v>13.0</v>
      </c>
      <c r="K623" s="1">
        <v>43.0</v>
      </c>
      <c r="L623" s="1">
        <v>1.0</v>
      </c>
      <c r="M623" s="1">
        <v>2.0</v>
      </c>
      <c r="N623" s="1">
        <v>0.0</v>
      </c>
      <c r="O623" s="1">
        <v>0.0</v>
      </c>
      <c r="P623" s="1">
        <v>31.0</v>
      </c>
      <c r="Q623" s="1">
        <v>63.0</v>
      </c>
      <c r="V623" s="2">
        <f>VLOOKUP(B623,'202324'!B:C,2,FALSE)-A623</f>
        <v>-4</v>
      </c>
    </row>
    <row r="624">
      <c r="A624" s="1">
        <f t="shared" si="1"/>
        <v>621</v>
      </c>
      <c r="B624" s="1" t="s">
        <v>1683</v>
      </c>
      <c r="C624" s="1" t="s">
        <v>1038</v>
      </c>
      <c r="D624" s="1" t="s">
        <v>31</v>
      </c>
      <c r="E624" s="11">
        <f t="shared" si="2"/>
        <v>108.85</v>
      </c>
      <c r="F624" s="11">
        <f t="shared" si="3"/>
        <v>2.315957447</v>
      </c>
      <c r="G624" s="1">
        <v>47.0</v>
      </c>
      <c r="H624" s="1">
        <v>6.0</v>
      </c>
      <c r="I624" s="1">
        <v>8.0</v>
      </c>
      <c r="J624" s="1">
        <v>14.0</v>
      </c>
      <c r="K624" s="1">
        <v>51.0</v>
      </c>
      <c r="L624" s="1">
        <v>0.0</v>
      </c>
      <c r="M624" s="1">
        <v>0.0</v>
      </c>
      <c r="N624" s="1">
        <v>0.0</v>
      </c>
      <c r="O624" s="1">
        <v>0.0</v>
      </c>
      <c r="P624" s="1">
        <v>71.0</v>
      </c>
      <c r="Q624" s="1">
        <v>15.0</v>
      </c>
      <c r="V624" s="2">
        <f>VLOOKUP(B624,'202324'!B:C,2,FALSE)-A624</f>
        <v>5</v>
      </c>
    </row>
    <row r="625">
      <c r="A625" s="1">
        <f t="shared" si="1"/>
        <v>623</v>
      </c>
      <c r="B625" s="1" t="s">
        <v>1684</v>
      </c>
      <c r="C625" s="1" t="s">
        <v>1156</v>
      </c>
      <c r="D625" s="1" t="s">
        <v>36</v>
      </c>
      <c r="E625" s="11">
        <f t="shared" si="2"/>
        <v>107.7</v>
      </c>
      <c r="F625" s="11">
        <f t="shared" si="3"/>
        <v>3.846428571</v>
      </c>
      <c r="G625" s="1">
        <v>28.0</v>
      </c>
      <c r="H625" s="1">
        <v>11.0</v>
      </c>
      <c r="I625" s="1">
        <v>4.0</v>
      </c>
      <c r="J625" s="1">
        <v>15.0</v>
      </c>
      <c r="K625" s="1">
        <v>72.0</v>
      </c>
      <c r="L625" s="1">
        <v>2.0</v>
      </c>
      <c r="M625" s="1">
        <v>0.0</v>
      </c>
      <c r="N625" s="1">
        <v>0.0</v>
      </c>
      <c r="O625" s="1">
        <v>0.0</v>
      </c>
      <c r="P625" s="1">
        <v>12.0</v>
      </c>
      <c r="Q625" s="1">
        <v>12.0</v>
      </c>
      <c r="V625" s="2">
        <f>VLOOKUP(B625,'202324'!B:C,2,FALSE)-A625</f>
        <v>-9</v>
      </c>
    </row>
    <row r="626">
      <c r="A626" s="1">
        <f t="shared" si="1"/>
        <v>624</v>
      </c>
      <c r="B626" s="1" t="s">
        <v>1685</v>
      </c>
      <c r="C626" s="1" t="s">
        <v>1046</v>
      </c>
      <c r="D626" s="1" t="s">
        <v>28</v>
      </c>
      <c r="E626" s="11">
        <f t="shared" si="2"/>
        <v>107.55</v>
      </c>
      <c r="F626" s="11">
        <f t="shared" si="3"/>
        <v>2.108823529</v>
      </c>
      <c r="G626" s="1">
        <v>51.0</v>
      </c>
      <c r="H626" s="1">
        <v>5.0</v>
      </c>
      <c r="I626" s="1">
        <v>5.0</v>
      </c>
      <c r="J626" s="1">
        <v>10.0</v>
      </c>
      <c r="K626" s="1">
        <v>52.0</v>
      </c>
      <c r="L626" s="1">
        <v>0.0</v>
      </c>
      <c r="M626" s="1">
        <v>0.0</v>
      </c>
      <c r="N626" s="1">
        <v>0.0</v>
      </c>
      <c r="O626" s="1">
        <v>0.0</v>
      </c>
      <c r="P626" s="1">
        <v>93.0</v>
      </c>
      <c r="Q626" s="1">
        <v>23.0</v>
      </c>
      <c r="V626" s="2">
        <f>VLOOKUP(B626,'202324'!B:C,2,FALSE)-A626</f>
        <v>9</v>
      </c>
    </row>
    <row r="627">
      <c r="A627" s="1">
        <f t="shared" si="1"/>
        <v>625</v>
      </c>
      <c r="B627" s="1" t="s">
        <v>1686</v>
      </c>
      <c r="C627" s="1" t="s">
        <v>1042</v>
      </c>
      <c r="D627" s="1" t="s">
        <v>66</v>
      </c>
      <c r="E627" s="11">
        <f t="shared" si="2"/>
        <v>107.4</v>
      </c>
      <c r="F627" s="11">
        <f t="shared" si="3"/>
        <v>2.619512195</v>
      </c>
      <c r="G627" s="1">
        <v>41.0</v>
      </c>
      <c r="H627" s="1">
        <v>1.0</v>
      </c>
      <c r="I627" s="1">
        <v>14.0</v>
      </c>
      <c r="J627" s="1">
        <v>15.0</v>
      </c>
      <c r="K627" s="1">
        <v>65.0</v>
      </c>
      <c r="L627" s="1">
        <v>0.0</v>
      </c>
      <c r="M627" s="1">
        <v>6.0</v>
      </c>
      <c r="N627" s="1">
        <v>0.0</v>
      </c>
      <c r="O627" s="1">
        <v>0.0</v>
      </c>
      <c r="P627" s="1">
        <v>14.0</v>
      </c>
      <c r="Q627" s="1">
        <v>47.0</v>
      </c>
      <c r="V627" s="2">
        <f>VLOOKUP(B627,'202324'!B:C,2,FALSE)-A627</f>
        <v>-9</v>
      </c>
    </row>
    <row r="628">
      <c r="A628" s="1">
        <f t="shared" si="1"/>
        <v>626</v>
      </c>
      <c r="B628" s="1" t="s">
        <v>1687</v>
      </c>
      <c r="C628" s="1" t="s">
        <v>1175</v>
      </c>
      <c r="D628" s="1" t="s">
        <v>66</v>
      </c>
      <c r="E628" s="11">
        <f t="shared" si="2"/>
        <v>106.1</v>
      </c>
      <c r="F628" s="11">
        <f t="shared" si="3"/>
        <v>2.080392157</v>
      </c>
      <c r="G628" s="1">
        <v>51.0</v>
      </c>
      <c r="H628" s="1">
        <v>3.0</v>
      </c>
      <c r="I628" s="1">
        <v>8.0</v>
      </c>
      <c r="J628" s="1">
        <v>11.0</v>
      </c>
      <c r="K628" s="1">
        <v>48.0</v>
      </c>
      <c r="L628" s="1">
        <v>2.0</v>
      </c>
      <c r="M628" s="1">
        <v>2.0</v>
      </c>
      <c r="N628" s="1">
        <v>0.0</v>
      </c>
      <c r="O628" s="1">
        <v>0.0</v>
      </c>
      <c r="P628" s="1">
        <v>26.0</v>
      </c>
      <c r="Q628" s="1">
        <v>71.0</v>
      </c>
      <c r="V628" s="2">
        <f>VLOOKUP(B628,'202324'!B:C,2,FALSE)-A628</f>
        <v>-6</v>
      </c>
    </row>
    <row r="629">
      <c r="A629" s="1">
        <f t="shared" si="1"/>
        <v>627</v>
      </c>
      <c r="B629" s="1" t="s">
        <v>1688</v>
      </c>
      <c r="C629" s="1" t="s">
        <v>1106</v>
      </c>
      <c r="D629" s="1" t="s">
        <v>66</v>
      </c>
      <c r="E629" s="11">
        <f t="shared" si="2"/>
        <v>105.65</v>
      </c>
      <c r="F629" s="11">
        <f t="shared" si="3"/>
        <v>1.956481481</v>
      </c>
      <c r="G629" s="1">
        <v>54.0</v>
      </c>
      <c r="H629" s="1">
        <v>0.0</v>
      </c>
      <c r="I629" s="1">
        <v>17.0</v>
      </c>
      <c r="J629" s="1">
        <v>17.0</v>
      </c>
      <c r="K629" s="1">
        <v>36.0</v>
      </c>
      <c r="L629" s="1">
        <v>0.0</v>
      </c>
      <c r="M629" s="1">
        <v>6.0</v>
      </c>
      <c r="N629" s="1">
        <v>0.0</v>
      </c>
      <c r="O629" s="1">
        <v>0.0</v>
      </c>
      <c r="P629" s="1">
        <v>29.0</v>
      </c>
      <c r="Q629" s="1">
        <v>53.0</v>
      </c>
      <c r="V629" s="2">
        <f>VLOOKUP(B629,'202324'!B:C,2,FALSE)-A629</f>
        <v>-4</v>
      </c>
    </row>
    <row r="630">
      <c r="A630" s="1">
        <f t="shared" si="1"/>
        <v>628</v>
      </c>
      <c r="B630" s="1" t="s">
        <v>1689</v>
      </c>
      <c r="C630" s="1" t="s">
        <v>1080</v>
      </c>
      <c r="D630" s="1" t="s">
        <v>28</v>
      </c>
      <c r="E630" s="11">
        <f t="shared" si="2"/>
        <v>105</v>
      </c>
      <c r="F630" s="11">
        <f t="shared" si="3"/>
        <v>2.692307692</v>
      </c>
      <c r="G630" s="1">
        <v>39.0</v>
      </c>
      <c r="H630" s="1">
        <v>6.0</v>
      </c>
      <c r="I630" s="1">
        <v>2.0</v>
      </c>
      <c r="J630" s="1">
        <v>8.0</v>
      </c>
      <c r="K630" s="1">
        <v>65.0</v>
      </c>
      <c r="L630" s="1">
        <v>0.0</v>
      </c>
      <c r="M630" s="1">
        <v>0.0</v>
      </c>
      <c r="N630" s="1">
        <v>0.0</v>
      </c>
      <c r="O630" s="1">
        <v>0.0</v>
      </c>
      <c r="P630" s="1">
        <v>90.0</v>
      </c>
      <c r="Q630" s="1">
        <v>16.0</v>
      </c>
      <c r="V630" s="2">
        <f>VLOOKUP(B630,'202324'!B:C,2,FALSE)-A630</f>
        <v>13</v>
      </c>
    </row>
    <row r="631">
      <c r="A631" s="1">
        <f t="shared" si="1"/>
        <v>629</v>
      </c>
      <c r="B631" s="1" t="s">
        <v>1072</v>
      </c>
      <c r="C631" s="1" t="s">
        <v>1087</v>
      </c>
      <c r="D631" s="1" t="s">
        <v>66</v>
      </c>
      <c r="E631" s="11">
        <f t="shared" si="2"/>
        <v>104.7</v>
      </c>
      <c r="F631" s="11">
        <f t="shared" si="3"/>
        <v>1.805172414</v>
      </c>
      <c r="G631" s="1">
        <v>58.0</v>
      </c>
      <c r="H631" s="1">
        <v>2.0</v>
      </c>
      <c r="I631" s="1">
        <v>7.0</v>
      </c>
      <c r="J631" s="1">
        <v>9.0</v>
      </c>
      <c r="K631" s="1">
        <v>48.0</v>
      </c>
      <c r="L631" s="1">
        <v>0.0</v>
      </c>
      <c r="M631" s="1">
        <v>2.0</v>
      </c>
      <c r="N631" s="1">
        <v>0.0</v>
      </c>
      <c r="O631" s="1">
        <v>0.0</v>
      </c>
      <c r="P631" s="1">
        <v>42.0</v>
      </c>
      <c r="Q631" s="1">
        <v>72.0</v>
      </c>
      <c r="V631" s="2">
        <f>VLOOKUP(B631,'202324'!B:C,2,FALSE)-A631</f>
        <v>-604</v>
      </c>
    </row>
    <row r="632">
      <c r="A632" s="1">
        <f t="shared" si="1"/>
        <v>630</v>
      </c>
      <c r="B632" s="1" t="s">
        <v>1690</v>
      </c>
      <c r="C632" s="1" t="s">
        <v>1175</v>
      </c>
      <c r="D632" s="1" t="s">
        <v>31</v>
      </c>
      <c r="E632" s="11">
        <f t="shared" si="2"/>
        <v>104.45</v>
      </c>
      <c r="F632" s="11">
        <f t="shared" si="3"/>
        <v>1.684677419</v>
      </c>
      <c r="G632" s="1">
        <v>62.0</v>
      </c>
      <c r="H632" s="1">
        <v>5.0</v>
      </c>
      <c r="I632" s="1">
        <v>7.0</v>
      </c>
      <c r="J632" s="1">
        <v>12.0</v>
      </c>
      <c r="K632" s="1">
        <v>58.0</v>
      </c>
      <c r="L632" s="1">
        <v>0.0</v>
      </c>
      <c r="M632" s="1">
        <v>0.0</v>
      </c>
      <c r="N632" s="1">
        <v>0.0</v>
      </c>
      <c r="O632" s="1">
        <v>0.0</v>
      </c>
      <c r="P632" s="1">
        <v>47.0</v>
      </c>
      <c r="Q632" s="1">
        <v>31.0</v>
      </c>
      <c r="V632" s="2">
        <f>VLOOKUP(B632,'202324'!B:C,2,FALSE)-A632</f>
        <v>-1</v>
      </c>
    </row>
    <row r="633">
      <c r="A633" s="1">
        <f t="shared" si="1"/>
        <v>631</v>
      </c>
      <c r="B633" s="1" t="s">
        <v>1691</v>
      </c>
      <c r="C633" s="1" t="s">
        <v>1076</v>
      </c>
      <c r="D633" s="1" t="s">
        <v>66</v>
      </c>
      <c r="E633" s="11">
        <f t="shared" si="2"/>
        <v>104.3</v>
      </c>
      <c r="F633" s="11">
        <f t="shared" si="3"/>
        <v>5.215</v>
      </c>
      <c r="G633" s="1">
        <v>20.0</v>
      </c>
      <c r="H633" s="1">
        <v>5.0</v>
      </c>
      <c r="I633" s="1">
        <v>11.0</v>
      </c>
      <c r="J633" s="1">
        <v>16.0</v>
      </c>
      <c r="K633" s="1">
        <v>61.0</v>
      </c>
      <c r="L633" s="1">
        <v>4.0</v>
      </c>
      <c r="M633" s="1">
        <v>4.0</v>
      </c>
      <c r="N633" s="1">
        <v>0.0</v>
      </c>
      <c r="O633" s="1">
        <v>0.0</v>
      </c>
      <c r="P633" s="1">
        <v>18.0</v>
      </c>
      <c r="Q633" s="1">
        <v>24.0</v>
      </c>
      <c r="V633" s="2">
        <f>VLOOKUP(B633,'202324'!B:C,2,FALSE)-A633</f>
        <v>-7</v>
      </c>
    </row>
    <row r="634">
      <c r="A634" s="1">
        <f t="shared" si="1"/>
        <v>632</v>
      </c>
      <c r="B634" s="1" t="s">
        <v>1692</v>
      </c>
      <c r="C634" s="1" t="s">
        <v>1036</v>
      </c>
      <c r="D634" s="1" t="s">
        <v>31</v>
      </c>
      <c r="E634" s="11">
        <f t="shared" si="2"/>
        <v>104.25</v>
      </c>
      <c r="F634" s="11">
        <f t="shared" si="3"/>
        <v>1.468309859</v>
      </c>
      <c r="G634" s="1">
        <v>71.0</v>
      </c>
      <c r="H634" s="1">
        <v>4.0</v>
      </c>
      <c r="I634" s="1">
        <v>8.0</v>
      </c>
      <c r="J634" s="1">
        <v>12.0</v>
      </c>
      <c r="K634" s="1">
        <v>67.0</v>
      </c>
      <c r="L634" s="1">
        <v>0.0</v>
      </c>
      <c r="M634" s="1">
        <v>0.0</v>
      </c>
      <c r="N634" s="1">
        <v>0.0</v>
      </c>
      <c r="O634" s="1">
        <v>0.0</v>
      </c>
      <c r="P634" s="1">
        <v>55.0</v>
      </c>
      <c r="Q634" s="1">
        <v>19.0</v>
      </c>
      <c r="V634" s="2">
        <f>VLOOKUP(B634,'202324'!B:C,2,FALSE)-A634</f>
        <v>-1</v>
      </c>
    </row>
    <row r="635">
      <c r="A635" s="1">
        <f t="shared" si="1"/>
        <v>633</v>
      </c>
      <c r="B635" s="1" t="s">
        <v>1693</v>
      </c>
      <c r="C635" s="1" t="s">
        <v>1042</v>
      </c>
      <c r="D635" s="1" t="s">
        <v>28</v>
      </c>
      <c r="E635" s="11">
        <f t="shared" si="2"/>
        <v>103.85</v>
      </c>
      <c r="F635" s="11">
        <f t="shared" si="3"/>
        <v>2.360227273</v>
      </c>
      <c r="G635" s="1">
        <v>44.0</v>
      </c>
      <c r="H635" s="1">
        <v>8.0</v>
      </c>
      <c r="I635" s="1">
        <v>4.0</v>
      </c>
      <c r="J635" s="1">
        <v>12.0</v>
      </c>
      <c r="K635" s="1">
        <v>54.0</v>
      </c>
      <c r="L635" s="1">
        <v>2.0</v>
      </c>
      <c r="M635" s="1">
        <v>1.0</v>
      </c>
      <c r="N635" s="1">
        <v>0.0</v>
      </c>
      <c r="O635" s="1">
        <v>0.0</v>
      </c>
      <c r="P635" s="1">
        <v>61.0</v>
      </c>
      <c r="Q635" s="1">
        <v>15.0</v>
      </c>
      <c r="V635" s="2">
        <f>VLOOKUP(B635,'202324'!B:C,2,FALSE)-A635</f>
        <v>2</v>
      </c>
    </row>
    <row r="636">
      <c r="A636" s="1">
        <f t="shared" si="1"/>
        <v>634</v>
      </c>
      <c r="B636" s="1" t="s">
        <v>1694</v>
      </c>
      <c r="C636" s="1" t="s">
        <v>1065</v>
      </c>
      <c r="D636" s="1" t="s">
        <v>31</v>
      </c>
      <c r="E636" s="11">
        <f t="shared" si="2"/>
        <v>103.6</v>
      </c>
      <c r="F636" s="11">
        <f t="shared" si="3"/>
        <v>3.341935484</v>
      </c>
      <c r="G636" s="1">
        <v>31.0</v>
      </c>
      <c r="H636" s="1">
        <v>6.0</v>
      </c>
      <c r="I636" s="1">
        <v>9.0</v>
      </c>
      <c r="J636" s="1">
        <v>15.0</v>
      </c>
      <c r="K636" s="1">
        <v>73.0</v>
      </c>
      <c r="L636" s="1">
        <v>1.0</v>
      </c>
      <c r="M636" s="1">
        <v>0.0</v>
      </c>
      <c r="N636" s="1">
        <v>0.0</v>
      </c>
      <c r="O636" s="1">
        <v>0.0</v>
      </c>
      <c r="P636" s="1">
        <v>16.0</v>
      </c>
      <c r="Q636" s="1">
        <v>15.0</v>
      </c>
      <c r="V636" s="2">
        <f>VLOOKUP(B636,'202324'!B:C,2,FALSE)-A636</f>
        <v>-9</v>
      </c>
    </row>
    <row r="637">
      <c r="A637" s="1">
        <f t="shared" si="1"/>
        <v>635</v>
      </c>
      <c r="B637" s="1" t="s">
        <v>1695</v>
      </c>
      <c r="C637" s="1" t="s">
        <v>1067</v>
      </c>
      <c r="D637" s="1" t="s">
        <v>28</v>
      </c>
      <c r="E637" s="11">
        <f t="shared" si="2"/>
        <v>103.4</v>
      </c>
      <c r="F637" s="11">
        <f t="shared" si="3"/>
        <v>2.2</v>
      </c>
      <c r="G637" s="1">
        <v>47.0</v>
      </c>
      <c r="H637" s="1">
        <v>3.0</v>
      </c>
      <c r="I637" s="1">
        <v>7.0</v>
      </c>
      <c r="J637" s="1">
        <v>10.0</v>
      </c>
      <c r="K637" s="1">
        <v>61.0</v>
      </c>
      <c r="L637" s="1">
        <v>0.0</v>
      </c>
      <c r="M637" s="1">
        <v>0.0</v>
      </c>
      <c r="N637" s="1">
        <v>0.0</v>
      </c>
      <c r="O637" s="1">
        <v>0.0</v>
      </c>
      <c r="P637" s="1">
        <v>94.0</v>
      </c>
      <c r="Q637" s="1">
        <v>11.0</v>
      </c>
      <c r="V637" s="2">
        <f>VLOOKUP(B637,'202324'!B:C,2,FALSE)-A637</f>
        <v>11</v>
      </c>
    </row>
    <row r="638">
      <c r="A638" s="1">
        <f t="shared" si="1"/>
        <v>636</v>
      </c>
      <c r="B638" s="1" t="s">
        <v>1696</v>
      </c>
      <c r="C638" s="1" t="s">
        <v>1032</v>
      </c>
      <c r="D638" s="1" t="s">
        <v>36</v>
      </c>
      <c r="E638" s="11">
        <f t="shared" si="2"/>
        <v>103.25</v>
      </c>
      <c r="F638" s="11">
        <f t="shared" si="3"/>
        <v>2.107142857</v>
      </c>
      <c r="G638" s="1">
        <v>49.0</v>
      </c>
      <c r="H638" s="1">
        <v>4.0</v>
      </c>
      <c r="I638" s="1">
        <v>2.0</v>
      </c>
      <c r="J638" s="1">
        <v>6.0</v>
      </c>
      <c r="K638" s="1">
        <v>26.0</v>
      </c>
      <c r="L638" s="1">
        <v>0.0</v>
      </c>
      <c r="M638" s="1">
        <v>0.0</v>
      </c>
      <c r="N638" s="1">
        <v>0.0</v>
      </c>
      <c r="O638" s="1">
        <v>0.0</v>
      </c>
      <c r="P638" s="1">
        <v>165.0</v>
      </c>
      <c r="Q638" s="1">
        <v>17.0</v>
      </c>
      <c r="V638" s="2">
        <f>VLOOKUP(B638,'202324'!B:C,2,FALSE)-A638</f>
        <v>27</v>
      </c>
    </row>
    <row r="639">
      <c r="A639" s="1">
        <f t="shared" si="1"/>
        <v>637</v>
      </c>
      <c r="B639" s="1" t="s">
        <v>1697</v>
      </c>
      <c r="C639" s="1" t="s">
        <v>1032</v>
      </c>
      <c r="D639" s="1" t="s">
        <v>66</v>
      </c>
      <c r="E639" s="11">
        <f t="shared" si="2"/>
        <v>103</v>
      </c>
      <c r="F639" s="11">
        <f t="shared" si="3"/>
        <v>1.943396226</v>
      </c>
      <c r="G639" s="1">
        <v>53.0</v>
      </c>
      <c r="H639" s="1">
        <v>1.0</v>
      </c>
      <c r="I639" s="1">
        <v>5.0</v>
      </c>
      <c r="J639" s="1">
        <v>6.0</v>
      </c>
      <c r="K639" s="1">
        <v>46.0</v>
      </c>
      <c r="L639" s="1">
        <v>0.0</v>
      </c>
      <c r="M639" s="1">
        <v>0.0</v>
      </c>
      <c r="N639" s="1">
        <v>0.0</v>
      </c>
      <c r="O639" s="1">
        <v>0.0</v>
      </c>
      <c r="P639" s="1">
        <v>80.0</v>
      </c>
      <c r="Q639" s="1">
        <v>65.0</v>
      </c>
      <c r="V639" s="2">
        <f>VLOOKUP(B639,'202324'!B:C,2,FALSE)-A639</f>
        <v>6</v>
      </c>
    </row>
    <row r="640">
      <c r="A640" s="1">
        <f t="shared" si="1"/>
        <v>638</v>
      </c>
      <c r="B640" s="1" t="s">
        <v>1698</v>
      </c>
      <c r="C640" s="1" t="s">
        <v>1038</v>
      </c>
      <c r="D640" s="1" t="s">
        <v>66</v>
      </c>
      <c r="E640" s="11">
        <f t="shared" si="2"/>
        <v>102.9</v>
      </c>
      <c r="F640" s="11">
        <f t="shared" si="3"/>
        <v>2.509756098</v>
      </c>
      <c r="G640" s="1">
        <v>41.0</v>
      </c>
      <c r="H640" s="1">
        <v>0.0</v>
      </c>
      <c r="I640" s="1">
        <v>8.0</v>
      </c>
      <c r="J640" s="1">
        <v>8.0</v>
      </c>
      <c r="K640" s="1">
        <v>32.0</v>
      </c>
      <c r="L640" s="1">
        <v>0.0</v>
      </c>
      <c r="M640" s="1">
        <v>0.0</v>
      </c>
      <c r="N640" s="1">
        <v>0.0</v>
      </c>
      <c r="O640" s="1">
        <v>0.0</v>
      </c>
      <c r="P640" s="1">
        <v>84.0</v>
      </c>
      <c r="Q640" s="1">
        <v>67.0</v>
      </c>
      <c r="V640" s="2">
        <f>VLOOKUP(B640,'202324'!B:C,2,FALSE)-A640</f>
        <v>6</v>
      </c>
    </row>
    <row r="641">
      <c r="A641" s="1">
        <f t="shared" si="1"/>
        <v>638</v>
      </c>
      <c r="B641" s="1" t="s">
        <v>1699</v>
      </c>
      <c r="C641" s="1" t="s">
        <v>1175</v>
      </c>
      <c r="D641" s="1" t="s">
        <v>66</v>
      </c>
      <c r="E641" s="11">
        <f t="shared" si="2"/>
        <v>102.9</v>
      </c>
      <c r="F641" s="11">
        <f t="shared" si="3"/>
        <v>3.43</v>
      </c>
      <c r="G641" s="1">
        <v>30.0</v>
      </c>
      <c r="H641" s="1">
        <v>1.0</v>
      </c>
      <c r="I641" s="1">
        <v>9.0</v>
      </c>
      <c r="J641" s="1">
        <v>10.0</v>
      </c>
      <c r="K641" s="1">
        <v>31.0</v>
      </c>
      <c r="L641" s="1">
        <v>0.0</v>
      </c>
      <c r="M641" s="1">
        <v>1.0</v>
      </c>
      <c r="N641" s="1">
        <v>0.0</v>
      </c>
      <c r="O641" s="1">
        <v>0.0</v>
      </c>
      <c r="P641" s="1">
        <v>94.0</v>
      </c>
      <c r="Q641" s="1">
        <v>46.0</v>
      </c>
      <c r="V641" s="2">
        <f>VLOOKUP(B641,'202324'!B:C,2,FALSE)-A641</f>
        <v>11</v>
      </c>
    </row>
    <row r="642">
      <c r="A642" s="1">
        <f t="shared" si="1"/>
        <v>640</v>
      </c>
      <c r="B642" s="1" t="s">
        <v>1700</v>
      </c>
      <c r="C642" s="1" t="s">
        <v>1036</v>
      </c>
      <c r="D642" s="1" t="s">
        <v>31</v>
      </c>
      <c r="E642" s="11">
        <f t="shared" si="2"/>
        <v>102.85</v>
      </c>
      <c r="F642" s="11">
        <f t="shared" si="3"/>
        <v>2.706578947</v>
      </c>
      <c r="G642" s="1">
        <v>38.0</v>
      </c>
      <c r="H642" s="1">
        <v>6.0</v>
      </c>
      <c r="I642" s="1">
        <v>3.0</v>
      </c>
      <c r="J642" s="1">
        <v>9.0</v>
      </c>
      <c r="K642" s="1">
        <v>56.0</v>
      </c>
      <c r="L642" s="1">
        <v>1.0</v>
      </c>
      <c r="M642" s="1">
        <v>0.0</v>
      </c>
      <c r="N642" s="1">
        <v>0.0</v>
      </c>
      <c r="O642" s="1">
        <v>0.0</v>
      </c>
      <c r="P642" s="1">
        <v>91.0</v>
      </c>
      <c r="Q642" s="1">
        <v>14.0</v>
      </c>
      <c r="V642" s="2">
        <f>VLOOKUP(B642,'202324'!B:C,2,FALSE)-A642</f>
        <v>8</v>
      </c>
    </row>
    <row r="643">
      <c r="A643" s="1">
        <f t="shared" si="1"/>
        <v>641</v>
      </c>
      <c r="B643" s="1" t="s">
        <v>1701</v>
      </c>
      <c r="C643" s="1" t="s">
        <v>1065</v>
      </c>
      <c r="D643" s="1" t="s">
        <v>66</v>
      </c>
      <c r="E643" s="11">
        <f t="shared" si="2"/>
        <v>102.55</v>
      </c>
      <c r="F643" s="11">
        <f t="shared" si="3"/>
        <v>2.229347826</v>
      </c>
      <c r="G643" s="1">
        <v>46.0</v>
      </c>
      <c r="H643" s="1">
        <v>3.0</v>
      </c>
      <c r="I643" s="1">
        <v>7.0</v>
      </c>
      <c r="J643" s="1">
        <v>10.0</v>
      </c>
      <c r="K643" s="1">
        <v>29.0</v>
      </c>
      <c r="L643" s="1">
        <v>0.0</v>
      </c>
      <c r="M643" s="1">
        <v>0.0</v>
      </c>
      <c r="N643" s="1">
        <v>0.0</v>
      </c>
      <c r="O643" s="1">
        <v>0.0</v>
      </c>
      <c r="P643" s="1">
        <v>63.0</v>
      </c>
      <c r="Q643" s="1">
        <v>63.0</v>
      </c>
      <c r="V643" s="2">
        <f>VLOOKUP(B643,'202324'!B:C,2,FALSE)-A643</f>
        <v>-1</v>
      </c>
    </row>
    <row r="644">
      <c r="A644" s="1">
        <f t="shared" si="1"/>
        <v>642</v>
      </c>
      <c r="B644" s="1" t="s">
        <v>1702</v>
      </c>
      <c r="C644" s="1" t="s">
        <v>1044</v>
      </c>
      <c r="D644" s="1" t="s">
        <v>66</v>
      </c>
      <c r="E644" s="11">
        <f t="shared" si="2"/>
        <v>102.4</v>
      </c>
      <c r="F644" s="11">
        <f t="shared" si="3"/>
        <v>2.133333333</v>
      </c>
      <c r="G644" s="1">
        <v>48.0</v>
      </c>
      <c r="H644" s="1">
        <v>2.0</v>
      </c>
      <c r="I644" s="1">
        <v>4.0</v>
      </c>
      <c r="J644" s="1">
        <v>6.0</v>
      </c>
      <c r="K644" s="1">
        <v>50.0</v>
      </c>
      <c r="L644" s="1">
        <v>0.0</v>
      </c>
      <c r="M644" s="1">
        <v>0.0</v>
      </c>
      <c r="N644" s="1">
        <v>0.0</v>
      </c>
      <c r="O644" s="1">
        <v>0.0</v>
      </c>
      <c r="P644" s="1">
        <v>54.0</v>
      </c>
      <c r="Q644" s="1">
        <v>75.0</v>
      </c>
      <c r="V644" s="2">
        <f>VLOOKUP(B644,'202324'!B:C,2,FALSE)-A644</f>
        <v>-4</v>
      </c>
    </row>
    <row r="645">
      <c r="A645" s="1">
        <f t="shared" si="1"/>
        <v>643</v>
      </c>
      <c r="B645" s="1" t="s">
        <v>1703</v>
      </c>
      <c r="C645" s="1" t="s">
        <v>1054</v>
      </c>
      <c r="D645" s="1" t="s">
        <v>66</v>
      </c>
      <c r="E645" s="11">
        <f t="shared" si="2"/>
        <v>101.45</v>
      </c>
      <c r="F645" s="11">
        <f t="shared" si="3"/>
        <v>1.560769231</v>
      </c>
      <c r="G645" s="1">
        <v>65.0</v>
      </c>
      <c r="H645" s="1">
        <v>4.0</v>
      </c>
      <c r="I645" s="1">
        <v>7.0</v>
      </c>
      <c r="J645" s="1">
        <v>11.0</v>
      </c>
      <c r="K645" s="1">
        <v>42.0</v>
      </c>
      <c r="L645" s="1">
        <v>0.0</v>
      </c>
      <c r="M645" s="1">
        <v>0.0</v>
      </c>
      <c r="N645" s="1">
        <v>0.0</v>
      </c>
      <c r="O645" s="1">
        <v>0.0</v>
      </c>
      <c r="P645" s="1">
        <v>37.0</v>
      </c>
      <c r="Q645" s="1">
        <v>57.0</v>
      </c>
      <c r="V645" s="2">
        <f>VLOOKUP(B645,'202324'!B:C,2,FALSE)-A645</f>
        <v>-8</v>
      </c>
    </row>
    <row r="646">
      <c r="A646" s="1">
        <f t="shared" si="1"/>
        <v>644</v>
      </c>
      <c r="B646" s="1" t="s">
        <v>1704</v>
      </c>
      <c r="C646" s="1" t="s">
        <v>1067</v>
      </c>
      <c r="D646" s="1" t="s">
        <v>28</v>
      </c>
      <c r="E646" s="11">
        <f t="shared" si="2"/>
        <v>101.2</v>
      </c>
      <c r="F646" s="11">
        <f t="shared" si="3"/>
        <v>1.984313725</v>
      </c>
      <c r="G646" s="1">
        <v>51.0</v>
      </c>
      <c r="H646" s="1">
        <v>7.0</v>
      </c>
      <c r="I646" s="1">
        <v>8.0</v>
      </c>
      <c r="J646" s="1">
        <v>15.0</v>
      </c>
      <c r="K646" s="1">
        <v>66.0</v>
      </c>
      <c r="L646" s="1">
        <v>1.0</v>
      </c>
      <c r="M646" s="1">
        <v>2.0</v>
      </c>
      <c r="N646" s="1">
        <v>0.0</v>
      </c>
      <c r="O646" s="1">
        <v>0.0</v>
      </c>
      <c r="P646" s="1">
        <v>22.0</v>
      </c>
      <c r="Q646" s="1">
        <v>10.0</v>
      </c>
      <c r="V646" s="2">
        <f>VLOOKUP(B646,'202324'!B:C,2,FALSE)-A646</f>
        <v>-14</v>
      </c>
    </row>
    <row r="647">
      <c r="A647" s="1">
        <f t="shared" si="1"/>
        <v>645</v>
      </c>
      <c r="B647" s="1" t="s">
        <v>1705</v>
      </c>
      <c r="C647" s="1" t="s">
        <v>1030</v>
      </c>
      <c r="D647" s="1" t="s">
        <v>5</v>
      </c>
      <c r="E647" s="11">
        <f t="shared" si="2"/>
        <v>100.2</v>
      </c>
      <c r="F647" s="11">
        <f t="shared" si="3"/>
        <v>7.157142857</v>
      </c>
      <c r="G647" s="1">
        <v>14.0</v>
      </c>
      <c r="R647" s="1">
        <v>8.0</v>
      </c>
      <c r="S647" s="1">
        <v>30.0</v>
      </c>
      <c r="T647" s="1">
        <v>384.0</v>
      </c>
      <c r="U647" s="1">
        <v>2.0</v>
      </c>
      <c r="V647" s="2">
        <f>VLOOKUP(B647,'202324'!B:C,2,FALSE)-A647</f>
        <v>-17</v>
      </c>
    </row>
    <row r="648">
      <c r="A648" s="1">
        <f t="shared" si="1"/>
        <v>646</v>
      </c>
      <c r="B648" s="1" t="s">
        <v>1706</v>
      </c>
      <c r="C648" s="1" t="s">
        <v>1034</v>
      </c>
      <c r="D648" s="1" t="s">
        <v>28</v>
      </c>
      <c r="E648" s="11">
        <f t="shared" si="2"/>
        <v>100.15</v>
      </c>
      <c r="F648" s="11">
        <f t="shared" si="3"/>
        <v>1.757017544</v>
      </c>
      <c r="G648" s="1">
        <v>57.0</v>
      </c>
      <c r="H648" s="1">
        <v>4.0</v>
      </c>
      <c r="I648" s="1">
        <v>11.0</v>
      </c>
      <c r="J648" s="1">
        <v>15.0</v>
      </c>
      <c r="K648" s="1">
        <v>50.0</v>
      </c>
      <c r="L648" s="1">
        <v>0.0</v>
      </c>
      <c r="M648" s="1">
        <v>0.0</v>
      </c>
      <c r="N648" s="1">
        <v>0.0</v>
      </c>
      <c r="O648" s="1">
        <v>0.0</v>
      </c>
      <c r="P648" s="1">
        <v>19.0</v>
      </c>
      <c r="Q648" s="1">
        <v>35.0</v>
      </c>
      <c r="V648" s="2">
        <f>VLOOKUP(B648,'202324'!B:C,2,FALSE)-A648</f>
        <v>-13</v>
      </c>
    </row>
    <row r="649">
      <c r="A649" s="1">
        <f t="shared" si="1"/>
        <v>647</v>
      </c>
      <c r="B649" s="1" t="s">
        <v>1707</v>
      </c>
      <c r="C649" s="1" t="s">
        <v>1156</v>
      </c>
      <c r="D649" s="1" t="s">
        <v>31</v>
      </c>
      <c r="E649" s="11">
        <f t="shared" si="2"/>
        <v>99.5</v>
      </c>
      <c r="F649" s="11">
        <f t="shared" si="3"/>
        <v>2.369047619</v>
      </c>
      <c r="G649" s="1">
        <v>42.0</v>
      </c>
      <c r="H649" s="1">
        <v>6.0</v>
      </c>
      <c r="I649" s="1">
        <v>10.0</v>
      </c>
      <c r="J649" s="1">
        <v>16.0</v>
      </c>
      <c r="K649" s="1">
        <v>62.0</v>
      </c>
      <c r="L649" s="1">
        <v>0.0</v>
      </c>
      <c r="M649" s="1">
        <v>0.0</v>
      </c>
      <c r="N649" s="1">
        <v>0.0</v>
      </c>
      <c r="O649" s="1">
        <v>0.0</v>
      </c>
      <c r="P649" s="1">
        <v>10.0</v>
      </c>
      <c r="Q649" s="1">
        <v>16.0</v>
      </c>
      <c r="V649" s="2">
        <f>VLOOKUP(B649,'202324'!B:C,2,FALSE)-A649</f>
        <v>-15</v>
      </c>
    </row>
    <row r="650">
      <c r="A650" s="1">
        <f t="shared" si="1"/>
        <v>648</v>
      </c>
      <c r="B650" s="1" t="s">
        <v>1708</v>
      </c>
      <c r="C650" s="1" t="s">
        <v>1080</v>
      </c>
      <c r="D650" s="1" t="s">
        <v>66</v>
      </c>
      <c r="E650" s="11">
        <f t="shared" si="2"/>
        <v>98.75</v>
      </c>
      <c r="F650" s="11">
        <f t="shared" si="3"/>
        <v>2.408536585</v>
      </c>
      <c r="G650" s="1">
        <v>41.0</v>
      </c>
      <c r="H650" s="1">
        <v>2.0</v>
      </c>
      <c r="I650" s="1">
        <v>8.0</v>
      </c>
      <c r="J650" s="1">
        <v>10.0</v>
      </c>
      <c r="K650" s="1">
        <v>67.0</v>
      </c>
      <c r="L650" s="1">
        <v>0.0</v>
      </c>
      <c r="M650" s="1">
        <v>1.0</v>
      </c>
      <c r="N650" s="1">
        <v>0.0</v>
      </c>
      <c r="O650" s="1">
        <v>0.0</v>
      </c>
      <c r="P650" s="1">
        <v>15.0</v>
      </c>
      <c r="Q650" s="1">
        <v>54.0</v>
      </c>
      <c r="V650" s="2">
        <f>VLOOKUP(B650,'202324'!B:C,2,FALSE)-A650</f>
        <v>-11</v>
      </c>
    </row>
    <row r="651">
      <c r="A651" s="1">
        <f t="shared" si="1"/>
        <v>649</v>
      </c>
      <c r="B651" s="1" t="s">
        <v>1709</v>
      </c>
      <c r="C651" s="1" t="s">
        <v>1106</v>
      </c>
      <c r="D651" s="1" t="s">
        <v>66</v>
      </c>
      <c r="E651" s="11">
        <f t="shared" si="2"/>
        <v>98.65</v>
      </c>
      <c r="F651" s="11">
        <f t="shared" si="3"/>
        <v>1.517692308</v>
      </c>
      <c r="G651" s="1">
        <v>65.0</v>
      </c>
      <c r="H651" s="1">
        <v>2.0</v>
      </c>
      <c r="I651" s="1">
        <v>6.0</v>
      </c>
      <c r="J651" s="1">
        <v>8.0</v>
      </c>
      <c r="K651" s="1">
        <v>42.0</v>
      </c>
      <c r="L651" s="1">
        <v>0.0</v>
      </c>
      <c r="M651" s="1">
        <v>0.0</v>
      </c>
      <c r="N651" s="1">
        <v>1.0</v>
      </c>
      <c r="O651" s="1">
        <v>0.0</v>
      </c>
      <c r="P651" s="1">
        <v>69.0</v>
      </c>
      <c r="Q651" s="1">
        <v>49.0</v>
      </c>
      <c r="V651" s="2">
        <f>VLOOKUP(B651,'202324'!B:C,2,FALSE)-A651</f>
        <v>4</v>
      </c>
    </row>
    <row r="652">
      <c r="A652" s="1">
        <f t="shared" si="1"/>
        <v>650</v>
      </c>
      <c r="B652" s="1" t="s">
        <v>1710</v>
      </c>
      <c r="C652" s="1" t="s">
        <v>1172</v>
      </c>
      <c r="D652" s="1" t="s">
        <v>66</v>
      </c>
      <c r="E652" s="11">
        <f t="shared" si="2"/>
        <v>98.3</v>
      </c>
      <c r="F652" s="11">
        <f t="shared" si="3"/>
        <v>2.586842105</v>
      </c>
      <c r="G652" s="1">
        <v>38.0</v>
      </c>
      <c r="H652" s="1">
        <v>2.0</v>
      </c>
      <c r="I652" s="1">
        <v>5.0</v>
      </c>
      <c r="J652" s="1">
        <v>7.0</v>
      </c>
      <c r="K652" s="1">
        <v>31.0</v>
      </c>
      <c r="L652" s="1">
        <v>0.0</v>
      </c>
      <c r="M652" s="1">
        <v>2.0</v>
      </c>
      <c r="N652" s="1">
        <v>0.0</v>
      </c>
      <c r="O652" s="1">
        <v>0.0</v>
      </c>
      <c r="P652" s="1">
        <v>68.0</v>
      </c>
      <c r="Q652" s="1">
        <v>70.0</v>
      </c>
      <c r="V652" s="2">
        <f>VLOOKUP(B652,'202324'!B:C,2,FALSE)-A652</f>
        <v>4</v>
      </c>
    </row>
    <row r="653">
      <c r="A653" s="1">
        <f t="shared" si="1"/>
        <v>650</v>
      </c>
      <c r="B653" s="1" t="s">
        <v>1711</v>
      </c>
      <c r="C653" s="1" t="s">
        <v>1030</v>
      </c>
      <c r="D653" s="1" t="s">
        <v>36</v>
      </c>
      <c r="E653" s="11">
        <f t="shared" si="2"/>
        <v>98.3</v>
      </c>
      <c r="F653" s="11">
        <f t="shared" si="3"/>
        <v>1.755357143</v>
      </c>
      <c r="G653" s="1">
        <v>56.0</v>
      </c>
      <c r="H653" s="1">
        <v>3.0</v>
      </c>
      <c r="I653" s="1">
        <v>6.0</v>
      </c>
      <c r="J653" s="1">
        <v>9.0</v>
      </c>
      <c r="K653" s="1">
        <v>48.0</v>
      </c>
      <c r="L653" s="1">
        <v>0.0</v>
      </c>
      <c r="M653" s="1">
        <v>0.0</v>
      </c>
      <c r="N653" s="1">
        <v>0.0</v>
      </c>
      <c r="O653" s="1">
        <v>0.0</v>
      </c>
      <c r="P653" s="1">
        <v>78.0</v>
      </c>
      <c r="Q653" s="1">
        <v>31.0</v>
      </c>
      <c r="V653" s="2">
        <f>VLOOKUP(B653,'202324'!B:C,2,FALSE)-A653</f>
        <v>6</v>
      </c>
    </row>
    <row r="654">
      <c r="A654" s="1">
        <f t="shared" si="1"/>
        <v>652</v>
      </c>
      <c r="B654" s="1" t="s">
        <v>1712</v>
      </c>
      <c r="C654" s="1" t="s">
        <v>1087</v>
      </c>
      <c r="D654" s="1" t="s">
        <v>36</v>
      </c>
      <c r="E654" s="11">
        <f t="shared" si="2"/>
        <v>98</v>
      </c>
      <c r="F654" s="11">
        <f t="shared" si="3"/>
        <v>2.177777778</v>
      </c>
      <c r="G654" s="1">
        <v>45.0</v>
      </c>
      <c r="H654" s="1">
        <v>4.0</v>
      </c>
      <c r="I654" s="1">
        <v>10.0</v>
      </c>
      <c r="J654" s="1">
        <v>14.0</v>
      </c>
      <c r="K654" s="1">
        <v>41.0</v>
      </c>
      <c r="L654" s="1">
        <v>0.0</v>
      </c>
      <c r="M654" s="1">
        <v>0.0</v>
      </c>
      <c r="N654" s="1">
        <v>0.0</v>
      </c>
      <c r="O654" s="1">
        <v>0.0</v>
      </c>
      <c r="P654" s="1">
        <v>40.0</v>
      </c>
      <c r="Q654" s="1">
        <v>31.0</v>
      </c>
      <c r="V654" s="2">
        <f>VLOOKUP(B654,'202324'!B:C,2,FALSE)-A654</f>
        <v>-6</v>
      </c>
    </row>
    <row r="655">
      <c r="A655" s="1">
        <f t="shared" si="1"/>
        <v>653</v>
      </c>
      <c r="B655" s="1" t="s">
        <v>1713</v>
      </c>
      <c r="C655" s="1" t="s">
        <v>1065</v>
      </c>
      <c r="D655" s="1" t="s">
        <v>28</v>
      </c>
      <c r="E655" s="11">
        <f t="shared" si="2"/>
        <v>97.65</v>
      </c>
      <c r="F655" s="11">
        <f t="shared" si="3"/>
        <v>1.436029412</v>
      </c>
      <c r="G655" s="1">
        <v>68.0</v>
      </c>
      <c r="H655" s="1">
        <v>1.0</v>
      </c>
      <c r="I655" s="1">
        <v>3.0</v>
      </c>
      <c r="J655" s="1">
        <v>4.0</v>
      </c>
      <c r="K655" s="1">
        <v>44.0</v>
      </c>
      <c r="L655" s="1">
        <v>0.0</v>
      </c>
      <c r="M655" s="1">
        <v>0.0</v>
      </c>
      <c r="N655" s="1">
        <v>0.0</v>
      </c>
      <c r="O655" s="1">
        <v>0.0</v>
      </c>
      <c r="P655" s="1">
        <v>139.0</v>
      </c>
      <c r="Q655" s="1">
        <v>27.0</v>
      </c>
      <c r="V655" s="2">
        <f>VLOOKUP(B655,'202324'!B:C,2,FALSE)-A655</f>
        <v>15</v>
      </c>
    </row>
    <row r="656">
      <c r="A656" s="1">
        <f t="shared" si="1"/>
        <v>654</v>
      </c>
      <c r="B656" s="1" t="s">
        <v>1714</v>
      </c>
      <c r="C656" s="1" t="s">
        <v>1175</v>
      </c>
      <c r="D656" s="1" t="s">
        <v>36</v>
      </c>
      <c r="E656" s="11">
        <f t="shared" si="2"/>
        <v>95.45</v>
      </c>
      <c r="F656" s="11">
        <f t="shared" si="3"/>
        <v>2.075</v>
      </c>
      <c r="G656" s="1">
        <v>46.0</v>
      </c>
      <c r="H656" s="1">
        <v>4.0</v>
      </c>
      <c r="I656" s="1">
        <v>9.0</v>
      </c>
      <c r="J656" s="1">
        <v>13.0</v>
      </c>
      <c r="K656" s="1">
        <v>67.0</v>
      </c>
      <c r="L656" s="1">
        <v>0.0</v>
      </c>
      <c r="M656" s="1">
        <v>2.0</v>
      </c>
      <c r="N656" s="1">
        <v>0.0</v>
      </c>
      <c r="O656" s="1">
        <v>0.0</v>
      </c>
      <c r="P656" s="1">
        <v>27.0</v>
      </c>
      <c r="Q656" s="1">
        <v>15.0</v>
      </c>
      <c r="V656" s="2">
        <f>VLOOKUP(B656,'202324'!B:C,2,FALSE)-A656</f>
        <v>-4</v>
      </c>
    </row>
    <row r="657">
      <c r="A657" s="1">
        <f t="shared" si="1"/>
        <v>654</v>
      </c>
      <c r="B657" s="1" t="s">
        <v>1715</v>
      </c>
      <c r="C657" s="1" t="s">
        <v>1052</v>
      </c>
      <c r="D657" s="1" t="s">
        <v>66</v>
      </c>
      <c r="E657" s="11">
        <f t="shared" si="2"/>
        <v>95.45</v>
      </c>
      <c r="F657" s="11">
        <f t="shared" si="3"/>
        <v>1.835576923</v>
      </c>
      <c r="G657" s="1">
        <v>52.0</v>
      </c>
      <c r="H657" s="1">
        <v>2.0</v>
      </c>
      <c r="I657" s="1">
        <v>9.0</v>
      </c>
      <c r="J657" s="1">
        <v>11.0</v>
      </c>
      <c r="K657" s="1">
        <v>42.0</v>
      </c>
      <c r="L657" s="1">
        <v>0.0</v>
      </c>
      <c r="M657" s="1">
        <v>0.0</v>
      </c>
      <c r="N657" s="1">
        <v>0.0</v>
      </c>
      <c r="O657" s="1">
        <v>0.0</v>
      </c>
      <c r="P657" s="1">
        <v>47.0</v>
      </c>
      <c r="Q657" s="1">
        <v>44.0</v>
      </c>
      <c r="V657" s="2">
        <f>VLOOKUP(B657,'202324'!B:C,2,FALSE)-A657</f>
        <v>1</v>
      </c>
    </row>
    <row r="658">
      <c r="A658" s="1">
        <f t="shared" si="1"/>
        <v>656</v>
      </c>
      <c r="B658" s="1" t="s">
        <v>1716</v>
      </c>
      <c r="C658" s="1" t="s">
        <v>1078</v>
      </c>
      <c r="D658" s="1" t="s">
        <v>28</v>
      </c>
      <c r="E658" s="11">
        <f t="shared" si="2"/>
        <v>95.3</v>
      </c>
      <c r="F658" s="11">
        <f t="shared" si="3"/>
        <v>5.294444444</v>
      </c>
      <c r="G658" s="1">
        <v>18.0</v>
      </c>
      <c r="H658" s="1">
        <v>6.0</v>
      </c>
      <c r="I658" s="1">
        <v>9.0</v>
      </c>
      <c r="J658" s="1">
        <v>15.0</v>
      </c>
      <c r="K658" s="1">
        <v>59.0</v>
      </c>
      <c r="L658" s="1">
        <v>1.0</v>
      </c>
      <c r="M658" s="1">
        <v>4.0</v>
      </c>
      <c r="N658" s="1">
        <v>0.0</v>
      </c>
      <c r="O658" s="1">
        <v>0.0</v>
      </c>
      <c r="P658" s="1">
        <v>8.0</v>
      </c>
      <c r="Q658" s="1">
        <v>18.0</v>
      </c>
      <c r="V658" s="2">
        <f>VLOOKUP(B658,'202324'!B:C,2,FALSE)-A658</f>
        <v>-12</v>
      </c>
    </row>
    <row r="659">
      <c r="A659" s="1">
        <f t="shared" si="1"/>
        <v>657</v>
      </c>
      <c r="B659" s="1" t="s">
        <v>1717</v>
      </c>
      <c r="C659" s="1" t="s">
        <v>1054</v>
      </c>
      <c r="D659" s="1" t="s">
        <v>66</v>
      </c>
      <c r="E659" s="11">
        <f t="shared" si="2"/>
        <v>94.75</v>
      </c>
      <c r="F659" s="11">
        <f t="shared" si="3"/>
        <v>2.015957447</v>
      </c>
      <c r="G659" s="1">
        <v>47.0</v>
      </c>
      <c r="H659" s="1">
        <v>3.0</v>
      </c>
      <c r="I659" s="1">
        <v>5.0</v>
      </c>
      <c r="J659" s="1">
        <v>8.0</v>
      </c>
      <c r="K659" s="1">
        <v>42.0</v>
      </c>
      <c r="L659" s="1">
        <v>0.0</v>
      </c>
      <c r="M659" s="1">
        <v>0.0</v>
      </c>
      <c r="N659" s="1">
        <v>0.0</v>
      </c>
      <c r="O659" s="1">
        <v>0.0</v>
      </c>
      <c r="P659" s="1">
        <v>45.0</v>
      </c>
      <c r="Q659" s="1">
        <v>59.0</v>
      </c>
      <c r="V659" s="2">
        <f>VLOOKUP(B659,'202324'!B:C,2,FALSE)-A659</f>
        <v>0</v>
      </c>
    </row>
    <row r="660">
      <c r="A660" s="1">
        <f t="shared" si="1"/>
        <v>658</v>
      </c>
      <c r="B660" s="1" t="s">
        <v>1718</v>
      </c>
      <c r="C660" s="1" t="s">
        <v>1091</v>
      </c>
      <c r="D660" s="1" t="s">
        <v>66</v>
      </c>
      <c r="E660" s="11">
        <f t="shared" si="2"/>
        <v>94.6</v>
      </c>
      <c r="F660" s="11">
        <f t="shared" si="3"/>
        <v>2.782352941</v>
      </c>
      <c r="G660" s="1">
        <v>34.0</v>
      </c>
      <c r="H660" s="1">
        <v>3.0</v>
      </c>
      <c r="I660" s="1">
        <v>7.0</v>
      </c>
      <c r="J660" s="1">
        <v>10.0</v>
      </c>
      <c r="K660" s="1">
        <v>55.0</v>
      </c>
      <c r="L660" s="1">
        <v>1.0</v>
      </c>
      <c r="M660" s="1">
        <v>1.0</v>
      </c>
      <c r="N660" s="1">
        <v>0.0</v>
      </c>
      <c r="O660" s="1">
        <v>1.0</v>
      </c>
      <c r="P660" s="1">
        <v>26.0</v>
      </c>
      <c r="Q660" s="1">
        <v>43.0</v>
      </c>
      <c r="V660" s="2">
        <f>VLOOKUP(B660,'202324'!B:C,2,FALSE)-A660</f>
        <v>-6</v>
      </c>
    </row>
    <row r="661">
      <c r="A661" s="1">
        <f t="shared" si="1"/>
        <v>659</v>
      </c>
      <c r="B661" s="1" t="s">
        <v>1719</v>
      </c>
      <c r="C661" s="1" t="s">
        <v>1111</v>
      </c>
      <c r="D661" s="1" t="s">
        <v>66</v>
      </c>
      <c r="E661" s="11">
        <f t="shared" si="2"/>
        <v>93.2</v>
      </c>
      <c r="F661" s="11">
        <f t="shared" si="3"/>
        <v>1.864</v>
      </c>
      <c r="G661" s="1">
        <v>50.0</v>
      </c>
      <c r="H661" s="1">
        <v>2.0</v>
      </c>
      <c r="I661" s="1">
        <v>5.0</v>
      </c>
      <c r="J661" s="1">
        <v>7.0</v>
      </c>
      <c r="K661" s="1">
        <v>38.0</v>
      </c>
      <c r="L661" s="1">
        <v>0.0</v>
      </c>
      <c r="M661" s="1">
        <v>0.0</v>
      </c>
      <c r="N661" s="1">
        <v>0.0</v>
      </c>
      <c r="O661" s="1">
        <v>0.0</v>
      </c>
      <c r="P661" s="1">
        <v>52.0</v>
      </c>
      <c r="Q661" s="1">
        <v>64.0</v>
      </c>
      <c r="V661" s="2">
        <f>VLOOKUP(B661,'202324'!B:C,2,FALSE)-A661</f>
        <v>1</v>
      </c>
    </row>
    <row r="662">
      <c r="A662" s="1">
        <f t="shared" si="1"/>
        <v>660</v>
      </c>
      <c r="B662" s="1" t="s">
        <v>1720</v>
      </c>
      <c r="C662" s="1" t="s">
        <v>1065</v>
      </c>
      <c r="D662" s="1" t="s">
        <v>28</v>
      </c>
      <c r="E662" s="11">
        <f t="shared" si="2"/>
        <v>92.85</v>
      </c>
      <c r="F662" s="11">
        <f t="shared" si="3"/>
        <v>2.018478261</v>
      </c>
      <c r="G662" s="1">
        <v>46.0</v>
      </c>
      <c r="H662" s="1">
        <v>5.0</v>
      </c>
      <c r="I662" s="1">
        <v>6.0</v>
      </c>
      <c r="J662" s="1">
        <v>11.0</v>
      </c>
      <c r="K662" s="1">
        <v>38.0</v>
      </c>
      <c r="L662" s="1">
        <v>0.0</v>
      </c>
      <c r="M662" s="1">
        <v>1.0</v>
      </c>
      <c r="N662" s="1">
        <v>1.0</v>
      </c>
      <c r="O662" s="1">
        <v>0.0</v>
      </c>
      <c r="P662" s="1">
        <v>51.0</v>
      </c>
      <c r="Q662" s="1">
        <v>27.0</v>
      </c>
      <c r="V662" s="2">
        <f>VLOOKUP(B662,'202324'!B:C,2,FALSE)-A662</f>
        <v>1</v>
      </c>
    </row>
    <row r="663">
      <c r="A663" s="1">
        <f t="shared" si="1"/>
        <v>661</v>
      </c>
      <c r="B663" s="1" t="s">
        <v>1721</v>
      </c>
      <c r="C663" s="1" t="s">
        <v>1172</v>
      </c>
      <c r="D663" s="1" t="s">
        <v>5</v>
      </c>
      <c r="E663" s="11">
        <f t="shared" si="2"/>
        <v>92.4</v>
      </c>
      <c r="F663" s="11">
        <f t="shared" si="3"/>
        <v>2.8875</v>
      </c>
      <c r="G663" s="1">
        <v>32.0</v>
      </c>
      <c r="R663" s="1">
        <v>5.0</v>
      </c>
      <c r="S663" s="1">
        <v>114.0</v>
      </c>
      <c r="T663" s="1">
        <v>828.0</v>
      </c>
      <c r="U663" s="1">
        <v>0.0</v>
      </c>
      <c r="V663" s="2">
        <f>VLOOKUP(B663,'202324'!B:C,2,FALSE)-A663</f>
        <v>-10</v>
      </c>
    </row>
    <row r="664">
      <c r="A664" s="1">
        <f t="shared" si="1"/>
        <v>662</v>
      </c>
      <c r="B664" s="1" t="s">
        <v>1722</v>
      </c>
      <c r="C664" s="1" t="s">
        <v>1034</v>
      </c>
      <c r="D664" s="1" t="s">
        <v>66</v>
      </c>
      <c r="E664" s="11">
        <f t="shared" si="2"/>
        <v>91.25</v>
      </c>
      <c r="F664" s="11">
        <f t="shared" si="3"/>
        <v>2.466216216</v>
      </c>
      <c r="G664" s="1">
        <v>37.0</v>
      </c>
      <c r="H664" s="1">
        <v>0.0</v>
      </c>
      <c r="I664" s="1">
        <v>5.0</v>
      </c>
      <c r="J664" s="1">
        <v>5.0</v>
      </c>
      <c r="K664" s="1">
        <v>31.0</v>
      </c>
      <c r="L664" s="1">
        <v>0.0</v>
      </c>
      <c r="M664" s="1">
        <v>0.0</v>
      </c>
      <c r="N664" s="1">
        <v>0.0</v>
      </c>
      <c r="O664" s="1">
        <v>0.0</v>
      </c>
      <c r="P664" s="1">
        <v>105.0</v>
      </c>
      <c r="Q664" s="1">
        <v>48.0</v>
      </c>
      <c r="V664" s="2">
        <f>VLOOKUP(B664,'202324'!B:C,2,FALSE)-A664</f>
        <v>12</v>
      </c>
    </row>
    <row r="665">
      <c r="A665" s="1">
        <f t="shared" si="1"/>
        <v>663</v>
      </c>
      <c r="B665" s="1" t="s">
        <v>1723</v>
      </c>
      <c r="C665" s="1" t="s">
        <v>1146</v>
      </c>
      <c r="D665" s="1" t="s">
        <v>66</v>
      </c>
      <c r="E665" s="11">
        <f t="shared" si="2"/>
        <v>91.2</v>
      </c>
      <c r="F665" s="11">
        <f t="shared" si="3"/>
        <v>2.533333333</v>
      </c>
      <c r="G665" s="1">
        <v>36.0</v>
      </c>
      <c r="H665" s="1">
        <v>1.0</v>
      </c>
      <c r="I665" s="1">
        <v>8.0</v>
      </c>
      <c r="J665" s="1">
        <v>9.0</v>
      </c>
      <c r="K665" s="1">
        <v>44.0</v>
      </c>
      <c r="L665" s="1">
        <v>0.0</v>
      </c>
      <c r="M665" s="1">
        <v>5.0</v>
      </c>
      <c r="N665" s="1">
        <v>0.0</v>
      </c>
      <c r="O665" s="1">
        <v>0.0</v>
      </c>
      <c r="P665" s="1">
        <v>62.0</v>
      </c>
      <c r="Q665" s="1">
        <v>38.0</v>
      </c>
      <c r="V665" s="2">
        <f>VLOOKUP(B665,'202324'!B:C,2,FALSE)-A665</f>
        <v>2</v>
      </c>
    </row>
    <row r="666">
      <c r="A666" s="1">
        <f t="shared" si="1"/>
        <v>664</v>
      </c>
      <c r="B666" s="1" t="s">
        <v>1724</v>
      </c>
      <c r="C666" s="1" t="s">
        <v>1046</v>
      </c>
      <c r="D666" s="1" t="s">
        <v>66</v>
      </c>
      <c r="E666" s="11">
        <f t="shared" si="2"/>
        <v>90.25</v>
      </c>
      <c r="F666" s="11">
        <f t="shared" si="3"/>
        <v>2.25625</v>
      </c>
      <c r="G666" s="1">
        <v>40.0</v>
      </c>
      <c r="H666" s="1">
        <v>2.0</v>
      </c>
      <c r="I666" s="1">
        <v>4.0</v>
      </c>
      <c r="J666" s="1">
        <v>6.0</v>
      </c>
      <c r="K666" s="1">
        <v>29.0</v>
      </c>
      <c r="L666" s="1">
        <v>1.0</v>
      </c>
      <c r="M666" s="1">
        <v>1.0</v>
      </c>
      <c r="N666" s="1">
        <v>0.0</v>
      </c>
      <c r="O666" s="1">
        <v>0.0</v>
      </c>
      <c r="P666" s="1">
        <v>65.0</v>
      </c>
      <c r="Q666" s="1">
        <v>64.0</v>
      </c>
      <c r="V666" s="2">
        <f>VLOOKUP(B666,'202324'!B:C,2,FALSE)-A666</f>
        <v>4</v>
      </c>
    </row>
    <row r="667">
      <c r="A667" s="1">
        <f t="shared" si="1"/>
        <v>665</v>
      </c>
      <c r="B667" s="1" t="s">
        <v>1725</v>
      </c>
      <c r="C667" s="1" t="s">
        <v>1054</v>
      </c>
      <c r="D667" s="1" t="s">
        <v>31</v>
      </c>
      <c r="E667" s="11">
        <f t="shared" si="2"/>
        <v>90.05</v>
      </c>
      <c r="F667" s="11">
        <f t="shared" si="3"/>
        <v>1.957608696</v>
      </c>
      <c r="G667" s="1">
        <v>46.0</v>
      </c>
      <c r="H667" s="1">
        <v>5.0</v>
      </c>
      <c r="I667" s="1">
        <v>4.0</v>
      </c>
      <c r="J667" s="1">
        <v>9.0</v>
      </c>
      <c r="K667" s="1">
        <v>47.0</v>
      </c>
      <c r="L667" s="1">
        <v>0.0</v>
      </c>
      <c r="M667" s="1">
        <v>0.0</v>
      </c>
      <c r="N667" s="1">
        <v>0.0</v>
      </c>
      <c r="O667" s="1">
        <v>0.0</v>
      </c>
      <c r="P667" s="1">
        <v>53.0</v>
      </c>
      <c r="Q667" s="1">
        <v>27.0</v>
      </c>
      <c r="V667" s="2">
        <f>VLOOKUP(B667,'202324'!B:C,2,FALSE)-A667</f>
        <v>1</v>
      </c>
    </row>
    <row r="668">
      <c r="A668" s="1">
        <f t="shared" si="1"/>
        <v>666</v>
      </c>
      <c r="B668" s="1" t="s">
        <v>1726</v>
      </c>
      <c r="C668" s="1" t="s">
        <v>1175</v>
      </c>
      <c r="D668" s="1" t="s">
        <v>36</v>
      </c>
      <c r="E668" s="11">
        <f t="shared" si="2"/>
        <v>89.85</v>
      </c>
      <c r="F668" s="11">
        <f t="shared" si="3"/>
        <v>1.95326087</v>
      </c>
      <c r="G668" s="1">
        <v>46.0</v>
      </c>
      <c r="H668" s="1">
        <v>2.0</v>
      </c>
      <c r="I668" s="1">
        <v>7.0</v>
      </c>
      <c r="J668" s="1">
        <v>9.0</v>
      </c>
      <c r="K668" s="1">
        <v>60.0</v>
      </c>
      <c r="L668" s="1">
        <v>0.0</v>
      </c>
      <c r="M668" s="1">
        <v>3.0</v>
      </c>
      <c r="N668" s="1">
        <v>0.0</v>
      </c>
      <c r="O668" s="1">
        <v>0.0</v>
      </c>
      <c r="P668" s="1">
        <v>61.0</v>
      </c>
      <c r="Q668" s="1">
        <v>17.0</v>
      </c>
      <c r="V668" s="2">
        <f>VLOOKUP(B668,'202324'!B:C,2,FALSE)-A668</f>
        <v>2</v>
      </c>
    </row>
    <row r="669">
      <c r="A669" s="1">
        <f t="shared" si="1"/>
        <v>667</v>
      </c>
      <c r="B669" s="1" t="s">
        <v>1727</v>
      </c>
      <c r="C669" s="1" t="s">
        <v>1042</v>
      </c>
      <c r="D669" s="1" t="s">
        <v>31</v>
      </c>
      <c r="E669" s="11">
        <f t="shared" si="2"/>
        <v>89.8</v>
      </c>
      <c r="F669" s="11">
        <f t="shared" si="3"/>
        <v>2.80625</v>
      </c>
      <c r="G669" s="1">
        <v>32.0</v>
      </c>
      <c r="H669" s="1">
        <v>7.0</v>
      </c>
      <c r="I669" s="1">
        <v>8.0</v>
      </c>
      <c r="J669" s="1">
        <v>15.0</v>
      </c>
      <c r="K669" s="1">
        <v>48.0</v>
      </c>
      <c r="L669" s="1">
        <v>0.0</v>
      </c>
      <c r="M669" s="1">
        <v>1.0</v>
      </c>
      <c r="N669" s="1">
        <v>1.0</v>
      </c>
      <c r="O669" s="1">
        <v>0.0</v>
      </c>
      <c r="P669" s="1">
        <v>8.0</v>
      </c>
      <c r="Q669" s="1">
        <v>11.0</v>
      </c>
      <c r="V669" s="2">
        <f>VLOOKUP(B669,'202324'!B:C,2,FALSE)-A669</f>
        <v>-8</v>
      </c>
    </row>
    <row r="670">
      <c r="A670" s="1">
        <f t="shared" si="1"/>
        <v>668</v>
      </c>
      <c r="B670" s="1" t="s">
        <v>1728</v>
      </c>
      <c r="C670" s="1" t="s">
        <v>1076</v>
      </c>
      <c r="D670" s="1" t="s">
        <v>5</v>
      </c>
      <c r="E670" s="11">
        <f t="shared" si="2"/>
        <v>89.4</v>
      </c>
      <c r="F670" s="11">
        <f t="shared" si="3"/>
        <v>4.257142857</v>
      </c>
      <c r="G670" s="1">
        <v>21.0</v>
      </c>
      <c r="R670" s="1">
        <v>9.0</v>
      </c>
      <c r="S670" s="1">
        <v>60.0</v>
      </c>
      <c r="T670" s="1">
        <v>508.0</v>
      </c>
      <c r="U670" s="1">
        <v>0.0</v>
      </c>
      <c r="V670" s="2">
        <f>VLOOKUP(B670,'202324'!B:C,2,FALSE)-A670</f>
        <v>-10</v>
      </c>
    </row>
    <row r="671">
      <c r="A671" s="1">
        <f t="shared" si="1"/>
        <v>669</v>
      </c>
      <c r="B671" s="1" t="s">
        <v>1729</v>
      </c>
      <c r="C671" s="1" t="s">
        <v>1172</v>
      </c>
      <c r="D671" s="1" t="s">
        <v>36</v>
      </c>
      <c r="E671" s="11">
        <f t="shared" si="2"/>
        <v>89.3</v>
      </c>
      <c r="F671" s="11">
        <f t="shared" si="3"/>
        <v>2.126190476</v>
      </c>
      <c r="G671" s="1">
        <v>42.0</v>
      </c>
      <c r="H671" s="1">
        <v>2.0</v>
      </c>
      <c r="I671" s="1">
        <v>3.0</v>
      </c>
      <c r="J671" s="1">
        <v>5.0</v>
      </c>
      <c r="K671" s="1">
        <v>51.0</v>
      </c>
      <c r="L671" s="1">
        <v>0.0</v>
      </c>
      <c r="M671" s="1">
        <v>0.0</v>
      </c>
      <c r="N671" s="1">
        <v>0.0</v>
      </c>
      <c r="O671" s="1">
        <v>0.0</v>
      </c>
      <c r="P671" s="1">
        <v>108.0</v>
      </c>
      <c r="Q671" s="1">
        <v>16.0</v>
      </c>
      <c r="V671" s="2">
        <f>VLOOKUP(B671,'202324'!B:C,2,FALSE)-A671</f>
        <v>13</v>
      </c>
    </row>
    <row r="672">
      <c r="A672" s="1">
        <f t="shared" si="1"/>
        <v>670</v>
      </c>
      <c r="B672" s="1" t="s">
        <v>1730</v>
      </c>
      <c r="C672" s="1" t="s">
        <v>1085</v>
      </c>
      <c r="D672" s="1" t="s">
        <v>31</v>
      </c>
      <c r="E672" s="11">
        <f t="shared" si="2"/>
        <v>89</v>
      </c>
      <c r="F672" s="11">
        <f t="shared" si="3"/>
        <v>3.708333333</v>
      </c>
      <c r="G672" s="1">
        <v>24.0</v>
      </c>
      <c r="H672" s="1">
        <v>6.0</v>
      </c>
      <c r="I672" s="1">
        <v>8.0</v>
      </c>
      <c r="J672" s="1">
        <v>14.0</v>
      </c>
      <c r="K672" s="1">
        <v>51.0</v>
      </c>
      <c r="L672" s="1">
        <v>1.0</v>
      </c>
      <c r="M672" s="1">
        <v>1.0</v>
      </c>
      <c r="N672" s="1">
        <v>0.0</v>
      </c>
      <c r="O672" s="1">
        <v>0.0</v>
      </c>
      <c r="P672" s="1">
        <v>20.0</v>
      </c>
      <c r="Q672" s="1">
        <v>11.0</v>
      </c>
      <c r="V672" s="2">
        <f>VLOOKUP(B672,'202324'!B:C,2,FALSE)-A672</f>
        <v>-8</v>
      </c>
    </row>
    <row r="673">
      <c r="A673" s="1">
        <f t="shared" si="1"/>
        <v>671</v>
      </c>
      <c r="B673" s="1" t="s">
        <v>1731</v>
      </c>
      <c r="C673" s="1" t="s">
        <v>1097</v>
      </c>
      <c r="D673" s="1" t="s">
        <v>28</v>
      </c>
      <c r="E673" s="11">
        <f t="shared" si="2"/>
        <v>87.95</v>
      </c>
      <c r="F673" s="11">
        <f t="shared" si="3"/>
        <v>1.954444444</v>
      </c>
      <c r="G673" s="1">
        <v>45.0</v>
      </c>
      <c r="H673" s="1">
        <v>2.0</v>
      </c>
      <c r="I673" s="1">
        <v>8.0</v>
      </c>
      <c r="J673" s="1">
        <v>10.0</v>
      </c>
      <c r="K673" s="1">
        <v>26.0</v>
      </c>
      <c r="L673" s="1">
        <v>0.0</v>
      </c>
      <c r="M673" s="1">
        <v>0.0</v>
      </c>
      <c r="N673" s="1">
        <v>0.0</v>
      </c>
      <c r="O673" s="1">
        <v>1.0</v>
      </c>
      <c r="P673" s="1">
        <v>47.0</v>
      </c>
      <c r="Q673" s="1">
        <v>47.0</v>
      </c>
      <c r="V673" s="2">
        <f>VLOOKUP(B673,'202324'!B:C,2,FALSE)-A673</f>
        <v>0</v>
      </c>
    </row>
    <row r="674">
      <c r="A674" s="1">
        <f t="shared" si="1"/>
        <v>672</v>
      </c>
      <c r="B674" s="1" t="s">
        <v>1732</v>
      </c>
      <c r="C674" s="1" t="s">
        <v>1085</v>
      </c>
      <c r="D674" s="1" t="s">
        <v>31</v>
      </c>
      <c r="E674" s="11">
        <f t="shared" si="2"/>
        <v>87.05</v>
      </c>
      <c r="F674" s="11">
        <f t="shared" si="3"/>
        <v>2.072619048</v>
      </c>
      <c r="G674" s="1">
        <v>42.0</v>
      </c>
      <c r="H674" s="1">
        <v>2.0</v>
      </c>
      <c r="I674" s="1">
        <v>7.0</v>
      </c>
      <c r="J674" s="1">
        <v>9.0</v>
      </c>
      <c r="K674" s="1">
        <v>53.0</v>
      </c>
      <c r="L674" s="1">
        <v>0.0</v>
      </c>
      <c r="M674" s="1">
        <v>0.0</v>
      </c>
      <c r="N674" s="1">
        <v>0.0</v>
      </c>
      <c r="O674" s="1">
        <v>0.0</v>
      </c>
      <c r="P674" s="1">
        <v>63.0</v>
      </c>
      <c r="Q674" s="1">
        <v>17.0</v>
      </c>
      <c r="V674" s="2">
        <f>VLOOKUP(B674,'202324'!B:C,2,FALSE)-A674</f>
        <v>2</v>
      </c>
    </row>
    <row r="675">
      <c r="A675" s="1">
        <f t="shared" si="1"/>
        <v>673</v>
      </c>
      <c r="B675" s="1" t="s">
        <v>1733</v>
      </c>
      <c r="C675" s="1" t="s">
        <v>1038</v>
      </c>
      <c r="D675" s="1" t="s">
        <v>31</v>
      </c>
      <c r="E675" s="11">
        <f t="shared" si="2"/>
        <v>85.95</v>
      </c>
      <c r="F675" s="11">
        <f t="shared" si="3"/>
        <v>2.604545455</v>
      </c>
      <c r="G675" s="1">
        <v>33.0</v>
      </c>
      <c r="H675" s="1">
        <v>5.0</v>
      </c>
      <c r="I675" s="1">
        <v>10.0</v>
      </c>
      <c r="J675" s="1">
        <v>15.0</v>
      </c>
      <c r="K675" s="1">
        <v>40.0</v>
      </c>
      <c r="L675" s="1">
        <v>0.0</v>
      </c>
      <c r="M675" s="1">
        <v>1.0</v>
      </c>
      <c r="N675" s="1">
        <v>0.0</v>
      </c>
      <c r="O675" s="1">
        <v>0.0</v>
      </c>
      <c r="P675" s="1">
        <v>17.0</v>
      </c>
      <c r="Q675" s="1">
        <v>15.0</v>
      </c>
      <c r="V675" s="2">
        <f>VLOOKUP(B675,'202324'!B:C,2,FALSE)-A675</f>
        <v>-6</v>
      </c>
    </row>
    <row r="676">
      <c r="A676" s="1">
        <f t="shared" si="1"/>
        <v>674</v>
      </c>
      <c r="B676" s="1" t="s">
        <v>1734</v>
      </c>
      <c r="C676" s="1" t="s">
        <v>1120</v>
      </c>
      <c r="D676" s="1" t="s">
        <v>5</v>
      </c>
      <c r="E676" s="11">
        <f t="shared" si="2"/>
        <v>85.8</v>
      </c>
      <c r="F676" s="11">
        <f t="shared" si="3"/>
        <v>4.515789474</v>
      </c>
      <c r="G676" s="1">
        <v>19.0</v>
      </c>
      <c r="R676" s="1">
        <v>9.0</v>
      </c>
      <c r="S676" s="1">
        <v>60.0</v>
      </c>
      <c r="T676" s="1">
        <v>496.0</v>
      </c>
      <c r="U676" s="1">
        <v>0.0</v>
      </c>
      <c r="V676" s="2">
        <f>VLOOKUP(B676,'202324'!B:C,2,FALSE)-A676</f>
        <v>-10</v>
      </c>
    </row>
    <row r="677">
      <c r="A677" s="1">
        <f t="shared" si="1"/>
        <v>675</v>
      </c>
      <c r="B677" s="1" t="s">
        <v>1735</v>
      </c>
      <c r="C677" s="1" t="s">
        <v>1097</v>
      </c>
      <c r="D677" s="1" t="s">
        <v>28</v>
      </c>
      <c r="E677" s="11">
        <f t="shared" si="2"/>
        <v>85.35</v>
      </c>
      <c r="F677" s="11">
        <f t="shared" si="3"/>
        <v>1.446610169</v>
      </c>
      <c r="G677" s="1">
        <v>59.0</v>
      </c>
      <c r="H677" s="1">
        <v>4.0</v>
      </c>
      <c r="I677" s="1">
        <v>4.0</v>
      </c>
      <c r="J677" s="1">
        <v>8.0</v>
      </c>
      <c r="K677" s="1">
        <v>50.0</v>
      </c>
      <c r="L677" s="1">
        <v>0.0</v>
      </c>
      <c r="M677" s="1">
        <v>0.0</v>
      </c>
      <c r="N677" s="1">
        <v>0.0</v>
      </c>
      <c r="O677" s="1">
        <v>0.0</v>
      </c>
      <c r="P677" s="1">
        <v>41.0</v>
      </c>
      <c r="Q677" s="1">
        <v>32.0</v>
      </c>
      <c r="V677" s="2">
        <f>VLOOKUP(B677,'202324'!B:C,2,FALSE)-A677</f>
        <v>-3</v>
      </c>
    </row>
    <row r="678">
      <c r="A678" s="1">
        <f t="shared" si="1"/>
        <v>676</v>
      </c>
      <c r="B678" s="1" t="s">
        <v>1736</v>
      </c>
      <c r="C678" s="1" t="s">
        <v>1172</v>
      </c>
      <c r="D678" s="1" t="s">
        <v>66</v>
      </c>
      <c r="E678" s="11">
        <f t="shared" si="2"/>
        <v>84.5</v>
      </c>
      <c r="F678" s="11">
        <f t="shared" si="3"/>
        <v>1.920454545</v>
      </c>
      <c r="G678" s="1">
        <v>44.0</v>
      </c>
      <c r="H678" s="1">
        <v>0.0</v>
      </c>
      <c r="I678" s="1">
        <v>2.0</v>
      </c>
      <c r="J678" s="1">
        <v>2.0</v>
      </c>
      <c r="K678" s="1">
        <v>28.0</v>
      </c>
      <c r="L678" s="1">
        <v>0.0</v>
      </c>
      <c r="M678" s="1">
        <v>0.0</v>
      </c>
      <c r="N678" s="1">
        <v>0.0</v>
      </c>
      <c r="O678" s="1">
        <v>0.0</v>
      </c>
      <c r="P678" s="1">
        <v>60.0</v>
      </c>
      <c r="Q678" s="1">
        <v>87.0</v>
      </c>
      <c r="V678" s="2">
        <f>VLOOKUP(B678,'202324'!B:C,2,FALSE)-A678</f>
        <v>6</v>
      </c>
    </row>
    <row r="679">
      <c r="A679" s="1">
        <f t="shared" si="1"/>
        <v>676</v>
      </c>
      <c r="B679" s="1" t="s">
        <v>1737</v>
      </c>
      <c r="C679" s="1" t="s">
        <v>1040</v>
      </c>
      <c r="D679" s="1" t="s">
        <v>66</v>
      </c>
      <c r="E679" s="11">
        <f t="shared" si="2"/>
        <v>84.5</v>
      </c>
      <c r="F679" s="11">
        <f t="shared" si="3"/>
        <v>1.625</v>
      </c>
      <c r="G679" s="1">
        <v>52.0</v>
      </c>
      <c r="H679" s="1">
        <v>1.0</v>
      </c>
      <c r="I679" s="1">
        <v>3.0</v>
      </c>
      <c r="J679" s="1">
        <v>4.0</v>
      </c>
      <c r="K679" s="1">
        <v>35.0</v>
      </c>
      <c r="L679" s="1">
        <v>0.0</v>
      </c>
      <c r="M679" s="1">
        <v>0.0</v>
      </c>
      <c r="N679" s="1">
        <v>0.0</v>
      </c>
      <c r="O679" s="1">
        <v>0.0</v>
      </c>
      <c r="P679" s="1">
        <v>90.0</v>
      </c>
      <c r="Q679" s="1">
        <v>44.0</v>
      </c>
      <c r="V679" s="2">
        <f>VLOOKUP(B679,'202324'!B:C,2,FALSE)-A679</f>
        <v>10</v>
      </c>
    </row>
    <row r="680">
      <c r="A680" s="1">
        <f t="shared" si="1"/>
        <v>678</v>
      </c>
      <c r="B680" s="1" t="s">
        <v>1738</v>
      </c>
      <c r="C680" s="1" t="s">
        <v>1030</v>
      </c>
      <c r="D680" s="1" t="s">
        <v>31</v>
      </c>
      <c r="E680" s="11">
        <f t="shared" si="2"/>
        <v>84.25</v>
      </c>
      <c r="F680" s="11">
        <f t="shared" si="3"/>
        <v>1.478070175</v>
      </c>
      <c r="G680" s="1">
        <v>57.0</v>
      </c>
      <c r="H680" s="1">
        <v>3.0</v>
      </c>
      <c r="I680" s="1">
        <v>6.0</v>
      </c>
      <c r="J680" s="1">
        <v>9.0</v>
      </c>
      <c r="K680" s="1">
        <v>45.0</v>
      </c>
      <c r="L680" s="1">
        <v>0.0</v>
      </c>
      <c r="M680" s="1">
        <v>0.0</v>
      </c>
      <c r="N680" s="1">
        <v>0.0</v>
      </c>
      <c r="O680" s="1">
        <v>0.0</v>
      </c>
      <c r="P680" s="1">
        <v>45.0</v>
      </c>
      <c r="Q680" s="1">
        <v>29.0</v>
      </c>
      <c r="V680" s="2">
        <f>VLOOKUP(B680,'202324'!B:C,2,FALSE)-A680</f>
        <v>0</v>
      </c>
    </row>
    <row r="681">
      <c r="A681" s="1">
        <f t="shared" si="1"/>
        <v>679</v>
      </c>
      <c r="B681" s="1" t="s">
        <v>1739</v>
      </c>
      <c r="C681" s="1" t="s">
        <v>1175</v>
      </c>
      <c r="D681" s="1" t="s">
        <v>66</v>
      </c>
      <c r="E681" s="11">
        <f t="shared" si="2"/>
        <v>83.8</v>
      </c>
      <c r="F681" s="11">
        <f t="shared" si="3"/>
        <v>2.464705882</v>
      </c>
      <c r="G681" s="1">
        <v>34.0</v>
      </c>
      <c r="H681" s="1">
        <v>7.0</v>
      </c>
      <c r="I681" s="1">
        <v>2.0</v>
      </c>
      <c r="J681" s="1">
        <v>9.0</v>
      </c>
      <c r="K681" s="1">
        <v>49.0</v>
      </c>
      <c r="L681" s="1">
        <v>3.0</v>
      </c>
      <c r="M681" s="1">
        <v>1.0</v>
      </c>
      <c r="N681" s="1">
        <v>0.0</v>
      </c>
      <c r="O681" s="1">
        <v>0.0</v>
      </c>
      <c r="P681" s="1">
        <v>38.0</v>
      </c>
      <c r="Q681" s="1">
        <v>17.0</v>
      </c>
      <c r="V681" s="2">
        <f>VLOOKUP(B681,'202324'!B:C,2,FALSE)-A681</f>
        <v>-3</v>
      </c>
    </row>
    <row r="682">
      <c r="A682" s="1">
        <f t="shared" si="1"/>
        <v>680</v>
      </c>
      <c r="B682" s="1" t="s">
        <v>1740</v>
      </c>
      <c r="C682" s="1" t="s">
        <v>1069</v>
      </c>
      <c r="D682" s="1" t="s">
        <v>66</v>
      </c>
      <c r="E682" s="11">
        <f t="shared" si="2"/>
        <v>83.4</v>
      </c>
      <c r="F682" s="11">
        <f t="shared" si="3"/>
        <v>2.527272727</v>
      </c>
      <c r="G682" s="1">
        <v>33.0</v>
      </c>
      <c r="H682" s="1">
        <v>3.0</v>
      </c>
      <c r="I682" s="1">
        <v>5.0</v>
      </c>
      <c r="J682" s="1">
        <v>8.0</v>
      </c>
      <c r="K682" s="1">
        <v>42.0</v>
      </c>
      <c r="L682" s="1">
        <v>0.0</v>
      </c>
      <c r="M682" s="1">
        <v>0.0</v>
      </c>
      <c r="N682" s="1">
        <v>0.0</v>
      </c>
      <c r="O682" s="1">
        <v>0.0</v>
      </c>
      <c r="P682" s="1">
        <v>24.0</v>
      </c>
      <c r="Q682" s="1">
        <v>51.0</v>
      </c>
      <c r="V682" s="2">
        <f>VLOOKUP(B682,'202324'!B:C,2,FALSE)-A682</f>
        <v>-7</v>
      </c>
    </row>
    <row r="683">
      <c r="A683" s="1">
        <f t="shared" si="1"/>
        <v>681</v>
      </c>
      <c r="B683" s="1" t="s">
        <v>1741</v>
      </c>
      <c r="C683" s="1" t="s">
        <v>1106</v>
      </c>
      <c r="D683" s="1" t="s">
        <v>66</v>
      </c>
      <c r="E683" s="11">
        <f t="shared" si="2"/>
        <v>83</v>
      </c>
      <c r="F683" s="11">
        <f t="shared" si="3"/>
        <v>2.128205128</v>
      </c>
      <c r="G683" s="1">
        <v>39.0</v>
      </c>
      <c r="H683" s="1">
        <v>1.0</v>
      </c>
      <c r="I683" s="1">
        <v>6.0</v>
      </c>
      <c r="J683" s="1">
        <v>7.0</v>
      </c>
      <c r="K683" s="1">
        <v>28.0</v>
      </c>
      <c r="L683" s="1">
        <v>0.0</v>
      </c>
      <c r="M683" s="1">
        <v>0.0</v>
      </c>
      <c r="N683" s="1">
        <v>0.0</v>
      </c>
      <c r="O683" s="1">
        <v>0.0</v>
      </c>
      <c r="P683" s="1">
        <v>40.0</v>
      </c>
      <c r="Q683" s="1">
        <v>65.0</v>
      </c>
      <c r="V683" s="2">
        <f>VLOOKUP(B683,'202324'!B:C,2,FALSE)-A683</f>
        <v>-1</v>
      </c>
    </row>
    <row r="684">
      <c r="A684" s="1">
        <f t="shared" si="1"/>
        <v>682</v>
      </c>
      <c r="B684" s="1" t="s">
        <v>1742</v>
      </c>
      <c r="C684" s="1" t="s">
        <v>1030</v>
      </c>
      <c r="D684" s="1" t="s">
        <v>28</v>
      </c>
      <c r="E684" s="11">
        <f t="shared" si="2"/>
        <v>82</v>
      </c>
      <c r="F684" s="11">
        <f t="shared" si="3"/>
        <v>2.733333333</v>
      </c>
      <c r="G684" s="1">
        <v>30.0</v>
      </c>
      <c r="H684" s="1">
        <v>5.0</v>
      </c>
      <c r="I684" s="1">
        <v>5.0</v>
      </c>
      <c r="J684" s="1">
        <v>10.0</v>
      </c>
      <c r="K684" s="1">
        <v>50.0</v>
      </c>
      <c r="L684" s="1">
        <v>0.0</v>
      </c>
      <c r="M684" s="1">
        <v>2.0</v>
      </c>
      <c r="N684" s="1">
        <v>0.0</v>
      </c>
      <c r="O684" s="1">
        <v>0.0</v>
      </c>
      <c r="P684" s="1">
        <v>20.0</v>
      </c>
      <c r="Q684" s="1">
        <v>25.0</v>
      </c>
      <c r="V684" s="2">
        <f>VLOOKUP(B684,'202324'!B:C,2,FALSE)-A684</f>
        <v>-6</v>
      </c>
    </row>
    <row r="685">
      <c r="A685" s="1">
        <f t="shared" si="1"/>
        <v>683</v>
      </c>
      <c r="B685" s="1" t="s">
        <v>1743</v>
      </c>
      <c r="C685" s="1" t="s">
        <v>1034</v>
      </c>
      <c r="D685" s="1" t="s">
        <v>36</v>
      </c>
      <c r="E685" s="11">
        <f t="shared" si="2"/>
        <v>81.3</v>
      </c>
      <c r="F685" s="11">
        <f t="shared" si="3"/>
        <v>2.71</v>
      </c>
      <c r="G685" s="1">
        <v>30.0</v>
      </c>
      <c r="H685" s="1">
        <v>4.0</v>
      </c>
      <c r="I685" s="1">
        <v>3.0</v>
      </c>
      <c r="J685" s="1">
        <v>7.0</v>
      </c>
      <c r="K685" s="1">
        <v>27.0</v>
      </c>
      <c r="L685" s="1">
        <v>0.0</v>
      </c>
      <c r="M685" s="1">
        <v>0.0</v>
      </c>
      <c r="N685" s="1">
        <v>0.0</v>
      </c>
      <c r="O685" s="1">
        <v>0.0</v>
      </c>
      <c r="P685" s="1">
        <v>88.0</v>
      </c>
      <c r="Q685" s="1">
        <v>20.0</v>
      </c>
      <c r="V685" s="2">
        <f>VLOOKUP(B685,'202324'!B:C,2,FALSE)-A685</f>
        <v>13</v>
      </c>
    </row>
    <row r="686">
      <c r="A686" s="1">
        <f t="shared" si="1"/>
        <v>684</v>
      </c>
      <c r="B686" s="1" t="s">
        <v>1744</v>
      </c>
      <c r="C686" s="1" t="s">
        <v>1156</v>
      </c>
      <c r="D686" s="1" t="s">
        <v>66</v>
      </c>
      <c r="E686" s="11">
        <f t="shared" si="2"/>
        <v>81.05</v>
      </c>
      <c r="F686" s="11">
        <f t="shared" si="3"/>
        <v>1.884883721</v>
      </c>
      <c r="G686" s="1">
        <v>43.0</v>
      </c>
      <c r="H686" s="1">
        <v>1.0</v>
      </c>
      <c r="I686" s="1">
        <v>9.0</v>
      </c>
      <c r="J686" s="1">
        <v>10.0</v>
      </c>
      <c r="K686" s="1">
        <v>38.0</v>
      </c>
      <c r="L686" s="1">
        <v>0.0</v>
      </c>
      <c r="M686" s="1">
        <v>0.0</v>
      </c>
      <c r="N686" s="1">
        <v>0.0</v>
      </c>
      <c r="O686" s="1">
        <v>0.0</v>
      </c>
      <c r="P686" s="1">
        <v>23.0</v>
      </c>
      <c r="Q686" s="1">
        <v>45.0</v>
      </c>
      <c r="V686" s="2">
        <f>VLOOKUP(B686,'202324'!B:C,2,FALSE)-A686</f>
        <v>-3</v>
      </c>
    </row>
    <row r="687">
      <c r="A687" s="1">
        <f t="shared" si="1"/>
        <v>684</v>
      </c>
      <c r="B687" s="1" t="s">
        <v>1745</v>
      </c>
      <c r="C687" s="1" t="s">
        <v>1087</v>
      </c>
      <c r="D687" s="1" t="s">
        <v>36</v>
      </c>
      <c r="E687" s="11">
        <f t="shared" si="2"/>
        <v>81.05</v>
      </c>
      <c r="F687" s="11">
        <f t="shared" si="3"/>
        <v>3.001851852</v>
      </c>
      <c r="G687" s="1">
        <v>27.0</v>
      </c>
      <c r="H687" s="1">
        <v>5.0</v>
      </c>
      <c r="I687" s="1">
        <v>4.0</v>
      </c>
      <c r="J687" s="1">
        <v>9.0</v>
      </c>
      <c r="K687" s="1">
        <v>32.0</v>
      </c>
      <c r="L687" s="1">
        <v>0.0</v>
      </c>
      <c r="M687" s="1">
        <v>0.0</v>
      </c>
      <c r="N687" s="1">
        <v>0.0</v>
      </c>
      <c r="O687" s="1">
        <v>0.0</v>
      </c>
      <c r="P687" s="1">
        <v>63.0</v>
      </c>
      <c r="Q687" s="1">
        <v>17.0</v>
      </c>
      <c r="V687" s="2">
        <f>VLOOKUP(B687,'202324'!B:C,2,FALSE)-A687</f>
        <v>3</v>
      </c>
    </row>
    <row r="688">
      <c r="A688" s="1">
        <f t="shared" si="1"/>
        <v>686</v>
      </c>
      <c r="B688" s="1" t="s">
        <v>1746</v>
      </c>
      <c r="C688" s="1" t="s">
        <v>1111</v>
      </c>
      <c r="D688" s="1" t="s">
        <v>31</v>
      </c>
      <c r="E688" s="11">
        <f t="shared" si="2"/>
        <v>80.95</v>
      </c>
      <c r="F688" s="11">
        <f t="shared" si="3"/>
        <v>2.453030303</v>
      </c>
      <c r="G688" s="1">
        <v>33.0</v>
      </c>
      <c r="H688" s="1">
        <v>3.0</v>
      </c>
      <c r="I688" s="1">
        <v>7.0</v>
      </c>
      <c r="J688" s="1">
        <v>10.0</v>
      </c>
      <c r="K688" s="1">
        <v>66.0</v>
      </c>
      <c r="L688" s="1">
        <v>1.0</v>
      </c>
      <c r="M688" s="1">
        <v>1.0</v>
      </c>
      <c r="N688" s="1">
        <v>0.0</v>
      </c>
      <c r="O688" s="1">
        <v>0.0</v>
      </c>
      <c r="P688" s="1">
        <v>17.0</v>
      </c>
      <c r="Q688" s="1">
        <v>15.0</v>
      </c>
      <c r="V688" s="2">
        <f>VLOOKUP(B688,'202324'!B:C,2,FALSE)-A688</f>
        <v>-7</v>
      </c>
    </row>
    <row r="689">
      <c r="A689" s="1">
        <f t="shared" si="1"/>
        <v>687</v>
      </c>
      <c r="B689" s="1" t="s">
        <v>1747</v>
      </c>
      <c r="C689" s="1" t="s">
        <v>1175</v>
      </c>
      <c r="D689" s="1" t="s">
        <v>28</v>
      </c>
      <c r="E689" s="11">
        <f t="shared" si="2"/>
        <v>79.7</v>
      </c>
      <c r="F689" s="11">
        <f t="shared" si="3"/>
        <v>2.951851852</v>
      </c>
      <c r="G689" s="1">
        <v>27.0</v>
      </c>
      <c r="H689" s="1">
        <v>6.0</v>
      </c>
      <c r="I689" s="1">
        <v>5.0</v>
      </c>
      <c r="J689" s="1">
        <v>11.0</v>
      </c>
      <c r="K689" s="1">
        <v>48.0</v>
      </c>
      <c r="L689" s="1">
        <v>4.0</v>
      </c>
      <c r="M689" s="1">
        <v>3.0</v>
      </c>
      <c r="N689" s="1">
        <v>0.0</v>
      </c>
      <c r="O689" s="1">
        <v>0.0</v>
      </c>
      <c r="P689" s="1">
        <v>12.0</v>
      </c>
      <c r="Q689" s="1">
        <v>19.0</v>
      </c>
      <c r="V689" s="2">
        <f>VLOOKUP(B689,'202324'!B:C,2,FALSE)-A689</f>
        <v>-5</v>
      </c>
    </row>
    <row r="690">
      <c r="A690" s="1">
        <f t="shared" si="1"/>
        <v>688</v>
      </c>
      <c r="B690" s="1" t="s">
        <v>1748</v>
      </c>
      <c r="C690" s="1" t="s">
        <v>1038</v>
      </c>
      <c r="D690" s="1" t="s">
        <v>66</v>
      </c>
      <c r="E690" s="11">
        <f t="shared" si="2"/>
        <v>79.3</v>
      </c>
      <c r="F690" s="11">
        <f t="shared" si="3"/>
        <v>2.265714286</v>
      </c>
      <c r="G690" s="1">
        <v>35.0</v>
      </c>
      <c r="H690" s="1">
        <v>0.0</v>
      </c>
      <c r="I690" s="1">
        <v>4.0</v>
      </c>
      <c r="J690" s="1">
        <v>4.0</v>
      </c>
      <c r="K690" s="1">
        <v>22.0</v>
      </c>
      <c r="L690" s="1">
        <v>0.0</v>
      </c>
      <c r="M690" s="1">
        <v>0.0</v>
      </c>
      <c r="N690" s="1">
        <v>0.0</v>
      </c>
      <c r="O690" s="1">
        <v>0.0</v>
      </c>
      <c r="P690" s="1">
        <v>68.0</v>
      </c>
      <c r="Q690" s="1">
        <v>65.0</v>
      </c>
      <c r="V690" s="2">
        <f>VLOOKUP(B690,'202324'!B:C,2,FALSE)-A690</f>
        <v>8</v>
      </c>
    </row>
    <row r="691">
      <c r="A691" s="1">
        <f t="shared" si="1"/>
        <v>689</v>
      </c>
      <c r="B691" s="1" t="s">
        <v>1749</v>
      </c>
      <c r="C691" s="1" t="s">
        <v>1069</v>
      </c>
      <c r="D691" s="1" t="s">
        <v>66</v>
      </c>
      <c r="E691" s="11">
        <f t="shared" si="2"/>
        <v>79.15</v>
      </c>
      <c r="F691" s="11">
        <f t="shared" si="3"/>
        <v>2.327941176</v>
      </c>
      <c r="G691" s="1">
        <v>34.0</v>
      </c>
      <c r="H691" s="1">
        <v>1.0</v>
      </c>
      <c r="I691" s="1">
        <v>6.0</v>
      </c>
      <c r="J691" s="1">
        <v>7.0</v>
      </c>
      <c r="K691" s="1">
        <v>23.0</v>
      </c>
      <c r="L691" s="1">
        <v>0.0</v>
      </c>
      <c r="M691" s="1">
        <v>0.0</v>
      </c>
      <c r="N691" s="1">
        <v>0.0</v>
      </c>
      <c r="O691" s="1">
        <v>0.0</v>
      </c>
      <c r="P691" s="1">
        <v>59.0</v>
      </c>
      <c r="Q691" s="1">
        <v>49.0</v>
      </c>
      <c r="V691" s="2">
        <f>VLOOKUP(B691,'202324'!B:C,2,FALSE)-A691</f>
        <v>4</v>
      </c>
    </row>
    <row r="692">
      <c r="A692" s="1">
        <f t="shared" si="1"/>
        <v>690</v>
      </c>
      <c r="B692" s="1" t="s">
        <v>1750</v>
      </c>
      <c r="C692" s="1" t="s">
        <v>1156</v>
      </c>
      <c r="D692" s="1" t="s">
        <v>66</v>
      </c>
      <c r="E692" s="11">
        <f t="shared" si="2"/>
        <v>78.85</v>
      </c>
      <c r="F692" s="11">
        <f t="shared" si="3"/>
        <v>2.252857143</v>
      </c>
      <c r="G692" s="1">
        <v>35.0</v>
      </c>
      <c r="H692" s="1">
        <v>1.0</v>
      </c>
      <c r="I692" s="1">
        <v>9.0</v>
      </c>
      <c r="J692" s="1">
        <v>10.0</v>
      </c>
      <c r="K692" s="1">
        <v>45.0</v>
      </c>
      <c r="L692" s="1">
        <v>0.0</v>
      </c>
      <c r="M692" s="1">
        <v>4.0</v>
      </c>
      <c r="N692" s="1">
        <v>0.0</v>
      </c>
      <c r="O692" s="1">
        <v>0.0</v>
      </c>
      <c r="P692" s="1">
        <v>11.0</v>
      </c>
      <c r="Q692" s="1">
        <v>42.0</v>
      </c>
      <c r="V692" s="2">
        <f>VLOOKUP(B692,'202324'!B:C,2,FALSE)-A692</f>
        <v>-5</v>
      </c>
    </row>
    <row r="693">
      <c r="A693" s="1">
        <f t="shared" si="1"/>
        <v>691</v>
      </c>
      <c r="B693" s="1" t="s">
        <v>1751</v>
      </c>
      <c r="C693" s="1" t="s">
        <v>1091</v>
      </c>
      <c r="D693" s="1" t="s">
        <v>66</v>
      </c>
      <c r="E693" s="11">
        <f t="shared" si="2"/>
        <v>78.6</v>
      </c>
      <c r="F693" s="11">
        <f t="shared" si="3"/>
        <v>2.535483871</v>
      </c>
      <c r="G693" s="1">
        <v>31.0</v>
      </c>
      <c r="H693" s="1">
        <v>1.0</v>
      </c>
      <c r="I693" s="1">
        <v>3.0</v>
      </c>
      <c r="J693" s="1">
        <v>4.0</v>
      </c>
      <c r="K693" s="1">
        <v>46.0</v>
      </c>
      <c r="L693" s="1">
        <v>0.0</v>
      </c>
      <c r="M693" s="1">
        <v>0.0</v>
      </c>
      <c r="N693" s="1">
        <v>0.0</v>
      </c>
      <c r="O693" s="1">
        <v>0.0</v>
      </c>
      <c r="P693" s="1">
        <v>56.0</v>
      </c>
      <c r="Q693" s="1">
        <v>45.0</v>
      </c>
      <c r="V693" s="2">
        <f>VLOOKUP(B693,'202324'!B:C,2,FALSE)-A693</f>
        <v>4</v>
      </c>
    </row>
    <row r="694">
      <c r="A694" s="1">
        <f t="shared" si="1"/>
        <v>692</v>
      </c>
      <c r="B694" s="1" t="s">
        <v>1752</v>
      </c>
      <c r="C694" s="1" t="s">
        <v>1065</v>
      </c>
      <c r="D694" s="1" t="s">
        <v>66</v>
      </c>
      <c r="E694" s="11">
        <f t="shared" si="2"/>
        <v>77.1</v>
      </c>
      <c r="F694" s="11">
        <f t="shared" si="3"/>
        <v>1.9275</v>
      </c>
      <c r="G694" s="1">
        <v>40.0</v>
      </c>
      <c r="H694" s="1">
        <v>0.0</v>
      </c>
      <c r="I694" s="1">
        <v>4.0</v>
      </c>
      <c r="J694" s="1">
        <v>4.0</v>
      </c>
      <c r="K694" s="1">
        <v>19.0</v>
      </c>
      <c r="L694" s="1">
        <v>0.0</v>
      </c>
      <c r="M694" s="1">
        <v>0.0</v>
      </c>
      <c r="N694" s="1">
        <v>0.0</v>
      </c>
      <c r="O694" s="1">
        <v>0.0</v>
      </c>
      <c r="P694" s="1">
        <v>76.0</v>
      </c>
      <c r="Q694" s="1">
        <v>58.0</v>
      </c>
      <c r="V694" s="2">
        <f>VLOOKUP(B694,'202324'!B:C,2,FALSE)-A694</f>
        <v>8</v>
      </c>
    </row>
    <row r="695">
      <c r="A695" s="1">
        <f t="shared" si="1"/>
        <v>693</v>
      </c>
      <c r="B695" s="1" t="s">
        <v>1753</v>
      </c>
      <c r="C695" s="1" t="s">
        <v>1036</v>
      </c>
      <c r="D695" s="1" t="s">
        <v>31</v>
      </c>
      <c r="E695" s="11">
        <f t="shared" si="2"/>
        <v>75.95</v>
      </c>
      <c r="F695" s="11">
        <f t="shared" si="3"/>
        <v>2.7125</v>
      </c>
      <c r="G695" s="1">
        <v>28.0</v>
      </c>
      <c r="H695" s="1">
        <v>5.0</v>
      </c>
      <c r="I695" s="1">
        <v>5.0</v>
      </c>
      <c r="J695" s="1">
        <v>10.0</v>
      </c>
      <c r="K695" s="1">
        <v>48.0</v>
      </c>
      <c r="L695" s="1">
        <v>0.0</v>
      </c>
      <c r="M695" s="1">
        <v>1.0</v>
      </c>
      <c r="N695" s="1">
        <v>0.0</v>
      </c>
      <c r="O695" s="1">
        <v>0.0</v>
      </c>
      <c r="P695" s="1">
        <v>17.0</v>
      </c>
      <c r="Q695" s="1">
        <v>17.0</v>
      </c>
      <c r="V695" s="2">
        <f>VLOOKUP(B695,'202324'!B:C,2,FALSE)-A695</f>
        <v>-4</v>
      </c>
    </row>
    <row r="696">
      <c r="A696" s="1">
        <f t="shared" si="1"/>
        <v>693</v>
      </c>
      <c r="B696" s="1" t="s">
        <v>1754</v>
      </c>
      <c r="C696" s="1" t="s">
        <v>1054</v>
      </c>
      <c r="D696" s="1" t="s">
        <v>66</v>
      </c>
      <c r="E696" s="11">
        <f t="shared" si="2"/>
        <v>75.95</v>
      </c>
      <c r="F696" s="11">
        <f t="shared" si="3"/>
        <v>2.109722222</v>
      </c>
      <c r="G696" s="1">
        <v>36.0</v>
      </c>
      <c r="H696" s="1">
        <v>0.0</v>
      </c>
      <c r="I696" s="1">
        <v>10.0</v>
      </c>
      <c r="J696" s="1">
        <v>10.0</v>
      </c>
      <c r="K696" s="1">
        <v>32.0</v>
      </c>
      <c r="L696" s="1">
        <v>0.0</v>
      </c>
      <c r="M696" s="1">
        <v>2.0</v>
      </c>
      <c r="N696" s="1">
        <v>0.0</v>
      </c>
      <c r="O696" s="1">
        <v>0.0</v>
      </c>
      <c r="P696" s="1">
        <v>27.0</v>
      </c>
      <c r="Q696" s="1">
        <v>41.0</v>
      </c>
      <c r="V696" s="2">
        <f>VLOOKUP(B696,'202324'!B:C,2,FALSE)-A696</f>
        <v>0</v>
      </c>
    </row>
    <row r="697">
      <c r="A697" s="1">
        <f t="shared" si="1"/>
        <v>695</v>
      </c>
      <c r="B697" s="1" t="s">
        <v>1755</v>
      </c>
      <c r="C697" s="1" t="s">
        <v>1080</v>
      </c>
      <c r="D697" s="1" t="s">
        <v>66</v>
      </c>
      <c r="E697" s="11">
        <f t="shared" si="2"/>
        <v>75.05</v>
      </c>
      <c r="F697" s="11">
        <f t="shared" si="3"/>
        <v>2.886538462</v>
      </c>
      <c r="G697" s="1">
        <v>26.0</v>
      </c>
      <c r="H697" s="1">
        <v>1.0</v>
      </c>
      <c r="I697" s="1">
        <v>8.0</v>
      </c>
      <c r="J697" s="1">
        <v>9.0</v>
      </c>
      <c r="K697" s="1">
        <v>32.0</v>
      </c>
      <c r="L697" s="1">
        <v>0.0</v>
      </c>
      <c r="M697" s="1">
        <v>1.0</v>
      </c>
      <c r="N697" s="1">
        <v>0.0</v>
      </c>
      <c r="O697" s="1">
        <v>0.0</v>
      </c>
      <c r="P697" s="1">
        <v>43.0</v>
      </c>
      <c r="Q697" s="1">
        <v>31.0</v>
      </c>
      <c r="V697" s="2">
        <f>VLOOKUP(B697,'202324'!B:C,2,FALSE)-A697</f>
        <v>4</v>
      </c>
    </row>
    <row r="698">
      <c r="A698" s="1">
        <f t="shared" si="1"/>
        <v>696</v>
      </c>
      <c r="B698" s="1" t="s">
        <v>1756</v>
      </c>
      <c r="C698" s="1" t="s">
        <v>1073</v>
      </c>
      <c r="D698" s="1" t="s">
        <v>5</v>
      </c>
      <c r="E698" s="11">
        <f t="shared" si="2"/>
        <v>74.7</v>
      </c>
      <c r="F698" s="11">
        <f t="shared" si="3"/>
        <v>3.931578947</v>
      </c>
      <c r="G698" s="1">
        <v>19.0</v>
      </c>
      <c r="R698" s="1">
        <v>7.0</v>
      </c>
      <c r="S698" s="1">
        <v>59.0</v>
      </c>
      <c r="T698" s="1">
        <v>474.0</v>
      </c>
      <c r="U698" s="1">
        <v>0.0</v>
      </c>
      <c r="V698" s="2">
        <f>VLOOKUP(B698,'202324'!B:C,2,FALSE)-A698</f>
        <v>-8</v>
      </c>
    </row>
    <row r="699">
      <c r="A699" s="1">
        <f t="shared" si="1"/>
        <v>697</v>
      </c>
      <c r="B699" s="1" t="s">
        <v>1757</v>
      </c>
      <c r="C699" s="1" t="s">
        <v>1570</v>
      </c>
      <c r="D699" s="1" t="s">
        <v>31</v>
      </c>
      <c r="E699" s="11">
        <f t="shared" si="2"/>
        <v>74.5</v>
      </c>
      <c r="F699" s="11">
        <f t="shared" si="3"/>
        <v>1.655555556</v>
      </c>
      <c r="G699" s="1">
        <v>45.0</v>
      </c>
      <c r="H699" s="1">
        <v>1.0</v>
      </c>
      <c r="I699" s="1">
        <v>4.0</v>
      </c>
      <c r="J699" s="1">
        <v>5.0</v>
      </c>
      <c r="K699" s="1">
        <v>31.0</v>
      </c>
      <c r="L699" s="1">
        <v>0.0</v>
      </c>
      <c r="M699" s="1">
        <v>0.0</v>
      </c>
      <c r="N699" s="1">
        <v>0.0</v>
      </c>
      <c r="O699" s="1">
        <v>0.0</v>
      </c>
      <c r="P699" s="1">
        <v>10.0</v>
      </c>
      <c r="Q699" s="1">
        <v>78.0</v>
      </c>
      <c r="V699" s="2">
        <f>VLOOKUP(B699,'202324'!B:C,2,FALSE)-A699</f>
        <v>-6</v>
      </c>
    </row>
    <row r="700">
      <c r="A700" s="1">
        <f t="shared" si="1"/>
        <v>698</v>
      </c>
      <c r="B700" s="1" t="s">
        <v>1758</v>
      </c>
      <c r="C700" s="1" t="s">
        <v>1069</v>
      </c>
      <c r="D700" s="1" t="s">
        <v>5</v>
      </c>
      <c r="E700" s="11">
        <f t="shared" si="2"/>
        <v>73.8</v>
      </c>
      <c r="F700" s="11">
        <f t="shared" si="3"/>
        <v>3.69</v>
      </c>
      <c r="G700" s="1">
        <v>20.0</v>
      </c>
      <c r="R700" s="1">
        <v>8.0</v>
      </c>
      <c r="S700" s="1">
        <v>68.0</v>
      </c>
      <c r="T700" s="1">
        <v>506.0</v>
      </c>
      <c r="U700" s="1">
        <v>0.0</v>
      </c>
      <c r="V700" s="2">
        <f>VLOOKUP(B700,'202324'!B:C,2,FALSE)-A700</f>
        <v>-8</v>
      </c>
    </row>
    <row r="701">
      <c r="A701" s="1">
        <f t="shared" si="1"/>
        <v>699</v>
      </c>
      <c r="B701" s="1" t="s">
        <v>1759</v>
      </c>
      <c r="C701" s="1" t="s">
        <v>1069</v>
      </c>
      <c r="D701" s="1" t="s">
        <v>28</v>
      </c>
      <c r="E701" s="11">
        <f t="shared" si="2"/>
        <v>73.55</v>
      </c>
      <c r="F701" s="11">
        <f t="shared" si="3"/>
        <v>2.626785714</v>
      </c>
      <c r="G701" s="1">
        <v>28.0</v>
      </c>
      <c r="H701" s="1">
        <v>3.0</v>
      </c>
      <c r="I701" s="1">
        <v>5.0</v>
      </c>
      <c r="J701" s="1">
        <v>8.0</v>
      </c>
      <c r="K701" s="1">
        <v>33.0</v>
      </c>
      <c r="L701" s="1">
        <v>0.0</v>
      </c>
      <c r="M701" s="1">
        <v>0.0</v>
      </c>
      <c r="N701" s="1">
        <v>0.0</v>
      </c>
      <c r="O701" s="1">
        <v>0.0</v>
      </c>
      <c r="P701" s="1">
        <v>73.0</v>
      </c>
      <c r="Q701" s="1">
        <v>6.0</v>
      </c>
      <c r="V701" s="2">
        <f>VLOOKUP(B701,'202324'!B:C,2,FALSE)-A701</f>
        <v>10</v>
      </c>
    </row>
    <row r="702">
      <c r="A702" s="1">
        <f t="shared" si="1"/>
        <v>700</v>
      </c>
      <c r="B702" s="1" t="s">
        <v>1760</v>
      </c>
      <c r="C702" s="1" t="s">
        <v>1073</v>
      </c>
      <c r="D702" s="1" t="s">
        <v>5</v>
      </c>
      <c r="E702" s="11">
        <f t="shared" si="2"/>
        <v>73.5</v>
      </c>
      <c r="F702" s="11">
        <f t="shared" si="3"/>
        <v>3.0625</v>
      </c>
      <c r="G702" s="1">
        <v>24.0</v>
      </c>
      <c r="R702" s="1">
        <v>12.0</v>
      </c>
      <c r="S702" s="1">
        <v>63.0</v>
      </c>
      <c r="T702" s="1">
        <v>430.0</v>
      </c>
      <c r="U702" s="1">
        <v>1.0</v>
      </c>
      <c r="V702" s="2">
        <f>VLOOKUP(B702,'202324'!B:C,2,FALSE)-A702</f>
        <v>-9</v>
      </c>
    </row>
    <row r="703">
      <c r="A703" s="1">
        <f t="shared" si="1"/>
        <v>701</v>
      </c>
      <c r="B703" s="1" t="s">
        <v>1761</v>
      </c>
      <c r="C703" s="1" t="s">
        <v>1052</v>
      </c>
      <c r="D703" s="1" t="s">
        <v>66</v>
      </c>
      <c r="E703" s="11">
        <f t="shared" si="2"/>
        <v>73.2</v>
      </c>
      <c r="F703" s="11">
        <f t="shared" si="3"/>
        <v>2.218181818</v>
      </c>
      <c r="G703" s="1">
        <v>33.0</v>
      </c>
      <c r="H703" s="1">
        <v>3.0</v>
      </c>
      <c r="I703" s="1">
        <v>2.0</v>
      </c>
      <c r="J703" s="1">
        <v>5.0</v>
      </c>
      <c r="K703" s="1">
        <v>24.0</v>
      </c>
      <c r="L703" s="1">
        <v>0.0</v>
      </c>
      <c r="M703" s="1">
        <v>0.0</v>
      </c>
      <c r="N703" s="1">
        <v>0.0</v>
      </c>
      <c r="O703" s="1">
        <v>0.0</v>
      </c>
      <c r="P703" s="1">
        <v>72.0</v>
      </c>
      <c r="Q703" s="1">
        <v>33.0</v>
      </c>
      <c r="V703" s="2">
        <f>VLOOKUP(B703,'202324'!B:C,2,FALSE)-A703</f>
        <v>10</v>
      </c>
    </row>
    <row r="704">
      <c r="A704" s="1">
        <f t="shared" si="1"/>
        <v>702</v>
      </c>
      <c r="B704" s="1" t="s">
        <v>1762</v>
      </c>
      <c r="C704" s="1" t="s">
        <v>1065</v>
      </c>
      <c r="D704" s="1" t="s">
        <v>31</v>
      </c>
      <c r="E704" s="11">
        <f t="shared" si="2"/>
        <v>72.35</v>
      </c>
      <c r="F704" s="11">
        <f t="shared" si="3"/>
        <v>1.607777778</v>
      </c>
      <c r="G704" s="1">
        <v>45.0</v>
      </c>
      <c r="H704" s="1">
        <v>0.0</v>
      </c>
      <c r="I704" s="1">
        <v>2.0</v>
      </c>
      <c r="J704" s="1">
        <v>2.0</v>
      </c>
      <c r="K704" s="1">
        <v>32.0</v>
      </c>
      <c r="L704" s="1">
        <v>0.0</v>
      </c>
      <c r="M704" s="1">
        <v>0.0</v>
      </c>
      <c r="N704" s="1">
        <v>0.0</v>
      </c>
      <c r="O704" s="1">
        <v>0.0</v>
      </c>
      <c r="P704" s="1">
        <v>101.0</v>
      </c>
      <c r="Q704" s="1">
        <v>30.0</v>
      </c>
      <c r="V704" s="2">
        <f>VLOOKUP(B704,'202324'!B:C,2,FALSE)-A704</f>
        <v>26</v>
      </c>
    </row>
    <row r="705">
      <c r="A705" s="1">
        <f t="shared" si="1"/>
        <v>703</v>
      </c>
      <c r="B705" s="1" t="s">
        <v>1763</v>
      </c>
      <c r="C705" s="1" t="s">
        <v>1034</v>
      </c>
      <c r="D705" s="1" t="s">
        <v>31</v>
      </c>
      <c r="E705" s="11">
        <f t="shared" si="2"/>
        <v>72.1</v>
      </c>
      <c r="F705" s="11">
        <f t="shared" si="3"/>
        <v>2.002777778</v>
      </c>
      <c r="G705" s="1">
        <v>36.0</v>
      </c>
      <c r="H705" s="1">
        <v>6.0</v>
      </c>
      <c r="I705" s="1">
        <v>3.0</v>
      </c>
      <c r="J705" s="1">
        <v>9.0</v>
      </c>
      <c r="K705" s="1">
        <v>46.0</v>
      </c>
      <c r="L705" s="1">
        <v>2.0</v>
      </c>
      <c r="M705" s="1">
        <v>0.0</v>
      </c>
      <c r="N705" s="1">
        <v>0.0</v>
      </c>
      <c r="O705" s="1">
        <v>0.0</v>
      </c>
      <c r="P705" s="1">
        <v>26.0</v>
      </c>
      <c r="Q705" s="1">
        <v>8.0</v>
      </c>
      <c r="V705" s="2">
        <f>VLOOKUP(B705,'202324'!B:C,2,FALSE)-A705</f>
        <v>-3</v>
      </c>
    </row>
    <row r="706">
      <c r="A706" s="1">
        <f t="shared" si="1"/>
        <v>704</v>
      </c>
      <c r="B706" s="1" t="s">
        <v>1764</v>
      </c>
      <c r="C706" s="1" t="s">
        <v>1067</v>
      </c>
      <c r="D706" s="1" t="s">
        <v>31</v>
      </c>
      <c r="E706" s="11">
        <f t="shared" si="2"/>
        <v>71.9</v>
      </c>
      <c r="F706" s="11">
        <f t="shared" si="3"/>
        <v>1.672093023</v>
      </c>
      <c r="G706" s="1">
        <v>43.0</v>
      </c>
      <c r="H706" s="1">
        <v>3.0</v>
      </c>
      <c r="I706" s="1">
        <v>3.0</v>
      </c>
      <c r="J706" s="1">
        <v>6.0</v>
      </c>
      <c r="K706" s="1">
        <v>48.0</v>
      </c>
      <c r="L706" s="1">
        <v>0.0</v>
      </c>
      <c r="M706" s="1">
        <v>0.0</v>
      </c>
      <c r="N706" s="1">
        <v>0.0</v>
      </c>
      <c r="O706" s="1">
        <v>0.0</v>
      </c>
      <c r="P706" s="1">
        <v>44.0</v>
      </c>
      <c r="Q706" s="1">
        <v>20.0</v>
      </c>
      <c r="V706" s="2">
        <f>VLOOKUP(B706,'202324'!B:C,2,FALSE)-A706</f>
        <v>2</v>
      </c>
    </row>
    <row r="707">
      <c r="A707" s="1">
        <f t="shared" si="1"/>
        <v>705</v>
      </c>
      <c r="B707" s="1" t="s">
        <v>1765</v>
      </c>
      <c r="C707" s="1" t="s">
        <v>1069</v>
      </c>
      <c r="D707" s="1" t="s">
        <v>5</v>
      </c>
      <c r="E707" s="11">
        <f t="shared" si="2"/>
        <v>71.1</v>
      </c>
      <c r="F707" s="11">
        <f t="shared" si="3"/>
        <v>4.182352941</v>
      </c>
      <c r="G707" s="1">
        <v>17.0</v>
      </c>
      <c r="R707" s="1">
        <v>7.0</v>
      </c>
      <c r="S707" s="1">
        <v>50.0</v>
      </c>
      <c r="T707" s="1">
        <v>417.0</v>
      </c>
      <c r="U707" s="1">
        <v>0.0</v>
      </c>
      <c r="V707" s="2">
        <f>VLOOKUP(B707,'202324'!B:C,2,FALSE)-A707</f>
        <v>-7</v>
      </c>
    </row>
    <row r="708">
      <c r="A708" s="1">
        <f t="shared" si="1"/>
        <v>705</v>
      </c>
      <c r="B708" s="1" t="s">
        <v>1766</v>
      </c>
      <c r="C708" s="1" t="s">
        <v>1172</v>
      </c>
      <c r="D708" s="1" t="s">
        <v>66</v>
      </c>
      <c r="E708" s="11">
        <f t="shared" si="2"/>
        <v>71.1</v>
      </c>
      <c r="F708" s="11">
        <f t="shared" si="3"/>
        <v>2.154545455</v>
      </c>
      <c r="G708" s="1">
        <v>33.0</v>
      </c>
      <c r="H708" s="1">
        <v>0.0</v>
      </c>
      <c r="I708" s="1">
        <v>6.0</v>
      </c>
      <c r="J708" s="1">
        <v>6.0</v>
      </c>
      <c r="K708" s="1">
        <v>31.0</v>
      </c>
      <c r="L708" s="1">
        <v>0.0</v>
      </c>
      <c r="M708" s="1">
        <v>0.0</v>
      </c>
      <c r="N708" s="1">
        <v>0.0</v>
      </c>
      <c r="O708" s="1">
        <v>0.0</v>
      </c>
      <c r="P708" s="1">
        <v>56.0</v>
      </c>
      <c r="Q708" s="1">
        <v>36.0</v>
      </c>
      <c r="V708" s="2">
        <f>VLOOKUP(B708,'202324'!B:C,2,FALSE)-A708</f>
        <v>10</v>
      </c>
    </row>
    <row r="709">
      <c r="A709" s="1">
        <f t="shared" si="1"/>
        <v>707</v>
      </c>
      <c r="B709" s="1" t="s">
        <v>1767</v>
      </c>
      <c r="C709" s="1" t="s">
        <v>1065</v>
      </c>
      <c r="D709" s="1" t="s">
        <v>66</v>
      </c>
      <c r="E709" s="11">
        <f t="shared" si="2"/>
        <v>70.9</v>
      </c>
      <c r="F709" s="11">
        <f t="shared" si="3"/>
        <v>2.726923077</v>
      </c>
      <c r="G709" s="1">
        <v>26.0</v>
      </c>
      <c r="H709" s="1">
        <v>2.0</v>
      </c>
      <c r="I709" s="1">
        <v>7.0</v>
      </c>
      <c r="J709" s="1">
        <v>9.0</v>
      </c>
      <c r="K709" s="1">
        <v>34.0</v>
      </c>
      <c r="L709" s="1">
        <v>0.0</v>
      </c>
      <c r="M709" s="1">
        <v>2.0</v>
      </c>
      <c r="N709" s="1">
        <v>0.0</v>
      </c>
      <c r="O709" s="1">
        <v>0.0</v>
      </c>
      <c r="P709" s="1">
        <v>14.0</v>
      </c>
      <c r="Q709" s="1">
        <v>38.0</v>
      </c>
      <c r="V709" s="2">
        <f>VLOOKUP(B709,'202324'!B:C,2,FALSE)-A709</f>
        <v>-7</v>
      </c>
    </row>
    <row r="710">
      <c r="A710" s="1">
        <f t="shared" si="1"/>
        <v>707</v>
      </c>
      <c r="B710" s="1" t="s">
        <v>1768</v>
      </c>
      <c r="C710" s="1" t="s">
        <v>1040</v>
      </c>
      <c r="D710" s="1" t="s">
        <v>66</v>
      </c>
      <c r="E710" s="11">
        <f t="shared" si="2"/>
        <v>70.9</v>
      </c>
      <c r="F710" s="11">
        <f t="shared" si="3"/>
        <v>2.287096774</v>
      </c>
      <c r="G710" s="1">
        <v>31.0</v>
      </c>
      <c r="H710" s="1">
        <v>2.0</v>
      </c>
      <c r="I710" s="1">
        <v>7.0</v>
      </c>
      <c r="J710" s="1">
        <v>9.0</v>
      </c>
      <c r="K710" s="1">
        <v>42.0</v>
      </c>
      <c r="L710" s="1">
        <v>0.0</v>
      </c>
      <c r="M710" s="1">
        <v>0.0</v>
      </c>
      <c r="N710" s="1">
        <v>0.0</v>
      </c>
      <c r="O710" s="1">
        <v>0.0</v>
      </c>
      <c r="P710" s="1">
        <v>24.0</v>
      </c>
      <c r="Q710" s="1">
        <v>23.0</v>
      </c>
      <c r="V710" s="2">
        <f>VLOOKUP(B710,'202324'!B:C,2,FALSE)-A710</f>
        <v>-3</v>
      </c>
    </row>
    <row r="711">
      <c r="A711" s="1">
        <f t="shared" si="1"/>
        <v>709</v>
      </c>
      <c r="B711" s="1" t="s">
        <v>1769</v>
      </c>
      <c r="C711" s="1" t="s">
        <v>1087</v>
      </c>
      <c r="D711" s="1" t="s">
        <v>31</v>
      </c>
      <c r="E711" s="11">
        <f t="shared" si="2"/>
        <v>70</v>
      </c>
      <c r="F711" s="11">
        <f t="shared" si="3"/>
        <v>2.1875</v>
      </c>
      <c r="G711" s="1">
        <v>32.0</v>
      </c>
      <c r="H711" s="1">
        <v>4.0</v>
      </c>
      <c r="I711" s="1">
        <v>5.0</v>
      </c>
      <c r="J711" s="1">
        <v>9.0</v>
      </c>
      <c r="K711" s="1">
        <v>26.0</v>
      </c>
      <c r="L711" s="1">
        <v>0.0</v>
      </c>
      <c r="M711" s="1">
        <v>0.0</v>
      </c>
      <c r="N711" s="1">
        <v>0.0</v>
      </c>
      <c r="O711" s="1">
        <v>0.0</v>
      </c>
      <c r="P711" s="1">
        <v>60.0</v>
      </c>
      <c r="Q711" s="1">
        <v>6.0</v>
      </c>
      <c r="V711" s="2">
        <f>VLOOKUP(B711,'202324'!B:C,2,FALSE)-A711</f>
        <v>15</v>
      </c>
    </row>
    <row r="712">
      <c r="A712" s="1">
        <f t="shared" si="1"/>
        <v>710</v>
      </c>
      <c r="B712" s="1" t="s">
        <v>1770</v>
      </c>
      <c r="C712" s="1" t="s">
        <v>1073</v>
      </c>
      <c r="D712" s="1" t="s">
        <v>66</v>
      </c>
      <c r="E712" s="11">
        <f t="shared" si="2"/>
        <v>69.9</v>
      </c>
      <c r="F712" s="11">
        <f t="shared" si="3"/>
        <v>2.25483871</v>
      </c>
      <c r="G712" s="1">
        <v>31.0</v>
      </c>
      <c r="H712" s="1">
        <v>3.0</v>
      </c>
      <c r="I712" s="1">
        <v>8.0</v>
      </c>
      <c r="J712" s="1">
        <v>11.0</v>
      </c>
      <c r="K712" s="1">
        <v>44.0</v>
      </c>
      <c r="L712" s="1">
        <v>2.0</v>
      </c>
      <c r="M712" s="1">
        <v>4.0</v>
      </c>
      <c r="N712" s="1">
        <v>0.0</v>
      </c>
      <c r="O712" s="1">
        <v>0.0</v>
      </c>
      <c r="P712" s="1">
        <v>4.0</v>
      </c>
      <c r="Q712" s="1">
        <v>18.0</v>
      </c>
      <c r="V712" s="2">
        <f>VLOOKUP(B712,'202324'!B:C,2,FALSE)-A712</f>
        <v>-10</v>
      </c>
    </row>
    <row r="713">
      <c r="A713" s="1">
        <f t="shared" si="1"/>
        <v>710</v>
      </c>
      <c r="B713" s="1" t="s">
        <v>1771</v>
      </c>
      <c r="C713" s="1" t="s">
        <v>1032</v>
      </c>
      <c r="D713" s="1" t="s">
        <v>66</v>
      </c>
      <c r="E713" s="11">
        <f t="shared" si="2"/>
        <v>69.9</v>
      </c>
      <c r="F713" s="11">
        <f t="shared" si="3"/>
        <v>2.796</v>
      </c>
      <c r="G713" s="1">
        <v>25.0</v>
      </c>
      <c r="H713" s="1">
        <v>1.0</v>
      </c>
      <c r="I713" s="1">
        <v>9.0</v>
      </c>
      <c r="J713" s="1">
        <v>10.0</v>
      </c>
      <c r="K713" s="1">
        <v>25.0</v>
      </c>
      <c r="L713" s="1">
        <v>0.0</v>
      </c>
      <c r="M713" s="1">
        <v>2.0</v>
      </c>
      <c r="N713" s="1">
        <v>0.0</v>
      </c>
      <c r="O713" s="1">
        <v>0.0</v>
      </c>
      <c r="P713" s="1">
        <v>34.0</v>
      </c>
      <c r="Q713" s="1">
        <v>28.0</v>
      </c>
      <c r="V713" s="2">
        <f>VLOOKUP(B713,'202324'!B:C,2,FALSE)-A713</f>
        <v>-2</v>
      </c>
    </row>
    <row r="714">
      <c r="A714" s="1">
        <f t="shared" si="1"/>
        <v>712</v>
      </c>
      <c r="B714" s="1" t="s">
        <v>1772</v>
      </c>
      <c r="C714" s="1" t="s">
        <v>1087</v>
      </c>
      <c r="D714" s="1" t="s">
        <v>66</v>
      </c>
      <c r="E714" s="11">
        <f t="shared" si="2"/>
        <v>69.4</v>
      </c>
      <c r="F714" s="11">
        <f t="shared" si="3"/>
        <v>2.041176471</v>
      </c>
      <c r="G714" s="1">
        <v>34.0</v>
      </c>
      <c r="H714" s="1">
        <v>2.0</v>
      </c>
      <c r="I714" s="1">
        <v>3.0</v>
      </c>
      <c r="J714" s="1">
        <v>5.0</v>
      </c>
      <c r="K714" s="1">
        <v>32.0</v>
      </c>
      <c r="L714" s="1">
        <v>1.0</v>
      </c>
      <c r="M714" s="1">
        <v>0.0</v>
      </c>
      <c r="N714" s="1">
        <v>0.0</v>
      </c>
      <c r="O714" s="1">
        <v>0.0</v>
      </c>
      <c r="P714" s="1">
        <v>44.0</v>
      </c>
      <c r="Q714" s="1">
        <v>40.0</v>
      </c>
      <c r="V714" s="2">
        <f>VLOOKUP(B714,'202324'!B:C,2,FALSE)-A714</f>
        <v>6</v>
      </c>
    </row>
    <row r="715">
      <c r="A715" s="1">
        <f t="shared" si="1"/>
        <v>713</v>
      </c>
      <c r="B715" s="1" t="s">
        <v>1773</v>
      </c>
      <c r="C715" s="1" t="s">
        <v>1054</v>
      </c>
      <c r="D715" s="1" t="s">
        <v>66</v>
      </c>
      <c r="E715" s="11">
        <f t="shared" si="2"/>
        <v>69.2</v>
      </c>
      <c r="F715" s="11">
        <f t="shared" si="3"/>
        <v>2.232258065</v>
      </c>
      <c r="G715" s="1">
        <v>31.0</v>
      </c>
      <c r="H715" s="1">
        <v>3.0</v>
      </c>
      <c r="I715" s="1">
        <v>6.0</v>
      </c>
      <c r="J715" s="1">
        <v>9.0</v>
      </c>
      <c r="K715" s="1">
        <v>29.0</v>
      </c>
      <c r="L715" s="1">
        <v>2.0</v>
      </c>
      <c r="M715" s="1">
        <v>3.0</v>
      </c>
      <c r="N715" s="1">
        <v>0.0</v>
      </c>
      <c r="O715" s="1">
        <v>0.0</v>
      </c>
      <c r="P715" s="1">
        <v>12.0</v>
      </c>
      <c r="Q715" s="1">
        <v>38.0</v>
      </c>
      <c r="V715" s="2">
        <f>VLOOKUP(B715,'202324'!B:C,2,FALSE)-A715</f>
        <v>-8</v>
      </c>
    </row>
    <row r="716">
      <c r="A716" s="1">
        <f t="shared" si="1"/>
        <v>714</v>
      </c>
      <c r="B716" s="1" t="s">
        <v>1774</v>
      </c>
      <c r="C716" s="1" t="s">
        <v>1076</v>
      </c>
      <c r="D716" s="1" t="s">
        <v>66</v>
      </c>
      <c r="E716" s="11">
        <f t="shared" si="2"/>
        <v>69.15</v>
      </c>
      <c r="F716" s="11">
        <f t="shared" si="3"/>
        <v>2.033823529</v>
      </c>
      <c r="G716" s="1">
        <v>34.0</v>
      </c>
      <c r="H716" s="1">
        <v>2.0</v>
      </c>
      <c r="I716" s="1">
        <v>5.0</v>
      </c>
      <c r="J716" s="1">
        <v>7.0</v>
      </c>
      <c r="K716" s="1">
        <v>28.0</v>
      </c>
      <c r="L716" s="1">
        <v>0.0</v>
      </c>
      <c r="M716" s="1">
        <v>0.0</v>
      </c>
      <c r="N716" s="1">
        <v>0.0</v>
      </c>
      <c r="O716" s="1">
        <v>0.0</v>
      </c>
      <c r="P716" s="1">
        <v>29.0</v>
      </c>
      <c r="Q716" s="1">
        <v>42.0</v>
      </c>
      <c r="V716" s="2">
        <f>VLOOKUP(B716,'202324'!B:C,2,FALSE)-A716</f>
        <v>-5</v>
      </c>
    </row>
    <row r="717">
      <c r="A717" s="1">
        <f t="shared" si="1"/>
        <v>715</v>
      </c>
      <c r="B717" s="1" t="s">
        <v>1775</v>
      </c>
      <c r="C717" s="1" t="s">
        <v>1048</v>
      </c>
      <c r="D717" s="1" t="s">
        <v>66</v>
      </c>
      <c r="E717" s="11">
        <f t="shared" si="2"/>
        <v>69</v>
      </c>
      <c r="F717" s="11">
        <f t="shared" si="3"/>
        <v>2.3</v>
      </c>
      <c r="G717" s="1">
        <v>30.0</v>
      </c>
      <c r="H717" s="1">
        <v>0.0</v>
      </c>
      <c r="I717" s="1">
        <v>9.0</v>
      </c>
      <c r="J717" s="1">
        <v>9.0</v>
      </c>
      <c r="K717" s="1">
        <v>25.0</v>
      </c>
      <c r="L717" s="1">
        <v>0.0</v>
      </c>
      <c r="M717" s="1">
        <v>0.0</v>
      </c>
      <c r="N717" s="1">
        <v>0.0</v>
      </c>
      <c r="O717" s="1">
        <v>1.0</v>
      </c>
      <c r="P717" s="1">
        <v>40.0</v>
      </c>
      <c r="Q717" s="1">
        <v>27.0</v>
      </c>
      <c r="V717" s="2">
        <f>VLOOKUP(B717,'202324'!B:C,2,FALSE)-A717</f>
        <v>3</v>
      </c>
    </row>
    <row r="718">
      <c r="A718" s="1">
        <f t="shared" si="1"/>
        <v>716</v>
      </c>
      <c r="B718" s="1" t="s">
        <v>1776</v>
      </c>
      <c r="C718" s="1" t="s">
        <v>1069</v>
      </c>
      <c r="D718" s="1" t="s">
        <v>36</v>
      </c>
      <c r="E718" s="11">
        <f t="shared" si="2"/>
        <v>68.45</v>
      </c>
      <c r="F718" s="11">
        <f t="shared" si="3"/>
        <v>1.71125</v>
      </c>
      <c r="G718" s="1">
        <v>40.0</v>
      </c>
      <c r="H718" s="1">
        <v>2.0</v>
      </c>
      <c r="I718" s="1">
        <v>5.0</v>
      </c>
      <c r="J718" s="1">
        <v>7.0</v>
      </c>
      <c r="K718" s="1">
        <v>29.0</v>
      </c>
      <c r="L718" s="1">
        <v>0.0</v>
      </c>
      <c r="M718" s="1">
        <v>0.0</v>
      </c>
      <c r="N718" s="1">
        <v>0.0</v>
      </c>
      <c r="O718" s="1">
        <v>0.0</v>
      </c>
      <c r="P718" s="1">
        <v>67.0</v>
      </c>
      <c r="Q718" s="1">
        <v>13.0</v>
      </c>
      <c r="V718" s="2">
        <f>VLOOKUP(B718,'202324'!B:C,2,FALSE)-A718</f>
        <v>14</v>
      </c>
    </row>
    <row r="719">
      <c r="A719" s="1">
        <f t="shared" si="1"/>
        <v>717</v>
      </c>
      <c r="B719" s="1" t="s">
        <v>1777</v>
      </c>
      <c r="C719" s="1" t="s">
        <v>1076</v>
      </c>
      <c r="D719" s="1" t="s">
        <v>31</v>
      </c>
      <c r="E719" s="11">
        <f t="shared" si="2"/>
        <v>68</v>
      </c>
      <c r="F719" s="11">
        <f t="shared" si="3"/>
        <v>1.307692308</v>
      </c>
      <c r="G719" s="1">
        <v>52.0</v>
      </c>
      <c r="H719" s="1">
        <v>4.0</v>
      </c>
      <c r="I719" s="1">
        <v>8.0</v>
      </c>
      <c r="J719" s="1">
        <v>12.0</v>
      </c>
      <c r="K719" s="1">
        <v>26.0</v>
      </c>
      <c r="L719" s="1">
        <v>0.0</v>
      </c>
      <c r="M719" s="1">
        <v>0.0</v>
      </c>
      <c r="N719" s="1">
        <v>0.0</v>
      </c>
      <c r="O719" s="1">
        <v>0.0</v>
      </c>
      <c r="P719" s="1">
        <v>20.0</v>
      </c>
      <c r="Q719" s="1">
        <v>12.0</v>
      </c>
      <c r="V719" s="2">
        <f>VLOOKUP(B719,'202324'!B:C,2,FALSE)-A719</f>
        <v>-6</v>
      </c>
    </row>
    <row r="720">
      <c r="A720" s="1">
        <f t="shared" si="1"/>
        <v>718</v>
      </c>
      <c r="B720" s="1" t="s">
        <v>1778</v>
      </c>
      <c r="C720" s="1" t="s">
        <v>1069</v>
      </c>
      <c r="D720" s="1" t="s">
        <v>66</v>
      </c>
      <c r="E720" s="11">
        <f t="shared" si="2"/>
        <v>67.95</v>
      </c>
      <c r="F720" s="11">
        <f t="shared" si="3"/>
        <v>2.83125</v>
      </c>
      <c r="G720" s="1">
        <v>24.0</v>
      </c>
      <c r="H720" s="1">
        <v>3.0</v>
      </c>
      <c r="I720" s="1">
        <v>4.0</v>
      </c>
      <c r="J720" s="1">
        <v>7.0</v>
      </c>
      <c r="K720" s="1">
        <v>46.0</v>
      </c>
      <c r="L720" s="1">
        <v>0.0</v>
      </c>
      <c r="M720" s="1">
        <v>2.0</v>
      </c>
      <c r="N720" s="1">
        <v>0.0</v>
      </c>
      <c r="O720" s="1">
        <v>0.0</v>
      </c>
      <c r="P720" s="1">
        <v>7.0</v>
      </c>
      <c r="Q720" s="1">
        <v>34.0</v>
      </c>
      <c r="V720" s="2">
        <f>VLOOKUP(B720,'202324'!B:C,2,FALSE)-A720</f>
        <v>-11</v>
      </c>
    </row>
    <row r="721">
      <c r="A721" s="1">
        <f t="shared" si="1"/>
        <v>719</v>
      </c>
      <c r="B721" s="1" t="s">
        <v>1779</v>
      </c>
      <c r="C721" s="1" t="s">
        <v>1069</v>
      </c>
      <c r="D721" s="1" t="s">
        <v>31</v>
      </c>
      <c r="E721" s="11">
        <f t="shared" si="2"/>
        <v>67.75</v>
      </c>
      <c r="F721" s="11">
        <f t="shared" si="3"/>
        <v>1.575581395</v>
      </c>
      <c r="G721" s="1">
        <v>43.0</v>
      </c>
      <c r="H721" s="1">
        <v>3.0</v>
      </c>
      <c r="I721" s="1">
        <v>4.0</v>
      </c>
      <c r="J721" s="1">
        <v>7.0</v>
      </c>
      <c r="K721" s="1">
        <v>42.0</v>
      </c>
      <c r="L721" s="1">
        <v>1.0</v>
      </c>
      <c r="M721" s="1">
        <v>0.0</v>
      </c>
      <c r="N721" s="1">
        <v>0.0</v>
      </c>
      <c r="O721" s="1">
        <v>0.0</v>
      </c>
      <c r="P721" s="1">
        <v>35.0</v>
      </c>
      <c r="Q721" s="1">
        <v>18.0</v>
      </c>
      <c r="V721" s="2">
        <f>VLOOKUP(B721,'202324'!B:C,2,FALSE)-A721</f>
        <v>4</v>
      </c>
    </row>
    <row r="722">
      <c r="A722" s="1">
        <f t="shared" si="1"/>
        <v>720</v>
      </c>
      <c r="B722" s="1" t="s">
        <v>1780</v>
      </c>
      <c r="C722" s="1" t="s">
        <v>1069</v>
      </c>
      <c r="D722" s="1" t="s">
        <v>31</v>
      </c>
      <c r="E722" s="11">
        <f t="shared" si="2"/>
        <v>67.25</v>
      </c>
      <c r="F722" s="11">
        <f t="shared" si="3"/>
        <v>2.037878788</v>
      </c>
      <c r="G722" s="1">
        <v>33.0</v>
      </c>
      <c r="H722" s="1">
        <v>3.0</v>
      </c>
      <c r="I722" s="1">
        <v>1.0</v>
      </c>
      <c r="J722" s="1">
        <v>4.0</v>
      </c>
      <c r="K722" s="1">
        <v>27.0</v>
      </c>
      <c r="L722" s="1">
        <v>0.0</v>
      </c>
      <c r="M722" s="1">
        <v>0.0</v>
      </c>
      <c r="N722" s="1">
        <v>0.0</v>
      </c>
      <c r="O722" s="1">
        <v>0.0</v>
      </c>
      <c r="P722" s="1">
        <v>65.0</v>
      </c>
      <c r="Q722" s="1">
        <v>29.0</v>
      </c>
      <c r="V722" s="2">
        <f>VLOOKUP(B722,'202324'!B:C,2,FALSE)-A722</f>
        <v>13</v>
      </c>
    </row>
    <row r="723">
      <c r="A723" s="1">
        <f t="shared" si="1"/>
        <v>721</v>
      </c>
      <c r="B723" s="1" t="s">
        <v>1781</v>
      </c>
      <c r="C723" s="1" t="s">
        <v>1097</v>
      </c>
      <c r="D723" s="1" t="s">
        <v>28</v>
      </c>
      <c r="E723" s="11">
        <f t="shared" si="2"/>
        <v>67.1</v>
      </c>
      <c r="F723" s="11">
        <f t="shared" si="3"/>
        <v>2.236666667</v>
      </c>
      <c r="G723" s="1">
        <v>30.0</v>
      </c>
      <c r="H723" s="1">
        <v>5.0</v>
      </c>
      <c r="I723" s="1">
        <v>4.0</v>
      </c>
      <c r="J723" s="1">
        <v>9.0</v>
      </c>
      <c r="K723" s="1">
        <v>35.0</v>
      </c>
      <c r="L723" s="1">
        <v>1.0</v>
      </c>
      <c r="M723" s="1">
        <v>0.0</v>
      </c>
      <c r="N723" s="1">
        <v>0.0</v>
      </c>
      <c r="O723" s="1">
        <v>0.0</v>
      </c>
      <c r="P723" s="1">
        <v>16.0</v>
      </c>
      <c r="Q723" s="1">
        <v>19.0</v>
      </c>
      <c r="V723" s="2">
        <f>VLOOKUP(B723,'202324'!B:C,2,FALSE)-A723</f>
        <v>-6</v>
      </c>
    </row>
    <row r="724">
      <c r="A724" s="1">
        <f t="shared" si="1"/>
        <v>722</v>
      </c>
      <c r="B724" s="1" t="s">
        <v>1782</v>
      </c>
      <c r="C724" s="1" t="s">
        <v>1082</v>
      </c>
      <c r="D724" s="1" t="s">
        <v>66</v>
      </c>
      <c r="E724" s="11">
        <f t="shared" si="2"/>
        <v>66.8</v>
      </c>
      <c r="F724" s="11">
        <f t="shared" si="3"/>
        <v>1.712820513</v>
      </c>
      <c r="G724" s="1">
        <v>39.0</v>
      </c>
      <c r="H724" s="1">
        <v>1.0</v>
      </c>
      <c r="I724" s="1">
        <v>2.0</v>
      </c>
      <c r="J724" s="1">
        <v>3.0</v>
      </c>
      <c r="K724" s="1">
        <v>20.0</v>
      </c>
      <c r="L724" s="1">
        <v>0.0</v>
      </c>
      <c r="M724" s="1">
        <v>0.0</v>
      </c>
      <c r="N724" s="1">
        <v>0.0</v>
      </c>
      <c r="O724" s="1">
        <v>0.0</v>
      </c>
      <c r="P724" s="1">
        <v>48.0</v>
      </c>
      <c r="Q724" s="1">
        <v>59.0</v>
      </c>
      <c r="V724" s="2">
        <f>VLOOKUP(B724,'202324'!B:C,2,FALSE)-A724</f>
        <v>7</v>
      </c>
    </row>
    <row r="725">
      <c r="A725" s="1">
        <f t="shared" si="1"/>
        <v>723</v>
      </c>
      <c r="B725" s="1" t="s">
        <v>1783</v>
      </c>
      <c r="C725" s="1" t="s">
        <v>1069</v>
      </c>
      <c r="D725" s="1" t="s">
        <v>28</v>
      </c>
      <c r="E725" s="11">
        <f t="shared" si="2"/>
        <v>66.45</v>
      </c>
      <c r="F725" s="11">
        <f t="shared" si="3"/>
        <v>1.954411765</v>
      </c>
      <c r="G725" s="1">
        <v>34.0</v>
      </c>
      <c r="H725" s="1">
        <v>3.0</v>
      </c>
      <c r="I725" s="1">
        <v>6.0</v>
      </c>
      <c r="J725" s="1">
        <v>9.0</v>
      </c>
      <c r="K725" s="1">
        <v>58.0</v>
      </c>
      <c r="L725" s="1">
        <v>1.0</v>
      </c>
      <c r="M725" s="1">
        <v>0.0</v>
      </c>
      <c r="N725" s="1">
        <v>0.0</v>
      </c>
      <c r="O725" s="1">
        <v>0.0</v>
      </c>
      <c r="P725" s="1">
        <v>7.0</v>
      </c>
      <c r="Q725" s="1">
        <v>7.0</v>
      </c>
      <c r="V725" s="2">
        <f>VLOOKUP(B725,'202324'!B:C,2,FALSE)-A725</f>
        <v>-10</v>
      </c>
    </row>
    <row r="726">
      <c r="A726" s="1">
        <f t="shared" si="1"/>
        <v>724</v>
      </c>
      <c r="B726" s="1" t="s">
        <v>1784</v>
      </c>
      <c r="C726" s="1" t="s">
        <v>1040</v>
      </c>
      <c r="D726" s="1" t="s">
        <v>31</v>
      </c>
      <c r="E726" s="11">
        <f t="shared" si="2"/>
        <v>66.4</v>
      </c>
      <c r="F726" s="11">
        <f t="shared" si="3"/>
        <v>1.952941176</v>
      </c>
      <c r="G726" s="1">
        <v>34.0</v>
      </c>
      <c r="H726" s="1">
        <v>1.0</v>
      </c>
      <c r="I726" s="1">
        <v>3.0</v>
      </c>
      <c r="J726" s="1">
        <v>4.0</v>
      </c>
      <c r="K726" s="1">
        <v>32.0</v>
      </c>
      <c r="L726" s="1">
        <v>0.0</v>
      </c>
      <c r="M726" s="1">
        <v>0.0</v>
      </c>
      <c r="N726" s="1">
        <v>0.0</v>
      </c>
      <c r="O726" s="1">
        <v>0.0</v>
      </c>
      <c r="P726" s="1">
        <v>84.0</v>
      </c>
      <c r="Q726" s="1">
        <v>15.0</v>
      </c>
      <c r="V726" s="2">
        <f>VLOOKUP(B726,'202324'!B:C,2,FALSE)-A726</f>
        <v>17</v>
      </c>
    </row>
    <row r="727">
      <c r="A727" s="1">
        <f t="shared" si="1"/>
        <v>725</v>
      </c>
      <c r="B727" s="1" t="s">
        <v>1785</v>
      </c>
      <c r="C727" s="1" t="s">
        <v>1172</v>
      </c>
      <c r="D727" s="1" t="s">
        <v>31</v>
      </c>
      <c r="E727" s="11">
        <f t="shared" si="2"/>
        <v>66.35</v>
      </c>
      <c r="F727" s="11">
        <f t="shared" si="3"/>
        <v>2.369642857</v>
      </c>
      <c r="G727" s="1">
        <v>28.0</v>
      </c>
      <c r="H727" s="1">
        <v>2.0</v>
      </c>
      <c r="I727" s="1">
        <v>7.0</v>
      </c>
      <c r="J727" s="1">
        <v>9.0</v>
      </c>
      <c r="K727" s="1">
        <v>44.0</v>
      </c>
      <c r="L727" s="1">
        <v>0.0</v>
      </c>
      <c r="M727" s="1">
        <v>2.0</v>
      </c>
      <c r="N727" s="1">
        <v>0.0</v>
      </c>
      <c r="O727" s="1">
        <v>0.0</v>
      </c>
      <c r="P727" s="1">
        <v>11.0</v>
      </c>
      <c r="Q727" s="1">
        <v>21.0</v>
      </c>
      <c r="V727" s="2">
        <f>VLOOKUP(B727,'202324'!B:C,2,FALSE)-A727</f>
        <v>-8</v>
      </c>
    </row>
    <row r="728">
      <c r="A728" s="1">
        <f t="shared" si="1"/>
        <v>726</v>
      </c>
      <c r="B728" s="1" t="s">
        <v>1786</v>
      </c>
      <c r="C728" s="1" t="s">
        <v>1069</v>
      </c>
      <c r="D728" s="1" t="s">
        <v>66</v>
      </c>
      <c r="E728" s="11">
        <f t="shared" si="2"/>
        <v>66.3</v>
      </c>
      <c r="F728" s="11">
        <f t="shared" si="3"/>
        <v>1.578571429</v>
      </c>
      <c r="G728" s="1">
        <v>42.0</v>
      </c>
      <c r="H728" s="1">
        <v>1.0</v>
      </c>
      <c r="I728" s="1">
        <v>4.0</v>
      </c>
      <c r="J728" s="1">
        <v>5.0</v>
      </c>
      <c r="K728" s="1">
        <v>19.0</v>
      </c>
      <c r="L728" s="1">
        <v>0.0</v>
      </c>
      <c r="M728" s="1">
        <v>0.0</v>
      </c>
      <c r="N728" s="1">
        <v>0.0</v>
      </c>
      <c r="O728" s="1">
        <v>0.0</v>
      </c>
      <c r="P728" s="1">
        <v>48.0</v>
      </c>
      <c r="Q728" s="1">
        <v>47.0</v>
      </c>
      <c r="V728" s="2">
        <f>VLOOKUP(B728,'202324'!B:C,2,FALSE)-A728</f>
        <v>5</v>
      </c>
    </row>
    <row r="729">
      <c r="A729" s="1">
        <f t="shared" si="1"/>
        <v>727</v>
      </c>
      <c r="B729" s="1" t="s">
        <v>1787</v>
      </c>
      <c r="C729" s="1" t="s">
        <v>1030</v>
      </c>
      <c r="D729" s="1" t="s">
        <v>66</v>
      </c>
      <c r="E729" s="11">
        <f t="shared" si="2"/>
        <v>65.9</v>
      </c>
      <c r="F729" s="11">
        <f t="shared" si="3"/>
        <v>2.865217391</v>
      </c>
      <c r="G729" s="1">
        <v>23.0</v>
      </c>
      <c r="H729" s="1">
        <v>3.0</v>
      </c>
      <c r="I729" s="1">
        <v>7.0</v>
      </c>
      <c r="J729" s="1">
        <v>10.0</v>
      </c>
      <c r="K729" s="1">
        <v>31.0</v>
      </c>
      <c r="L729" s="1">
        <v>1.0</v>
      </c>
      <c r="M729" s="1">
        <v>1.0</v>
      </c>
      <c r="N729" s="1">
        <v>0.0</v>
      </c>
      <c r="O729" s="1">
        <v>0.0</v>
      </c>
      <c r="P729" s="1">
        <v>14.0</v>
      </c>
      <c r="Q729" s="1">
        <v>22.0</v>
      </c>
      <c r="V729" s="2">
        <f>VLOOKUP(B729,'202324'!B:C,2,FALSE)-A729</f>
        <v>-5</v>
      </c>
    </row>
    <row r="730">
      <c r="A730" s="1">
        <f t="shared" si="1"/>
        <v>728</v>
      </c>
      <c r="B730" s="1" t="s">
        <v>1788</v>
      </c>
      <c r="C730" s="1" t="s">
        <v>1172</v>
      </c>
      <c r="D730" s="1" t="s">
        <v>31</v>
      </c>
      <c r="E730" s="11">
        <f t="shared" si="2"/>
        <v>65.85</v>
      </c>
      <c r="F730" s="11">
        <f t="shared" si="3"/>
        <v>2.438888889</v>
      </c>
      <c r="G730" s="1">
        <v>27.0</v>
      </c>
      <c r="H730" s="1">
        <v>4.0</v>
      </c>
      <c r="I730" s="1">
        <v>4.0</v>
      </c>
      <c r="J730" s="1">
        <v>8.0</v>
      </c>
      <c r="K730" s="1">
        <v>50.0</v>
      </c>
      <c r="L730" s="1">
        <v>2.0</v>
      </c>
      <c r="M730" s="1">
        <v>1.0</v>
      </c>
      <c r="N730" s="1">
        <v>0.0</v>
      </c>
      <c r="O730" s="1">
        <v>0.0</v>
      </c>
      <c r="P730" s="1">
        <v>11.0</v>
      </c>
      <c r="Q730" s="1">
        <v>14.0</v>
      </c>
      <c r="V730" s="2">
        <f>VLOOKUP(B730,'202324'!B:C,2,FALSE)-A730</f>
        <v>-8</v>
      </c>
    </row>
    <row r="731">
      <c r="A731" s="1">
        <f t="shared" si="1"/>
        <v>729</v>
      </c>
      <c r="B731" s="1" t="s">
        <v>1789</v>
      </c>
      <c r="C731" s="1" t="s">
        <v>1076</v>
      </c>
      <c r="D731" s="1" t="s">
        <v>5</v>
      </c>
      <c r="E731" s="11">
        <f t="shared" si="2"/>
        <v>65.7</v>
      </c>
      <c r="F731" s="11">
        <f t="shared" si="3"/>
        <v>3.457894737</v>
      </c>
      <c r="G731" s="1">
        <v>19.0</v>
      </c>
      <c r="R731" s="1">
        <v>5.0</v>
      </c>
      <c r="S731" s="1">
        <v>48.0</v>
      </c>
      <c r="T731" s="1">
        <v>409.0</v>
      </c>
      <c r="U731" s="1">
        <v>0.0</v>
      </c>
      <c r="V731" s="2">
        <f>VLOOKUP(B731,'202324'!B:C,2,FALSE)-A731</f>
        <v>-15</v>
      </c>
    </row>
    <row r="732">
      <c r="A732" s="1">
        <f t="shared" si="1"/>
        <v>730</v>
      </c>
      <c r="B732" s="1" t="s">
        <v>1790</v>
      </c>
      <c r="C732" s="1" t="s">
        <v>1175</v>
      </c>
      <c r="D732" s="1" t="s">
        <v>28</v>
      </c>
      <c r="E732" s="11">
        <f t="shared" si="2"/>
        <v>65.45</v>
      </c>
      <c r="F732" s="11">
        <f t="shared" si="3"/>
        <v>1.818055556</v>
      </c>
      <c r="G732" s="1">
        <v>36.0</v>
      </c>
      <c r="H732" s="1">
        <v>1.0</v>
      </c>
      <c r="I732" s="1">
        <v>3.0</v>
      </c>
      <c r="J732" s="1">
        <v>4.0</v>
      </c>
      <c r="K732" s="1">
        <v>31.0</v>
      </c>
      <c r="L732" s="1">
        <v>0.0</v>
      </c>
      <c r="M732" s="1">
        <v>0.0</v>
      </c>
      <c r="N732" s="1">
        <v>0.0</v>
      </c>
      <c r="O732" s="1">
        <v>0.0</v>
      </c>
      <c r="P732" s="1">
        <v>87.0</v>
      </c>
      <c r="Q732" s="1">
        <v>12.0</v>
      </c>
      <c r="V732" s="2">
        <f>VLOOKUP(B732,'202324'!B:C,2,FALSE)-A732</f>
        <v>15</v>
      </c>
    </row>
    <row r="733">
      <c r="A733" s="1">
        <f t="shared" si="1"/>
        <v>731</v>
      </c>
      <c r="B733" s="1" t="s">
        <v>1791</v>
      </c>
      <c r="C733" s="1" t="s">
        <v>1156</v>
      </c>
      <c r="D733" s="1" t="s">
        <v>36</v>
      </c>
      <c r="E733" s="11">
        <f t="shared" si="2"/>
        <v>65.25</v>
      </c>
      <c r="F733" s="11">
        <f t="shared" si="3"/>
        <v>3.625</v>
      </c>
      <c r="G733" s="1">
        <v>18.0</v>
      </c>
      <c r="H733" s="1">
        <v>6.0</v>
      </c>
      <c r="I733" s="1">
        <v>3.0</v>
      </c>
      <c r="J733" s="1">
        <v>9.0</v>
      </c>
      <c r="K733" s="1">
        <v>41.0</v>
      </c>
      <c r="L733" s="1">
        <v>1.0</v>
      </c>
      <c r="M733" s="1">
        <v>1.0</v>
      </c>
      <c r="N733" s="1">
        <v>0.0</v>
      </c>
      <c r="O733" s="1">
        <v>0.0</v>
      </c>
      <c r="P733" s="1">
        <v>5.0</v>
      </c>
      <c r="Q733" s="1">
        <v>14.0</v>
      </c>
      <c r="V733" s="2">
        <f>VLOOKUP(B733,'202324'!B:C,2,FALSE)-A733</f>
        <v>-11</v>
      </c>
    </row>
    <row r="734">
      <c r="A734" s="1">
        <f t="shared" si="1"/>
        <v>732</v>
      </c>
      <c r="B734" s="1" t="s">
        <v>1792</v>
      </c>
      <c r="C734" s="1" t="s">
        <v>1048</v>
      </c>
      <c r="D734" s="1" t="s">
        <v>28</v>
      </c>
      <c r="E734" s="11">
        <f t="shared" si="2"/>
        <v>65.2</v>
      </c>
      <c r="F734" s="11">
        <f t="shared" si="3"/>
        <v>1.671794872</v>
      </c>
      <c r="G734" s="1">
        <v>39.0</v>
      </c>
      <c r="H734" s="1">
        <v>2.0</v>
      </c>
      <c r="I734" s="1">
        <v>2.0</v>
      </c>
      <c r="J734" s="1">
        <v>4.0</v>
      </c>
      <c r="K734" s="1">
        <v>29.0</v>
      </c>
      <c r="L734" s="1">
        <v>0.0</v>
      </c>
      <c r="M734" s="1">
        <v>0.0</v>
      </c>
      <c r="N734" s="1">
        <v>0.0</v>
      </c>
      <c r="O734" s="1">
        <v>0.0</v>
      </c>
      <c r="P734" s="1">
        <v>82.0</v>
      </c>
      <c r="Q734" s="1">
        <v>14.0</v>
      </c>
      <c r="V734" s="2">
        <f>VLOOKUP(B734,'202324'!B:C,2,FALSE)-A734</f>
        <v>12</v>
      </c>
    </row>
    <row r="735">
      <c r="A735" s="1">
        <f t="shared" si="1"/>
        <v>733</v>
      </c>
      <c r="B735" s="1" t="s">
        <v>1793</v>
      </c>
      <c r="C735" s="1" t="s">
        <v>1038</v>
      </c>
      <c r="D735" s="1" t="s">
        <v>28</v>
      </c>
      <c r="E735" s="11">
        <f t="shared" si="2"/>
        <v>65.05</v>
      </c>
      <c r="F735" s="11">
        <f t="shared" si="3"/>
        <v>3.423684211</v>
      </c>
      <c r="G735" s="1">
        <v>19.0</v>
      </c>
      <c r="H735" s="1">
        <v>5.0</v>
      </c>
      <c r="I735" s="1">
        <v>2.0</v>
      </c>
      <c r="J735" s="1">
        <v>7.0</v>
      </c>
      <c r="K735" s="1">
        <v>31.0</v>
      </c>
      <c r="L735" s="1">
        <v>2.0</v>
      </c>
      <c r="M735" s="1">
        <v>0.0</v>
      </c>
      <c r="N735" s="1">
        <v>0.0</v>
      </c>
      <c r="O735" s="1">
        <v>0.0</v>
      </c>
      <c r="P735" s="1">
        <v>43.0</v>
      </c>
      <c r="Q735" s="1">
        <v>12.0</v>
      </c>
      <c r="V735" s="2">
        <f>VLOOKUP(B735,'202324'!B:C,2,FALSE)-A735</f>
        <v>0</v>
      </c>
    </row>
    <row r="736">
      <c r="A736" s="1">
        <f t="shared" si="1"/>
        <v>734</v>
      </c>
      <c r="B736" s="1" t="s">
        <v>1794</v>
      </c>
      <c r="C736" s="1" t="s">
        <v>1146</v>
      </c>
      <c r="D736" s="1" t="s">
        <v>31</v>
      </c>
      <c r="E736" s="11">
        <f t="shared" si="2"/>
        <v>65</v>
      </c>
      <c r="F736" s="11">
        <f t="shared" si="3"/>
        <v>1.625</v>
      </c>
      <c r="G736" s="1">
        <v>40.0</v>
      </c>
      <c r="H736" s="1">
        <v>4.0</v>
      </c>
      <c r="I736" s="1">
        <v>3.0</v>
      </c>
      <c r="J736" s="1">
        <v>7.0</v>
      </c>
      <c r="K736" s="1">
        <v>36.0</v>
      </c>
      <c r="L736" s="1">
        <v>0.0</v>
      </c>
      <c r="M736" s="1">
        <v>0.0</v>
      </c>
      <c r="N736" s="1">
        <v>1.0</v>
      </c>
      <c r="O736" s="1">
        <v>0.0</v>
      </c>
      <c r="P736" s="1">
        <v>20.0</v>
      </c>
      <c r="Q736" s="1">
        <v>22.0</v>
      </c>
      <c r="V736" s="2">
        <f>VLOOKUP(B736,'202324'!B:C,2,FALSE)-A736</f>
        <v>-8</v>
      </c>
    </row>
    <row r="737">
      <c r="A737" s="1">
        <f t="shared" si="1"/>
        <v>735</v>
      </c>
      <c r="B737" s="1" t="s">
        <v>1795</v>
      </c>
      <c r="C737" s="1" t="s">
        <v>1087</v>
      </c>
      <c r="D737" s="1" t="s">
        <v>36</v>
      </c>
      <c r="E737" s="11">
        <f t="shared" si="2"/>
        <v>64.75</v>
      </c>
      <c r="F737" s="11">
        <f t="shared" si="3"/>
        <v>2.0234375</v>
      </c>
      <c r="G737" s="1">
        <v>32.0</v>
      </c>
      <c r="H737" s="1">
        <v>2.0</v>
      </c>
      <c r="I737" s="1">
        <v>4.0</v>
      </c>
      <c r="J737" s="1">
        <v>6.0</v>
      </c>
      <c r="K737" s="1">
        <v>41.0</v>
      </c>
      <c r="L737" s="1">
        <v>1.0</v>
      </c>
      <c r="M737" s="1">
        <v>1.0</v>
      </c>
      <c r="N737" s="1">
        <v>0.0</v>
      </c>
      <c r="O737" s="1">
        <v>0.0</v>
      </c>
      <c r="P737" s="1">
        <v>35.0</v>
      </c>
      <c r="Q737" s="1">
        <v>22.0</v>
      </c>
      <c r="V737" s="2">
        <f>VLOOKUP(B737,'202324'!B:C,2,FALSE)-A737</f>
        <v>-3</v>
      </c>
    </row>
    <row r="738">
      <c r="A738" s="1">
        <f t="shared" si="1"/>
        <v>736</v>
      </c>
      <c r="B738" s="1" t="s">
        <v>1796</v>
      </c>
      <c r="C738" s="1" t="s">
        <v>1097</v>
      </c>
      <c r="D738" s="1" t="s">
        <v>31</v>
      </c>
      <c r="E738" s="11">
        <f t="shared" si="2"/>
        <v>64.7</v>
      </c>
      <c r="F738" s="11">
        <f t="shared" si="3"/>
        <v>2.813043478</v>
      </c>
      <c r="G738" s="1">
        <v>23.0</v>
      </c>
      <c r="H738" s="1">
        <v>4.0</v>
      </c>
      <c r="I738" s="1">
        <v>5.0</v>
      </c>
      <c r="J738" s="1">
        <v>9.0</v>
      </c>
      <c r="K738" s="1">
        <v>34.0</v>
      </c>
      <c r="L738" s="1">
        <v>0.0</v>
      </c>
      <c r="M738" s="1">
        <v>0.0</v>
      </c>
      <c r="N738" s="1">
        <v>0.0</v>
      </c>
      <c r="O738" s="1">
        <v>0.0</v>
      </c>
      <c r="P738" s="1">
        <v>12.0</v>
      </c>
      <c r="Q738" s="1">
        <v>21.0</v>
      </c>
      <c r="V738" s="2">
        <f>VLOOKUP(B738,'202324'!B:C,2,FALSE)-A738</f>
        <v>-11</v>
      </c>
    </row>
    <row r="739">
      <c r="A739" s="1">
        <f t="shared" si="1"/>
        <v>737</v>
      </c>
      <c r="B739" s="1" t="s">
        <v>1797</v>
      </c>
      <c r="C739" s="1" t="s">
        <v>1106</v>
      </c>
      <c r="D739" s="1" t="s">
        <v>31</v>
      </c>
      <c r="E739" s="11">
        <f t="shared" si="2"/>
        <v>63.7</v>
      </c>
      <c r="F739" s="11">
        <f t="shared" si="3"/>
        <v>2.548</v>
      </c>
      <c r="G739" s="1">
        <v>25.0</v>
      </c>
      <c r="H739" s="1">
        <v>5.0</v>
      </c>
      <c r="I739" s="1">
        <v>4.0</v>
      </c>
      <c r="J739" s="1">
        <v>9.0</v>
      </c>
      <c r="K739" s="1">
        <v>38.0</v>
      </c>
      <c r="L739" s="1">
        <v>0.0</v>
      </c>
      <c r="M739" s="1">
        <v>0.0</v>
      </c>
      <c r="N739" s="1">
        <v>0.0</v>
      </c>
      <c r="O739" s="1">
        <v>0.0</v>
      </c>
      <c r="P739" s="1">
        <v>12.0</v>
      </c>
      <c r="Q739" s="1">
        <v>12.0</v>
      </c>
      <c r="V739" s="2">
        <f>VLOOKUP(B739,'202324'!B:C,2,FALSE)-A739</f>
        <v>-10</v>
      </c>
    </row>
    <row r="740">
      <c r="A740" s="1">
        <f t="shared" si="1"/>
        <v>738</v>
      </c>
      <c r="B740" s="1" t="s">
        <v>1798</v>
      </c>
      <c r="C740" s="1" t="s">
        <v>1052</v>
      </c>
      <c r="D740" s="1" t="s">
        <v>36</v>
      </c>
      <c r="E740" s="11">
        <f t="shared" si="2"/>
        <v>63.55</v>
      </c>
      <c r="F740" s="11">
        <f t="shared" si="3"/>
        <v>1.925757576</v>
      </c>
      <c r="G740" s="1">
        <v>33.0</v>
      </c>
      <c r="H740" s="1">
        <v>4.0</v>
      </c>
      <c r="I740" s="1">
        <v>3.0</v>
      </c>
      <c r="J740" s="1">
        <v>7.0</v>
      </c>
      <c r="K740" s="1">
        <v>38.0</v>
      </c>
      <c r="L740" s="1">
        <v>0.0</v>
      </c>
      <c r="M740" s="1">
        <v>0.0</v>
      </c>
      <c r="N740" s="1">
        <v>0.0</v>
      </c>
      <c r="O740" s="1">
        <v>0.0</v>
      </c>
      <c r="P740" s="1">
        <v>43.0</v>
      </c>
      <c r="Q740" s="1">
        <v>5.0</v>
      </c>
      <c r="V740" s="2">
        <f>VLOOKUP(B740,'202324'!B:C,2,FALSE)-A740</f>
        <v>-1</v>
      </c>
    </row>
    <row r="741">
      <c r="A741" s="1">
        <f t="shared" si="1"/>
        <v>739</v>
      </c>
      <c r="B741" s="1" t="s">
        <v>1799</v>
      </c>
      <c r="C741" s="1" t="s">
        <v>1034</v>
      </c>
      <c r="D741" s="1" t="s">
        <v>28</v>
      </c>
      <c r="E741" s="11">
        <f t="shared" si="2"/>
        <v>63.25</v>
      </c>
      <c r="F741" s="11">
        <f t="shared" si="3"/>
        <v>1.916666667</v>
      </c>
      <c r="G741" s="1">
        <v>33.0</v>
      </c>
      <c r="H741" s="1">
        <v>2.0</v>
      </c>
      <c r="I741" s="1">
        <v>2.0</v>
      </c>
      <c r="J741" s="1">
        <v>4.0</v>
      </c>
      <c r="K741" s="1">
        <v>17.0</v>
      </c>
      <c r="L741" s="1">
        <v>0.0</v>
      </c>
      <c r="M741" s="1">
        <v>0.0</v>
      </c>
      <c r="N741" s="1">
        <v>0.0</v>
      </c>
      <c r="O741" s="1">
        <v>0.0</v>
      </c>
      <c r="P741" s="1">
        <v>85.0</v>
      </c>
      <c r="Q741" s="1">
        <v>20.0</v>
      </c>
      <c r="V741" s="2">
        <f>VLOOKUP(B741,'202324'!B:C,2,FALSE)-A741</f>
        <v>12</v>
      </c>
    </row>
    <row r="742">
      <c r="A742" s="1">
        <f t="shared" si="1"/>
        <v>740</v>
      </c>
      <c r="B742" s="1" t="s">
        <v>1800</v>
      </c>
      <c r="C742" s="1" t="s">
        <v>1052</v>
      </c>
      <c r="D742" s="1" t="s">
        <v>31</v>
      </c>
      <c r="E742" s="11">
        <f t="shared" si="2"/>
        <v>62.55</v>
      </c>
      <c r="F742" s="11">
        <f t="shared" si="3"/>
        <v>1.39</v>
      </c>
      <c r="G742" s="1">
        <v>45.0</v>
      </c>
      <c r="H742" s="1">
        <v>0.0</v>
      </c>
      <c r="I742" s="1">
        <v>4.0</v>
      </c>
      <c r="J742" s="1">
        <v>4.0</v>
      </c>
      <c r="K742" s="1">
        <v>37.0</v>
      </c>
      <c r="L742" s="1">
        <v>0.0</v>
      </c>
      <c r="M742" s="1">
        <v>0.0</v>
      </c>
      <c r="N742" s="1">
        <v>0.0</v>
      </c>
      <c r="O742" s="1">
        <v>0.0</v>
      </c>
      <c r="P742" s="1">
        <v>73.0</v>
      </c>
      <c r="Q742" s="1">
        <v>13.0</v>
      </c>
      <c r="V742" s="2">
        <f>VLOOKUP(B742,'202324'!B:C,2,FALSE)-A742</f>
        <v>10</v>
      </c>
    </row>
    <row r="743">
      <c r="A743" s="1">
        <f t="shared" si="1"/>
        <v>741</v>
      </c>
      <c r="B743" s="1" t="s">
        <v>1801</v>
      </c>
      <c r="C743" s="1" t="s">
        <v>1120</v>
      </c>
      <c r="D743" s="1" t="s">
        <v>66</v>
      </c>
      <c r="E743" s="11">
        <f t="shared" si="2"/>
        <v>62.15</v>
      </c>
      <c r="F743" s="11">
        <f t="shared" si="3"/>
        <v>1.635526316</v>
      </c>
      <c r="G743" s="1">
        <v>38.0</v>
      </c>
      <c r="H743" s="1">
        <v>0.0</v>
      </c>
      <c r="I743" s="1">
        <v>5.0</v>
      </c>
      <c r="J743" s="1">
        <v>5.0</v>
      </c>
      <c r="K743" s="1">
        <v>14.0</v>
      </c>
      <c r="L743" s="1">
        <v>0.0</v>
      </c>
      <c r="M743" s="1">
        <v>0.0</v>
      </c>
      <c r="N743" s="1">
        <v>0.0</v>
      </c>
      <c r="O743" s="1">
        <v>0.0</v>
      </c>
      <c r="P743" s="1">
        <v>59.0</v>
      </c>
      <c r="Q743" s="1">
        <v>39.0</v>
      </c>
      <c r="V743" s="2">
        <f>VLOOKUP(B743,'202324'!B:C,2,FALSE)-A743</f>
        <v>6</v>
      </c>
    </row>
    <row r="744">
      <c r="A744" s="1">
        <f t="shared" si="1"/>
        <v>742</v>
      </c>
      <c r="B744" s="1" t="s">
        <v>1802</v>
      </c>
      <c r="C744" s="1" t="s">
        <v>1073</v>
      </c>
      <c r="D744" s="1" t="s">
        <v>28</v>
      </c>
      <c r="E744" s="11">
        <f t="shared" si="2"/>
        <v>61.85</v>
      </c>
      <c r="F744" s="11">
        <f t="shared" si="3"/>
        <v>1.9328125</v>
      </c>
      <c r="G744" s="1">
        <v>32.0</v>
      </c>
      <c r="H744" s="1">
        <v>3.0</v>
      </c>
      <c r="I744" s="1">
        <v>2.0</v>
      </c>
      <c r="J744" s="1">
        <v>5.0</v>
      </c>
      <c r="K744" s="1">
        <v>29.0</v>
      </c>
      <c r="L744" s="1">
        <v>0.0</v>
      </c>
      <c r="M744" s="1">
        <v>0.0</v>
      </c>
      <c r="N744" s="1">
        <v>0.0</v>
      </c>
      <c r="O744" s="1">
        <v>0.0</v>
      </c>
      <c r="P744" s="1">
        <v>71.0</v>
      </c>
      <c r="Q744" s="1">
        <v>6.0</v>
      </c>
      <c r="V744" s="2">
        <f>VLOOKUP(B744,'202324'!B:C,2,FALSE)-A744</f>
        <v>9</v>
      </c>
    </row>
    <row r="745">
      <c r="A745" s="1">
        <f t="shared" si="1"/>
        <v>743</v>
      </c>
      <c r="B745" s="1" t="s">
        <v>1803</v>
      </c>
      <c r="C745" s="1" t="s">
        <v>1042</v>
      </c>
      <c r="D745" s="1" t="s">
        <v>31</v>
      </c>
      <c r="E745" s="11">
        <f t="shared" si="2"/>
        <v>61.6</v>
      </c>
      <c r="F745" s="11">
        <f t="shared" si="3"/>
        <v>1.987096774</v>
      </c>
      <c r="G745" s="1">
        <v>31.0</v>
      </c>
      <c r="H745" s="1">
        <v>1.0</v>
      </c>
      <c r="I745" s="1">
        <v>3.0</v>
      </c>
      <c r="J745" s="1">
        <v>4.0</v>
      </c>
      <c r="K745" s="1">
        <v>31.0</v>
      </c>
      <c r="L745" s="1">
        <v>0.0</v>
      </c>
      <c r="M745" s="1">
        <v>0.0</v>
      </c>
      <c r="N745" s="1">
        <v>1.0</v>
      </c>
      <c r="O745" s="1">
        <v>0.0</v>
      </c>
      <c r="P745" s="1">
        <v>56.0</v>
      </c>
      <c r="Q745" s="1">
        <v>22.0</v>
      </c>
      <c r="V745" s="2">
        <f>VLOOKUP(B745,'202324'!B:C,2,FALSE)-A745</f>
        <v>6</v>
      </c>
    </row>
    <row r="746">
      <c r="A746" s="1">
        <f t="shared" si="1"/>
        <v>744</v>
      </c>
      <c r="B746" s="1" t="s">
        <v>1804</v>
      </c>
      <c r="C746" s="1" t="s">
        <v>1076</v>
      </c>
      <c r="D746" s="1" t="s">
        <v>28</v>
      </c>
      <c r="E746" s="11">
        <f t="shared" si="2"/>
        <v>61.55</v>
      </c>
      <c r="F746" s="11">
        <f t="shared" si="3"/>
        <v>1.709722222</v>
      </c>
      <c r="G746" s="1">
        <v>36.0</v>
      </c>
      <c r="H746" s="1">
        <v>2.0</v>
      </c>
      <c r="I746" s="1">
        <v>4.0</v>
      </c>
      <c r="J746" s="1">
        <v>6.0</v>
      </c>
      <c r="K746" s="1">
        <v>38.0</v>
      </c>
      <c r="L746" s="1">
        <v>0.0</v>
      </c>
      <c r="M746" s="1">
        <v>0.0</v>
      </c>
      <c r="N746" s="1">
        <v>0.0</v>
      </c>
      <c r="O746" s="1">
        <v>0.0</v>
      </c>
      <c r="P746" s="1">
        <v>33.0</v>
      </c>
      <c r="Q746" s="1">
        <v>20.0</v>
      </c>
      <c r="V746" s="2">
        <f>VLOOKUP(B746,'202324'!B:C,2,FALSE)-A746</f>
        <v>-5</v>
      </c>
    </row>
    <row r="747">
      <c r="A747" s="1">
        <f t="shared" si="1"/>
        <v>745</v>
      </c>
      <c r="B747" s="1" t="s">
        <v>1805</v>
      </c>
      <c r="C747" s="1" t="s">
        <v>1046</v>
      </c>
      <c r="D747" s="1" t="s">
        <v>31</v>
      </c>
      <c r="E747" s="11">
        <f t="shared" si="2"/>
        <v>61.35</v>
      </c>
      <c r="F747" s="11">
        <f t="shared" si="3"/>
        <v>1.426744186</v>
      </c>
      <c r="G747" s="1">
        <v>43.0</v>
      </c>
      <c r="H747" s="1">
        <v>3.0</v>
      </c>
      <c r="I747" s="1">
        <v>4.0</v>
      </c>
      <c r="J747" s="1">
        <v>7.0</v>
      </c>
      <c r="K747" s="1">
        <v>28.0</v>
      </c>
      <c r="L747" s="1">
        <v>0.0</v>
      </c>
      <c r="M747" s="1">
        <v>0.0</v>
      </c>
      <c r="N747" s="1">
        <v>0.0</v>
      </c>
      <c r="O747" s="1">
        <v>0.0</v>
      </c>
      <c r="P747" s="1">
        <v>31.0</v>
      </c>
      <c r="Q747" s="1">
        <v>22.0</v>
      </c>
      <c r="V747" s="2">
        <f>VLOOKUP(B747,'202324'!B:C,2,FALSE)-A747</f>
        <v>-6</v>
      </c>
    </row>
    <row r="748">
      <c r="A748" s="1">
        <f t="shared" si="1"/>
        <v>746</v>
      </c>
      <c r="B748" s="1" t="s">
        <v>1806</v>
      </c>
      <c r="C748" s="1" t="s">
        <v>1116</v>
      </c>
      <c r="D748" s="1" t="s">
        <v>31</v>
      </c>
      <c r="E748" s="11">
        <f t="shared" si="2"/>
        <v>61</v>
      </c>
      <c r="F748" s="11">
        <f t="shared" si="3"/>
        <v>1.564102564</v>
      </c>
      <c r="G748" s="1">
        <v>39.0</v>
      </c>
      <c r="H748" s="1">
        <v>3.0</v>
      </c>
      <c r="I748" s="1">
        <v>4.0</v>
      </c>
      <c r="J748" s="1">
        <v>7.0</v>
      </c>
      <c r="K748" s="1">
        <v>27.0</v>
      </c>
      <c r="L748" s="1">
        <v>0.0</v>
      </c>
      <c r="M748" s="1">
        <v>0.0</v>
      </c>
      <c r="N748" s="1">
        <v>0.0</v>
      </c>
      <c r="O748" s="1">
        <v>0.0</v>
      </c>
      <c r="P748" s="1">
        <v>30.0</v>
      </c>
      <c r="Q748" s="1">
        <v>23.0</v>
      </c>
      <c r="V748" s="2">
        <f>VLOOKUP(B748,'202324'!B:C,2,FALSE)-A748</f>
        <v>-5</v>
      </c>
    </row>
    <row r="749">
      <c r="A749" s="1">
        <f t="shared" si="1"/>
        <v>747</v>
      </c>
      <c r="B749" s="1" t="s">
        <v>1807</v>
      </c>
      <c r="C749" s="1" t="s">
        <v>1067</v>
      </c>
      <c r="D749" s="1" t="s">
        <v>66</v>
      </c>
      <c r="E749" s="11">
        <f t="shared" si="2"/>
        <v>60.8</v>
      </c>
      <c r="F749" s="11">
        <f t="shared" si="3"/>
        <v>1.482926829</v>
      </c>
      <c r="G749" s="1">
        <v>41.0</v>
      </c>
      <c r="H749" s="1">
        <v>0.0</v>
      </c>
      <c r="I749" s="1">
        <v>7.0</v>
      </c>
      <c r="J749" s="1">
        <v>7.0</v>
      </c>
      <c r="K749" s="1">
        <v>35.0</v>
      </c>
      <c r="L749" s="1">
        <v>0.0</v>
      </c>
      <c r="M749" s="1">
        <v>0.0</v>
      </c>
      <c r="N749" s="1">
        <v>0.0</v>
      </c>
      <c r="O749" s="1">
        <v>0.0</v>
      </c>
      <c r="P749" s="1">
        <v>8.0</v>
      </c>
      <c r="Q749" s="1">
        <v>39.0</v>
      </c>
      <c r="V749" s="2">
        <f>VLOOKUP(B749,'202324'!B:C,2,FALSE)-A749</f>
        <v>-12</v>
      </c>
    </row>
    <row r="750">
      <c r="A750" s="1">
        <f t="shared" si="1"/>
        <v>748</v>
      </c>
      <c r="B750" s="1" t="s">
        <v>1808</v>
      </c>
      <c r="C750" s="1" t="s">
        <v>1172</v>
      </c>
      <c r="D750" s="1" t="s">
        <v>66</v>
      </c>
      <c r="E750" s="11">
        <f t="shared" si="2"/>
        <v>60.7</v>
      </c>
      <c r="F750" s="11">
        <f t="shared" si="3"/>
        <v>1.896875</v>
      </c>
      <c r="G750" s="1">
        <v>32.0</v>
      </c>
      <c r="H750" s="1">
        <v>0.0</v>
      </c>
      <c r="I750" s="1">
        <v>7.0</v>
      </c>
      <c r="J750" s="1">
        <v>7.0</v>
      </c>
      <c r="K750" s="1">
        <v>18.0</v>
      </c>
      <c r="L750" s="1">
        <v>0.0</v>
      </c>
      <c r="M750" s="1">
        <v>0.0</v>
      </c>
      <c r="N750" s="1">
        <v>0.0</v>
      </c>
      <c r="O750" s="1">
        <v>0.0</v>
      </c>
      <c r="P750" s="1">
        <v>22.0</v>
      </c>
      <c r="Q750" s="1">
        <v>46.0</v>
      </c>
      <c r="V750" s="2">
        <f>VLOOKUP(B750,'202324'!B:C,2,FALSE)-A750</f>
        <v>-10</v>
      </c>
    </row>
    <row r="751">
      <c r="A751" s="1">
        <f t="shared" si="1"/>
        <v>749</v>
      </c>
      <c r="B751" s="1" t="s">
        <v>1809</v>
      </c>
      <c r="C751" s="1" t="s">
        <v>1570</v>
      </c>
      <c r="D751" s="1" t="s">
        <v>31</v>
      </c>
      <c r="E751" s="11">
        <f t="shared" si="2"/>
        <v>60.5</v>
      </c>
      <c r="F751" s="11">
        <f t="shared" si="3"/>
        <v>1.44047619</v>
      </c>
      <c r="G751" s="1">
        <v>42.0</v>
      </c>
      <c r="H751" s="1">
        <v>3.0</v>
      </c>
      <c r="I751" s="1">
        <v>6.0</v>
      </c>
      <c r="J751" s="1">
        <v>9.0</v>
      </c>
      <c r="K751" s="1">
        <v>35.0</v>
      </c>
      <c r="L751" s="1">
        <v>0.0</v>
      </c>
      <c r="M751" s="1">
        <v>4.0</v>
      </c>
      <c r="N751" s="1">
        <v>0.0</v>
      </c>
      <c r="O751" s="1">
        <v>0.0</v>
      </c>
      <c r="P751" s="1">
        <v>10.0</v>
      </c>
      <c r="Q751" s="1">
        <v>16.0</v>
      </c>
      <c r="V751" s="2">
        <f>VLOOKUP(B751,'202324'!B:C,2,FALSE)-A751</f>
        <v>-13</v>
      </c>
    </row>
    <row r="752">
      <c r="A752" s="1">
        <f t="shared" si="1"/>
        <v>750</v>
      </c>
      <c r="B752" s="1" t="s">
        <v>1810</v>
      </c>
      <c r="C752" s="1" t="s">
        <v>1034</v>
      </c>
      <c r="D752" s="1" t="s">
        <v>66</v>
      </c>
      <c r="E752" s="11">
        <f t="shared" si="2"/>
        <v>59.85</v>
      </c>
      <c r="F752" s="11">
        <f t="shared" si="3"/>
        <v>2.49375</v>
      </c>
      <c r="G752" s="1">
        <v>24.0</v>
      </c>
      <c r="H752" s="1">
        <v>1.0</v>
      </c>
      <c r="I752" s="1">
        <v>4.0</v>
      </c>
      <c r="J752" s="1">
        <v>5.0</v>
      </c>
      <c r="K752" s="1">
        <v>25.0</v>
      </c>
      <c r="L752" s="1">
        <v>0.0</v>
      </c>
      <c r="M752" s="1">
        <v>0.0</v>
      </c>
      <c r="N752" s="1">
        <v>0.0</v>
      </c>
      <c r="O752" s="1">
        <v>0.0</v>
      </c>
      <c r="P752" s="1">
        <v>31.0</v>
      </c>
      <c r="Q752" s="1">
        <v>40.0</v>
      </c>
      <c r="V752" s="2">
        <f>VLOOKUP(B752,'202324'!B:C,2,FALSE)-A752</f>
        <v>-5</v>
      </c>
    </row>
    <row r="753">
      <c r="A753" s="1">
        <f t="shared" si="1"/>
        <v>751</v>
      </c>
      <c r="B753" s="1" t="s">
        <v>1811</v>
      </c>
      <c r="C753" s="1" t="s">
        <v>1091</v>
      </c>
      <c r="D753" s="1" t="s">
        <v>66</v>
      </c>
      <c r="E753" s="11">
        <f t="shared" si="2"/>
        <v>59.35</v>
      </c>
      <c r="F753" s="11">
        <f t="shared" si="3"/>
        <v>1.695714286</v>
      </c>
      <c r="G753" s="1">
        <v>35.0</v>
      </c>
      <c r="H753" s="1">
        <v>1.0</v>
      </c>
      <c r="I753" s="1">
        <v>4.0</v>
      </c>
      <c r="J753" s="1">
        <v>5.0</v>
      </c>
      <c r="K753" s="1">
        <v>20.0</v>
      </c>
      <c r="L753" s="1">
        <v>0.0</v>
      </c>
      <c r="M753" s="1">
        <v>0.0</v>
      </c>
      <c r="N753" s="1">
        <v>0.0</v>
      </c>
      <c r="O753" s="1">
        <v>0.0</v>
      </c>
      <c r="P753" s="1">
        <v>31.0</v>
      </c>
      <c r="Q753" s="1">
        <v>44.0</v>
      </c>
      <c r="V753" s="2">
        <f>VLOOKUP(B753,'202324'!B:C,2,FALSE)-A753</f>
        <v>-4</v>
      </c>
    </row>
    <row r="754">
      <c r="A754" s="1">
        <f t="shared" si="1"/>
        <v>752</v>
      </c>
      <c r="B754" s="1" t="s">
        <v>1812</v>
      </c>
      <c r="C754" s="1" t="s">
        <v>1067</v>
      </c>
      <c r="D754" s="1" t="s">
        <v>66</v>
      </c>
      <c r="E754" s="11">
        <f t="shared" si="2"/>
        <v>58.95</v>
      </c>
      <c r="F754" s="11">
        <f t="shared" si="3"/>
        <v>1.6375</v>
      </c>
      <c r="G754" s="1">
        <v>36.0</v>
      </c>
      <c r="H754" s="1">
        <v>1.0</v>
      </c>
      <c r="I754" s="1">
        <v>7.0</v>
      </c>
      <c r="J754" s="1">
        <v>8.0</v>
      </c>
      <c r="K754" s="1">
        <v>15.0</v>
      </c>
      <c r="L754" s="1">
        <v>0.0</v>
      </c>
      <c r="M754" s="1">
        <v>0.0</v>
      </c>
      <c r="N754" s="1">
        <v>0.0</v>
      </c>
      <c r="O754" s="1">
        <v>0.0</v>
      </c>
      <c r="P754" s="1">
        <v>17.0</v>
      </c>
      <c r="Q754" s="1">
        <v>40.0</v>
      </c>
      <c r="V754" s="2">
        <f>VLOOKUP(B754,'202324'!B:C,2,FALSE)-A754</f>
        <v>-9</v>
      </c>
    </row>
    <row r="755">
      <c r="A755" s="1">
        <f t="shared" si="1"/>
        <v>753</v>
      </c>
      <c r="B755" s="1" t="s">
        <v>1813</v>
      </c>
      <c r="C755" s="1" t="s">
        <v>1116</v>
      </c>
      <c r="D755" s="1" t="s">
        <v>66</v>
      </c>
      <c r="E755" s="11">
        <f t="shared" si="2"/>
        <v>57.75</v>
      </c>
      <c r="F755" s="11">
        <f t="shared" si="3"/>
        <v>2.31</v>
      </c>
      <c r="G755" s="1">
        <v>25.0</v>
      </c>
      <c r="H755" s="1">
        <v>1.0</v>
      </c>
      <c r="I755" s="1">
        <v>1.0</v>
      </c>
      <c r="J755" s="1">
        <v>2.0</v>
      </c>
      <c r="K755" s="1">
        <v>29.0</v>
      </c>
      <c r="L755" s="1">
        <v>0.0</v>
      </c>
      <c r="M755" s="1">
        <v>0.0</v>
      </c>
      <c r="N755" s="1">
        <v>0.0</v>
      </c>
      <c r="O755" s="1">
        <v>0.0</v>
      </c>
      <c r="P755" s="1">
        <v>45.0</v>
      </c>
      <c r="Q755" s="1">
        <v>40.0</v>
      </c>
      <c r="V755" s="2">
        <f>VLOOKUP(B755,'202324'!B:C,2,FALSE)-A755</f>
        <v>0</v>
      </c>
    </row>
    <row r="756">
      <c r="A756" s="1">
        <f t="shared" si="1"/>
        <v>754</v>
      </c>
      <c r="B756" s="1" t="s">
        <v>1814</v>
      </c>
      <c r="C756" s="1" t="s">
        <v>1048</v>
      </c>
      <c r="D756" s="1" t="s">
        <v>31</v>
      </c>
      <c r="E756" s="11">
        <f t="shared" si="2"/>
        <v>57</v>
      </c>
      <c r="F756" s="11">
        <f t="shared" si="3"/>
        <v>1.5</v>
      </c>
      <c r="G756" s="1">
        <v>38.0</v>
      </c>
      <c r="H756" s="1">
        <v>1.0</v>
      </c>
      <c r="I756" s="1">
        <v>2.0</v>
      </c>
      <c r="J756" s="1">
        <v>3.0</v>
      </c>
      <c r="K756" s="1">
        <v>30.0</v>
      </c>
      <c r="L756" s="1">
        <v>0.0</v>
      </c>
      <c r="M756" s="1">
        <v>0.0</v>
      </c>
      <c r="N756" s="1">
        <v>0.0</v>
      </c>
      <c r="O756" s="1">
        <v>0.0</v>
      </c>
      <c r="P756" s="1">
        <v>70.0</v>
      </c>
      <c r="Q756" s="1">
        <v>14.0</v>
      </c>
      <c r="V756" s="2">
        <f>VLOOKUP(B756,'202324'!B:C,2,FALSE)-A756</f>
        <v>4</v>
      </c>
    </row>
    <row r="757">
      <c r="A757" s="1">
        <f t="shared" si="1"/>
        <v>755</v>
      </c>
      <c r="B757" s="1" t="s">
        <v>1815</v>
      </c>
      <c r="C757" s="1" t="s">
        <v>1082</v>
      </c>
      <c r="D757" s="1" t="s">
        <v>28</v>
      </c>
      <c r="E757" s="11">
        <f t="shared" si="2"/>
        <v>56</v>
      </c>
      <c r="F757" s="11">
        <f t="shared" si="3"/>
        <v>2.666666667</v>
      </c>
      <c r="G757" s="1">
        <v>21.0</v>
      </c>
      <c r="H757" s="1">
        <v>2.0</v>
      </c>
      <c r="I757" s="1">
        <v>4.0</v>
      </c>
      <c r="J757" s="1">
        <v>6.0</v>
      </c>
      <c r="K757" s="1">
        <v>30.0</v>
      </c>
      <c r="L757" s="1">
        <v>0.0</v>
      </c>
      <c r="M757" s="1">
        <v>1.0</v>
      </c>
      <c r="N757" s="1">
        <v>0.0</v>
      </c>
      <c r="O757" s="1">
        <v>0.0</v>
      </c>
      <c r="P757" s="1">
        <v>50.0</v>
      </c>
      <c r="Q757" s="1">
        <v>5.0</v>
      </c>
      <c r="V757" s="2">
        <f>VLOOKUP(B757,'202324'!B:C,2,FALSE)-A757</f>
        <v>1</v>
      </c>
    </row>
    <row r="758">
      <c r="A758" s="1">
        <f t="shared" si="1"/>
        <v>756</v>
      </c>
      <c r="B758" s="1" t="s">
        <v>1816</v>
      </c>
      <c r="C758" s="1" t="s">
        <v>1076</v>
      </c>
      <c r="D758" s="1" t="s">
        <v>28</v>
      </c>
      <c r="E758" s="11">
        <f t="shared" si="2"/>
        <v>54.55</v>
      </c>
      <c r="F758" s="11">
        <f t="shared" si="3"/>
        <v>1.212222222</v>
      </c>
      <c r="G758" s="1">
        <v>45.0</v>
      </c>
      <c r="H758" s="1">
        <v>2.0</v>
      </c>
      <c r="I758" s="1">
        <v>1.0</v>
      </c>
      <c r="J758" s="1">
        <v>3.0</v>
      </c>
      <c r="K758" s="1">
        <v>16.0</v>
      </c>
      <c r="L758" s="1">
        <v>0.0</v>
      </c>
      <c r="M758" s="1">
        <v>0.0</v>
      </c>
      <c r="N758" s="1">
        <v>0.0</v>
      </c>
      <c r="O758" s="1">
        <v>0.0</v>
      </c>
      <c r="P758" s="1">
        <v>83.0</v>
      </c>
      <c r="Q758" s="1">
        <v>11.0</v>
      </c>
      <c r="V758" s="2">
        <f>VLOOKUP(B758,'202324'!B:C,2,FALSE)-A758</f>
        <v>4</v>
      </c>
    </row>
    <row r="759">
      <c r="A759" s="1">
        <f t="shared" si="1"/>
        <v>757</v>
      </c>
      <c r="B759" s="1" t="s">
        <v>1817</v>
      </c>
      <c r="C759" s="1" t="s">
        <v>1038</v>
      </c>
      <c r="D759" s="1" t="s">
        <v>31</v>
      </c>
      <c r="E759" s="11">
        <f t="shared" si="2"/>
        <v>53.65</v>
      </c>
      <c r="F759" s="11">
        <f t="shared" si="3"/>
        <v>1.577941176</v>
      </c>
      <c r="G759" s="1">
        <v>34.0</v>
      </c>
      <c r="H759" s="1">
        <v>1.0</v>
      </c>
      <c r="I759" s="1">
        <v>0.0</v>
      </c>
      <c r="J759" s="1">
        <v>1.0</v>
      </c>
      <c r="K759" s="1">
        <v>24.0</v>
      </c>
      <c r="L759" s="1">
        <v>0.0</v>
      </c>
      <c r="M759" s="1">
        <v>0.0</v>
      </c>
      <c r="N759" s="1">
        <v>0.0</v>
      </c>
      <c r="O759" s="1">
        <v>0.0</v>
      </c>
      <c r="P759" s="1">
        <v>79.0</v>
      </c>
      <c r="Q759" s="1">
        <v>19.0</v>
      </c>
      <c r="V759" s="2">
        <f>VLOOKUP(B759,'202324'!B:C,2,FALSE)-A759</f>
        <v>7</v>
      </c>
    </row>
    <row r="760">
      <c r="A760" s="1">
        <f t="shared" si="1"/>
        <v>758</v>
      </c>
      <c r="B760" s="1" t="s">
        <v>1818</v>
      </c>
      <c r="C760" s="1" t="s">
        <v>1172</v>
      </c>
      <c r="D760" s="1" t="s">
        <v>66</v>
      </c>
      <c r="E760" s="11">
        <f t="shared" si="2"/>
        <v>53.5</v>
      </c>
      <c r="F760" s="11">
        <f t="shared" si="3"/>
        <v>2.229166667</v>
      </c>
      <c r="G760" s="1">
        <v>24.0</v>
      </c>
      <c r="H760" s="1">
        <v>0.0</v>
      </c>
      <c r="I760" s="1">
        <v>3.0</v>
      </c>
      <c r="J760" s="1">
        <v>3.0</v>
      </c>
      <c r="K760" s="1">
        <v>18.0</v>
      </c>
      <c r="L760" s="1">
        <v>0.0</v>
      </c>
      <c r="M760" s="1">
        <v>0.0</v>
      </c>
      <c r="N760" s="1">
        <v>0.0</v>
      </c>
      <c r="O760" s="1">
        <v>0.0</v>
      </c>
      <c r="P760" s="1">
        <v>30.0</v>
      </c>
      <c r="Q760" s="1">
        <v>50.0</v>
      </c>
      <c r="V760" s="2">
        <f>VLOOKUP(B760,'202324'!B:C,2,FALSE)-A760</f>
        <v>-1</v>
      </c>
    </row>
    <row r="761">
      <c r="A761" s="1">
        <f t="shared" si="1"/>
        <v>759</v>
      </c>
      <c r="B761" s="1" t="s">
        <v>1819</v>
      </c>
      <c r="C761" s="1" t="s">
        <v>1156</v>
      </c>
      <c r="D761" s="1" t="s">
        <v>5</v>
      </c>
      <c r="E761" s="11">
        <f t="shared" si="2"/>
        <v>53.1</v>
      </c>
      <c r="F761" s="11">
        <f t="shared" si="3"/>
        <v>5.9</v>
      </c>
      <c r="G761" s="1">
        <v>9.0</v>
      </c>
      <c r="R761" s="1">
        <v>3.0</v>
      </c>
      <c r="S761" s="1">
        <v>30.0</v>
      </c>
      <c r="T761" s="1">
        <v>297.0</v>
      </c>
      <c r="U761" s="1">
        <v>0.0</v>
      </c>
      <c r="V761" s="2">
        <f>VLOOKUP(B761,'202324'!B:C,2,FALSE)-A761</f>
        <v>-5</v>
      </c>
    </row>
    <row r="762">
      <c r="A762" s="1">
        <f t="shared" si="1"/>
        <v>760</v>
      </c>
      <c r="B762" s="1" t="s">
        <v>1820</v>
      </c>
      <c r="C762" s="1" t="s">
        <v>1111</v>
      </c>
      <c r="D762" s="1" t="s">
        <v>36</v>
      </c>
      <c r="E762" s="11">
        <f t="shared" si="2"/>
        <v>51.95</v>
      </c>
      <c r="F762" s="11">
        <f t="shared" si="3"/>
        <v>4.722727273</v>
      </c>
      <c r="G762" s="1">
        <v>11.0</v>
      </c>
      <c r="H762" s="1">
        <v>5.0</v>
      </c>
      <c r="I762" s="1">
        <v>4.0</v>
      </c>
      <c r="J762" s="1">
        <v>9.0</v>
      </c>
      <c r="K762" s="1">
        <v>23.0</v>
      </c>
      <c r="L762" s="1">
        <v>0.0</v>
      </c>
      <c r="M762" s="1">
        <v>0.0</v>
      </c>
      <c r="N762" s="1">
        <v>0.0</v>
      </c>
      <c r="O762" s="1">
        <v>0.0</v>
      </c>
      <c r="P762" s="1">
        <v>7.0</v>
      </c>
      <c r="Q762" s="1">
        <v>7.0</v>
      </c>
      <c r="V762" s="2">
        <f>VLOOKUP(B762,'202324'!B:C,2,FALSE)-A762</f>
        <v>-5</v>
      </c>
    </row>
    <row r="763">
      <c r="A763" s="1">
        <f t="shared" si="1"/>
        <v>761</v>
      </c>
      <c r="B763" s="1" t="s">
        <v>1821</v>
      </c>
      <c r="C763" s="1" t="s">
        <v>1106</v>
      </c>
      <c r="D763" s="1" t="s">
        <v>66</v>
      </c>
      <c r="E763" s="11">
        <f t="shared" si="2"/>
        <v>51.9</v>
      </c>
      <c r="F763" s="11">
        <f t="shared" si="3"/>
        <v>1.996153846</v>
      </c>
      <c r="G763" s="1">
        <v>26.0</v>
      </c>
      <c r="H763" s="1">
        <v>1.0</v>
      </c>
      <c r="I763" s="1">
        <v>1.0</v>
      </c>
      <c r="J763" s="1">
        <v>2.0</v>
      </c>
      <c r="K763" s="1">
        <v>17.0</v>
      </c>
      <c r="L763" s="1">
        <v>0.0</v>
      </c>
      <c r="M763" s="1">
        <v>0.0</v>
      </c>
      <c r="N763" s="1">
        <v>0.0</v>
      </c>
      <c r="O763" s="1">
        <v>0.0</v>
      </c>
      <c r="P763" s="1">
        <v>64.0</v>
      </c>
      <c r="Q763" s="1">
        <v>27.0</v>
      </c>
      <c r="V763" s="2">
        <f>VLOOKUP(B763,'202324'!B:C,2,FALSE)-A763</f>
        <v>4</v>
      </c>
    </row>
    <row r="764">
      <c r="A764" s="1">
        <f t="shared" si="1"/>
        <v>762</v>
      </c>
      <c r="B764" s="1" t="s">
        <v>1822</v>
      </c>
      <c r="C764" s="1" t="s">
        <v>1030</v>
      </c>
      <c r="D764" s="1" t="s">
        <v>66</v>
      </c>
      <c r="E764" s="11">
        <f t="shared" si="2"/>
        <v>49.4</v>
      </c>
      <c r="F764" s="11">
        <f t="shared" si="3"/>
        <v>1.976</v>
      </c>
      <c r="G764" s="1">
        <v>25.0</v>
      </c>
      <c r="H764" s="1">
        <v>0.0</v>
      </c>
      <c r="I764" s="1">
        <v>5.0</v>
      </c>
      <c r="J764" s="1">
        <v>5.0</v>
      </c>
      <c r="K764" s="1">
        <v>19.0</v>
      </c>
      <c r="L764" s="1">
        <v>0.0</v>
      </c>
      <c r="M764" s="1">
        <v>0.0</v>
      </c>
      <c r="N764" s="1">
        <v>0.0</v>
      </c>
      <c r="O764" s="1">
        <v>0.0</v>
      </c>
      <c r="P764" s="1">
        <v>34.0</v>
      </c>
      <c r="Q764" s="1">
        <v>26.0</v>
      </c>
      <c r="V764" s="2">
        <f>VLOOKUP(B764,'202324'!B:C,2,FALSE)-A764</f>
        <v>0</v>
      </c>
    </row>
    <row r="765">
      <c r="A765" s="1">
        <f t="shared" si="1"/>
        <v>763</v>
      </c>
      <c r="B765" s="1" t="s">
        <v>1823</v>
      </c>
      <c r="C765" s="1" t="s">
        <v>1078</v>
      </c>
      <c r="D765" s="1" t="s">
        <v>66</v>
      </c>
      <c r="E765" s="11">
        <f t="shared" si="2"/>
        <v>49.1</v>
      </c>
      <c r="F765" s="11">
        <f t="shared" si="3"/>
        <v>3.06875</v>
      </c>
      <c r="G765" s="1">
        <v>16.0</v>
      </c>
      <c r="H765" s="1">
        <v>2.0</v>
      </c>
      <c r="I765" s="1">
        <v>4.0</v>
      </c>
      <c r="J765" s="1">
        <v>6.0</v>
      </c>
      <c r="K765" s="1">
        <v>31.0</v>
      </c>
      <c r="L765" s="1">
        <v>0.0</v>
      </c>
      <c r="M765" s="1">
        <v>3.0</v>
      </c>
      <c r="N765" s="1">
        <v>0.0</v>
      </c>
      <c r="O765" s="1">
        <v>0.0</v>
      </c>
      <c r="P765" s="1">
        <v>6.0</v>
      </c>
      <c r="Q765" s="1">
        <v>21.0</v>
      </c>
      <c r="V765" s="2">
        <f>VLOOKUP(B765,'202324'!B:C,2,FALSE)-A765</f>
        <v>-4</v>
      </c>
    </row>
    <row r="766">
      <c r="A766" s="1">
        <f t="shared" si="1"/>
        <v>764</v>
      </c>
      <c r="B766" s="1" t="s">
        <v>1824</v>
      </c>
      <c r="C766" s="1" t="s">
        <v>1044</v>
      </c>
      <c r="D766" s="1" t="s">
        <v>31</v>
      </c>
      <c r="E766" s="11">
        <f t="shared" si="2"/>
        <v>48.7</v>
      </c>
      <c r="F766" s="11">
        <f t="shared" si="3"/>
        <v>1.316216216</v>
      </c>
      <c r="G766" s="1">
        <v>37.0</v>
      </c>
      <c r="H766" s="1">
        <v>2.0</v>
      </c>
      <c r="I766" s="1">
        <v>1.0</v>
      </c>
      <c r="J766" s="1">
        <v>3.0</v>
      </c>
      <c r="K766" s="1">
        <v>40.0</v>
      </c>
      <c r="L766" s="1">
        <v>0.0</v>
      </c>
      <c r="M766" s="1">
        <v>0.0</v>
      </c>
      <c r="N766" s="1">
        <v>0.0</v>
      </c>
      <c r="O766" s="1">
        <v>0.0</v>
      </c>
      <c r="P766" s="1">
        <v>32.0</v>
      </c>
      <c r="Q766" s="1">
        <v>11.0</v>
      </c>
      <c r="V766" s="2">
        <f>VLOOKUP(B766,'202324'!B:C,2,FALSE)-A766</f>
        <v>1</v>
      </c>
    </row>
    <row r="767">
      <c r="A767" s="1">
        <f t="shared" si="1"/>
        <v>765</v>
      </c>
      <c r="B767" s="1" t="s">
        <v>1825</v>
      </c>
      <c r="C767" s="1" t="s">
        <v>1156</v>
      </c>
      <c r="D767" s="1" t="s">
        <v>31</v>
      </c>
      <c r="E767" s="11">
        <f t="shared" si="2"/>
        <v>48.15</v>
      </c>
      <c r="F767" s="11">
        <f t="shared" si="3"/>
        <v>2.00625</v>
      </c>
      <c r="G767" s="1">
        <v>24.0</v>
      </c>
      <c r="H767" s="1">
        <v>2.0</v>
      </c>
      <c r="I767" s="1">
        <v>2.0</v>
      </c>
      <c r="J767" s="1">
        <v>4.0</v>
      </c>
      <c r="K767" s="1">
        <v>24.0</v>
      </c>
      <c r="L767" s="1">
        <v>0.0</v>
      </c>
      <c r="M767" s="1">
        <v>0.0</v>
      </c>
      <c r="N767" s="1">
        <v>0.0</v>
      </c>
      <c r="O767" s="1">
        <v>0.0</v>
      </c>
      <c r="P767" s="1">
        <v>49.0</v>
      </c>
      <c r="Q767" s="1">
        <v>8.0</v>
      </c>
      <c r="V767" s="2">
        <f>VLOOKUP(B767,'202324'!B:C,2,FALSE)-A767</f>
        <v>6</v>
      </c>
    </row>
    <row r="768">
      <c r="A768" s="1">
        <f t="shared" si="1"/>
        <v>766</v>
      </c>
      <c r="B768" s="1" t="s">
        <v>1826</v>
      </c>
      <c r="C768" s="1" t="s">
        <v>1052</v>
      </c>
      <c r="D768" s="1" t="s">
        <v>36</v>
      </c>
      <c r="E768" s="11">
        <f t="shared" si="2"/>
        <v>48</v>
      </c>
      <c r="F768" s="11">
        <f t="shared" si="3"/>
        <v>2.181818182</v>
      </c>
      <c r="G768" s="1">
        <v>22.0</v>
      </c>
      <c r="H768" s="1">
        <v>3.0</v>
      </c>
      <c r="I768" s="1">
        <v>1.0</v>
      </c>
      <c r="J768" s="1">
        <v>4.0</v>
      </c>
      <c r="K768" s="1">
        <v>29.0</v>
      </c>
      <c r="L768" s="1">
        <v>0.0</v>
      </c>
      <c r="M768" s="1">
        <v>0.0</v>
      </c>
      <c r="N768" s="1">
        <v>0.0</v>
      </c>
      <c r="O768" s="1">
        <v>0.0</v>
      </c>
      <c r="P768" s="1">
        <v>40.0</v>
      </c>
      <c r="Q768" s="1">
        <v>6.0</v>
      </c>
      <c r="V768" s="2">
        <f>VLOOKUP(B768,'202324'!B:C,2,FALSE)-A768</f>
        <v>3</v>
      </c>
    </row>
    <row r="769">
      <c r="A769" s="1">
        <f t="shared" si="1"/>
        <v>767</v>
      </c>
      <c r="B769" s="1" t="s">
        <v>1827</v>
      </c>
      <c r="C769" s="1" t="s">
        <v>1082</v>
      </c>
      <c r="D769" s="1" t="s">
        <v>28</v>
      </c>
      <c r="E769" s="11">
        <f t="shared" si="2"/>
        <v>47.6</v>
      </c>
      <c r="F769" s="11">
        <f t="shared" si="3"/>
        <v>1.904</v>
      </c>
      <c r="G769" s="1">
        <v>25.0</v>
      </c>
      <c r="H769" s="1">
        <v>4.0</v>
      </c>
      <c r="I769" s="1">
        <v>3.0</v>
      </c>
      <c r="J769" s="1">
        <v>7.0</v>
      </c>
      <c r="K769" s="1">
        <v>27.0</v>
      </c>
      <c r="L769" s="1">
        <v>0.0</v>
      </c>
      <c r="M769" s="1">
        <v>1.0</v>
      </c>
      <c r="N769" s="1">
        <v>0.0</v>
      </c>
      <c r="O769" s="1">
        <v>0.0</v>
      </c>
      <c r="P769" s="1">
        <v>16.0</v>
      </c>
      <c r="Q769" s="1">
        <v>3.0</v>
      </c>
      <c r="V769" s="2">
        <f>VLOOKUP(B769,'202324'!B:C,2,FALSE)-A769</f>
        <v>-5</v>
      </c>
    </row>
    <row r="770">
      <c r="A770" s="1">
        <f t="shared" si="1"/>
        <v>768</v>
      </c>
      <c r="B770" s="1" t="s">
        <v>1828</v>
      </c>
      <c r="C770" s="1" t="s">
        <v>1172</v>
      </c>
      <c r="D770" s="1" t="s">
        <v>28</v>
      </c>
      <c r="E770" s="11">
        <f t="shared" si="2"/>
        <v>47.2</v>
      </c>
      <c r="F770" s="11">
        <f t="shared" si="3"/>
        <v>1.627586207</v>
      </c>
      <c r="G770" s="1">
        <v>29.0</v>
      </c>
      <c r="H770" s="1">
        <v>0.0</v>
      </c>
      <c r="I770" s="1">
        <v>6.0</v>
      </c>
      <c r="J770" s="1">
        <v>6.0</v>
      </c>
      <c r="K770" s="1">
        <v>24.0</v>
      </c>
      <c r="L770" s="1">
        <v>0.0</v>
      </c>
      <c r="M770" s="1">
        <v>1.0</v>
      </c>
      <c r="N770" s="1">
        <v>0.0</v>
      </c>
      <c r="O770" s="1">
        <v>0.0</v>
      </c>
      <c r="P770" s="1">
        <v>22.0</v>
      </c>
      <c r="Q770" s="1">
        <v>19.0</v>
      </c>
      <c r="V770" s="2">
        <f>VLOOKUP(B770,'202324'!B:C,2,FALSE)-A770</f>
        <v>-1</v>
      </c>
    </row>
    <row r="771">
      <c r="A771" s="1">
        <f t="shared" si="1"/>
        <v>769</v>
      </c>
      <c r="B771" s="1" t="s">
        <v>1829</v>
      </c>
      <c r="C771" s="1" t="s">
        <v>1106</v>
      </c>
      <c r="D771" s="1" t="s">
        <v>36</v>
      </c>
      <c r="E771" s="11">
        <f t="shared" si="2"/>
        <v>47.15</v>
      </c>
      <c r="F771" s="11">
        <f t="shared" si="3"/>
        <v>2.245238095</v>
      </c>
      <c r="G771" s="1">
        <v>21.0</v>
      </c>
      <c r="H771" s="1">
        <v>2.0</v>
      </c>
      <c r="I771" s="1">
        <v>4.0</v>
      </c>
      <c r="J771" s="1">
        <v>6.0</v>
      </c>
      <c r="K771" s="1">
        <v>42.0</v>
      </c>
      <c r="L771" s="1">
        <v>0.0</v>
      </c>
      <c r="M771" s="1">
        <v>0.0</v>
      </c>
      <c r="N771" s="1">
        <v>0.0</v>
      </c>
      <c r="O771" s="1">
        <v>0.0</v>
      </c>
      <c r="P771" s="1">
        <v>9.0</v>
      </c>
      <c r="Q771" s="1">
        <v>4.0</v>
      </c>
      <c r="V771" s="2">
        <f>VLOOKUP(B771,'202324'!B:C,2,FALSE)-A771</f>
        <v>-9</v>
      </c>
    </row>
    <row r="772">
      <c r="A772" s="1">
        <f t="shared" si="1"/>
        <v>770</v>
      </c>
      <c r="B772" s="1" t="s">
        <v>1830</v>
      </c>
      <c r="C772" s="1" t="s">
        <v>1082</v>
      </c>
      <c r="D772" s="1" t="s">
        <v>66</v>
      </c>
      <c r="E772" s="11">
        <f t="shared" si="2"/>
        <v>46.6</v>
      </c>
      <c r="F772" s="11">
        <f t="shared" si="3"/>
        <v>1.941666667</v>
      </c>
      <c r="G772" s="1">
        <v>24.0</v>
      </c>
      <c r="H772" s="1">
        <v>1.0</v>
      </c>
      <c r="I772" s="1">
        <v>3.0</v>
      </c>
      <c r="J772" s="1">
        <v>4.0</v>
      </c>
      <c r="K772" s="1">
        <v>24.0</v>
      </c>
      <c r="L772" s="1">
        <v>0.0</v>
      </c>
      <c r="M772" s="1">
        <v>0.0</v>
      </c>
      <c r="N772" s="1">
        <v>0.0</v>
      </c>
      <c r="O772" s="1">
        <v>0.0</v>
      </c>
      <c r="P772" s="1">
        <v>16.0</v>
      </c>
      <c r="Q772" s="1">
        <v>31.0</v>
      </c>
      <c r="V772" s="2">
        <f>VLOOKUP(B772,'202324'!B:C,2,FALSE)-A772</f>
        <v>-3</v>
      </c>
    </row>
    <row r="773">
      <c r="A773" s="1">
        <f t="shared" si="1"/>
        <v>771</v>
      </c>
      <c r="B773" s="1" t="s">
        <v>1831</v>
      </c>
      <c r="C773" s="1" t="s">
        <v>1054</v>
      </c>
      <c r="D773" s="1" t="s">
        <v>66</v>
      </c>
      <c r="E773" s="11">
        <f t="shared" si="2"/>
        <v>44.9</v>
      </c>
      <c r="F773" s="11">
        <f t="shared" si="3"/>
        <v>2.80625</v>
      </c>
      <c r="G773" s="1">
        <v>16.0</v>
      </c>
      <c r="H773" s="1">
        <v>0.0</v>
      </c>
      <c r="I773" s="1">
        <v>5.0</v>
      </c>
      <c r="J773" s="1">
        <v>5.0</v>
      </c>
      <c r="K773" s="1">
        <v>21.0</v>
      </c>
      <c r="L773" s="1">
        <v>0.0</v>
      </c>
      <c r="M773" s="1">
        <v>3.0</v>
      </c>
      <c r="N773" s="1">
        <v>0.0</v>
      </c>
      <c r="O773" s="1">
        <v>0.0</v>
      </c>
      <c r="P773" s="1">
        <v>14.0</v>
      </c>
      <c r="Q773" s="1">
        <v>29.0</v>
      </c>
      <c r="V773" s="2">
        <f>VLOOKUP(B773,'202324'!B:C,2,FALSE)-A773</f>
        <v>-1</v>
      </c>
    </row>
    <row r="774">
      <c r="A774" s="1">
        <f t="shared" si="1"/>
        <v>772</v>
      </c>
      <c r="B774" s="1" t="s">
        <v>1832</v>
      </c>
      <c r="C774" s="1" t="s">
        <v>1087</v>
      </c>
      <c r="D774" s="1" t="s">
        <v>66</v>
      </c>
      <c r="E774" s="11">
        <f t="shared" si="2"/>
        <v>44.3</v>
      </c>
      <c r="F774" s="11">
        <f t="shared" si="3"/>
        <v>1.640740741</v>
      </c>
      <c r="G774" s="1">
        <v>27.0</v>
      </c>
      <c r="H774" s="1">
        <v>0.0</v>
      </c>
      <c r="I774" s="1">
        <v>0.0</v>
      </c>
      <c r="J774" s="1">
        <v>0.0</v>
      </c>
      <c r="K774" s="1">
        <v>11.0</v>
      </c>
      <c r="L774" s="1">
        <v>0.0</v>
      </c>
      <c r="M774" s="1">
        <v>0.0</v>
      </c>
      <c r="N774" s="1">
        <v>0.0</v>
      </c>
      <c r="O774" s="1">
        <v>0.0</v>
      </c>
      <c r="P774" s="1">
        <v>38.0</v>
      </c>
      <c r="Q774" s="1">
        <v>51.0</v>
      </c>
      <c r="V774" s="2">
        <f>VLOOKUP(B774,'202324'!B:C,2,FALSE)-A774</f>
        <v>2</v>
      </c>
    </row>
    <row r="775">
      <c r="A775" s="1">
        <f t="shared" si="1"/>
        <v>773</v>
      </c>
      <c r="B775" s="1" t="s">
        <v>1833</v>
      </c>
      <c r="C775" s="1" t="s">
        <v>1054</v>
      </c>
      <c r="D775" s="1" t="s">
        <v>28</v>
      </c>
      <c r="E775" s="11">
        <f t="shared" si="2"/>
        <v>43.7</v>
      </c>
      <c r="F775" s="11">
        <f t="shared" si="3"/>
        <v>1.0925</v>
      </c>
      <c r="G775" s="1">
        <v>40.0</v>
      </c>
      <c r="H775" s="1">
        <v>2.0</v>
      </c>
      <c r="I775" s="1">
        <v>3.0</v>
      </c>
      <c r="J775" s="1">
        <v>5.0</v>
      </c>
      <c r="K775" s="1">
        <v>22.0</v>
      </c>
      <c r="L775" s="1">
        <v>0.0</v>
      </c>
      <c r="M775" s="1">
        <v>0.0</v>
      </c>
      <c r="N775" s="1">
        <v>0.0</v>
      </c>
      <c r="O775" s="1">
        <v>0.0</v>
      </c>
      <c r="P775" s="1">
        <v>22.0</v>
      </c>
      <c r="Q775" s="1">
        <v>14.0</v>
      </c>
      <c r="V775" s="2">
        <f>VLOOKUP(B775,'202324'!B:C,2,FALSE)-A775</f>
        <v>0</v>
      </c>
    </row>
    <row r="776">
      <c r="A776" s="1">
        <f t="shared" si="1"/>
        <v>774</v>
      </c>
      <c r="B776" s="1" t="s">
        <v>1834</v>
      </c>
      <c r="C776" s="1" t="s">
        <v>1080</v>
      </c>
      <c r="D776" s="1" t="s">
        <v>31</v>
      </c>
      <c r="E776" s="11">
        <f t="shared" si="2"/>
        <v>43.55</v>
      </c>
      <c r="F776" s="11">
        <f t="shared" si="3"/>
        <v>2.903333333</v>
      </c>
      <c r="G776" s="1">
        <v>15.0</v>
      </c>
      <c r="H776" s="1">
        <v>2.0</v>
      </c>
      <c r="I776" s="1">
        <v>6.0</v>
      </c>
      <c r="J776" s="1">
        <v>8.0</v>
      </c>
      <c r="K776" s="1">
        <v>20.0</v>
      </c>
      <c r="L776" s="1">
        <v>1.0</v>
      </c>
      <c r="M776" s="1">
        <v>1.0</v>
      </c>
      <c r="N776" s="1">
        <v>0.0</v>
      </c>
      <c r="O776" s="1">
        <v>0.0</v>
      </c>
      <c r="P776" s="1">
        <v>13.0</v>
      </c>
      <c r="Q776" s="1">
        <v>4.0</v>
      </c>
      <c r="V776" s="2">
        <f>VLOOKUP(B776,'202324'!B:C,2,FALSE)-A776</f>
        <v>-2</v>
      </c>
    </row>
    <row r="777">
      <c r="A777" s="1">
        <f t="shared" si="1"/>
        <v>775</v>
      </c>
      <c r="B777" s="1" t="s">
        <v>1835</v>
      </c>
      <c r="C777" s="1" t="s">
        <v>1116</v>
      </c>
      <c r="D777" s="1" t="s">
        <v>28</v>
      </c>
      <c r="E777" s="11">
        <f t="shared" si="2"/>
        <v>43.5</v>
      </c>
      <c r="F777" s="11">
        <f t="shared" si="3"/>
        <v>1.673076923</v>
      </c>
      <c r="G777" s="1">
        <v>26.0</v>
      </c>
      <c r="H777" s="1">
        <v>2.0</v>
      </c>
      <c r="I777" s="1">
        <v>3.0</v>
      </c>
      <c r="J777" s="1">
        <v>5.0</v>
      </c>
      <c r="K777" s="1">
        <v>23.0</v>
      </c>
      <c r="L777" s="1">
        <v>0.0</v>
      </c>
      <c r="M777" s="1">
        <v>0.0</v>
      </c>
      <c r="N777" s="1">
        <v>0.0</v>
      </c>
      <c r="O777" s="1">
        <v>0.0</v>
      </c>
      <c r="P777" s="1">
        <v>30.0</v>
      </c>
      <c r="Q777" s="1">
        <v>7.0</v>
      </c>
      <c r="V777" s="2">
        <f>VLOOKUP(B777,'202324'!B:C,2,FALSE)-A777</f>
        <v>-1</v>
      </c>
    </row>
    <row r="778">
      <c r="A778" s="1">
        <f t="shared" si="1"/>
        <v>776</v>
      </c>
      <c r="B778" s="1" t="s">
        <v>1836</v>
      </c>
      <c r="C778" s="1" t="s">
        <v>1044</v>
      </c>
      <c r="D778" s="1" t="s">
        <v>31</v>
      </c>
      <c r="E778" s="11">
        <f t="shared" si="2"/>
        <v>43.25</v>
      </c>
      <c r="F778" s="11">
        <f t="shared" si="3"/>
        <v>1.441666667</v>
      </c>
      <c r="G778" s="1">
        <v>30.0</v>
      </c>
      <c r="H778" s="1">
        <v>2.0</v>
      </c>
      <c r="I778" s="1">
        <v>1.0</v>
      </c>
      <c r="J778" s="1">
        <v>3.0</v>
      </c>
      <c r="K778" s="1">
        <v>17.0</v>
      </c>
      <c r="L778" s="1">
        <v>0.0</v>
      </c>
      <c r="M778" s="1">
        <v>0.0</v>
      </c>
      <c r="N778" s="1">
        <v>0.0</v>
      </c>
      <c r="O778" s="1">
        <v>0.0</v>
      </c>
      <c r="P778" s="1">
        <v>55.0</v>
      </c>
      <c r="Q778" s="1">
        <v>7.0</v>
      </c>
      <c r="V778" s="2">
        <f>VLOOKUP(B778,'202324'!B:C,2,FALSE)-A778</f>
        <v>2</v>
      </c>
    </row>
    <row r="779">
      <c r="A779" s="1">
        <f t="shared" si="1"/>
        <v>777</v>
      </c>
      <c r="B779" s="1" t="s">
        <v>1837</v>
      </c>
      <c r="C779" s="1" t="s">
        <v>1046</v>
      </c>
      <c r="D779" s="1" t="s">
        <v>36</v>
      </c>
      <c r="E779" s="11">
        <f t="shared" si="2"/>
        <v>42.35</v>
      </c>
      <c r="F779" s="11">
        <f t="shared" si="3"/>
        <v>2.228947368</v>
      </c>
      <c r="G779" s="1">
        <v>19.0</v>
      </c>
      <c r="H779" s="1">
        <v>0.0</v>
      </c>
      <c r="I779" s="1">
        <v>2.0</v>
      </c>
      <c r="J779" s="1">
        <v>2.0</v>
      </c>
      <c r="K779" s="1">
        <v>20.0</v>
      </c>
      <c r="L779" s="1">
        <v>0.0</v>
      </c>
      <c r="M779" s="1">
        <v>0.0</v>
      </c>
      <c r="N779" s="1">
        <v>0.0</v>
      </c>
      <c r="O779" s="1">
        <v>0.0</v>
      </c>
      <c r="P779" s="1">
        <v>71.0</v>
      </c>
      <c r="Q779" s="1">
        <v>3.0</v>
      </c>
      <c r="V779" s="2">
        <f>VLOOKUP(B779,'202324'!B:C,2,FALSE)-A779</f>
        <v>8</v>
      </c>
    </row>
    <row r="780">
      <c r="A780" s="1">
        <f t="shared" si="1"/>
        <v>778</v>
      </c>
      <c r="B780" s="1" t="s">
        <v>1838</v>
      </c>
      <c r="C780" s="1" t="s">
        <v>1111</v>
      </c>
      <c r="D780" s="1" t="s">
        <v>31</v>
      </c>
      <c r="E780" s="11">
        <f t="shared" si="2"/>
        <v>41.5</v>
      </c>
      <c r="F780" s="11">
        <f t="shared" si="3"/>
        <v>2.59375</v>
      </c>
      <c r="G780" s="1">
        <v>16.0</v>
      </c>
      <c r="H780" s="1">
        <v>2.0</v>
      </c>
      <c r="I780" s="1">
        <v>6.0</v>
      </c>
      <c r="J780" s="1">
        <v>8.0</v>
      </c>
      <c r="K780" s="1">
        <v>12.0</v>
      </c>
      <c r="L780" s="1">
        <v>0.0</v>
      </c>
      <c r="M780" s="1">
        <v>0.0</v>
      </c>
      <c r="N780" s="1">
        <v>0.0</v>
      </c>
      <c r="O780" s="1">
        <v>0.0</v>
      </c>
      <c r="P780" s="1">
        <v>10.0</v>
      </c>
      <c r="Q780" s="1">
        <v>10.0</v>
      </c>
      <c r="V780" s="2">
        <f>VLOOKUP(B780,'202324'!B:C,2,FALSE)-A780</f>
        <v>-4</v>
      </c>
    </row>
    <row r="781">
      <c r="A781" s="1">
        <f t="shared" si="1"/>
        <v>779</v>
      </c>
      <c r="B781" s="1" t="s">
        <v>1839</v>
      </c>
      <c r="C781" s="1" t="s">
        <v>1065</v>
      </c>
      <c r="D781" s="1" t="s">
        <v>28</v>
      </c>
      <c r="E781" s="11">
        <f t="shared" si="2"/>
        <v>40.6</v>
      </c>
      <c r="F781" s="11">
        <f t="shared" si="3"/>
        <v>1.691666667</v>
      </c>
      <c r="G781" s="1">
        <v>24.0</v>
      </c>
      <c r="H781" s="1">
        <v>1.0</v>
      </c>
      <c r="I781" s="1">
        <v>2.0</v>
      </c>
      <c r="J781" s="1">
        <v>3.0</v>
      </c>
      <c r="K781" s="1">
        <v>24.0</v>
      </c>
      <c r="L781" s="1">
        <v>0.0</v>
      </c>
      <c r="M781" s="1">
        <v>0.0</v>
      </c>
      <c r="N781" s="1">
        <v>0.0</v>
      </c>
      <c r="O781" s="1">
        <v>0.0</v>
      </c>
      <c r="P781" s="1">
        <v>36.0</v>
      </c>
      <c r="Q781" s="1">
        <v>11.0</v>
      </c>
      <c r="V781" s="2">
        <f>VLOOKUP(B781,'202324'!B:C,2,FALSE)-A781</f>
        <v>1</v>
      </c>
    </row>
    <row r="782">
      <c r="A782" s="1">
        <f t="shared" si="1"/>
        <v>780</v>
      </c>
      <c r="B782" s="1" t="s">
        <v>1840</v>
      </c>
      <c r="C782" s="1" t="s">
        <v>1048</v>
      </c>
      <c r="D782" s="1" t="s">
        <v>66</v>
      </c>
      <c r="E782" s="11">
        <f t="shared" si="2"/>
        <v>40.55</v>
      </c>
      <c r="F782" s="11">
        <f t="shared" si="3"/>
        <v>1.559615385</v>
      </c>
      <c r="G782" s="1">
        <v>26.0</v>
      </c>
      <c r="H782" s="1">
        <v>1.0</v>
      </c>
      <c r="I782" s="1">
        <v>2.0</v>
      </c>
      <c r="J782" s="1">
        <v>3.0</v>
      </c>
      <c r="K782" s="1">
        <v>22.0</v>
      </c>
      <c r="L782" s="1">
        <v>0.0</v>
      </c>
      <c r="M782" s="1">
        <v>0.0</v>
      </c>
      <c r="N782" s="1">
        <v>0.0</v>
      </c>
      <c r="O782" s="1">
        <v>0.0</v>
      </c>
      <c r="P782" s="1">
        <v>33.0</v>
      </c>
      <c r="Q782" s="1">
        <v>15.0</v>
      </c>
      <c r="V782" s="2">
        <f>VLOOKUP(B782,'202324'!B:C,2,FALSE)-A782</f>
        <v>-1</v>
      </c>
    </row>
    <row r="783">
      <c r="A783" s="1">
        <f t="shared" si="1"/>
        <v>781</v>
      </c>
      <c r="B783" s="1" t="s">
        <v>1841</v>
      </c>
      <c r="C783" s="1" t="s">
        <v>1046</v>
      </c>
      <c r="D783" s="1" t="s">
        <v>66</v>
      </c>
      <c r="E783" s="11">
        <f t="shared" si="2"/>
        <v>40.05</v>
      </c>
      <c r="F783" s="11">
        <f t="shared" si="3"/>
        <v>1.741304348</v>
      </c>
      <c r="G783" s="1">
        <v>23.0</v>
      </c>
      <c r="H783" s="1">
        <v>0.0</v>
      </c>
      <c r="I783" s="1">
        <v>1.0</v>
      </c>
      <c r="J783" s="1">
        <v>1.0</v>
      </c>
      <c r="K783" s="1">
        <v>16.0</v>
      </c>
      <c r="L783" s="1">
        <v>0.0</v>
      </c>
      <c r="M783" s="1">
        <v>0.0</v>
      </c>
      <c r="N783" s="1">
        <v>0.0</v>
      </c>
      <c r="O783" s="1">
        <v>0.0</v>
      </c>
      <c r="P783" s="1">
        <v>33.0</v>
      </c>
      <c r="Q783" s="1">
        <v>35.0</v>
      </c>
      <c r="V783" s="2">
        <f>VLOOKUP(B783,'202324'!B:C,2,FALSE)-A783</f>
        <v>1</v>
      </c>
    </row>
    <row r="784">
      <c r="A784" s="1">
        <f t="shared" si="1"/>
        <v>782</v>
      </c>
      <c r="B784" s="1" t="s">
        <v>1842</v>
      </c>
      <c r="C784" s="1" t="s">
        <v>1030</v>
      </c>
      <c r="D784" s="1" t="s">
        <v>5</v>
      </c>
      <c r="E784" s="11">
        <f t="shared" si="2"/>
        <v>39.6</v>
      </c>
      <c r="F784" s="11">
        <f t="shared" si="3"/>
        <v>3.6</v>
      </c>
      <c r="G784" s="1">
        <v>11.0</v>
      </c>
      <c r="R784" s="1">
        <v>4.0</v>
      </c>
      <c r="S784" s="1">
        <v>26.0</v>
      </c>
      <c r="T784" s="1">
        <v>222.0</v>
      </c>
      <c r="U784" s="1">
        <v>0.0</v>
      </c>
      <c r="V784" s="2">
        <f>VLOOKUP(B784,'202324'!B:C,2,FALSE)-A784</f>
        <v>-5</v>
      </c>
    </row>
    <row r="785">
      <c r="A785" s="1">
        <f t="shared" si="1"/>
        <v>782</v>
      </c>
      <c r="B785" s="1" t="s">
        <v>1843</v>
      </c>
      <c r="C785" s="1" t="s">
        <v>1036</v>
      </c>
      <c r="D785" s="1" t="s">
        <v>36</v>
      </c>
      <c r="E785" s="11">
        <f t="shared" si="2"/>
        <v>39.6</v>
      </c>
      <c r="F785" s="11">
        <f t="shared" si="3"/>
        <v>1.65</v>
      </c>
      <c r="G785" s="1">
        <v>24.0</v>
      </c>
      <c r="H785" s="1">
        <v>1.0</v>
      </c>
      <c r="I785" s="1">
        <v>1.0</v>
      </c>
      <c r="J785" s="1">
        <v>2.0</v>
      </c>
      <c r="K785" s="1">
        <v>13.0</v>
      </c>
      <c r="L785" s="1">
        <v>0.0</v>
      </c>
      <c r="M785" s="1">
        <v>0.0</v>
      </c>
      <c r="N785" s="1">
        <v>0.0</v>
      </c>
      <c r="O785" s="1">
        <v>0.0</v>
      </c>
      <c r="P785" s="1">
        <v>66.0</v>
      </c>
      <c r="Q785" s="1">
        <v>5.0</v>
      </c>
      <c r="V785" s="2">
        <f>VLOOKUP(B785,'202324'!B:C,2,FALSE)-A785</f>
        <v>9</v>
      </c>
    </row>
    <row r="786">
      <c r="A786" s="1">
        <f t="shared" si="1"/>
        <v>784</v>
      </c>
      <c r="B786" s="1" t="s">
        <v>1844</v>
      </c>
      <c r="C786" s="1" t="s">
        <v>1069</v>
      </c>
      <c r="D786" s="1" t="s">
        <v>66</v>
      </c>
      <c r="E786" s="11">
        <f t="shared" si="2"/>
        <v>39.2</v>
      </c>
      <c r="F786" s="11">
        <f t="shared" si="3"/>
        <v>1.781818182</v>
      </c>
      <c r="G786" s="1">
        <v>22.0</v>
      </c>
      <c r="H786" s="1">
        <v>0.0</v>
      </c>
      <c r="I786" s="1">
        <v>2.0</v>
      </c>
      <c r="J786" s="1">
        <v>2.0</v>
      </c>
      <c r="K786" s="1">
        <v>18.0</v>
      </c>
      <c r="L786" s="1">
        <v>0.0</v>
      </c>
      <c r="M786" s="1">
        <v>0.0</v>
      </c>
      <c r="N786" s="1">
        <v>0.0</v>
      </c>
      <c r="O786" s="1">
        <v>0.0</v>
      </c>
      <c r="P786" s="1">
        <v>22.0</v>
      </c>
      <c r="Q786" s="1">
        <v>33.0</v>
      </c>
      <c r="V786" s="2">
        <f>VLOOKUP(B786,'202324'!B:C,2,FALSE)-A786</f>
        <v>-4</v>
      </c>
    </row>
    <row r="787">
      <c r="A787" s="1">
        <f t="shared" si="1"/>
        <v>785</v>
      </c>
      <c r="B787" s="1" t="s">
        <v>1845</v>
      </c>
      <c r="C787" s="1" t="s">
        <v>1082</v>
      </c>
      <c r="D787" s="1" t="s">
        <v>31</v>
      </c>
      <c r="E787" s="11">
        <f t="shared" si="2"/>
        <v>37.3</v>
      </c>
      <c r="F787" s="11">
        <f t="shared" si="3"/>
        <v>1.203225806</v>
      </c>
      <c r="G787" s="1">
        <v>31.0</v>
      </c>
      <c r="H787" s="1">
        <v>1.0</v>
      </c>
      <c r="I787" s="1">
        <v>4.0</v>
      </c>
      <c r="J787" s="1">
        <v>5.0</v>
      </c>
      <c r="K787" s="1">
        <v>21.0</v>
      </c>
      <c r="L787" s="1">
        <v>0.0</v>
      </c>
      <c r="M787" s="1">
        <v>0.0</v>
      </c>
      <c r="N787" s="1">
        <v>0.0</v>
      </c>
      <c r="O787" s="1">
        <v>0.0</v>
      </c>
      <c r="P787" s="1">
        <v>8.0</v>
      </c>
      <c r="Q787" s="1">
        <v>15.0</v>
      </c>
      <c r="V787" s="2">
        <f>VLOOKUP(B787,'202324'!B:C,2,FALSE)-A787</f>
        <v>-2</v>
      </c>
    </row>
    <row r="788">
      <c r="A788" s="1">
        <f t="shared" si="1"/>
        <v>786</v>
      </c>
      <c r="B788" s="1" t="s">
        <v>1846</v>
      </c>
      <c r="C788" s="1" t="s">
        <v>1076</v>
      </c>
      <c r="D788" s="1" t="s">
        <v>28</v>
      </c>
      <c r="E788" s="11">
        <f t="shared" si="2"/>
        <v>36.55</v>
      </c>
      <c r="F788" s="11">
        <f t="shared" si="3"/>
        <v>2.030555556</v>
      </c>
      <c r="G788" s="1">
        <v>18.0</v>
      </c>
      <c r="H788" s="1">
        <v>3.0</v>
      </c>
      <c r="I788" s="1">
        <v>1.0</v>
      </c>
      <c r="J788" s="1">
        <v>4.0</v>
      </c>
      <c r="K788" s="1">
        <v>17.0</v>
      </c>
      <c r="L788" s="1">
        <v>0.0</v>
      </c>
      <c r="M788" s="1">
        <v>0.0</v>
      </c>
      <c r="N788" s="1">
        <v>0.0</v>
      </c>
      <c r="O788" s="1">
        <v>0.0</v>
      </c>
      <c r="P788" s="1">
        <v>23.0</v>
      </c>
      <c r="Q788" s="1">
        <v>7.0</v>
      </c>
      <c r="V788" s="2">
        <f>VLOOKUP(B788,'202324'!B:C,2,FALSE)-A788</f>
        <v>1</v>
      </c>
    </row>
    <row r="789">
      <c r="A789" s="1">
        <f t="shared" si="1"/>
        <v>787</v>
      </c>
      <c r="B789" s="1" t="s">
        <v>1847</v>
      </c>
      <c r="C789" s="1" t="s">
        <v>1036</v>
      </c>
      <c r="D789" s="1" t="s">
        <v>31</v>
      </c>
      <c r="E789" s="11">
        <f t="shared" si="2"/>
        <v>36.4</v>
      </c>
      <c r="F789" s="11">
        <f t="shared" si="3"/>
        <v>1.174193548</v>
      </c>
      <c r="G789" s="1">
        <v>31.0</v>
      </c>
      <c r="H789" s="1">
        <v>2.0</v>
      </c>
      <c r="I789" s="1">
        <v>1.0</v>
      </c>
      <c r="J789" s="1">
        <v>3.0</v>
      </c>
      <c r="K789" s="1">
        <v>18.0</v>
      </c>
      <c r="L789" s="1">
        <v>0.0</v>
      </c>
      <c r="M789" s="1">
        <v>0.0</v>
      </c>
      <c r="N789" s="1">
        <v>0.0</v>
      </c>
      <c r="O789" s="1">
        <v>0.0</v>
      </c>
      <c r="P789" s="1">
        <v>14.0</v>
      </c>
      <c r="Q789" s="1">
        <v>21.0</v>
      </c>
      <c r="V789" s="2">
        <f>VLOOKUP(B789,'202324'!B:C,2,FALSE)-A789</f>
        <v>-1</v>
      </c>
    </row>
    <row r="790">
      <c r="A790" s="1">
        <f t="shared" si="1"/>
        <v>788</v>
      </c>
      <c r="B790" s="1" t="s">
        <v>1848</v>
      </c>
      <c r="C790" s="1" t="s">
        <v>1156</v>
      </c>
      <c r="D790" s="1" t="s">
        <v>28</v>
      </c>
      <c r="E790" s="11">
        <f t="shared" si="2"/>
        <v>36.35</v>
      </c>
      <c r="F790" s="11">
        <f t="shared" si="3"/>
        <v>3.304545455</v>
      </c>
      <c r="G790" s="1">
        <v>11.0</v>
      </c>
      <c r="H790" s="1">
        <v>2.0</v>
      </c>
      <c r="I790" s="1">
        <v>2.0</v>
      </c>
      <c r="J790" s="1">
        <v>4.0</v>
      </c>
      <c r="K790" s="1">
        <v>12.0</v>
      </c>
      <c r="L790" s="1">
        <v>0.0</v>
      </c>
      <c r="M790" s="1">
        <v>0.0</v>
      </c>
      <c r="N790" s="1">
        <v>0.0</v>
      </c>
      <c r="O790" s="1">
        <v>0.0</v>
      </c>
      <c r="P790" s="1">
        <v>41.0</v>
      </c>
      <c r="Q790" s="1">
        <v>2.0</v>
      </c>
      <c r="V790" s="2">
        <f>VLOOKUP(B790,'202324'!B:C,2,FALSE)-A790</f>
        <v>6</v>
      </c>
    </row>
    <row r="791">
      <c r="A791" s="1">
        <f t="shared" si="1"/>
        <v>789</v>
      </c>
      <c r="B791" s="1" t="s">
        <v>1849</v>
      </c>
      <c r="C791" s="1" t="s">
        <v>1116</v>
      </c>
      <c r="D791" s="1" t="s">
        <v>28</v>
      </c>
      <c r="E791" s="11">
        <f t="shared" si="2"/>
        <v>36.1</v>
      </c>
      <c r="F791" s="11">
        <f t="shared" si="3"/>
        <v>2.406666667</v>
      </c>
      <c r="G791" s="1">
        <v>15.0</v>
      </c>
      <c r="H791" s="1">
        <v>1.0</v>
      </c>
      <c r="I791" s="1">
        <v>4.0</v>
      </c>
      <c r="J791" s="1">
        <v>5.0</v>
      </c>
      <c r="K791" s="1">
        <v>12.0</v>
      </c>
      <c r="L791" s="1">
        <v>0.0</v>
      </c>
      <c r="M791" s="1">
        <v>0.0</v>
      </c>
      <c r="N791" s="1">
        <v>0.0</v>
      </c>
      <c r="O791" s="1">
        <v>0.0</v>
      </c>
      <c r="P791" s="1">
        <v>26.0</v>
      </c>
      <c r="Q791" s="1">
        <v>9.0</v>
      </c>
      <c r="V791" s="2">
        <f>VLOOKUP(B791,'202324'!B:C,2,FALSE)-A791</f>
        <v>1</v>
      </c>
    </row>
    <row r="792">
      <c r="A792" s="1">
        <f t="shared" si="1"/>
        <v>790</v>
      </c>
      <c r="B792" s="1" t="s">
        <v>1850</v>
      </c>
      <c r="C792" s="1" t="s">
        <v>1042</v>
      </c>
      <c r="D792" s="1" t="s">
        <v>66</v>
      </c>
      <c r="E792" s="11">
        <f t="shared" si="2"/>
        <v>35.7</v>
      </c>
      <c r="F792" s="11">
        <f t="shared" si="3"/>
        <v>1.785</v>
      </c>
      <c r="G792" s="1">
        <v>20.0</v>
      </c>
      <c r="H792" s="1">
        <v>2.0</v>
      </c>
      <c r="I792" s="1">
        <v>2.0</v>
      </c>
      <c r="J792" s="1">
        <v>4.0</v>
      </c>
      <c r="K792" s="1">
        <v>11.0</v>
      </c>
      <c r="L792" s="1">
        <v>0.0</v>
      </c>
      <c r="M792" s="1">
        <v>0.0</v>
      </c>
      <c r="N792" s="1">
        <v>0.0</v>
      </c>
      <c r="O792" s="1">
        <v>0.0</v>
      </c>
      <c r="P792" s="1">
        <v>2.0</v>
      </c>
      <c r="Q792" s="1">
        <v>29.0</v>
      </c>
      <c r="V792" s="2">
        <f>VLOOKUP(B792,'202324'!B:C,2,FALSE)-A792</f>
        <v>-6</v>
      </c>
    </row>
    <row r="793">
      <c r="A793" s="1">
        <f t="shared" si="1"/>
        <v>791</v>
      </c>
      <c r="B793" s="1" t="s">
        <v>1851</v>
      </c>
      <c r="C793" s="1" t="s">
        <v>1091</v>
      </c>
      <c r="D793" s="1" t="s">
        <v>66</v>
      </c>
      <c r="E793" s="11">
        <f t="shared" si="2"/>
        <v>35.6</v>
      </c>
      <c r="F793" s="11">
        <f t="shared" si="3"/>
        <v>2.966666667</v>
      </c>
      <c r="G793" s="1">
        <v>12.0</v>
      </c>
      <c r="H793" s="1">
        <v>2.0</v>
      </c>
      <c r="I793" s="1">
        <v>2.0</v>
      </c>
      <c r="J793" s="1">
        <v>4.0</v>
      </c>
      <c r="K793" s="1">
        <v>12.0</v>
      </c>
      <c r="L793" s="1">
        <v>0.0</v>
      </c>
      <c r="M793" s="1">
        <v>0.0</v>
      </c>
      <c r="N793" s="1">
        <v>0.0</v>
      </c>
      <c r="O793" s="1">
        <v>0.0</v>
      </c>
      <c r="P793" s="1">
        <v>16.0</v>
      </c>
      <c r="Q793" s="1">
        <v>18.0</v>
      </c>
      <c r="V793" s="2">
        <f>VLOOKUP(B793,'202324'!B:C,2,FALSE)-A793</f>
        <v>-3</v>
      </c>
    </row>
    <row r="794">
      <c r="A794" s="1">
        <f t="shared" si="1"/>
        <v>791</v>
      </c>
      <c r="B794" s="1" t="s">
        <v>1852</v>
      </c>
      <c r="C794" s="1" t="s">
        <v>1120</v>
      </c>
      <c r="D794" s="1" t="s">
        <v>66</v>
      </c>
      <c r="E794" s="11">
        <f t="shared" si="2"/>
        <v>35.6</v>
      </c>
      <c r="F794" s="11">
        <f t="shared" si="3"/>
        <v>2.225</v>
      </c>
      <c r="G794" s="1">
        <v>16.0</v>
      </c>
      <c r="H794" s="1">
        <v>1.0</v>
      </c>
      <c r="I794" s="1">
        <v>1.0</v>
      </c>
      <c r="J794" s="1">
        <v>2.0</v>
      </c>
      <c r="K794" s="1">
        <v>13.0</v>
      </c>
      <c r="L794" s="1">
        <v>0.0</v>
      </c>
      <c r="M794" s="1">
        <v>0.0</v>
      </c>
      <c r="N794" s="1">
        <v>0.0</v>
      </c>
      <c r="O794" s="1">
        <v>0.0</v>
      </c>
      <c r="P794" s="1">
        <v>26.0</v>
      </c>
      <c r="Q794" s="1">
        <v>25.0</v>
      </c>
      <c r="V794" s="2">
        <f>VLOOKUP(B794,'202324'!B:C,2,FALSE)-A794</f>
        <v>0</v>
      </c>
    </row>
    <row r="795">
      <c r="A795" s="1">
        <f t="shared" si="1"/>
        <v>793</v>
      </c>
      <c r="B795" s="1" t="s">
        <v>1853</v>
      </c>
      <c r="C795" s="1" t="s">
        <v>1048</v>
      </c>
      <c r="D795" s="1" t="s">
        <v>36</v>
      </c>
      <c r="E795" s="11">
        <f t="shared" si="2"/>
        <v>35.4</v>
      </c>
      <c r="F795" s="11">
        <f t="shared" si="3"/>
        <v>1.361538462</v>
      </c>
      <c r="G795" s="1">
        <v>26.0</v>
      </c>
      <c r="H795" s="1">
        <v>0.0</v>
      </c>
      <c r="I795" s="1">
        <v>1.0</v>
      </c>
      <c r="J795" s="1">
        <v>1.0</v>
      </c>
      <c r="K795" s="1">
        <v>19.0</v>
      </c>
      <c r="L795" s="1">
        <v>0.0</v>
      </c>
      <c r="M795" s="1">
        <v>0.0</v>
      </c>
      <c r="N795" s="1">
        <v>0.0</v>
      </c>
      <c r="O795" s="1">
        <v>0.0</v>
      </c>
      <c r="P795" s="1">
        <v>54.0</v>
      </c>
      <c r="Q795" s="1">
        <v>8.0</v>
      </c>
      <c r="V795" s="2">
        <f>VLOOKUP(B795,'202324'!B:C,2,FALSE)-A795</f>
        <v>11</v>
      </c>
    </row>
    <row r="796">
      <c r="A796" s="1">
        <f t="shared" si="1"/>
        <v>794</v>
      </c>
      <c r="B796" s="1" t="s">
        <v>1854</v>
      </c>
      <c r="C796" s="1" t="s">
        <v>1146</v>
      </c>
      <c r="D796" s="1" t="s">
        <v>31</v>
      </c>
      <c r="E796" s="11">
        <f t="shared" si="2"/>
        <v>34.95</v>
      </c>
      <c r="F796" s="11">
        <f t="shared" si="3"/>
        <v>1.664285714</v>
      </c>
      <c r="G796" s="1">
        <v>21.0</v>
      </c>
      <c r="H796" s="1">
        <v>1.0</v>
      </c>
      <c r="I796" s="1">
        <v>3.0</v>
      </c>
      <c r="J796" s="1">
        <v>4.0</v>
      </c>
      <c r="K796" s="1">
        <v>15.0</v>
      </c>
      <c r="L796" s="1">
        <v>0.0</v>
      </c>
      <c r="M796" s="1">
        <v>0.0</v>
      </c>
      <c r="N796" s="1">
        <v>0.0</v>
      </c>
      <c r="O796" s="1">
        <v>0.0</v>
      </c>
      <c r="P796" s="1">
        <v>27.0</v>
      </c>
      <c r="Q796" s="1">
        <v>9.0</v>
      </c>
      <c r="V796" s="2">
        <f>VLOOKUP(B796,'202324'!B:C,2,FALSE)-A796</f>
        <v>0</v>
      </c>
    </row>
    <row r="797">
      <c r="A797" s="1">
        <f t="shared" si="1"/>
        <v>795</v>
      </c>
      <c r="B797" s="1" t="s">
        <v>1855</v>
      </c>
      <c r="C797" s="1" t="s">
        <v>1091</v>
      </c>
      <c r="D797" s="1" t="s">
        <v>36</v>
      </c>
      <c r="E797" s="11">
        <f t="shared" si="2"/>
        <v>34.4</v>
      </c>
      <c r="F797" s="11">
        <f t="shared" si="3"/>
        <v>1.911111111</v>
      </c>
      <c r="G797" s="1">
        <v>18.0</v>
      </c>
      <c r="H797" s="1">
        <v>1.0</v>
      </c>
      <c r="I797" s="1">
        <v>4.0</v>
      </c>
      <c r="J797" s="1">
        <v>5.0</v>
      </c>
      <c r="K797" s="1">
        <v>29.0</v>
      </c>
      <c r="L797" s="1">
        <v>0.0</v>
      </c>
      <c r="M797" s="1">
        <v>0.0</v>
      </c>
      <c r="N797" s="1">
        <v>0.0</v>
      </c>
      <c r="O797" s="1">
        <v>0.0</v>
      </c>
      <c r="P797" s="1">
        <v>4.0</v>
      </c>
      <c r="Q797" s="1">
        <v>4.0</v>
      </c>
      <c r="V797" s="2">
        <f>VLOOKUP(B797,'202324'!B:C,2,FALSE)-A797</f>
        <v>-7</v>
      </c>
    </row>
    <row r="798">
      <c r="A798" s="1">
        <f t="shared" si="1"/>
        <v>796</v>
      </c>
      <c r="B798" s="1" t="s">
        <v>1856</v>
      </c>
      <c r="C798" s="1" t="s">
        <v>1054</v>
      </c>
      <c r="D798" s="1" t="s">
        <v>31</v>
      </c>
      <c r="E798" s="11">
        <f t="shared" si="2"/>
        <v>34.15</v>
      </c>
      <c r="F798" s="11">
        <f t="shared" si="3"/>
        <v>1.7075</v>
      </c>
      <c r="G798" s="1">
        <v>20.0</v>
      </c>
      <c r="H798" s="1">
        <v>1.0</v>
      </c>
      <c r="I798" s="1">
        <v>2.0</v>
      </c>
      <c r="J798" s="1">
        <v>3.0</v>
      </c>
      <c r="K798" s="1">
        <v>21.0</v>
      </c>
      <c r="L798" s="1">
        <v>0.0</v>
      </c>
      <c r="M798" s="1">
        <v>0.0</v>
      </c>
      <c r="N798" s="1">
        <v>0.0</v>
      </c>
      <c r="O798" s="1">
        <v>0.0</v>
      </c>
      <c r="P798" s="1">
        <v>29.0</v>
      </c>
      <c r="Q798" s="1">
        <v>6.0</v>
      </c>
      <c r="V798" s="2">
        <f>VLOOKUP(B798,'202324'!B:C,2,FALSE)-A798</f>
        <v>3</v>
      </c>
    </row>
    <row r="799">
      <c r="A799" s="1">
        <f t="shared" si="1"/>
        <v>797</v>
      </c>
      <c r="B799" s="1" t="s">
        <v>1857</v>
      </c>
      <c r="C799" s="1" t="s">
        <v>1032</v>
      </c>
      <c r="D799" s="1" t="s">
        <v>66</v>
      </c>
      <c r="E799" s="11">
        <f t="shared" si="2"/>
        <v>34.05</v>
      </c>
      <c r="F799" s="11">
        <f t="shared" si="3"/>
        <v>2.432142857</v>
      </c>
      <c r="G799" s="1">
        <v>14.0</v>
      </c>
      <c r="H799" s="1">
        <v>0.0</v>
      </c>
      <c r="I799" s="1">
        <v>5.0</v>
      </c>
      <c r="J799" s="1">
        <v>5.0</v>
      </c>
      <c r="K799" s="1">
        <v>14.0</v>
      </c>
      <c r="L799" s="1">
        <v>0.0</v>
      </c>
      <c r="M799" s="1">
        <v>2.0</v>
      </c>
      <c r="N799" s="1">
        <v>0.0</v>
      </c>
      <c r="O799" s="1">
        <v>0.0</v>
      </c>
      <c r="P799" s="1">
        <v>13.0</v>
      </c>
      <c r="Q799" s="1">
        <v>15.0</v>
      </c>
      <c r="V799" s="2">
        <f>VLOOKUP(B799,'202324'!B:C,2,FALSE)-A799</f>
        <v>-4</v>
      </c>
    </row>
    <row r="800">
      <c r="A800" s="1">
        <f t="shared" si="1"/>
        <v>798</v>
      </c>
      <c r="B800" s="1" t="s">
        <v>1858</v>
      </c>
      <c r="C800" s="1" t="s">
        <v>1175</v>
      </c>
      <c r="D800" s="1" t="s">
        <v>66</v>
      </c>
      <c r="E800" s="11">
        <f t="shared" si="2"/>
        <v>33.65</v>
      </c>
      <c r="F800" s="11">
        <f t="shared" si="3"/>
        <v>2.403571429</v>
      </c>
      <c r="G800" s="1">
        <v>14.0</v>
      </c>
      <c r="H800" s="1">
        <v>0.0</v>
      </c>
      <c r="I800" s="1">
        <v>2.0</v>
      </c>
      <c r="J800" s="1">
        <v>2.0</v>
      </c>
      <c r="K800" s="1">
        <v>13.0</v>
      </c>
      <c r="L800" s="1">
        <v>0.0</v>
      </c>
      <c r="M800" s="1">
        <v>0.0</v>
      </c>
      <c r="N800" s="1">
        <v>0.0</v>
      </c>
      <c r="O800" s="1">
        <v>0.0</v>
      </c>
      <c r="P800" s="1">
        <v>19.0</v>
      </c>
      <c r="Q800" s="1">
        <v>29.0</v>
      </c>
      <c r="V800" s="2">
        <f>VLOOKUP(B800,'202324'!B:C,2,FALSE)-A800</f>
        <v>0</v>
      </c>
    </row>
    <row r="801">
      <c r="A801" s="1">
        <f t="shared" si="1"/>
        <v>799</v>
      </c>
      <c r="B801" s="1" t="s">
        <v>1859</v>
      </c>
      <c r="C801" s="1" t="s">
        <v>1040</v>
      </c>
      <c r="D801" s="1" t="s">
        <v>31</v>
      </c>
      <c r="E801" s="11">
        <f t="shared" si="2"/>
        <v>33.5</v>
      </c>
      <c r="F801" s="11">
        <f t="shared" si="3"/>
        <v>1.970588235</v>
      </c>
      <c r="G801" s="1">
        <v>17.0</v>
      </c>
      <c r="H801" s="1">
        <v>1.0</v>
      </c>
      <c r="I801" s="1">
        <v>1.0</v>
      </c>
      <c r="J801" s="1">
        <v>2.0</v>
      </c>
      <c r="K801" s="1">
        <v>12.0</v>
      </c>
      <c r="L801" s="1">
        <v>0.0</v>
      </c>
      <c r="M801" s="1">
        <v>0.0</v>
      </c>
      <c r="N801" s="1">
        <v>0.0</v>
      </c>
      <c r="O801" s="1">
        <v>0.0</v>
      </c>
      <c r="P801" s="1">
        <v>50.0</v>
      </c>
      <c r="Q801" s="1">
        <v>5.0</v>
      </c>
      <c r="V801" s="2">
        <f>VLOOKUP(B801,'202324'!B:C,2,FALSE)-A801</f>
        <v>10</v>
      </c>
    </row>
    <row r="802">
      <c r="A802" s="1">
        <f t="shared" si="1"/>
        <v>800</v>
      </c>
      <c r="B802" s="1" t="s">
        <v>1860</v>
      </c>
      <c r="C802" s="1" t="s">
        <v>1052</v>
      </c>
      <c r="D802" s="1" t="s">
        <v>66</v>
      </c>
      <c r="E802" s="11">
        <f t="shared" si="2"/>
        <v>33.4</v>
      </c>
      <c r="F802" s="11">
        <f t="shared" si="3"/>
        <v>1.077419355</v>
      </c>
      <c r="G802" s="1">
        <v>31.0</v>
      </c>
      <c r="H802" s="1">
        <v>1.0</v>
      </c>
      <c r="I802" s="1">
        <v>0.0</v>
      </c>
      <c r="J802" s="1">
        <v>1.0</v>
      </c>
      <c r="K802" s="1">
        <v>17.0</v>
      </c>
      <c r="L802" s="1">
        <v>0.0</v>
      </c>
      <c r="M802" s="1">
        <v>0.0</v>
      </c>
      <c r="N802" s="1">
        <v>0.0</v>
      </c>
      <c r="O802" s="1">
        <v>0.0</v>
      </c>
      <c r="P802" s="1">
        <v>24.0</v>
      </c>
      <c r="Q802" s="1">
        <v>24.0</v>
      </c>
      <c r="V802" s="2">
        <f>VLOOKUP(B802,'202324'!B:C,2,FALSE)-A802</f>
        <v>0</v>
      </c>
    </row>
    <row r="803">
      <c r="A803" s="1">
        <f t="shared" si="1"/>
        <v>801</v>
      </c>
      <c r="B803" s="1" t="s">
        <v>1861</v>
      </c>
      <c r="C803" s="1" t="s">
        <v>1044</v>
      </c>
      <c r="D803" s="1" t="s">
        <v>28</v>
      </c>
      <c r="E803" s="11">
        <f t="shared" si="2"/>
        <v>33</v>
      </c>
      <c r="F803" s="11">
        <f t="shared" si="3"/>
        <v>2.538461538</v>
      </c>
      <c r="G803" s="1">
        <v>13.0</v>
      </c>
      <c r="H803" s="1">
        <v>2.0</v>
      </c>
      <c r="I803" s="1">
        <v>1.0</v>
      </c>
      <c r="J803" s="1">
        <v>3.0</v>
      </c>
      <c r="K803" s="1">
        <v>20.0</v>
      </c>
      <c r="L803" s="1">
        <v>0.0</v>
      </c>
      <c r="M803" s="1">
        <v>0.0</v>
      </c>
      <c r="N803" s="1">
        <v>0.0</v>
      </c>
      <c r="O803" s="1">
        <v>0.0</v>
      </c>
      <c r="P803" s="1">
        <v>20.0</v>
      </c>
      <c r="Q803" s="1">
        <v>8.0</v>
      </c>
      <c r="V803" s="2">
        <f>VLOOKUP(B803,'202324'!B:C,2,FALSE)-A803</f>
        <v>-1</v>
      </c>
    </row>
    <row r="804">
      <c r="A804" s="1">
        <f t="shared" si="1"/>
        <v>802</v>
      </c>
      <c r="B804" s="1" t="s">
        <v>1862</v>
      </c>
      <c r="C804" s="1" t="s">
        <v>1175</v>
      </c>
      <c r="D804" s="1" t="s">
        <v>31</v>
      </c>
      <c r="E804" s="11">
        <f t="shared" si="2"/>
        <v>32.6</v>
      </c>
      <c r="F804" s="11">
        <f t="shared" si="3"/>
        <v>1.481818182</v>
      </c>
      <c r="G804" s="1">
        <v>22.0</v>
      </c>
      <c r="H804" s="1">
        <v>1.0</v>
      </c>
      <c r="I804" s="1">
        <v>0.0</v>
      </c>
      <c r="J804" s="1">
        <v>1.0</v>
      </c>
      <c r="K804" s="1">
        <v>20.0</v>
      </c>
      <c r="L804" s="1">
        <v>0.0</v>
      </c>
      <c r="M804" s="1">
        <v>0.0</v>
      </c>
      <c r="N804" s="1">
        <v>0.0</v>
      </c>
      <c r="O804" s="1">
        <v>0.0</v>
      </c>
      <c r="P804" s="1">
        <v>36.0</v>
      </c>
      <c r="Q804" s="1">
        <v>11.0</v>
      </c>
      <c r="V804" s="2">
        <f>VLOOKUP(B804,'202324'!B:C,2,FALSE)-A804</f>
        <v>6</v>
      </c>
    </row>
    <row r="805">
      <c r="A805" s="1">
        <f t="shared" si="1"/>
        <v>803</v>
      </c>
      <c r="B805" s="1" t="s">
        <v>1863</v>
      </c>
      <c r="C805" s="1" t="s">
        <v>1040</v>
      </c>
      <c r="D805" s="1" t="s">
        <v>31</v>
      </c>
      <c r="E805" s="11">
        <f t="shared" si="2"/>
        <v>32.4</v>
      </c>
      <c r="F805" s="11">
        <f t="shared" si="3"/>
        <v>3.24</v>
      </c>
      <c r="G805" s="1">
        <v>10.0</v>
      </c>
      <c r="H805" s="1">
        <v>0.0</v>
      </c>
      <c r="I805" s="1">
        <v>6.0</v>
      </c>
      <c r="J805" s="1">
        <v>6.0</v>
      </c>
      <c r="K805" s="1">
        <v>22.0</v>
      </c>
      <c r="L805" s="1">
        <v>0.0</v>
      </c>
      <c r="M805" s="1">
        <v>1.0</v>
      </c>
      <c r="N805" s="1">
        <v>0.0</v>
      </c>
      <c r="O805" s="1">
        <v>0.0</v>
      </c>
      <c r="P805" s="1">
        <v>4.0</v>
      </c>
      <c r="Q805" s="1">
        <v>4.0</v>
      </c>
      <c r="V805" s="2">
        <f>VLOOKUP(B805,'202324'!B:C,2,FALSE)-A805</f>
        <v>-7</v>
      </c>
    </row>
    <row r="806">
      <c r="A806" s="1">
        <f t="shared" si="1"/>
        <v>804</v>
      </c>
      <c r="B806" s="1" t="s">
        <v>1864</v>
      </c>
      <c r="C806" s="1" t="s">
        <v>1120</v>
      </c>
      <c r="D806" s="1" t="s">
        <v>36</v>
      </c>
      <c r="E806" s="11">
        <f t="shared" si="2"/>
        <v>32.2</v>
      </c>
      <c r="F806" s="11">
        <f t="shared" si="3"/>
        <v>2.683333333</v>
      </c>
      <c r="G806" s="1">
        <v>12.0</v>
      </c>
      <c r="H806" s="1">
        <v>2.0</v>
      </c>
      <c r="I806" s="1">
        <v>4.0</v>
      </c>
      <c r="J806" s="1">
        <v>6.0</v>
      </c>
      <c r="K806" s="1">
        <v>14.0</v>
      </c>
      <c r="L806" s="1">
        <v>0.0</v>
      </c>
      <c r="M806" s="1">
        <v>0.0</v>
      </c>
      <c r="N806" s="1">
        <v>0.0</v>
      </c>
      <c r="O806" s="1">
        <v>0.0</v>
      </c>
      <c r="P806" s="1">
        <v>2.0</v>
      </c>
      <c r="Q806" s="1">
        <v>7.0</v>
      </c>
      <c r="V806" s="2">
        <f>VLOOKUP(B806,'202324'!B:C,2,FALSE)-A806</f>
        <v>-8</v>
      </c>
    </row>
    <row r="807">
      <c r="A807" s="1">
        <f t="shared" si="1"/>
        <v>805</v>
      </c>
      <c r="B807" s="1" t="s">
        <v>1865</v>
      </c>
      <c r="C807" s="1" t="s">
        <v>1052</v>
      </c>
      <c r="D807" s="1" t="s">
        <v>36</v>
      </c>
      <c r="E807" s="11">
        <f t="shared" si="2"/>
        <v>31.35</v>
      </c>
      <c r="F807" s="11">
        <f t="shared" si="3"/>
        <v>2.239285714</v>
      </c>
      <c r="G807" s="1">
        <v>14.0</v>
      </c>
      <c r="H807" s="1">
        <v>1.0</v>
      </c>
      <c r="I807" s="1">
        <v>2.0</v>
      </c>
      <c r="J807" s="1">
        <v>3.0</v>
      </c>
      <c r="K807" s="1">
        <v>27.0</v>
      </c>
      <c r="L807" s="1">
        <v>0.0</v>
      </c>
      <c r="M807" s="1">
        <v>0.0</v>
      </c>
      <c r="N807" s="1">
        <v>0.0</v>
      </c>
      <c r="O807" s="1">
        <v>0.0</v>
      </c>
      <c r="P807" s="1">
        <v>11.0</v>
      </c>
      <c r="Q807" s="1">
        <v>7.0</v>
      </c>
      <c r="V807" s="2">
        <f>VLOOKUP(B807,'202324'!B:C,2,FALSE)-A807</f>
        <v>-3</v>
      </c>
    </row>
    <row r="808">
      <c r="A808" s="1">
        <f t="shared" si="1"/>
        <v>805</v>
      </c>
      <c r="B808" s="1" t="s">
        <v>1866</v>
      </c>
      <c r="C808" s="1" t="s">
        <v>1080</v>
      </c>
      <c r="D808" s="1" t="s">
        <v>31</v>
      </c>
      <c r="E808" s="11">
        <f t="shared" si="2"/>
        <v>31.35</v>
      </c>
      <c r="F808" s="11">
        <f t="shared" si="3"/>
        <v>3.483333333</v>
      </c>
      <c r="G808" s="1">
        <v>9.0</v>
      </c>
      <c r="H808" s="1">
        <v>3.0</v>
      </c>
      <c r="I808" s="1">
        <v>1.0</v>
      </c>
      <c r="J808" s="1">
        <v>4.0</v>
      </c>
      <c r="K808" s="1">
        <v>9.0</v>
      </c>
      <c r="L808" s="1">
        <v>1.0</v>
      </c>
      <c r="M808" s="1">
        <v>0.0</v>
      </c>
      <c r="N808" s="1">
        <v>0.0</v>
      </c>
      <c r="O808" s="1">
        <v>0.0</v>
      </c>
      <c r="P808" s="1">
        <v>21.0</v>
      </c>
      <c r="Q808" s="1">
        <v>6.0</v>
      </c>
      <c r="V808" s="2">
        <f>VLOOKUP(B808,'202324'!B:C,2,FALSE)-A808</f>
        <v>1</v>
      </c>
    </row>
    <row r="809">
      <c r="A809" s="1">
        <f t="shared" si="1"/>
        <v>807</v>
      </c>
      <c r="B809" s="1" t="s">
        <v>1867</v>
      </c>
      <c r="C809" s="1" t="s">
        <v>1080</v>
      </c>
      <c r="D809" s="1" t="s">
        <v>36</v>
      </c>
      <c r="E809" s="11">
        <f t="shared" si="2"/>
        <v>30.45</v>
      </c>
      <c r="F809" s="11">
        <f t="shared" si="3"/>
        <v>1.5225</v>
      </c>
      <c r="G809" s="1">
        <v>20.0</v>
      </c>
      <c r="H809" s="1">
        <v>1.0</v>
      </c>
      <c r="I809" s="1">
        <v>2.0</v>
      </c>
      <c r="J809" s="1">
        <v>3.0</v>
      </c>
      <c r="K809" s="1">
        <v>25.0</v>
      </c>
      <c r="L809" s="1">
        <v>0.0</v>
      </c>
      <c r="M809" s="1">
        <v>0.0</v>
      </c>
      <c r="N809" s="1">
        <v>0.0</v>
      </c>
      <c r="O809" s="1">
        <v>0.0</v>
      </c>
      <c r="P809" s="1">
        <v>7.0</v>
      </c>
      <c r="Q809" s="1">
        <v>10.0</v>
      </c>
      <c r="V809" s="2">
        <f>VLOOKUP(B809,'202324'!B:C,2,FALSE)-A809</f>
        <v>-2</v>
      </c>
    </row>
    <row r="810">
      <c r="A810" s="1">
        <f t="shared" si="1"/>
        <v>808</v>
      </c>
      <c r="B810" s="1" t="s">
        <v>1868</v>
      </c>
      <c r="C810" s="1" t="s">
        <v>1116</v>
      </c>
      <c r="D810" s="1" t="s">
        <v>31</v>
      </c>
      <c r="E810" s="11">
        <f t="shared" si="2"/>
        <v>30.4</v>
      </c>
      <c r="F810" s="11">
        <f t="shared" si="3"/>
        <v>1.085714286</v>
      </c>
      <c r="G810" s="1">
        <v>28.0</v>
      </c>
      <c r="H810" s="1">
        <v>0.0</v>
      </c>
      <c r="I810" s="1">
        <v>1.0</v>
      </c>
      <c r="J810" s="1">
        <v>1.0</v>
      </c>
      <c r="K810" s="1">
        <v>28.0</v>
      </c>
      <c r="L810" s="1">
        <v>0.0</v>
      </c>
      <c r="M810" s="1">
        <v>0.0</v>
      </c>
      <c r="N810" s="1">
        <v>0.0</v>
      </c>
      <c r="O810" s="1">
        <v>0.0</v>
      </c>
      <c r="P810" s="1">
        <v>24.0</v>
      </c>
      <c r="Q810" s="1">
        <v>10.0</v>
      </c>
      <c r="V810" s="2">
        <f>VLOOKUP(B810,'202324'!B:C,2,FALSE)-A810</f>
        <v>4</v>
      </c>
    </row>
    <row r="811">
      <c r="A811" s="1">
        <f t="shared" si="1"/>
        <v>809</v>
      </c>
      <c r="B811" s="1" t="s">
        <v>1869</v>
      </c>
      <c r="C811" s="1" t="s">
        <v>1146</v>
      </c>
      <c r="D811" s="1" t="s">
        <v>31</v>
      </c>
      <c r="E811" s="11">
        <f t="shared" si="2"/>
        <v>30.35</v>
      </c>
      <c r="F811" s="11">
        <f t="shared" si="3"/>
        <v>3.79375</v>
      </c>
      <c r="G811" s="1">
        <v>8.0</v>
      </c>
      <c r="H811" s="1">
        <v>4.0</v>
      </c>
      <c r="I811" s="1">
        <v>1.0</v>
      </c>
      <c r="J811" s="1">
        <v>5.0</v>
      </c>
      <c r="K811" s="1">
        <v>12.0</v>
      </c>
      <c r="L811" s="1">
        <v>0.0</v>
      </c>
      <c r="M811" s="1">
        <v>1.0</v>
      </c>
      <c r="N811" s="1">
        <v>0.0</v>
      </c>
      <c r="O811" s="1">
        <v>0.0</v>
      </c>
      <c r="P811" s="1">
        <v>1.0</v>
      </c>
      <c r="Q811" s="1">
        <v>6.0</v>
      </c>
      <c r="V811" s="2">
        <f>VLOOKUP(B811,'202324'!B:C,2,FALSE)-A811</f>
        <v>-7</v>
      </c>
    </row>
    <row r="812">
      <c r="A812" s="1">
        <f t="shared" si="1"/>
        <v>810</v>
      </c>
      <c r="B812" s="1" t="s">
        <v>1870</v>
      </c>
      <c r="C812" s="1" t="s">
        <v>1044</v>
      </c>
      <c r="D812" s="1" t="s">
        <v>28</v>
      </c>
      <c r="E812" s="11">
        <f t="shared" si="2"/>
        <v>30.2</v>
      </c>
      <c r="F812" s="11">
        <f t="shared" si="3"/>
        <v>1.51</v>
      </c>
      <c r="G812" s="1">
        <v>20.0</v>
      </c>
      <c r="H812" s="1">
        <v>1.0</v>
      </c>
      <c r="I812" s="1">
        <v>1.0</v>
      </c>
      <c r="J812" s="1">
        <v>2.0</v>
      </c>
      <c r="K812" s="1">
        <v>10.0</v>
      </c>
      <c r="L812" s="1">
        <v>0.0</v>
      </c>
      <c r="M812" s="1">
        <v>0.0</v>
      </c>
      <c r="N812" s="1">
        <v>0.0</v>
      </c>
      <c r="O812" s="1">
        <v>0.0</v>
      </c>
      <c r="P812" s="1">
        <v>32.0</v>
      </c>
      <c r="Q812" s="1">
        <v>13.0</v>
      </c>
      <c r="V812" s="2">
        <f>VLOOKUP(B812,'202324'!B:C,2,FALSE)-A812</f>
        <v>8</v>
      </c>
    </row>
    <row r="813">
      <c r="A813" s="1">
        <f t="shared" si="1"/>
        <v>811</v>
      </c>
      <c r="B813" s="1" t="s">
        <v>1871</v>
      </c>
      <c r="C813" s="1" t="s">
        <v>1156</v>
      </c>
      <c r="D813" s="1" t="s">
        <v>28</v>
      </c>
      <c r="E813" s="11">
        <f t="shared" si="2"/>
        <v>30.15</v>
      </c>
      <c r="F813" s="11">
        <f t="shared" si="3"/>
        <v>1.773529412</v>
      </c>
      <c r="G813" s="1">
        <v>17.0</v>
      </c>
      <c r="H813" s="1">
        <v>0.0</v>
      </c>
      <c r="I813" s="1">
        <v>2.0</v>
      </c>
      <c r="J813" s="1">
        <v>2.0</v>
      </c>
      <c r="K813" s="1">
        <v>22.0</v>
      </c>
      <c r="L813" s="1">
        <v>0.0</v>
      </c>
      <c r="M813" s="1">
        <v>0.0</v>
      </c>
      <c r="N813" s="1">
        <v>0.0</v>
      </c>
      <c r="O813" s="1">
        <v>0.0</v>
      </c>
      <c r="P813" s="1">
        <v>9.0</v>
      </c>
      <c r="Q813" s="1">
        <v>20.0</v>
      </c>
      <c r="V813" s="2">
        <f>VLOOKUP(B813,'202324'!B:C,2,FALSE)-A813</f>
        <v>-5</v>
      </c>
    </row>
    <row r="814">
      <c r="A814" s="1">
        <f t="shared" si="1"/>
        <v>812</v>
      </c>
      <c r="B814" s="1" t="s">
        <v>1872</v>
      </c>
      <c r="C814" s="1" t="s">
        <v>1065</v>
      </c>
      <c r="D814" s="1" t="s">
        <v>28</v>
      </c>
      <c r="E814" s="11">
        <f t="shared" si="2"/>
        <v>29.9</v>
      </c>
      <c r="F814" s="11">
        <f t="shared" si="3"/>
        <v>1.3</v>
      </c>
      <c r="G814" s="1">
        <v>23.0</v>
      </c>
      <c r="H814" s="1">
        <v>1.0</v>
      </c>
      <c r="I814" s="1">
        <v>2.0</v>
      </c>
      <c r="J814" s="1">
        <v>3.0</v>
      </c>
      <c r="K814" s="1">
        <v>12.0</v>
      </c>
      <c r="L814" s="1">
        <v>0.0</v>
      </c>
      <c r="M814" s="1">
        <v>0.0</v>
      </c>
      <c r="N814" s="1">
        <v>0.0</v>
      </c>
      <c r="O814" s="1">
        <v>0.0</v>
      </c>
      <c r="P814" s="1">
        <v>34.0</v>
      </c>
      <c r="Q814" s="1">
        <v>3.0</v>
      </c>
      <c r="V814" s="2">
        <f>VLOOKUP(B814,'202324'!B:C,2,FALSE)-A814</f>
        <v>9</v>
      </c>
    </row>
    <row r="815">
      <c r="A815" s="1">
        <f t="shared" si="1"/>
        <v>813</v>
      </c>
      <c r="B815" s="1" t="s">
        <v>1873</v>
      </c>
      <c r="C815" s="1" t="s">
        <v>1120</v>
      </c>
      <c r="D815" s="1" t="s">
        <v>31</v>
      </c>
      <c r="E815" s="11">
        <f t="shared" si="2"/>
        <v>29.65</v>
      </c>
      <c r="F815" s="11">
        <f t="shared" si="3"/>
        <v>0.8720588235</v>
      </c>
      <c r="G815" s="1">
        <v>34.0</v>
      </c>
      <c r="H815" s="1">
        <v>0.0</v>
      </c>
      <c r="I815" s="1">
        <v>1.0</v>
      </c>
      <c r="J815" s="1">
        <v>1.0</v>
      </c>
      <c r="K815" s="1">
        <v>24.0</v>
      </c>
      <c r="L815" s="1">
        <v>0.0</v>
      </c>
      <c r="M815" s="1">
        <v>0.0</v>
      </c>
      <c r="N815" s="1">
        <v>0.0</v>
      </c>
      <c r="O815" s="1">
        <v>0.0</v>
      </c>
      <c r="P815" s="1">
        <v>19.0</v>
      </c>
      <c r="Q815" s="1">
        <v>16.0</v>
      </c>
      <c r="V815" s="2">
        <f>VLOOKUP(B815,'202324'!B:C,2,FALSE)-A815</f>
        <v>2</v>
      </c>
    </row>
    <row r="816">
      <c r="A816" s="1">
        <f t="shared" si="1"/>
        <v>814</v>
      </c>
      <c r="B816" s="1" t="s">
        <v>1874</v>
      </c>
      <c r="C816" s="1" t="s">
        <v>1069</v>
      </c>
      <c r="D816" s="1" t="s">
        <v>66</v>
      </c>
      <c r="E816" s="11">
        <f t="shared" si="2"/>
        <v>29.4</v>
      </c>
      <c r="F816" s="11">
        <f t="shared" si="3"/>
        <v>2.94</v>
      </c>
      <c r="G816" s="1">
        <v>10.0</v>
      </c>
      <c r="H816" s="1">
        <v>0.0</v>
      </c>
      <c r="I816" s="1">
        <v>3.0</v>
      </c>
      <c r="J816" s="1">
        <v>3.0</v>
      </c>
      <c r="K816" s="1">
        <v>10.0</v>
      </c>
      <c r="L816" s="1">
        <v>0.0</v>
      </c>
      <c r="M816" s="1">
        <v>0.0</v>
      </c>
      <c r="N816" s="1">
        <v>0.0</v>
      </c>
      <c r="O816" s="1">
        <v>1.0</v>
      </c>
      <c r="P816" s="1">
        <v>14.0</v>
      </c>
      <c r="Q816" s="1">
        <v>17.0</v>
      </c>
      <c r="V816" s="2">
        <f>VLOOKUP(B816,'202324'!B:C,2,FALSE)-A816</f>
        <v>-2</v>
      </c>
    </row>
    <row r="817">
      <c r="A817" s="1">
        <f t="shared" si="1"/>
        <v>814</v>
      </c>
      <c r="B817" s="1" t="s">
        <v>1875</v>
      </c>
      <c r="C817" s="1" t="s">
        <v>1052</v>
      </c>
      <c r="D817" s="1" t="s">
        <v>28</v>
      </c>
      <c r="E817" s="11">
        <f t="shared" si="2"/>
        <v>29.4</v>
      </c>
      <c r="F817" s="11">
        <f t="shared" si="3"/>
        <v>1.336363636</v>
      </c>
      <c r="G817" s="1">
        <v>22.0</v>
      </c>
      <c r="H817" s="1">
        <v>1.0</v>
      </c>
      <c r="I817" s="1">
        <v>3.0</v>
      </c>
      <c r="J817" s="1">
        <v>4.0</v>
      </c>
      <c r="K817" s="1">
        <v>13.0</v>
      </c>
      <c r="L817" s="1">
        <v>0.0</v>
      </c>
      <c r="M817" s="1">
        <v>0.0</v>
      </c>
      <c r="N817" s="1">
        <v>0.0</v>
      </c>
      <c r="O817" s="1">
        <v>0.0</v>
      </c>
      <c r="P817" s="1">
        <v>14.0</v>
      </c>
      <c r="Q817" s="1">
        <v>9.0</v>
      </c>
      <c r="V817" s="2">
        <f>VLOOKUP(B817,'202324'!B:C,2,FALSE)-A817</f>
        <v>-2</v>
      </c>
    </row>
    <row r="818">
      <c r="A818" s="1">
        <f t="shared" si="1"/>
        <v>816</v>
      </c>
      <c r="B818" s="1" t="s">
        <v>1876</v>
      </c>
      <c r="C818" s="1" t="s">
        <v>1172</v>
      </c>
      <c r="D818" s="1" t="s">
        <v>36</v>
      </c>
      <c r="E818" s="11">
        <f t="shared" si="2"/>
        <v>29.1</v>
      </c>
      <c r="F818" s="11">
        <f t="shared" si="3"/>
        <v>1.81875</v>
      </c>
      <c r="G818" s="1">
        <v>16.0</v>
      </c>
      <c r="H818" s="1">
        <v>1.0</v>
      </c>
      <c r="I818" s="1">
        <v>3.0</v>
      </c>
      <c r="J818" s="1">
        <v>4.0</v>
      </c>
      <c r="K818" s="1">
        <v>14.0</v>
      </c>
      <c r="L818" s="1">
        <v>0.0</v>
      </c>
      <c r="M818" s="1">
        <v>0.0</v>
      </c>
      <c r="N818" s="1">
        <v>0.0</v>
      </c>
      <c r="O818" s="1">
        <v>0.0</v>
      </c>
      <c r="P818" s="1">
        <v>16.0</v>
      </c>
      <c r="Q818" s="1">
        <v>6.0</v>
      </c>
      <c r="V818" s="2">
        <f>VLOOKUP(B818,'202324'!B:C,2,FALSE)-A818</f>
        <v>0</v>
      </c>
    </row>
    <row r="819">
      <c r="A819" s="1">
        <f t="shared" si="1"/>
        <v>817</v>
      </c>
      <c r="B819" s="1" t="s">
        <v>1877</v>
      </c>
      <c r="C819" s="1" t="s">
        <v>1172</v>
      </c>
      <c r="D819" s="1" t="s">
        <v>28</v>
      </c>
      <c r="E819" s="11">
        <f t="shared" si="2"/>
        <v>28.95</v>
      </c>
      <c r="F819" s="11">
        <f t="shared" si="3"/>
        <v>2.895</v>
      </c>
      <c r="G819" s="1">
        <v>10.0</v>
      </c>
      <c r="H819" s="1">
        <v>2.0</v>
      </c>
      <c r="I819" s="1">
        <v>2.0</v>
      </c>
      <c r="J819" s="1">
        <v>4.0</v>
      </c>
      <c r="K819" s="1">
        <v>20.0</v>
      </c>
      <c r="L819" s="1">
        <v>0.0</v>
      </c>
      <c r="M819" s="1">
        <v>1.0</v>
      </c>
      <c r="N819" s="1">
        <v>0.0</v>
      </c>
      <c r="O819" s="1">
        <v>0.0</v>
      </c>
      <c r="P819" s="1">
        <v>7.0</v>
      </c>
      <c r="Q819" s="1">
        <v>3.0</v>
      </c>
      <c r="V819" s="2">
        <f>VLOOKUP(B819,'202324'!B:C,2,FALSE)-A819</f>
        <v>-6</v>
      </c>
    </row>
    <row r="820">
      <c r="A820" s="1">
        <f t="shared" si="1"/>
        <v>818</v>
      </c>
      <c r="B820" s="1" t="s">
        <v>1878</v>
      </c>
      <c r="C820" s="1" t="s">
        <v>1034</v>
      </c>
      <c r="D820" s="1" t="s">
        <v>5</v>
      </c>
      <c r="E820" s="11">
        <f t="shared" si="2"/>
        <v>28.5</v>
      </c>
      <c r="F820" s="11">
        <f t="shared" si="3"/>
        <v>4.75</v>
      </c>
      <c r="G820" s="1">
        <v>6.0</v>
      </c>
      <c r="R820" s="1">
        <v>3.0</v>
      </c>
      <c r="S820" s="1">
        <v>20.0</v>
      </c>
      <c r="T820" s="1">
        <v>165.0</v>
      </c>
      <c r="U820" s="1">
        <v>0.0</v>
      </c>
      <c r="V820" s="2">
        <f>VLOOKUP(B820,'202324'!B:C,2,FALSE)-A820</f>
        <v>-9</v>
      </c>
    </row>
    <row r="821">
      <c r="A821" s="1">
        <f t="shared" si="1"/>
        <v>818</v>
      </c>
      <c r="B821" s="1" t="s">
        <v>1879</v>
      </c>
      <c r="C821" s="1" t="s">
        <v>1030</v>
      </c>
      <c r="D821" s="1" t="s">
        <v>36</v>
      </c>
      <c r="E821" s="11">
        <f t="shared" si="2"/>
        <v>28.5</v>
      </c>
      <c r="F821" s="11">
        <f t="shared" si="3"/>
        <v>2.192307692</v>
      </c>
      <c r="G821" s="1">
        <v>13.0</v>
      </c>
      <c r="H821" s="1">
        <v>1.0</v>
      </c>
      <c r="I821" s="1">
        <v>1.0</v>
      </c>
      <c r="J821" s="1">
        <v>2.0</v>
      </c>
      <c r="K821" s="1">
        <v>16.0</v>
      </c>
      <c r="L821" s="1">
        <v>0.0</v>
      </c>
      <c r="M821" s="1">
        <v>0.0</v>
      </c>
      <c r="N821" s="1">
        <v>0.0</v>
      </c>
      <c r="O821" s="1">
        <v>0.0</v>
      </c>
      <c r="P821" s="1">
        <v>30.0</v>
      </c>
      <c r="Q821" s="1">
        <v>5.0</v>
      </c>
      <c r="V821" s="2">
        <f>VLOOKUP(B821,'202324'!B:C,2,FALSE)-A821</f>
        <v>5</v>
      </c>
    </row>
    <row r="822">
      <c r="A822" s="1">
        <f t="shared" si="1"/>
        <v>820</v>
      </c>
      <c r="B822" s="1" t="s">
        <v>1880</v>
      </c>
      <c r="C822" s="1" t="s">
        <v>1091</v>
      </c>
      <c r="D822" s="1" t="s">
        <v>36</v>
      </c>
      <c r="E822" s="11">
        <f t="shared" si="2"/>
        <v>28.4</v>
      </c>
      <c r="F822" s="11">
        <f t="shared" si="3"/>
        <v>1.577777778</v>
      </c>
      <c r="G822" s="1">
        <v>18.0</v>
      </c>
      <c r="H822" s="1">
        <v>1.0</v>
      </c>
      <c r="I822" s="1">
        <v>1.0</v>
      </c>
      <c r="J822" s="1">
        <v>2.0</v>
      </c>
      <c r="K822" s="1">
        <v>26.0</v>
      </c>
      <c r="L822" s="1">
        <v>0.0</v>
      </c>
      <c r="M822" s="1">
        <v>0.0</v>
      </c>
      <c r="N822" s="1">
        <v>0.0</v>
      </c>
      <c r="O822" s="1">
        <v>0.0</v>
      </c>
      <c r="P822" s="1">
        <v>14.0</v>
      </c>
      <c r="Q822" s="1">
        <v>6.0</v>
      </c>
      <c r="V822" s="2">
        <f>VLOOKUP(B822,'202324'!B:C,2,FALSE)-A822</f>
        <v>-2</v>
      </c>
    </row>
    <row r="823">
      <c r="A823" s="1">
        <f t="shared" si="1"/>
        <v>821</v>
      </c>
      <c r="B823" s="1" t="s">
        <v>1881</v>
      </c>
      <c r="C823" s="1" t="s">
        <v>1078</v>
      </c>
      <c r="D823" s="1" t="s">
        <v>31</v>
      </c>
      <c r="E823" s="11">
        <f t="shared" si="2"/>
        <v>27.95</v>
      </c>
      <c r="F823" s="11">
        <f t="shared" si="3"/>
        <v>1.3975</v>
      </c>
      <c r="G823" s="1">
        <v>20.0</v>
      </c>
      <c r="H823" s="1">
        <v>1.0</v>
      </c>
      <c r="I823" s="1">
        <v>3.0</v>
      </c>
      <c r="J823" s="1">
        <v>4.0</v>
      </c>
      <c r="K823" s="1">
        <v>14.0</v>
      </c>
      <c r="L823" s="1">
        <v>0.0</v>
      </c>
      <c r="M823" s="1">
        <v>0.0</v>
      </c>
      <c r="N823" s="1">
        <v>0.0</v>
      </c>
      <c r="O823" s="1">
        <v>0.0</v>
      </c>
      <c r="P823" s="1">
        <v>7.0</v>
      </c>
      <c r="Q823" s="1">
        <v>10.0</v>
      </c>
      <c r="V823" s="2">
        <f>VLOOKUP(B823,'202324'!B:C,2,FALSE)-A823</f>
        <v>-4</v>
      </c>
    </row>
    <row r="824">
      <c r="A824" s="1">
        <f t="shared" si="1"/>
        <v>822</v>
      </c>
      <c r="B824" s="1" t="s">
        <v>1882</v>
      </c>
      <c r="C824" s="1" t="s">
        <v>1091</v>
      </c>
      <c r="D824" s="1" t="s">
        <v>66</v>
      </c>
      <c r="E824" s="11">
        <f t="shared" si="2"/>
        <v>27.7</v>
      </c>
      <c r="F824" s="11">
        <f t="shared" si="3"/>
        <v>2.308333333</v>
      </c>
      <c r="G824" s="1">
        <v>12.0</v>
      </c>
      <c r="H824" s="1">
        <v>0.0</v>
      </c>
      <c r="I824" s="1">
        <v>2.0</v>
      </c>
      <c r="J824" s="1">
        <v>2.0</v>
      </c>
      <c r="K824" s="1">
        <v>14.0</v>
      </c>
      <c r="L824" s="1">
        <v>0.0</v>
      </c>
      <c r="M824" s="1">
        <v>0.0</v>
      </c>
      <c r="N824" s="1">
        <v>0.0</v>
      </c>
      <c r="O824" s="1">
        <v>0.0</v>
      </c>
      <c r="P824" s="1">
        <v>22.0</v>
      </c>
      <c r="Q824" s="1">
        <v>14.0</v>
      </c>
      <c r="V824" s="2">
        <f>VLOOKUP(B824,'202324'!B:C,2,FALSE)-A824</f>
        <v>1</v>
      </c>
    </row>
    <row r="825">
      <c r="A825" s="1">
        <f t="shared" si="1"/>
        <v>823</v>
      </c>
      <c r="B825" s="1" t="s">
        <v>1883</v>
      </c>
      <c r="C825" s="1" t="s">
        <v>1156</v>
      </c>
      <c r="D825" s="1" t="s">
        <v>36</v>
      </c>
      <c r="E825" s="11">
        <f t="shared" si="2"/>
        <v>27.35</v>
      </c>
      <c r="F825" s="11">
        <f t="shared" si="3"/>
        <v>2.486363636</v>
      </c>
      <c r="G825" s="1">
        <v>11.0</v>
      </c>
      <c r="H825" s="1">
        <v>2.0</v>
      </c>
      <c r="I825" s="1">
        <v>1.0</v>
      </c>
      <c r="J825" s="1">
        <v>3.0</v>
      </c>
      <c r="K825" s="1">
        <v>17.0</v>
      </c>
      <c r="L825" s="1">
        <v>0.0</v>
      </c>
      <c r="M825" s="1">
        <v>0.0</v>
      </c>
      <c r="N825" s="1">
        <v>0.0</v>
      </c>
      <c r="O825" s="1">
        <v>0.0</v>
      </c>
      <c r="P825" s="1">
        <v>11.0</v>
      </c>
      <c r="Q825" s="1">
        <v>6.0</v>
      </c>
      <c r="V825" s="2">
        <f>VLOOKUP(B825,'202324'!B:C,2,FALSE)-A825</f>
        <v>-1</v>
      </c>
    </row>
    <row r="826">
      <c r="A826" s="1">
        <f t="shared" si="1"/>
        <v>824</v>
      </c>
      <c r="B826" s="1" t="s">
        <v>1884</v>
      </c>
      <c r="C826" s="1" t="s">
        <v>1034</v>
      </c>
      <c r="D826" s="1" t="s">
        <v>36</v>
      </c>
      <c r="E826" s="11">
        <f t="shared" si="2"/>
        <v>27.2</v>
      </c>
      <c r="F826" s="11">
        <f t="shared" si="3"/>
        <v>1.431578947</v>
      </c>
      <c r="G826" s="1">
        <v>19.0</v>
      </c>
      <c r="H826" s="1">
        <v>1.0</v>
      </c>
      <c r="I826" s="1">
        <v>0.0</v>
      </c>
      <c r="J826" s="1">
        <v>1.0</v>
      </c>
      <c r="K826" s="1">
        <v>17.0</v>
      </c>
      <c r="L826" s="1">
        <v>0.0</v>
      </c>
      <c r="M826" s="1">
        <v>0.0</v>
      </c>
      <c r="N826" s="1">
        <v>0.0</v>
      </c>
      <c r="O826" s="1">
        <v>0.0</v>
      </c>
      <c r="P826" s="1">
        <v>32.0</v>
      </c>
      <c r="Q826" s="1">
        <v>6.0</v>
      </c>
      <c r="V826" s="2">
        <f>VLOOKUP(B826,'202324'!B:C,2,FALSE)-A826</f>
        <v>7</v>
      </c>
    </row>
    <row r="827">
      <c r="A827" s="1">
        <f t="shared" si="1"/>
        <v>825</v>
      </c>
      <c r="B827" s="1" t="s">
        <v>1885</v>
      </c>
      <c r="C827" s="1" t="s">
        <v>1106</v>
      </c>
      <c r="D827" s="1" t="s">
        <v>31</v>
      </c>
      <c r="E827" s="11">
        <f t="shared" si="2"/>
        <v>27.15</v>
      </c>
      <c r="F827" s="11">
        <f t="shared" si="3"/>
        <v>1.180434783</v>
      </c>
      <c r="G827" s="1">
        <v>23.0</v>
      </c>
      <c r="H827" s="1">
        <v>0.0</v>
      </c>
      <c r="I827" s="1">
        <v>2.0</v>
      </c>
      <c r="J827" s="1">
        <v>2.0</v>
      </c>
      <c r="K827" s="1">
        <v>15.0</v>
      </c>
      <c r="L827" s="1">
        <v>0.0</v>
      </c>
      <c r="M827" s="1">
        <v>0.0</v>
      </c>
      <c r="N827" s="1">
        <v>0.0</v>
      </c>
      <c r="O827" s="1">
        <v>0.0</v>
      </c>
      <c r="P827" s="1">
        <v>29.0</v>
      </c>
      <c r="Q827" s="1">
        <v>7.0</v>
      </c>
      <c r="V827" s="2">
        <f>VLOOKUP(B827,'202324'!B:C,2,FALSE)-A827</f>
        <v>5</v>
      </c>
    </row>
    <row r="828">
      <c r="A828" s="1">
        <f t="shared" si="1"/>
        <v>826</v>
      </c>
      <c r="B828" s="1" t="s">
        <v>1886</v>
      </c>
      <c r="C828" s="1" t="s">
        <v>1078</v>
      </c>
      <c r="D828" s="1" t="s">
        <v>5</v>
      </c>
      <c r="E828" s="11">
        <f t="shared" si="2"/>
        <v>26.7</v>
      </c>
      <c r="F828" s="11">
        <f t="shared" si="3"/>
        <v>3.3375</v>
      </c>
      <c r="G828" s="1">
        <v>8.0</v>
      </c>
      <c r="R828" s="1">
        <v>4.0</v>
      </c>
      <c r="S828" s="1">
        <v>23.0</v>
      </c>
      <c r="T828" s="1">
        <v>154.0</v>
      </c>
      <c r="U828" s="1">
        <v>1.0</v>
      </c>
      <c r="V828" s="2">
        <f>VLOOKUP(B828,'202324'!B:C,2,FALSE)-A828</f>
        <v>-6</v>
      </c>
    </row>
    <row r="829">
      <c r="A829" s="1">
        <f t="shared" si="1"/>
        <v>827</v>
      </c>
      <c r="B829" s="1" t="s">
        <v>1887</v>
      </c>
      <c r="C829" s="1" t="s">
        <v>1054</v>
      </c>
      <c r="D829" s="1" t="s">
        <v>31</v>
      </c>
      <c r="E829" s="11">
        <f t="shared" si="2"/>
        <v>26.6</v>
      </c>
      <c r="F829" s="11">
        <f t="shared" si="3"/>
        <v>1.6625</v>
      </c>
      <c r="G829" s="1">
        <v>16.0</v>
      </c>
      <c r="H829" s="1">
        <v>1.0</v>
      </c>
      <c r="I829" s="1">
        <v>3.0</v>
      </c>
      <c r="J829" s="1">
        <v>4.0</v>
      </c>
      <c r="K829" s="1">
        <v>6.0</v>
      </c>
      <c r="L829" s="1">
        <v>1.0</v>
      </c>
      <c r="M829" s="1">
        <v>0.0</v>
      </c>
      <c r="N829" s="1">
        <v>0.0</v>
      </c>
      <c r="O829" s="1">
        <v>0.0</v>
      </c>
      <c r="P829" s="1">
        <v>16.0</v>
      </c>
      <c r="Q829" s="1">
        <v>9.0</v>
      </c>
      <c r="V829" s="2">
        <f>VLOOKUP(B829,'202324'!B:C,2,FALSE)-A829</f>
        <v>-1</v>
      </c>
    </row>
    <row r="830">
      <c r="A830" s="1">
        <f t="shared" si="1"/>
        <v>828</v>
      </c>
      <c r="B830" s="1" t="s">
        <v>1888</v>
      </c>
      <c r="C830" s="1" t="s">
        <v>1156</v>
      </c>
      <c r="D830" s="1" t="s">
        <v>36</v>
      </c>
      <c r="E830" s="11">
        <f t="shared" si="2"/>
        <v>26.45</v>
      </c>
      <c r="F830" s="11">
        <f t="shared" si="3"/>
        <v>1.889285714</v>
      </c>
      <c r="G830" s="1">
        <v>14.0</v>
      </c>
      <c r="H830" s="1">
        <v>1.0</v>
      </c>
      <c r="I830" s="1">
        <v>1.0</v>
      </c>
      <c r="J830" s="1">
        <v>2.0</v>
      </c>
      <c r="K830" s="1">
        <v>10.0</v>
      </c>
      <c r="L830" s="1">
        <v>0.0</v>
      </c>
      <c r="M830" s="1">
        <v>0.0</v>
      </c>
      <c r="N830" s="1">
        <v>0.0</v>
      </c>
      <c r="O830" s="1">
        <v>0.0</v>
      </c>
      <c r="P830" s="1">
        <v>37.0</v>
      </c>
      <c r="Q830" s="1">
        <v>2.0</v>
      </c>
      <c r="V830" s="2">
        <f>VLOOKUP(B830,'202324'!B:C,2,FALSE)-A830</f>
        <v>7</v>
      </c>
    </row>
    <row r="831">
      <c r="A831" s="1">
        <f t="shared" si="1"/>
        <v>829</v>
      </c>
      <c r="B831" s="1" t="s">
        <v>1889</v>
      </c>
      <c r="C831" s="1" t="s">
        <v>1097</v>
      </c>
      <c r="D831" s="1" t="s">
        <v>31</v>
      </c>
      <c r="E831" s="11">
        <f t="shared" si="2"/>
        <v>26.3</v>
      </c>
      <c r="F831" s="11">
        <f t="shared" si="3"/>
        <v>1.143478261</v>
      </c>
      <c r="G831" s="1">
        <v>23.0</v>
      </c>
      <c r="H831" s="1">
        <v>2.0</v>
      </c>
      <c r="I831" s="1">
        <v>1.0</v>
      </c>
      <c r="J831" s="1">
        <v>3.0</v>
      </c>
      <c r="K831" s="1">
        <v>16.0</v>
      </c>
      <c r="L831" s="1">
        <v>0.0</v>
      </c>
      <c r="M831" s="1">
        <v>0.0</v>
      </c>
      <c r="N831" s="1">
        <v>0.0</v>
      </c>
      <c r="O831" s="1">
        <v>0.0</v>
      </c>
      <c r="P831" s="1">
        <v>8.0</v>
      </c>
      <c r="Q831" s="1">
        <v>7.0</v>
      </c>
      <c r="V831" s="2">
        <f>VLOOKUP(B831,'202324'!B:C,2,FALSE)-A831</f>
        <v>-6</v>
      </c>
    </row>
    <row r="832">
      <c r="A832" s="1">
        <f t="shared" si="1"/>
        <v>830</v>
      </c>
      <c r="B832" s="1" t="s">
        <v>1890</v>
      </c>
      <c r="C832" s="1" t="s">
        <v>1052</v>
      </c>
      <c r="D832" s="1" t="s">
        <v>66</v>
      </c>
      <c r="E832" s="11">
        <f t="shared" si="2"/>
        <v>26</v>
      </c>
      <c r="F832" s="11">
        <f t="shared" si="3"/>
        <v>1.857142857</v>
      </c>
      <c r="G832" s="1">
        <v>14.0</v>
      </c>
      <c r="H832" s="1">
        <v>0.0</v>
      </c>
      <c r="I832" s="1">
        <v>1.0</v>
      </c>
      <c r="J832" s="1">
        <v>1.0</v>
      </c>
      <c r="K832" s="1">
        <v>11.0</v>
      </c>
      <c r="L832" s="1">
        <v>0.0</v>
      </c>
      <c r="M832" s="1">
        <v>0.0</v>
      </c>
      <c r="N832" s="1">
        <v>0.0</v>
      </c>
      <c r="O832" s="1">
        <v>0.0</v>
      </c>
      <c r="P832" s="1">
        <v>30.0</v>
      </c>
      <c r="Q832" s="1">
        <v>14.0</v>
      </c>
      <c r="V832" s="2">
        <f>VLOOKUP(B832,'202324'!B:C,2,FALSE)-A832</f>
        <v>3</v>
      </c>
    </row>
    <row r="833">
      <c r="A833" s="1">
        <f t="shared" si="1"/>
        <v>831</v>
      </c>
      <c r="B833" s="1" t="s">
        <v>1891</v>
      </c>
      <c r="C833" s="1" t="s">
        <v>1078</v>
      </c>
      <c r="D833" s="1" t="s">
        <v>66</v>
      </c>
      <c r="E833" s="11">
        <f t="shared" si="2"/>
        <v>25.7</v>
      </c>
      <c r="F833" s="11">
        <f t="shared" si="3"/>
        <v>1.070833333</v>
      </c>
      <c r="G833" s="1">
        <v>24.0</v>
      </c>
      <c r="H833" s="1">
        <v>1.0</v>
      </c>
      <c r="I833" s="1">
        <v>0.0</v>
      </c>
      <c r="J833" s="1">
        <v>1.0</v>
      </c>
      <c r="K833" s="1">
        <v>11.0</v>
      </c>
      <c r="L833" s="1">
        <v>0.0</v>
      </c>
      <c r="M833" s="1">
        <v>0.0</v>
      </c>
      <c r="N833" s="1">
        <v>0.0</v>
      </c>
      <c r="O833" s="1">
        <v>0.0</v>
      </c>
      <c r="P833" s="1">
        <v>12.0</v>
      </c>
      <c r="Q833" s="1">
        <v>23.0</v>
      </c>
      <c r="V833" s="2">
        <f>VLOOKUP(B833,'202324'!B:C,2,FALSE)-A833</f>
        <v>-3</v>
      </c>
    </row>
    <row r="834">
      <c r="A834" s="1">
        <f t="shared" si="1"/>
        <v>832</v>
      </c>
      <c r="B834" s="1" t="s">
        <v>1892</v>
      </c>
      <c r="C834" s="1" t="s">
        <v>1078</v>
      </c>
      <c r="D834" s="1" t="s">
        <v>31</v>
      </c>
      <c r="E834" s="11">
        <f t="shared" si="2"/>
        <v>25.3</v>
      </c>
      <c r="F834" s="11">
        <f t="shared" si="3"/>
        <v>3.614285714</v>
      </c>
      <c r="G834" s="1">
        <v>7.0</v>
      </c>
      <c r="H834" s="1">
        <v>3.0</v>
      </c>
      <c r="I834" s="1">
        <v>1.0</v>
      </c>
      <c r="J834" s="1">
        <v>4.0</v>
      </c>
      <c r="K834" s="1">
        <v>9.0</v>
      </c>
      <c r="L834" s="1">
        <v>0.0</v>
      </c>
      <c r="M834" s="1">
        <v>0.0</v>
      </c>
      <c r="N834" s="1">
        <v>0.0</v>
      </c>
      <c r="O834" s="1">
        <v>0.0</v>
      </c>
      <c r="P834" s="1">
        <v>8.0</v>
      </c>
      <c r="Q834" s="1">
        <v>3.0</v>
      </c>
      <c r="V834" s="2">
        <f>VLOOKUP(B834,'202324'!B:C,2,FALSE)-A834</f>
        <v>-4</v>
      </c>
    </row>
    <row r="835">
      <c r="A835" s="1">
        <f t="shared" si="1"/>
        <v>833</v>
      </c>
      <c r="B835" s="1" t="s">
        <v>1893</v>
      </c>
      <c r="C835" s="1" t="s">
        <v>1042</v>
      </c>
      <c r="D835" s="1" t="s">
        <v>66</v>
      </c>
      <c r="E835" s="11">
        <f t="shared" si="2"/>
        <v>25</v>
      </c>
      <c r="F835" s="11">
        <f t="shared" si="3"/>
        <v>2.777777778</v>
      </c>
      <c r="G835" s="1">
        <v>9.0</v>
      </c>
      <c r="H835" s="1">
        <v>0.0</v>
      </c>
      <c r="I835" s="1">
        <v>3.0</v>
      </c>
      <c r="J835" s="1">
        <v>3.0</v>
      </c>
      <c r="K835" s="1">
        <v>8.0</v>
      </c>
      <c r="L835" s="1">
        <v>0.0</v>
      </c>
      <c r="M835" s="1">
        <v>0.0</v>
      </c>
      <c r="N835" s="1">
        <v>0.0</v>
      </c>
      <c r="O835" s="1">
        <v>0.0</v>
      </c>
      <c r="P835" s="1">
        <v>20.0</v>
      </c>
      <c r="Q835" s="1">
        <v>10.0</v>
      </c>
      <c r="V835" s="2">
        <f>VLOOKUP(B835,'202324'!B:C,2,FALSE)-A835</f>
        <v>0</v>
      </c>
    </row>
    <row r="836">
      <c r="A836" s="1">
        <f t="shared" si="1"/>
        <v>834</v>
      </c>
      <c r="B836" s="1" t="s">
        <v>1894</v>
      </c>
      <c r="C836" s="1" t="s">
        <v>1038</v>
      </c>
      <c r="D836" s="1" t="s">
        <v>31</v>
      </c>
      <c r="E836" s="11">
        <f t="shared" si="2"/>
        <v>24.75</v>
      </c>
      <c r="F836" s="11">
        <f t="shared" si="3"/>
        <v>2.75</v>
      </c>
      <c r="G836" s="1">
        <v>9.0</v>
      </c>
      <c r="H836" s="1">
        <v>1.0</v>
      </c>
      <c r="I836" s="1">
        <v>2.0</v>
      </c>
      <c r="J836" s="1">
        <v>3.0</v>
      </c>
      <c r="K836" s="1">
        <v>6.0</v>
      </c>
      <c r="L836" s="1">
        <v>0.0</v>
      </c>
      <c r="M836" s="1">
        <v>0.0</v>
      </c>
      <c r="N836" s="1">
        <v>0.0</v>
      </c>
      <c r="O836" s="1">
        <v>0.0</v>
      </c>
      <c r="P836" s="1">
        <v>25.0</v>
      </c>
      <c r="Q836" s="1">
        <v>5.0</v>
      </c>
      <c r="V836" s="2">
        <f>VLOOKUP(B836,'202324'!B:C,2,FALSE)-A836</f>
        <v>2</v>
      </c>
    </row>
    <row r="837">
      <c r="A837" s="1">
        <f t="shared" si="1"/>
        <v>835</v>
      </c>
      <c r="B837" s="1" t="s">
        <v>1895</v>
      </c>
      <c r="C837" s="1" t="s">
        <v>1067</v>
      </c>
      <c r="D837" s="1" t="s">
        <v>5</v>
      </c>
      <c r="E837" s="11">
        <f t="shared" si="2"/>
        <v>24.6</v>
      </c>
      <c r="F837" s="11">
        <f t="shared" si="3"/>
        <v>2.46</v>
      </c>
      <c r="G837" s="1">
        <v>10.0</v>
      </c>
      <c r="R837" s="1">
        <v>2.0</v>
      </c>
      <c r="S837" s="1">
        <v>32.0</v>
      </c>
      <c r="T837" s="1">
        <v>222.0</v>
      </c>
      <c r="U837" s="1">
        <v>0.0</v>
      </c>
      <c r="V837" s="2">
        <f>VLOOKUP(B837,'202324'!B:C,2,FALSE)-A837</f>
        <v>-8</v>
      </c>
    </row>
    <row r="838">
      <c r="A838" s="1">
        <f t="shared" si="1"/>
        <v>836</v>
      </c>
      <c r="B838" s="1" t="s">
        <v>1896</v>
      </c>
      <c r="C838" s="1" t="s">
        <v>1156</v>
      </c>
      <c r="D838" s="1" t="s">
        <v>66</v>
      </c>
      <c r="E838" s="11">
        <f t="shared" si="2"/>
        <v>24.35</v>
      </c>
      <c r="F838" s="11">
        <f t="shared" si="3"/>
        <v>2.029166667</v>
      </c>
      <c r="G838" s="1">
        <v>12.0</v>
      </c>
      <c r="H838" s="1">
        <v>1.0</v>
      </c>
      <c r="I838" s="1">
        <v>0.0</v>
      </c>
      <c r="J838" s="1">
        <v>1.0</v>
      </c>
      <c r="K838" s="1">
        <v>10.0</v>
      </c>
      <c r="L838" s="1">
        <v>0.0</v>
      </c>
      <c r="M838" s="1">
        <v>0.0</v>
      </c>
      <c r="N838" s="1">
        <v>0.0</v>
      </c>
      <c r="O838" s="1">
        <v>0.0</v>
      </c>
      <c r="P838" s="1">
        <v>21.0</v>
      </c>
      <c r="Q838" s="1">
        <v>15.0</v>
      </c>
      <c r="V838" s="2">
        <f>VLOOKUP(B838,'202324'!B:C,2,FALSE)-A838</f>
        <v>0</v>
      </c>
    </row>
    <row r="839">
      <c r="A839" s="1">
        <f t="shared" si="1"/>
        <v>837</v>
      </c>
      <c r="B839" s="1" t="s">
        <v>1897</v>
      </c>
      <c r="C839" s="1" t="s">
        <v>1080</v>
      </c>
      <c r="D839" s="1" t="s">
        <v>5</v>
      </c>
      <c r="E839" s="11">
        <f t="shared" si="2"/>
        <v>24</v>
      </c>
      <c r="F839" s="11">
        <f t="shared" si="3"/>
        <v>4</v>
      </c>
      <c r="G839" s="1">
        <v>6.0</v>
      </c>
      <c r="R839" s="1">
        <v>1.0</v>
      </c>
      <c r="S839" s="1">
        <v>21.0</v>
      </c>
      <c r="T839" s="1">
        <v>175.0</v>
      </c>
      <c r="U839" s="1">
        <v>0.0</v>
      </c>
      <c r="V839" s="2">
        <f>VLOOKUP(B839,'202324'!B:C,2,FALSE)-A839</f>
        <v>-6</v>
      </c>
    </row>
    <row r="840">
      <c r="A840" s="1">
        <f t="shared" si="1"/>
        <v>837</v>
      </c>
      <c r="B840" s="1" t="s">
        <v>1898</v>
      </c>
      <c r="C840" s="1" t="s">
        <v>1040</v>
      </c>
      <c r="D840" s="1" t="s">
        <v>31</v>
      </c>
      <c r="E840" s="11">
        <f t="shared" si="2"/>
        <v>24</v>
      </c>
      <c r="F840" s="11">
        <f t="shared" si="3"/>
        <v>2.181818182</v>
      </c>
      <c r="G840" s="1">
        <v>11.0</v>
      </c>
      <c r="H840" s="1">
        <v>2.0</v>
      </c>
      <c r="I840" s="1">
        <v>0.0</v>
      </c>
      <c r="J840" s="1">
        <v>2.0</v>
      </c>
      <c r="K840" s="1">
        <v>7.0</v>
      </c>
      <c r="L840" s="1">
        <v>0.0</v>
      </c>
      <c r="M840" s="1">
        <v>0.0</v>
      </c>
      <c r="N840" s="1">
        <v>0.0</v>
      </c>
      <c r="O840" s="1">
        <v>0.0</v>
      </c>
      <c r="P840" s="1">
        <v>30.0</v>
      </c>
      <c r="Q840" s="1">
        <v>2.0</v>
      </c>
      <c r="V840" s="2">
        <f>VLOOKUP(B840,'202324'!B:C,2,FALSE)-A840</f>
        <v>4</v>
      </c>
    </row>
    <row r="841">
      <c r="A841" s="1">
        <f t="shared" si="1"/>
        <v>839</v>
      </c>
      <c r="B841" s="1" t="s">
        <v>1899</v>
      </c>
      <c r="C841" s="1" t="s">
        <v>1052</v>
      </c>
      <c r="D841" s="1" t="s">
        <v>28</v>
      </c>
      <c r="E841" s="11">
        <f t="shared" si="2"/>
        <v>23.75</v>
      </c>
      <c r="F841" s="11">
        <f t="shared" si="3"/>
        <v>1.826923077</v>
      </c>
      <c r="G841" s="1">
        <v>13.0</v>
      </c>
      <c r="H841" s="1">
        <v>1.0</v>
      </c>
      <c r="I841" s="1">
        <v>0.0</v>
      </c>
      <c r="J841" s="1">
        <v>1.0</v>
      </c>
      <c r="K841" s="1">
        <v>9.0</v>
      </c>
      <c r="L841" s="1">
        <v>0.0</v>
      </c>
      <c r="M841" s="1">
        <v>0.0</v>
      </c>
      <c r="N841" s="1">
        <v>0.0</v>
      </c>
      <c r="O841" s="1">
        <v>0.0</v>
      </c>
      <c r="P841" s="1">
        <v>35.0</v>
      </c>
      <c r="Q841" s="1">
        <v>5.0</v>
      </c>
      <c r="V841" s="2">
        <f>VLOOKUP(B841,'202324'!B:C,2,FALSE)-A841</f>
        <v>4</v>
      </c>
    </row>
    <row r="842">
      <c r="A842" s="1">
        <f t="shared" si="1"/>
        <v>840</v>
      </c>
      <c r="B842" s="1" t="s">
        <v>1900</v>
      </c>
      <c r="C842" s="1" t="s">
        <v>1034</v>
      </c>
      <c r="D842" s="1" t="s">
        <v>66</v>
      </c>
      <c r="E842" s="11">
        <f t="shared" si="2"/>
        <v>23.6</v>
      </c>
      <c r="F842" s="11">
        <f t="shared" si="3"/>
        <v>1.815384615</v>
      </c>
      <c r="G842" s="1">
        <v>13.0</v>
      </c>
      <c r="H842" s="1">
        <v>0.0</v>
      </c>
      <c r="I842" s="1">
        <v>2.0</v>
      </c>
      <c r="J842" s="1">
        <v>2.0</v>
      </c>
      <c r="K842" s="1">
        <v>13.0</v>
      </c>
      <c r="L842" s="1">
        <v>0.0</v>
      </c>
      <c r="M842" s="1">
        <v>0.0</v>
      </c>
      <c r="N842" s="1">
        <v>0.0</v>
      </c>
      <c r="O842" s="1">
        <v>0.0</v>
      </c>
      <c r="P842" s="1">
        <v>16.0</v>
      </c>
      <c r="Q842" s="1">
        <v>11.0</v>
      </c>
      <c r="V842" s="2">
        <f>VLOOKUP(B842,'202324'!B:C,2,FALSE)-A842</f>
        <v>-2</v>
      </c>
    </row>
    <row r="843">
      <c r="A843" s="1">
        <f t="shared" si="1"/>
        <v>841</v>
      </c>
      <c r="B843" s="1" t="s">
        <v>1901</v>
      </c>
      <c r="C843" s="1" t="s">
        <v>1080</v>
      </c>
      <c r="D843" s="1" t="s">
        <v>31</v>
      </c>
      <c r="E843" s="11">
        <f t="shared" si="2"/>
        <v>23.2</v>
      </c>
      <c r="F843" s="11">
        <f t="shared" si="3"/>
        <v>1.45</v>
      </c>
      <c r="G843" s="1">
        <v>16.0</v>
      </c>
      <c r="H843" s="1">
        <v>0.0</v>
      </c>
      <c r="I843" s="1">
        <v>1.0</v>
      </c>
      <c r="J843" s="1">
        <v>1.0</v>
      </c>
      <c r="K843" s="1">
        <v>17.0</v>
      </c>
      <c r="L843" s="1">
        <v>0.0</v>
      </c>
      <c r="M843" s="1">
        <v>0.0</v>
      </c>
      <c r="N843" s="1">
        <v>0.0</v>
      </c>
      <c r="O843" s="1">
        <v>0.0</v>
      </c>
      <c r="P843" s="1">
        <v>22.0</v>
      </c>
      <c r="Q843" s="1">
        <v>8.0</v>
      </c>
      <c r="V843" s="2">
        <f>VLOOKUP(B843,'202324'!B:C,2,FALSE)-A843</f>
        <v>0</v>
      </c>
    </row>
    <row r="844">
      <c r="A844" s="1">
        <f t="shared" si="1"/>
        <v>842</v>
      </c>
      <c r="B844" s="1" t="s">
        <v>1902</v>
      </c>
      <c r="C844" s="1" t="s">
        <v>1076</v>
      </c>
      <c r="D844" s="1" t="s">
        <v>66</v>
      </c>
      <c r="E844" s="11">
        <f t="shared" si="2"/>
        <v>22.9</v>
      </c>
      <c r="F844" s="11">
        <f t="shared" si="3"/>
        <v>1.908333333</v>
      </c>
      <c r="G844" s="1">
        <v>12.0</v>
      </c>
      <c r="H844" s="1">
        <v>0.0</v>
      </c>
      <c r="I844" s="1">
        <v>2.0</v>
      </c>
      <c r="J844" s="1">
        <v>2.0</v>
      </c>
      <c r="K844" s="1">
        <v>12.0</v>
      </c>
      <c r="L844" s="1">
        <v>0.0</v>
      </c>
      <c r="M844" s="1">
        <v>0.0</v>
      </c>
      <c r="N844" s="1">
        <v>0.0</v>
      </c>
      <c r="O844" s="1">
        <v>0.0</v>
      </c>
      <c r="P844" s="1">
        <v>14.0</v>
      </c>
      <c r="Q844" s="1">
        <v>12.0</v>
      </c>
      <c r="V844" s="2">
        <f>VLOOKUP(B844,'202324'!B:C,2,FALSE)-A844</f>
        <v>-3</v>
      </c>
    </row>
    <row r="845">
      <c r="A845" s="1">
        <f t="shared" si="1"/>
        <v>843</v>
      </c>
      <c r="B845" s="1" t="s">
        <v>1903</v>
      </c>
      <c r="C845" s="1" t="s">
        <v>1097</v>
      </c>
      <c r="D845" s="1" t="s">
        <v>31</v>
      </c>
      <c r="E845" s="11">
        <f t="shared" si="2"/>
        <v>21.7</v>
      </c>
      <c r="F845" s="11">
        <f t="shared" si="3"/>
        <v>0.775</v>
      </c>
      <c r="G845" s="1">
        <v>28.0</v>
      </c>
      <c r="H845" s="1">
        <v>0.0</v>
      </c>
      <c r="I845" s="1">
        <v>0.0</v>
      </c>
      <c r="J845" s="1">
        <v>0.0</v>
      </c>
      <c r="K845" s="1">
        <v>16.0</v>
      </c>
      <c r="L845" s="1">
        <v>0.0</v>
      </c>
      <c r="M845" s="1">
        <v>0.0</v>
      </c>
      <c r="N845" s="1">
        <v>0.0</v>
      </c>
      <c r="O845" s="1">
        <v>0.0</v>
      </c>
      <c r="P845" s="1">
        <v>22.0</v>
      </c>
      <c r="Q845" s="1">
        <v>12.0</v>
      </c>
      <c r="V845" s="2">
        <f>VLOOKUP(B845,'202324'!B:C,2,FALSE)-A845</f>
        <v>3</v>
      </c>
    </row>
    <row r="846">
      <c r="A846" s="1">
        <f t="shared" si="1"/>
        <v>844</v>
      </c>
      <c r="B846" s="1" t="s">
        <v>1904</v>
      </c>
      <c r="C846" s="1" t="s">
        <v>1080</v>
      </c>
      <c r="D846" s="1" t="s">
        <v>28</v>
      </c>
      <c r="E846" s="11">
        <f t="shared" si="2"/>
        <v>21.5</v>
      </c>
      <c r="F846" s="11">
        <f t="shared" si="3"/>
        <v>2.388888889</v>
      </c>
      <c r="G846" s="1">
        <v>9.0</v>
      </c>
      <c r="H846" s="1">
        <v>2.0</v>
      </c>
      <c r="I846" s="1">
        <v>1.0</v>
      </c>
      <c r="J846" s="1">
        <v>3.0</v>
      </c>
      <c r="K846" s="1">
        <v>16.0</v>
      </c>
      <c r="L846" s="1">
        <v>1.0</v>
      </c>
      <c r="M846" s="1">
        <v>0.0</v>
      </c>
      <c r="N846" s="1">
        <v>0.0</v>
      </c>
      <c r="O846" s="1">
        <v>0.0</v>
      </c>
      <c r="P846" s="1">
        <v>0.0</v>
      </c>
      <c r="Q846" s="1">
        <v>3.0</v>
      </c>
      <c r="V846" s="2">
        <f>VLOOKUP(B846,'202324'!B:C,2,FALSE)-A846</f>
        <v>-5</v>
      </c>
    </row>
    <row r="847">
      <c r="A847" s="1">
        <f t="shared" si="1"/>
        <v>845</v>
      </c>
      <c r="B847" s="1" t="s">
        <v>1905</v>
      </c>
      <c r="C847" s="1" t="s">
        <v>1065</v>
      </c>
      <c r="D847" s="1" t="s">
        <v>66</v>
      </c>
      <c r="E847" s="11">
        <f t="shared" si="2"/>
        <v>21.15</v>
      </c>
      <c r="F847" s="11">
        <f t="shared" si="3"/>
        <v>3.021428571</v>
      </c>
      <c r="G847" s="1">
        <v>7.0</v>
      </c>
      <c r="H847" s="1">
        <v>1.0</v>
      </c>
      <c r="I847" s="1">
        <v>2.0</v>
      </c>
      <c r="J847" s="1">
        <v>3.0</v>
      </c>
      <c r="K847" s="1">
        <v>11.0</v>
      </c>
      <c r="L847" s="1">
        <v>0.0</v>
      </c>
      <c r="M847" s="1">
        <v>0.0</v>
      </c>
      <c r="N847" s="1">
        <v>0.0</v>
      </c>
      <c r="O847" s="1">
        <v>0.0</v>
      </c>
      <c r="P847" s="1">
        <v>9.0</v>
      </c>
      <c r="Q847" s="1">
        <v>4.0</v>
      </c>
      <c r="V847" s="2">
        <f>VLOOKUP(B847,'202324'!B:C,2,FALSE)-A847</f>
        <v>-2</v>
      </c>
    </row>
    <row r="848">
      <c r="A848" s="1">
        <f t="shared" si="1"/>
        <v>846</v>
      </c>
      <c r="B848" s="1" t="s">
        <v>1906</v>
      </c>
      <c r="C848" s="1" t="s">
        <v>1156</v>
      </c>
      <c r="D848" s="1" t="s">
        <v>66</v>
      </c>
      <c r="E848" s="11">
        <f t="shared" si="2"/>
        <v>20.5</v>
      </c>
      <c r="F848" s="11">
        <f t="shared" si="3"/>
        <v>1.708333333</v>
      </c>
      <c r="G848" s="1">
        <v>12.0</v>
      </c>
      <c r="H848" s="1">
        <v>0.0</v>
      </c>
      <c r="I848" s="1">
        <v>2.0</v>
      </c>
      <c r="J848" s="1">
        <v>2.0</v>
      </c>
      <c r="K848" s="1">
        <v>7.0</v>
      </c>
      <c r="L848" s="1">
        <v>0.0</v>
      </c>
      <c r="M848" s="1">
        <v>0.0</v>
      </c>
      <c r="N848" s="1">
        <v>0.0</v>
      </c>
      <c r="O848" s="1">
        <v>0.0</v>
      </c>
      <c r="P848" s="1">
        <v>10.0</v>
      </c>
      <c r="Q848" s="1">
        <v>15.0</v>
      </c>
      <c r="V848" s="2">
        <f>VLOOKUP(B848,'202324'!B:C,2,FALSE)-A848</f>
        <v>0</v>
      </c>
    </row>
    <row r="849">
      <c r="A849" s="1">
        <f t="shared" si="1"/>
        <v>847</v>
      </c>
      <c r="B849" s="1" t="s">
        <v>1907</v>
      </c>
      <c r="C849" s="1" t="s">
        <v>1111</v>
      </c>
      <c r="D849" s="1" t="s">
        <v>66</v>
      </c>
      <c r="E849" s="11">
        <f t="shared" si="2"/>
        <v>20.4</v>
      </c>
      <c r="F849" s="11">
        <f t="shared" si="3"/>
        <v>4.08</v>
      </c>
      <c r="G849" s="1">
        <v>5.0</v>
      </c>
      <c r="H849" s="1">
        <v>1.0</v>
      </c>
      <c r="I849" s="1">
        <v>3.0</v>
      </c>
      <c r="J849" s="1">
        <v>4.0</v>
      </c>
      <c r="K849" s="1">
        <v>5.0</v>
      </c>
      <c r="L849" s="1">
        <v>0.0</v>
      </c>
      <c r="M849" s="1">
        <v>0.0</v>
      </c>
      <c r="N849" s="1">
        <v>0.0</v>
      </c>
      <c r="O849" s="1">
        <v>0.0</v>
      </c>
      <c r="P849" s="1">
        <v>4.0</v>
      </c>
      <c r="Q849" s="1">
        <v>6.0</v>
      </c>
      <c r="V849" s="2">
        <f>VLOOKUP(B849,'202324'!B:C,2,FALSE)-A849</f>
        <v>-2</v>
      </c>
    </row>
    <row r="850">
      <c r="A850" s="1">
        <f t="shared" si="1"/>
        <v>848</v>
      </c>
      <c r="B850" s="1" t="s">
        <v>1908</v>
      </c>
      <c r="C850" s="1" t="s">
        <v>1069</v>
      </c>
      <c r="D850" s="1" t="s">
        <v>28</v>
      </c>
      <c r="E850" s="11">
        <f t="shared" si="2"/>
        <v>20</v>
      </c>
      <c r="F850" s="11">
        <f t="shared" si="3"/>
        <v>1.538461538</v>
      </c>
      <c r="G850" s="1">
        <v>13.0</v>
      </c>
      <c r="H850" s="1">
        <v>1.0</v>
      </c>
      <c r="I850" s="1">
        <v>2.0</v>
      </c>
      <c r="J850" s="1">
        <v>3.0</v>
      </c>
      <c r="K850" s="1">
        <v>9.0</v>
      </c>
      <c r="L850" s="1">
        <v>0.0</v>
      </c>
      <c r="M850" s="1">
        <v>0.0</v>
      </c>
      <c r="N850" s="1">
        <v>0.0</v>
      </c>
      <c r="O850" s="1">
        <v>0.0</v>
      </c>
      <c r="P850" s="1">
        <v>10.0</v>
      </c>
      <c r="Q850" s="1">
        <v>3.0</v>
      </c>
      <c r="V850" s="2">
        <f>VLOOKUP(B850,'202324'!B:C,2,FALSE)-A850</f>
        <v>1</v>
      </c>
    </row>
    <row r="851">
      <c r="A851" s="1">
        <f t="shared" si="1"/>
        <v>849</v>
      </c>
      <c r="B851" s="1" t="s">
        <v>1909</v>
      </c>
      <c r="C851" s="1" t="s">
        <v>1082</v>
      </c>
      <c r="D851" s="1" t="s">
        <v>5</v>
      </c>
      <c r="E851" s="11">
        <f t="shared" si="2"/>
        <v>19.5</v>
      </c>
      <c r="F851" s="11">
        <f t="shared" si="3"/>
        <v>4.875</v>
      </c>
      <c r="G851" s="1">
        <v>4.0</v>
      </c>
      <c r="R851" s="1">
        <v>2.0</v>
      </c>
      <c r="S851" s="1">
        <v>13.0</v>
      </c>
      <c r="T851" s="1">
        <v>110.0</v>
      </c>
      <c r="U851" s="1">
        <v>0.0</v>
      </c>
      <c r="V851" s="2">
        <f>VLOOKUP(B851,'202324'!B:C,2,FALSE)-A851</f>
        <v>-3</v>
      </c>
    </row>
    <row r="852">
      <c r="A852" s="1">
        <f t="shared" si="1"/>
        <v>850</v>
      </c>
      <c r="B852" s="1" t="s">
        <v>1910</v>
      </c>
      <c r="C852" s="1" t="s">
        <v>1038</v>
      </c>
      <c r="D852" s="1" t="s">
        <v>66</v>
      </c>
      <c r="E852" s="11">
        <f t="shared" si="2"/>
        <v>19.05</v>
      </c>
      <c r="F852" s="11">
        <f t="shared" si="3"/>
        <v>1.465384615</v>
      </c>
      <c r="G852" s="1">
        <v>13.0</v>
      </c>
      <c r="H852" s="1">
        <v>0.0</v>
      </c>
      <c r="I852" s="1">
        <v>2.0</v>
      </c>
      <c r="J852" s="1">
        <v>2.0</v>
      </c>
      <c r="K852" s="1">
        <v>11.0</v>
      </c>
      <c r="L852" s="1">
        <v>0.0</v>
      </c>
      <c r="M852" s="1">
        <v>0.0</v>
      </c>
      <c r="N852" s="1">
        <v>0.0</v>
      </c>
      <c r="O852" s="1">
        <v>0.0</v>
      </c>
      <c r="P852" s="1">
        <v>3.0</v>
      </c>
      <c r="Q852" s="1">
        <v>13.0</v>
      </c>
      <c r="V852" s="2">
        <f>VLOOKUP(B852,'202324'!B:C,2,FALSE)-A852</f>
        <v>1</v>
      </c>
    </row>
    <row r="853">
      <c r="A853" s="1">
        <f t="shared" si="1"/>
        <v>850</v>
      </c>
      <c r="B853" s="1" t="s">
        <v>1911</v>
      </c>
      <c r="C853" s="1" t="s">
        <v>1175</v>
      </c>
      <c r="D853" s="1" t="s">
        <v>66</v>
      </c>
      <c r="E853" s="11">
        <f t="shared" si="2"/>
        <v>19.05</v>
      </c>
      <c r="F853" s="11">
        <f t="shared" si="3"/>
        <v>1.905</v>
      </c>
      <c r="G853" s="1">
        <v>10.0</v>
      </c>
      <c r="H853" s="1">
        <v>0.0</v>
      </c>
      <c r="I853" s="1">
        <v>1.0</v>
      </c>
      <c r="J853" s="1">
        <v>1.0</v>
      </c>
      <c r="K853" s="1">
        <v>6.0</v>
      </c>
      <c r="L853" s="1">
        <v>0.0</v>
      </c>
      <c r="M853" s="1">
        <v>0.0</v>
      </c>
      <c r="N853" s="1">
        <v>0.0</v>
      </c>
      <c r="O853" s="1">
        <v>0.0</v>
      </c>
      <c r="P853" s="1">
        <v>13.0</v>
      </c>
      <c r="Q853" s="1">
        <v>17.0</v>
      </c>
      <c r="V853" s="2">
        <f>VLOOKUP(B853,'202324'!B:C,2,FALSE)-A853</f>
        <v>3</v>
      </c>
    </row>
    <row r="854">
      <c r="A854" s="1">
        <f t="shared" si="1"/>
        <v>852</v>
      </c>
      <c r="B854" s="1" t="s">
        <v>1912</v>
      </c>
      <c r="C854" s="1" t="s">
        <v>1034</v>
      </c>
      <c r="D854" s="1" t="s">
        <v>28</v>
      </c>
      <c r="E854" s="11">
        <f t="shared" si="2"/>
        <v>19.05</v>
      </c>
      <c r="F854" s="11">
        <f t="shared" si="3"/>
        <v>2.116666667</v>
      </c>
      <c r="G854" s="1">
        <v>9.0</v>
      </c>
      <c r="H854" s="1">
        <v>0.0</v>
      </c>
      <c r="I854" s="1">
        <v>2.0</v>
      </c>
      <c r="J854" s="1">
        <v>2.0</v>
      </c>
      <c r="K854" s="1">
        <v>9.0</v>
      </c>
      <c r="L854" s="1">
        <v>0.0</v>
      </c>
      <c r="M854" s="1">
        <v>0.0</v>
      </c>
      <c r="N854" s="1">
        <v>0.0</v>
      </c>
      <c r="O854" s="1">
        <v>0.0</v>
      </c>
      <c r="P854" s="1">
        <v>23.0</v>
      </c>
      <c r="Q854" s="1">
        <v>1.0</v>
      </c>
      <c r="V854" s="2">
        <f>VLOOKUP(B854,'202324'!B:C,2,FALSE)-A854</f>
        <v>3</v>
      </c>
    </row>
    <row r="855">
      <c r="A855" s="1">
        <f t="shared" si="1"/>
        <v>853</v>
      </c>
      <c r="B855" s="1" t="s">
        <v>1913</v>
      </c>
      <c r="C855" s="1" t="s">
        <v>1054</v>
      </c>
      <c r="D855" s="1" t="s">
        <v>5</v>
      </c>
      <c r="E855" s="11">
        <f t="shared" si="2"/>
        <v>18.9</v>
      </c>
      <c r="F855" s="11">
        <f t="shared" si="3"/>
        <v>6.3</v>
      </c>
      <c r="G855" s="1">
        <v>3.0</v>
      </c>
      <c r="R855" s="1">
        <v>2.0</v>
      </c>
      <c r="S855" s="1">
        <v>9.0</v>
      </c>
      <c r="T855" s="1">
        <v>78.0</v>
      </c>
      <c r="U855" s="1">
        <v>1.0</v>
      </c>
      <c r="V855" s="2">
        <f>VLOOKUP(B855,'202324'!B:C,2,FALSE)-A855</f>
        <v>-3</v>
      </c>
    </row>
    <row r="856">
      <c r="A856" s="1">
        <f t="shared" si="1"/>
        <v>854</v>
      </c>
      <c r="B856" s="1" t="s">
        <v>1914</v>
      </c>
      <c r="C856" s="1" t="s">
        <v>1175</v>
      </c>
      <c r="D856" s="1" t="s">
        <v>5</v>
      </c>
      <c r="E856" s="11">
        <f t="shared" si="2"/>
        <v>18.6</v>
      </c>
      <c r="F856" s="11">
        <f t="shared" si="3"/>
        <v>3.1</v>
      </c>
      <c r="G856" s="1">
        <v>6.0</v>
      </c>
      <c r="R856" s="1">
        <v>2.0</v>
      </c>
      <c r="S856" s="1">
        <v>25.0</v>
      </c>
      <c r="T856" s="1">
        <v>167.0</v>
      </c>
      <c r="U856" s="1">
        <v>0.0</v>
      </c>
      <c r="V856" s="2">
        <f>VLOOKUP(B856,'202324'!B:C,2,FALSE)-A856</f>
        <v>-2</v>
      </c>
    </row>
    <row r="857">
      <c r="A857" s="1">
        <f t="shared" si="1"/>
        <v>855</v>
      </c>
      <c r="B857" s="1" t="s">
        <v>1915</v>
      </c>
      <c r="C857" s="1" t="s">
        <v>1091</v>
      </c>
      <c r="D857" s="1" t="s">
        <v>66</v>
      </c>
      <c r="E857" s="11">
        <f t="shared" si="2"/>
        <v>18.3</v>
      </c>
      <c r="F857" s="11">
        <f t="shared" si="3"/>
        <v>2.033333333</v>
      </c>
      <c r="G857" s="1">
        <v>9.0</v>
      </c>
      <c r="H857" s="1">
        <v>1.0</v>
      </c>
      <c r="I857" s="1">
        <v>0.0</v>
      </c>
      <c r="J857" s="1">
        <v>1.0</v>
      </c>
      <c r="K857" s="1">
        <v>6.0</v>
      </c>
      <c r="L857" s="1">
        <v>0.0</v>
      </c>
      <c r="M857" s="1">
        <v>0.0</v>
      </c>
      <c r="N857" s="1">
        <v>0.0</v>
      </c>
      <c r="O857" s="1">
        <v>0.0</v>
      </c>
      <c r="P857" s="1">
        <v>18.0</v>
      </c>
      <c r="Q857" s="1">
        <v>9.0</v>
      </c>
      <c r="V857" s="2">
        <f>VLOOKUP(B857,'202324'!B:C,2,FALSE)-A857</f>
        <v>1</v>
      </c>
    </row>
    <row r="858">
      <c r="A858" s="1">
        <f t="shared" si="1"/>
        <v>856</v>
      </c>
      <c r="B858" s="1" t="s">
        <v>1916</v>
      </c>
      <c r="C858" s="1" t="s">
        <v>1054</v>
      </c>
      <c r="D858" s="1" t="s">
        <v>66</v>
      </c>
      <c r="E858" s="11">
        <f t="shared" si="2"/>
        <v>17.8</v>
      </c>
      <c r="F858" s="11">
        <f t="shared" si="3"/>
        <v>1.483333333</v>
      </c>
      <c r="G858" s="1">
        <v>12.0</v>
      </c>
      <c r="H858" s="1">
        <v>0.0</v>
      </c>
      <c r="I858" s="1">
        <v>1.0</v>
      </c>
      <c r="J858" s="1">
        <v>1.0</v>
      </c>
      <c r="K858" s="1">
        <v>7.0</v>
      </c>
      <c r="L858" s="1">
        <v>0.0</v>
      </c>
      <c r="M858" s="1">
        <v>0.0</v>
      </c>
      <c r="N858" s="1">
        <v>0.0</v>
      </c>
      <c r="O858" s="1">
        <v>0.0</v>
      </c>
      <c r="P858" s="1">
        <v>8.0</v>
      </c>
      <c r="Q858" s="1">
        <v>17.0</v>
      </c>
      <c r="V858" s="2">
        <f>VLOOKUP(B858,'202324'!B:C,2,FALSE)-A858</f>
        <v>-2</v>
      </c>
    </row>
    <row r="859">
      <c r="A859" s="1">
        <f t="shared" si="1"/>
        <v>857</v>
      </c>
      <c r="B859" s="1" t="s">
        <v>1917</v>
      </c>
      <c r="C859" s="1" t="s">
        <v>1042</v>
      </c>
      <c r="D859" s="1" t="s">
        <v>31</v>
      </c>
      <c r="E859" s="11">
        <f t="shared" si="2"/>
        <v>17.3</v>
      </c>
      <c r="F859" s="11">
        <f t="shared" si="3"/>
        <v>1.330769231</v>
      </c>
      <c r="G859" s="1">
        <v>13.0</v>
      </c>
      <c r="H859" s="1">
        <v>0.0</v>
      </c>
      <c r="I859" s="1">
        <v>3.0</v>
      </c>
      <c r="J859" s="1">
        <v>3.0</v>
      </c>
      <c r="K859" s="1">
        <v>7.0</v>
      </c>
      <c r="L859" s="1">
        <v>0.0</v>
      </c>
      <c r="M859" s="1">
        <v>0.0</v>
      </c>
      <c r="N859" s="1">
        <v>0.0</v>
      </c>
      <c r="O859" s="1">
        <v>0.0</v>
      </c>
      <c r="P859" s="1">
        <v>8.0</v>
      </c>
      <c r="Q859" s="1">
        <v>4.0</v>
      </c>
      <c r="V859" s="2">
        <f>VLOOKUP(B859,'202324'!B:C,2,FALSE)-A859</f>
        <v>-1</v>
      </c>
    </row>
    <row r="860">
      <c r="A860" s="1">
        <f t="shared" si="1"/>
        <v>858</v>
      </c>
      <c r="B860" s="1" t="s">
        <v>1918</v>
      </c>
      <c r="C860" s="1" t="s">
        <v>1054</v>
      </c>
      <c r="D860" s="1" t="s">
        <v>28</v>
      </c>
      <c r="E860" s="11">
        <f t="shared" si="2"/>
        <v>17.05</v>
      </c>
      <c r="F860" s="11">
        <f t="shared" si="3"/>
        <v>1.55</v>
      </c>
      <c r="G860" s="1">
        <v>11.0</v>
      </c>
      <c r="H860" s="1">
        <v>0.0</v>
      </c>
      <c r="I860" s="1">
        <v>2.0</v>
      </c>
      <c r="J860" s="1">
        <v>2.0</v>
      </c>
      <c r="K860" s="1">
        <v>10.0</v>
      </c>
      <c r="L860" s="1">
        <v>0.0</v>
      </c>
      <c r="M860" s="1">
        <v>0.0</v>
      </c>
      <c r="N860" s="1">
        <v>0.0</v>
      </c>
      <c r="O860" s="1">
        <v>0.0</v>
      </c>
      <c r="P860" s="1">
        <v>13.0</v>
      </c>
      <c r="Q860" s="1">
        <v>3.0</v>
      </c>
      <c r="V860" s="2">
        <f>VLOOKUP(B860,'202324'!B:C,2,FALSE)-A860</f>
        <v>1</v>
      </c>
    </row>
    <row r="861">
      <c r="A861" s="1">
        <f t="shared" si="1"/>
        <v>859</v>
      </c>
      <c r="B861" s="1" t="s">
        <v>1919</v>
      </c>
      <c r="C861" s="1" t="s">
        <v>1038</v>
      </c>
      <c r="D861" s="1" t="s">
        <v>31</v>
      </c>
      <c r="E861" s="11">
        <f t="shared" si="2"/>
        <v>16.75</v>
      </c>
      <c r="F861" s="11">
        <f t="shared" si="3"/>
        <v>1.522727273</v>
      </c>
      <c r="G861" s="1">
        <v>11.0</v>
      </c>
      <c r="H861" s="1">
        <v>0.0</v>
      </c>
      <c r="I861" s="1">
        <v>1.0</v>
      </c>
      <c r="J861" s="1">
        <v>1.0</v>
      </c>
      <c r="K861" s="1">
        <v>7.0</v>
      </c>
      <c r="L861" s="1">
        <v>0.0</v>
      </c>
      <c r="M861" s="1">
        <v>0.0</v>
      </c>
      <c r="N861" s="1">
        <v>0.0</v>
      </c>
      <c r="O861" s="1">
        <v>0.0</v>
      </c>
      <c r="P861" s="1">
        <v>25.0</v>
      </c>
      <c r="Q861" s="1">
        <v>3.0</v>
      </c>
      <c r="V861" s="2">
        <f>VLOOKUP(B861,'202324'!B:C,2,FALSE)-A861</f>
        <v>3</v>
      </c>
    </row>
    <row r="862">
      <c r="A862" s="1">
        <f t="shared" si="1"/>
        <v>860</v>
      </c>
      <c r="B862" s="1" t="s">
        <v>1920</v>
      </c>
      <c r="C862" s="1" t="s">
        <v>1046</v>
      </c>
      <c r="D862" s="1" t="s">
        <v>5</v>
      </c>
      <c r="E862" s="11">
        <f t="shared" si="2"/>
        <v>16.2</v>
      </c>
      <c r="F862" s="11">
        <f t="shared" si="3"/>
        <v>4.05</v>
      </c>
      <c r="G862" s="1">
        <v>4.0</v>
      </c>
      <c r="R862" s="1">
        <v>3.0</v>
      </c>
      <c r="S862" s="1">
        <v>10.0</v>
      </c>
      <c r="T862" s="1">
        <v>74.0</v>
      </c>
      <c r="U862" s="1">
        <v>0.0</v>
      </c>
      <c r="V862" s="2">
        <f>VLOOKUP(B862,'202324'!B:C,2,FALSE)-A862</f>
        <v>-2</v>
      </c>
    </row>
    <row r="863">
      <c r="A863" s="1">
        <f t="shared" si="1"/>
        <v>861</v>
      </c>
      <c r="B863" s="1" t="s">
        <v>1921</v>
      </c>
      <c r="C863" s="1" t="s">
        <v>1036</v>
      </c>
      <c r="D863" s="1" t="s">
        <v>66</v>
      </c>
      <c r="E863" s="11">
        <f t="shared" si="2"/>
        <v>15.4</v>
      </c>
      <c r="F863" s="11">
        <f t="shared" si="3"/>
        <v>1.283333333</v>
      </c>
      <c r="G863" s="1">
        <v>12.0</v>
      </c>
      <c r="H863" s="1">
        <v>0.0</v>
      </c>
      <c r="I863" s="1">
        <v>2.0</v>
      </c>
      <c r="J863" s="1">
        <v>2.0</v>
      </c>
      <c r="K863" s="1">
        <v>6.0</v>
      </c>
      <c r="L863" s="1">
        <v>0.0</v>
      </c>
      <c r="M863" s="1">
        <v>1.0</v>
      </c>
      <c r="N863" s="1">
        <v>0.0</v>
      </c>
      <c r="O863" s="1">
        <v>0.0</v>
      </c>
      <c r="P863" s="1">
        <v>4.0</v>
      </c>
      <c r="Q863" s="1">
        <v>10.0</v>
      </c>
      <c r="V863" s="2">
        <f>VLOOKUP(B863,'202324'!B:C,2,FALSE)-A863</f>
        <v>-1</v>
      </c>
    </row>
    <row r="864">
      <c r="A864" s="1">
        <f t="shared" si="1"/>
        <v>862</v>
      </c>
      <c r="B864" s="1" t="s">
        <v>1922</v>
      </c>
      <c r="C864" s="1" t="s">
        <v>1065</v>
      </c>
      <c r="D864" s="1" t="s">
        <v>66</v>
      </c>
      <c r="E864" s="11">
        <f t="shared" si="2"/>
        <v>15.35</v>
      </c>
      <c r="F864" s="11">
        <f t="shared" si="3"/>
        <v>3.07</v>
      </c>
      <c r="G864" s="1">
        <v>5.0</v>
      </c>
      <c r="H864" s="1">
        <v>0.0</v>
      </c>
      <c r="I864" s="1">
        <v>0.0</v>
      </c>
      <c r="J864" s="1">
        <v>0.0</v>
      </c>
      <c r="K864" s="1">
        <v>6.0</v>
      </c>
      <c r="L864" s="1">
        <v>0.0</v>
      </c>
      <c r="M864" s="1">
        <v>0.0</v>
      </c>
      <c r="N864" s="1">
        <v>0.0</v>
      </c>
      <c r="O864" s="1">
        <v>0.0</v>
      </c>
      <c r="P864" s="1">
        <v>21.0</v>
      </c>
      <c r="Q864" s="1">
        <v>10.0</v>
      </c>
      <c r="V864" s="2">
        <f>VLOOKUP(B864,'202324'!B:C,2,FALSE)-A864</f>
        <v>6</v>
      </c>
    </row>
    <row r="865">
      <c r="A865" s="1">
        <f t="shared" si="1"/>
        <v>862</v>
      </c>
      <c r="B865" s="1" t="s">
        <v>1923</v>
      </c>
      <c r="C865" s="1" t="s">
        <v>1069</v>
      </c>
      <c r="D865" s="1" t="s">
        <v>36</v>
      </c>
      <c r="E865" s="11">
        <f t="shared" si="2"/>
        <v>15.35</v>
      </c>
      <c r="F865" s="11">
        <f t="shared" si="3"/>
        <v>2.558333333</v>
      </c>
      <c r="G865" s="1">
        <v>6.0</v>
      </c>
      <c r="H865" s="1">
        <v>1.0</v>
      </c>
      <c r="I865" s="1">
        <v>0.0</v>
      </c>
      <c r="J865" s="1">
        <v>1.0</v>
      </c>
      <c r="K865" s="1">
        <v>4.0</v>
      </c>
      <c r="L865" s="1">
        <v>0.0</v>
      </c>
      <c r="M865" s="1">
        <v>0.0</v>
      </c>
      <c r="N865" s="1">
        <v>0.0</v>
      </c>
      <c r="O865" s="1">
        <v>0.0</v>
      </c>
      <c r="P865" s="1">
        <v>21.0</v>
      </c>
      <c r="Q865" s="1">
        <v>3.0</v>
      </c>
      <c r="V865" s="2">
        <f>VLOOKUP(B865,'202324'!B:C,2,FALSE)-A865</f>
        <v>6</v>
      </c>
    </row>
    <row r="866">
      <c r="A866" s="1">
        <f t="shared" si="1"/>
        <v>864</v>
      </c>
      <c r="B866" s="1" t="s">
        <v>1924</v>
      </c>
      <c r="C866" s="1" t="s">
        <v>1175</v>
      </c>
      <c r="D866" s="1" t="s">
        <v>5</v>
      </c>
      <c r="E866" s="11">
        <f t="shared" si="2"/>
        <v>15</v>
      </c>
      <c r="F866" s="11">
        <f t="shared" si="3"/>
        <v>1.666666667</v>
      </c>
      <c r="G866" s="1">
        <v>9.0</v>
      </c>
      <c r="R866" s="1">
        <v>1.0</v>
      </c>
      <c r="S866" s="1">
        <v>37.0</v>
      </c>
      <c r="T866" s="1">
        <v>225.0</v>
      </c>
      <c r="U866" s="1">
        <v>0.0</v>
      </c>
      <c r="V866" s="2">
        <f>VLOOKUP(B866,'202324'!B:C,2,FALSE)-A866</f>
        <v>-4</v>
      </c>
    </row>
    <row r="867">
      <c r="A867" s="1">
        <f t="shared" si="1"/>
        <v>865</v>
      </c>
      <c r="B867" s="1" t="s">
        <v>1925</v>
      </c>
      <c r="C867" s="1" t="s">
        <v>1030</v>
      </c>
      <c r="D867" s="1" t="s">
        <v>28</v>
      </c>
      <c r="E867" s="11">
        <f t="shared" si="2"/>
        <v>14.8</v>
      </c>
      <c r="F867" s="11">
        <f t="shared" si="3"/>
        <v>2.96</v>
      </c>
      <c r="G867" s="1">
        <v>5.0</v>
      </c>
      <c r="H867" s="1">
        <v>1.0</v>
      </c>
      <c r="I867" s="1">
        <v>1.0</v>
      </c>
      <c r="J867" s="1">
        <v>2.0</v>
      </c>
      <c r="K867" s="1">
        <v>7.0</v>
      </c>
      <c r="L867" s="1">
        <v>0.0</v>
      </c>
      <c r="M867" s="1">
        <v>0.0</v>
      </c>
      <c r="N867" s="1">
        <v>0.0</v>
      </c>
      <c r="O867" s="1">
        <v>0.0</v>
      </c>
      <c r="P867" s="1">
        <v>8.0</v>
      </c>
      <c r="Q867" s="1">
        <v>2.0</v>
      </c>
      <c r="V867" s="2">
        <f>VLOOKUP(B867,'202324'!B:C,2,FALSE)-A867</f>
        <v>0</v>
      </c>
    </row>
    <row r="868">
      <c r="A868" s="1">
        <f t="shared" si="1"/>
        <v>866</v>
      </c>
      <c r="B868" s="1" t="s">
        <v>1926</v>
      </c>
      <c r="C868" s="1" t="s">
        <v>1175</v>
      </c>
      <c r="D868" s="1" t="s">
        <v>36</v>
      </c>
      <c r="E868" s="11">
        <f t="shared" si="2"/>
        <v>14.75</v>
      </c>
      <c r="F868" s="11">
        <f t="shared" si="3"/>
        <v>2.107142857</v>
      </c>
      <c r="G868" s="1">
        <v>7.0</v>
      </c>
      <c r="H868" s="1">
        <v>0.0</v>
      </c>
      <c r="I868" s="1">
        <v>2.0</v>
      </c>
      <c r="J868" s="1">
        <v>2.0</v>
      </c>
      <c r="K868" s="1">
        <v>7.0</v>
      </c>
      <c r="L868" s="1">
        <v>0.0</v>
      </c>
      <c r="M868" s="1">
        <v>1.0</v>
      </c>
      <c r="N868" s="1">
        <v>0.0</v>
      </c>
      <c r="O868" s="1">
        <v>0.0</v>
      </c>
      <c r="P868" s="1">
        <v>5.0</v>
      </c>
      <c r="Q868" s="1">
        <v>7.0</v>
      </c>
      <c r="V868" s="2">
        <f>VLOOKUP(B868,'202324'!B:C,2,FALSE)-A868</f>
        <v>-4</v>
      </c>
    </row>
    <row r="869">
      <c r="A869" s="1">
        <f t="shared" si="1"/>
        <v>867</v>
      </c>
      <c r="B869" s="1" t="s">
        <v>1927</v>
      </c>
      <c r="C869" s="1" t="s">
        <v>1078</v>
      </c>
      <c r="D869" s="1" t="s">
        <v>28</v>
      </c>
      <c r="E869" s="11">
        <f t="shared" si="2"/>
        <v>14.25</v>
      </c>
      <c r="F869" s="11">
        <f t="shared" si="3"/>
        <v>1.78125</v>
      </c>
      <c r="G869" s="1">
        <v>8.0</v>
      </c>
      <c r="H869" s="1">
        <v>1.0</v>
      </c>
      <c r="I869" s="1">
        <v>0.0</v>
      </c>
      <c r="J869" s="1">
        <v>1.0</v>
      </c>
      <c r="K869" s="1">
        <v>13.0</v>
      </c>
      <c r="L869" s="1">
        <v>1.0</v>
      </c>
      <c r="M869" s="1">
        <v>0.0</v>
      </c>
      <c r="N869" s="1">
        <v>0.0</v>
      </c>
      <c r="O869" s="1">
        <v>0.0</v>
      </c>
      <c r="P869" s="1">
        <v>5.0</v>
      </c>
      <c r="Q869" s="1">
        <v>3.0</v>
      </c>
      <c r="V869" s="2">
        <f>VLOOKUP(B869,'202324'!B:C,2,FALSE)-A869</f>
        <v>-1</v>
      </c>
    </row>
    <row r="870">
      <c r="A870" s="1">
        <f t="shared" si="1"/>
        <v>868</v>
      </c>
      <c r="B870" s="1" t="s">
        <v>1928</v>
      </c>
      <c r="C870" s="1" t="s">
        <v>1036</v>
      </c>
      <c r="D870" s="1" t="s">
        <v>5</v>
      </c>
      <c r="E870" s="11">
        <f t="shared" si="2"/>
        <v>14.1</v>
      </c>
      <c r="F870" s="11">
        <f t="shared" si="3"/>
        <v>2.82</v>
      </c>
      <c r="G870" s="1">
        <v>5.0</v>
      </c>
      <c r="R870" s="1">
        <v>1.0</v>
      </c>
      <c r="S870" s="1">
        <v>20.0</v>
      </c>
      <c r="T870" s="1">
        <v>137.0</v>
      </c>
      <c r="U870" s="1">
        <v>0.0</v>
      </c>
      <c r="V870" s="2">
        <f>VLOOKUP(B870,'202324'!B:C,2,FALSE)-A870</f>
        <v>-4</v>
      </c>
    </row>
    <row r="871">
      <c r="A871" s="1">
        <f t="shared" si="1"/>
        <v>869</v>
      </c>
      <c r="B871" s="1" t="s">
        <v>1929</v>
      </c>
      <c r="C871" s="1" t="s">
        <v>1111</v>
      </c>
      <c r="D871" s="1" t="s">
        <v>28</v>
      </c>
      <c r="E871" s="11">
        <f t="shared" si="2"/>
        <v>14</v>
      </c>
      <c r="F871" s="11">
        <f t="shared" si="3"/>
        <v>1.4</v>
      </c>
      <c r="G871" s="1">
        <v>10.0</v>
      </c>
      <c r="H871" s="1">
        <v>0.0</v>
      </c>
      <c r="I871" s="1">
        <v>1.0</v>
      </c>
      <c r="J871" s="1">
        <v>1.0</v>
      </c>
      <c r="K871" s="1">
        <v>5.0</v>
      </c>
      <c r="L871" s="1">
        <v>0.0</v>
      </c>
      <c r="M871" s="1">
        <v>0.0</v>
      </c>
      <c r="N871" s="1">
        <v>0.0</v>
      </c>
      <c r="O871" s="1">
        <v>0.0</v>
      </c>
      <c r="P871" s="1">
        <v>20.0</v>
      </c>
      <c r="Q871" s="1">
        <v>3.0</v>
      </c>
      <c r="V871" s="2">
        <f>VLOOKUP(B871,'202324'!B:C,2,FALSE)-A871</f>
        <v>10</v>
      </c>
    </row>
    <row r="872">
      <c r="A872" s="1">
        <f t="shared" si="1"/>
        <v>870</v>
      </c>
      <c r="B872" s="1" t="s">
        <v>1930</v>
      </c>
      <c r="C872" s="1" t="s">
        <v>1044</v>
      </c>
      <c r="D872" s="1" t="s">
        <v>66</v>
      </c>
      <c r="E872" s="11">
        <f t="shared" si="2"/>
        <v>13.8</v>
      </c>
      <c r="F872" s="11">
        <f t="shared" si="3"/>
        <v>1.533333333</v>
      </c>
      <c r="G872" s="1">
        <v>9.0</v>
      </c>
      <c r="H872" s="1">
        <v>0.0</v>
      </c>
      <c r="I872" s="1">
        <v>1.0</v>
      </c>
      <c r="J872" s="1">
        <v>1.0</v>
      </c>
      <c r="K872" s="1">
        <v>7.0</v>
      </c>
      <c r="L872" s="1">
        <v>0.0</v>
      </c>
      <c r="M872" s="1">
        <v>0.0</v>
      </c>
      <c r="N872" s="1">
        <v>0.0</v>
      </c>
      <c r="O872" s="1">
        <v>0.0</v>
      </c>
      <c r="P872" s="1">
        <v>8.0</v>
      </c>
      <c r="Q872" s="1">
        <v>9.0</v>
      </c>
      <c r="V872" s="2">
        <f>VLOOKUP(B872,'202324'!B:C,2,FALSE)-A872</f>
        <v>3</v>
      </c>
    </row>
    <row r="873">
      <c r="A873" s="1">
        <f t="shared" si="1"/>
        <v>871</v>
      </c>
      <c r="B873" s="1" t="s">
        <v>1931</v>
      </c>
      <c r="C873" s="1" t="s">
        <v>1040</v>
      </c>
      <c r="D873" s="1" t="s">
        <v>31</v>
      </c>
      <c r="E873" s="11">
        <f t="shared" si="2"/>
        <v>13.75</v>
      </c>
      <c r="F873" s="11">
        <f t="shared" si="3"/>
        <v>2.291666667</v>
      </c>
      <c r="G873" s="1">
        <v>6.0</v>
      </c>
      <c r="H873" s="1">
        <v>0.0</v>
      </c>
      <c r="I873" s="1">
        <v>2.0</v>
      </c>
      <c r="J873" s="1">
        <v>2.0</v>
      </c>
      <c r="K873" s="1">
        <v>11.0</v>
      </c>
      <c r="L873" s="1">
        <v>0.0</v>
      </c>
      <c r="M873" s="1">
        <v>1.0</v>
      </c>
      <c r="N873" s="1">
        <v>0.0</v>
      </c>
      <c r="O873" s="1">
        <v>0.0</v>
      </c>
      <c r="P873" s="1">
        <v>5.0</v>
      </c>
      <c r="Q873" s="1">
        <v>1.0</v>
      </c>
      <c r="V873" s="2">
        <f>VLOOKUP(B873,'202324'!B:C,2,FALSE)-A873</f>
        <v>-3</v>
      </c>
    </row>
    <row r="874">
      <c r="A874" s="1">
        <f t="shared" si="1"/>
        <v>872</v>
      </c>
      <c r="B874" s="1" t="s">
        <v>1932</v>
      </c>
      <c r="C874" s="1" t="s">
        <v>1175</v>
      </c>
      <c r="D874" s="1" t="s">
        <v>36</v>
      </c>
      <c r="E874" s="11">
        <f t="shared" si="2"/>
        <v>13.7</v>
      </c>
      <c r="F874" s="11">
        <f t="shared" si="3"/>
        <v>3.425</v>
      </c>
      <c r="G874" s="1">
        <v>4.0</v>
      </c>
      <c r="H874" s="1">
        <v>1.0</v>
      </c>
      <c r="I874" s="1">
        <v>1.0</v>
      </c>
      <c r="J874" s="1">
        <v>2.0</v>
      </c>
      <c r="K874" s="1">
        <v>4.0</v>
      </c>
      <c r="L874" s="1">
        <v>0.0</v>
      </c>
      <c r="M874" s="1">
        <v>0.0</v>
      </c>
      <c r="N874" s="1">
        <v>0.0</v>
      </c>
      <c r="O874" s="1">
        <v>0.0</v>
      </c>
      <c r="P874" s="1">
        <v>2.0</v>
      </c>
      <c r="Q874" s="1">
        <v>7.0</v>
      </c>
      <c r="V874" s="2">
        <f>VLOOKUP(B874,'202324'!B:C,2,FALSE)-A874</f>
        <v>-5</v>
      </c>
    </row>
    <row r="875">
      <c r="A875" s="1">
        <f t="shared" si="1"/>
        <v>873</v>
      </c>
      <c r="B875" s="1" t="s">
        <v>1933</v>
      </c>
      <c r="C875" s="1" t="s">
        <v>1175</v>
      </c>
      <c r="D875" s="1" t="s">
        <v>31</v>
      </c>
      <c r="E875" s="11">
        <f t="shared" si="2"/>
        <v>13.3</v>
      </c>
      <c r="F875" s="11">
        <f t="shared" si="3"/>
        <v>2.216666667</v>
      </c>
      <c r="G875" s="1">
        <v>6.0</v>
      </c>
      <c r="H875" s="1">
        <v>0.0</v>
      </c>
      <c r="I875" s="1">
        <v>1.0</v>
      </c>
      <c r="J875" s="1">
        <v>1.0</v>
      </c>
      <c r="K875" s="1">
        <v>7.0</v>
      </c>
      <c r="L875" s="1">
        <v>0.0</v>
      </c>
      <c r="M875" s="1">
        <v>0.0</v>
      </c>
      <c r="N875" s="1">
        <v>0.0</v>
      </c>
      <c r="O875" s="1">
        <v>0.0</v>
      </c>
      <c r="P875" s="1">
        <v>8.0</v>
      </c>
      <c r="Q875" s="1">
        <v>8.0</v>
      </c>
      <c r="V875" s="2">
        <f>VLOOKUP(B875,'202324'!B:C,2,FALSE)-A875</f>
        <v>4</v>
      </c>
    </row>
    <row r="876">
      <c r="A876" s="1">
        <f t="shared" si="1"/>
        <v>874</v>
      </c>
      <c r="B876" s="1" t="s">
        <v>1934</v>
      </c>
      <c r="C876" s="1" t="s">
        <v>1097</v>
      </c>
      <c r="D876" s="1" t="s">
        <v>31</v>
      </c>
      <c r="E876" s="11">
        <f t="shared" si="2"/>
        <v>13.25</v>
      </c>
      <c r="F876" s="11">
        <f t="shared" si="3"/>
        <v>1.892857143</v>
      </c>
      <c r="G876" s="1">
        <v>7.0</v>
      </c>
      <c r="H876" s="1">
        <v>1.0</v>
      </c>
      <c r="I876" s="1">
        <v>0.0</v>
      </c>
      <c r="J876" s="1">
        <v>1.0</v>
      </c>
      <c r="K876" s="1">
        <v>7.0</v>
      </c>
      <c r="L876" s="1">
        <v>0.0</v>
      </c>
      <c r="M876" s="1">
        <v>0.0</v>
      </c>
      <c r="N876" s="1">
        <v>0.0</v>
      </c>
      <c r="O876" s="1">
        <v>0.0</v>
      </c>
      <c r="P876" s="1">
        <v>5.0</v>
      </c>
      <c r="Q876" s="1">
        <v>7.0</v>
      </c>
      <c r="V876" s="2">
        <f>VLOOKUP(B876,'202324'!B:C,2,FALSE)-A876</f>
        <v>1</v>
      </c>
    </row>
    <row r="877">
      <c r="A877" s="1">
        <f t="shared" si="1"/>
        <v>874</v>
      </c>
      <c r="B877" s="1" t="s">
        <v>1935</v>
      </c>
      <c r="C877" s="1" t="s">
        <v>1067</v>
      </c>
      <c r="D877" s="1" t="s">
        <v>28</v>
      </c>
      <c r="E877" s="11">
        <f t="shared" si="2"/>
        <v>13.25</v>
      </c>
      <c r="F877" s="11">
        <f t="shared" si="3"/>
        <v>0.8833333333</v>
      </c>
      <c r="G877" s="1">
        <v>15.0</v>
      </c>
      <c r="H877" s="1">
        <v>0.0</v>
      </c>
      <c r="I877" s="1">
        <v>2.0</v>
      </c>
      <c r="J877" s="1">
        <v>2.0</v>
      </c>
      <c r="K877" s="1">
        <v>4.0</v>
      </c>
      <c r="L877" s="1">
        <v>0.0</v>
      </c>
      <c r="M877" s="1">
        <v>0.0</v>
      </c>
      <c r="N877" s="1">
        <v>0.0</v>
      </c>
      <c r="O877" s="1">
        <v>0.0</v>
      </c>
      <c r="P877" s="1">
        <v>5.0</v>
      </c>
      <c r="Q877" s="1">
        <v>7.0</v>
      </c>
      <c r="V877" s="2">
        <f>VLOOKUP(B877,'202324'!B:C,2,FALSE)-A877</f>
        <v>1</v>
      </c>
    </row>
    <row r="878">
      <c r="A878" s="1">
        <f t="shared" si="1"/>
        <v>876</v>
      </c>
      <c r="B878" s="1" t="s">
        <v>1936</v>
      </c>
      <c r="C878" s="1" t="s">
        <v>1048</v>
      </c>
      <c r="D878" s="1" t="s">
        <v>5</v>
      </c>
      <c r="E878" s="11">
        <f t="shared" si="2"/>
        <v>13.2</v>
      </c>
      <c r="F878" s="11">
        <f t="shared" si="3"/>
        <v>4.4</v>
      </c>
      <c r="G878" s="1">
        <v>3.0</v>
      </c>
      <c r="R878" s="1">
        <v>1.0</v>
      </c>
      <c r="S878" s="1">
        <v>5.0</v>
      </c>
      <c r="T878" s="1">
        <v>59.0</v>
      </c>
      <c r="U878" s="1">
        <v>0.0</v>
      </c>
      <c r="V878" s="2">
        <f>VLOOKUP(B878,'202324'!B:C,2,FALSE)-A878</f>
        <v>-5</v>
      </c>
    </row>
    <row r="879">
      <c r="A879" s="1">
        <f t="shared" si="1"/>
        <v>877</v>
      </c>
      <c r="B879" s="1" t="s">
        <v>1937</v>
      </c>
      <c r="C879" s="1" t="s">
        <v>1091</v>
      </c>
      <c r="D879" s="1" t="s">
        <v>5</v>
      </c>
      <c r="E879" s="11">
        <f t="shared" si="2"/>
        <v>13.2</v>
      </c>
      <c r="F879" s="11">
        <f t="shared" si="3"/>
        <v>2.64</v>
      </c>
      <c r="G879" s="1">
        <v>5.0</v>
      </c>
      <c r="R879" s="1">
        <v>2.0</v>
      </c>
      <c r="S879" s="1">
        <v>18.0</v>
      </c>
      <c r="T879" s="1">
        <v>114.0</v>
      </c>
      <c r="U879" s="1">
        <v>0.0</v>
      </c>
      <c r="V879" s="2">
        <f>VLOOKUP(B879,'202324'!B:C,2,FALSE)-A879</f>
        <v>-5</v>
      </c>
    </row>
    <row r="880">
      <c r="A880" s="1">
        <f t="shared" si="1"/>
        <v>878</v>
      </c>
      <c r="B880" s="1" t="s">
        <v>1938</v>
      </c>
      <c r="C880" s="1" t="s">
        <v>1085</v>
      </c>
      <c r="D880" s="1" t="s">
        <v>5</v>
      </c>
      <c r="E880" s="11">
        <f t="shared" si="2"/>
        <v>12.9</v>
      </c>
      <c r="F880" s="11">
        <f t="shared" si="3"/>
        <v>12.9</v>
      </c>
      <c r="G880" s="1">
        <v>1.0</v>
      </c>
      <c r="R880" s="1">
        <v>1.0</v>
      </c>
      <c r="S880" s="1">
        <v>0.0</v>
      </c>
      <c r="T880" s="1">
        <v>23.0</v>
      </c>
      <c r="U880" s="1">
        <v>1.0</v>
      </c>
      <c r="V880" s="2">
        <f>VLOOKUP(B880,'202324'!B:C,2,FALSE)-A880</f>
        <v>-4</v>
      </c>
    </row>
    <row r="881">
      <c r="A881" s="1">
        <f t="shared" si="1"/>
        <v>878</v>
      </c>
      <c r="B881" s="1" t="s">
        <v>1939</v>
      </c>
      <c r="C881" s="1" t="s">
        <v>1030</v>
      </c>
      <c r="D881" s="1" t="s">
        <v>36</v>
      </c>
      <c r="E881" s="11">
        <f t="shared" si="2"/>
        <v>12.9</v>
      </c>
      <c r="F881" s="11">
        <f t="shared" si="3"/>
        <v>1.842857143</v>
      </c>
      <c r="G881" s="1">
        <v>7.0</v>
      </c>
      <c r="H881" s="1">
        <v>1.0</v>
      </c>
      <c r="I881" s="1">
        <v>0.0</v>
      </c>
      <c r="J881" s="1">
        <v>1.0</v>
      </c>
      <c r="K881" s="1">
        <v>6.0</v>
      </c>
      <c r="L881" s="1">
        <v>0.0</v>
      </c>
      <c r="M881" s="1">
        <v>0.0</v>
      </c>
      <c r="N881" s="1">
        <v>0.0</v>
      </c>
      <c r="O881" s="1">
        <v>0.0</v>
      </c>
      <c r="P881" s="1">
        <v>14.0</v>
      </c>
      <c r="Q881" s="1">
        <v>1.0</v>
      </c>
      <c r="V881" s="2">
        <f>VLOOKUP(B881,'202324'!B:C,2,FALSE)-A881</f>
        <v>6</v>
      </c>
    </row>
    <row r="882">
      <c r="A882" s="1">
        <f t="shared" si="1"/>
        <v>880</v>
      </c>
      <c r="B882" s="1" t="s">
        <v>1940</v>
      </c>
      <c r="C882" s="1" t="s">
        <v>1175</v>
      </c>
      <c r="D882" s="1" t="s">
        <v>66</v>
      </c>
      <c r="E882" s="11">
        <f t="shared" si="2"/>
        <v>12.75</v>
      </c>
      <c r="F882" s="11">
        <f t="shared" si="3"/>
        <v>4.25</v>
      </c>
      <c r="G882" s="1">
        <v>3.0</v>
      </c>
      <c r="H882" s="1">
        <v>0.0</v>
      </c>
      <c r="I882" s="1">
        <v>1.0</v>
      </c>
      <c r="J882" s="1">
        <v>1.0</v>
      </c>
      <c r="K882" s="1">
        <v>5.0</v>
      </c>
      <c r="L882" s="1">
        <v>0.0</v>
      </c>
      <c r="M882" s="1">
        <v>1.0</v>
      </c>
      <c r="N882" s="1">
        <v>0.0</v>
      </c>
      <c r="O882" s="1">
        <v>0.0</v>
      </c>
      <c r="P882" s="1">
        <v>5.0</v>
      </c>
      <c r="Q882" s="1">
        <v>11.0</v>
      </c>
      <c r="V882" s="2">
        <f>VLOOKUP(B882,'202324'!B:C,2,FALSE)-A882</f>
        <v>-2</v>
      </c>
    </row>
    <row r="883">
      <c r="A883" s="1">
        <f t="shared" si="1"/>
        <v>881</v>
      </c>
      <c r="B883" s="1" t="s">
        <v>1941</v>
      </c>
      <c r="C883" s="1" t="s">
        <v>1172</v>
      </c>
      <c r="D883" s="1" t="s">
        <v>31</v>
      </c>
      <c r="E883" s="11">
        <f t="shared" si="2"/>
        <v>12.65</v>
      </c>
      <c r="F883" s="11">
        <f t="shared" si="3"/>
        <v>1.405555556</v>
      </c>
      <c r="G883" s="1">
        <v>9.0</v>
      </c>
      <c r="H883" s="1">
        <v>0.0</v>
      </c>
      <c r="I883" s="1">
        <v>0.0</v>
      </c>
      <c r="J883" s="1">
        <v>0.0</v>
      </c>
      <c r="K883" s="1">
        <v>13.0</v>
      </c>
      <c r="L883" s="1">
        <v>0.0</v>
      </c>
      <c r="M883" s="1">
        <v>0.0</v>
      </c>
      <c r="N883" s="1">
        <v>0.0</v>
      </c>
      <c r="O883" s="1">
        <v>0.0</v>
      </c>
      <c r="P883" s="1">
        <v>9.0</v>
      </c>
      <c r="Q883" s="1">
        <v>6.0</v>
      </c>
      <c r="V883" s="2">
        <f>VLOOKUP(B883,'202324'!B:C,2,FALSE)-A883</f>
        <v>2</v>
      </c>
    </row>
    <row r="884">
      <c r="A884" s="1">
        <f t="shared" si="1"/>
        <v>882</v>
      </c>
      <c r="B884" s="1" t="s">
        <v>1942</v>
      </c>
      <c r="C884" s="1" t="s">
        <v>1054</v>
      </c>
      <c r="D884" s="1" t="s">
        <v>28</v>
      </c>
      <c r="E884" s="11">
        <f t="shared" si="2"/>
        <v>12.2</v>
      </c>
      <c r="F884" s="11">
        <f t="shared" si="3"/>
        <v>3.05</v>
      </c>
      <c r="G884" s="1">
        <v>4.0</v>
      </c>
      <c r="H884" s="1">
        <v>1.0</v>
      </c>
      <c r="I884" s="1">
        <v>1.0</v>
      </c>
      <c r="J884" s="1">
        <v>2.0</v>
      </c>
      <c r="K884" s="1">
        <v>8.0</v>
      </c>
      <c r="L884" s="1">
        <v>0.0</v>
      </c>
      <c r="M884" s="1">
        <v>0.0</v>
      </c>
      <c r="N884" s="1">
        <v>0.0</v>
      </c>
      <c r="O884" s="1">
        <v>0.0</v>
      </c>
      <c r="P884" s="1">
        <v>2.0</v>
      </c>
      <c r="Q884" s="1">
        <v>0.0</v>
      </c>
      <c r="V884" s="2">
        <f>VLOOKUP(B884,'202324'!B:C,2,FALSE)-A884</f>
        <v>-3</v>
      </c>
    </row>
    <row r="885">
      <c r="A885" s="1">
        <f t="shared" si="1"/>
        <v>882</v>
      </c>
      <c r="B885" s="1" t="s">
        <v>1943</v>
      </c>
      <c r="C885" s="1" t="s">
        <v>1082</v>
      </c>
      <c r="D885" s="1" t="s">
        <v>31</v>
      </c>
      <c r="E885" s="11">
        <f t="shared" si="2"/>
        <v>12.2</v>
      </c>
      <c r="F885" s="11">
        <f t="shared" si="3"/>
        <v>1.525</v>
      </c>
      <c r="G885" s="1">
        <v>8.0</v>
      </c>
      <c r="H885" s="1">
        <v>0.0</v>
      </c>
      <c r="I885" s="1">
        <v>1.0</v>
      </c>
      <c r="J885" s="1">
        <v>1.0</v>
      </c>
      <c r="K885" s="1">
        <v>12.0</v>
      </c>
      <c r="L885" s="1">
        <v>0.0</v>
      </c>
      <c r="M885" s="1">
        <v>0.0</v>
      </c>
      <c r="N885" s="1">
        <v>0.0</v>
      </c>
      <c r="O885" s="1">
        <v>0.0</v>
      </c>
      <c r="P885" s="1">
        <v>2.0</v>
      </c>
      <c r="Q885" s="1">
        <v>5.0</v>
      </c>
      <c r="V885" s="2">
        <f>VLOOKUP(B885,'202324'!B:C,2,FALSE)-A885</f>
        <v>-3</v>
      </c>
    </row>
    <row r="886">
      <c r="A886" s="1">
        <f t="shared" si="1"/>
        <v>884</v>
      </c>
      <c r="B886" s="1" t="s">
        <v>1944</v>
      </c>
      <c r="C886" s="1" t="s">
        <v>1146</v>
      </c>
      <c r="D886" s="1" t="s">
        <v>5</v>
      </c>
      <c r="E886" s="11">
        <f t="shared" si="2"/>
        <v>12</v>
      </c>
      <c r="F886" s="11">
        <f t="shared" si="3"/>
        <v>6</v>
      </c>
      <c r="G886" s="1">
        <v>2.0</v>
      </c>
      <c r="R886" s="1">
        <v>1.0</v>
      </c>
      <c r="S886" s="1">
        <v>5.0</v>
      </c>
      <c r="T886" s="1">
        <v>55.0</v>
      </c>
      <c r="U886" s="1">
        <v>0.0</v>
      </c>
      <c r="V886" s="2">
        <f>VLOOKUP(B886,'202324'!B:C,2,FALSE)-A886</f>
        <v>-5</v>
      </c>
    </row>
    <row r="887">
      <c r="A887" s="1">
        <f t="shared" si="1"/>
        <v>885</v>
      </c>
      <c r="B887" s="1" t="s">
        <v>1945</v>
      </c>
      <c r="C887" s="1" t="s">
        <v>1082</v>
      </c>
      <c r="D887" s="1" t="s">
        <v>66</v>
      </c>
      <c r="E887" s="11">
        <f t="shared" si="2"/>
        <v>11.85</v>
      </c>
      <c r="F887" s="11">
        <f t="shared" si="3"/>
        <v>1.975</v>
      </c>
      <c r="G887" s="1">
        <v>6.0</v>
      </c>
      <c r="H887" s="1">
        <v>0.0</v>
      </c>
      <c r="I887" s="1">
        <v>1.0</v>
      </c>
      <c r="J887" s="1">
        <v>1.0</v>
      </c>
      <c r="K887" s="1">
        <v>5.0</v>
      </c>
      <c r="L887" s="1">
        <v>0.0</v>
      </c>
      <c r="M887" s="1">
        <v>0.0</v>
      </c>
      <c r="N887" s="1">
        <v>0.0</v>
      </c>
      <c r="O887" s="1">
        <v>0.0</v>
      </c>
      <c r="P887" s="1">
        <v>11.0</v>
      </c>
      <c r="Q887" s="1">
        <v>5.0</v>
      </c>
      <c r="V887" s="2">
        <f>VLOOKUP(B887,'202324'!B:C,2,FALSE)-A887</f>
        <v>1</v>
      </c>
    </row>
    <row r="888">
      <c r="A888" s="1">
        <f t="shared" si="1"/>
        <v>886</v>
      </c>
      <c r="B888" s="1" t="s">
        <v>1946</v>
      </c>
      <c r="C888" s="1" t="s">
        <v>1038</v>
      </c>
      <c r="D888" s="1" t="s">
        <v>28</v>
      </c>
      <c r="E888" s="11">
        <f t="shared" si="2"/>
        <v>11.7</v>
      </c>
      <c r="F888" s="11">
        <f t="shared" si="3"/>
        <v>2.925</v>
      </c>
      <c r="G888" s="1">
        <v>4.0</v>
      </c>
      <c r="H888" s="1">
        <v>0.0</v>
      </c>
      <c r="I888" s="1">
        <v>2.0</v>
      </c>
      <c r="J888" s="1">
        <v>2.0</v>
      </c>
      <c r="K888" s="1">
        <v>1.0</v>
      </c>
      <c r="L888" s="1">
        <v>0.0</v>
      </c>
      <c r="M888" s="1">
        <v>0.0</v>
      </c>
      <c r="N888" s="1">
        <v>0.0</v>
      </c>
      <c r="O888" s="1">
        <v>0.0</v>
      </c>
      <c r="P888" s="1">
        <v>12.0</v>
      </c>
      <c r="Q888" s="1">
        <v>2.0</v>
      </c>
      <c r="V888" s="2">
        <f>VLOOKUP(B888,'202324'!B:C,2,FALSE)-A888</f>
        <v>1</v>
      </c>
    </row>
    <row r="889">
      <c r="A889" s="1">
        <f t="shared" si="1"/>
        <v>887</v>
      </c>
      <c r="B889" s="1" t="s">
        <v>1947</v>
      </c>
      <c r="C889" s="1" t="s">
        <v>1032</v>
      </c>
      <c r="D889" s="1" t="s">
        <v>66</v>
      </c>
      <c r="E889" s="11">
        <f t="shared" si="2"/>
        <v>11.2</v>
      </c>
      <c r="F889" s="11">
        <f t="shared" si="3"/>
        <v>1.6</v>
      </c>
      <c r="G889" s="1">
        <v>7.0</v>
      </c>
      <c r="H889" s="1">
        <v>0.0</v>
      </c>
      <c r="I889" s="1">
        <v>1.0</v>
      </c>
      <c r="J889" s="1">
        <v>1.0</v>
      </c>
      <c r="K889" s="1">
        <v>1.0</v>
      </c>
      <c r="L889" s="1">
        <v>0.0</v>
      </c>
      <c r="M889" s="1">
        <v>1.0</v>
      </c>
      <c r="N889" s="1">
        <v>0.0</v>
      </c>
      <c r="O889" s="1">
        <v>0.0</v>
      </c>
      <c r="P889" s="1">
        <v>12.0</v>
      </c>
      <c r="Q889" s="1">
        <v>7.0</v>
      </c>
      <c r="V889" s="2">
        <f>VLOOKUP(B889,'202324'!B:C,2,FALSE)-A889</f>
        <v>1</v>
      </c>
    </row>
    <row r="890">
      <c r="A890" s="1">
        <f t="shared" si="1"/>
        <v>888</v>
      </c>
      <c r="B890" s="1" t="s">
        <v>1948</v>
      </c>
      <c r="C890" s="1" t="s">
        <v>1067</v>
      </c>
      <c r="D890" s="1" t="s">
        <v>28</v>
      </c>
      <c r="E890" s="11">
        <f t="shared" si="2"/>
        <v>11</v>
      </c>
      <c r="F890" s="11">
        <f t="shared" si="3"/>
        <v>2.2</v>
      </c>
      <c r="G890" s="1">
        <v>5.0</v>
      </c>
      <c r="H890" s="1">
        <v>2.0</v>
      </c>
      <c r="I890" s="1">
        <v>0.0</v>
      </c>
      <c r="J890" s="1">
        <v>2.0</v>
      </c>
      <c r="K890" s="1">
        <v>2.0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2.0</v>
      </c>
      <c r="V890" s="2">
        <f>VLOOKUP(B890,'202324'!B:C,2,FALSE)-A890</f>
        <v>-3</v>
      </c>
    </row>
    <row r="891">
      <c r="A891" s="1">
        <f t="shared" si="1"/>
        <v>888</v>
      </c>
      <c r="B891" s="1" t="s">
        <v>1949</v>
      </c>
      <c r="C891" s="1" t="s">
        <v>1106</v>
      </c>
      <c r="D891" s="1" t="s">
        <v>31</v>
      </c>
      <c r="E891" s="11">
        <f t="shared" si="2"/>
        <v>11</v>
      </c>
      <c r="F891" s="11">
        <f t="shared" si="3"/>
        <v>1.222222222</v>
      </c>
      <c r="G891" s="1">
        <v>9.0</v>
      </c>
      <c r="H891" s="1">
        <v>0.0</v>
      </c>
      <c r="I891" s="1">
        <v>0.0</v>
      </c>
      <c r="J891" s="1">
        <v>0.0</v>
      </c>
      <c r="K891" s="1">
        <v>10.0</v>
      </c>
      <c r="L891" s="1">
        <v>0.0</v>
      </c>
      <c r="M891" s="1">
        <v>0.0</v>
      </c>
      <c r="N891" s="1">
        <v>0.0</v>
      </c>
      <c r="O891" s="1">
        <v>0.0</v>
      </c>
      <c r="P891" s="1">
        <v>10.0</v>
      </c>
      <c r="Q891" s="1">
        <v>5.0</v>
      </c>
      <c r="V891" s="2">
        <f>VLOOKUP(B891,'202324'!B:C,2,FALSE)-A891</f>
        <v>0</v>
      </c>
    </row>
    <row r="892">
      <c r="A892" s="1">
        <f t="shared" si="1"/>
        <v>890</v>
      </c>
      <c r="B892" s="1" t="s">
        <v>1950</v>
      </c>
      <c r="C892" s="1" t="s">
        <v>1146</v>
      </c>
      <c r="D892" s="1" t="s">
        <v>31</v>
      </c>
      <c r="E892" s="11">
        <f t="shared" si="2"/>
        <v>10.5</v>
      </c>
      <c r="F892" s="11">
        <f t="shared" si="3"/>
        <v>1.166666667</v>
      </c>
      <c r="G892" s="1">
        <v>9.0</v>
      </c>
      <c r="H892" s="1">
        <v>0.0</v>
      </c>
      <c r="I892" s="1">
        <v>0.0</v>
      </c>
      <c r="J892" s="1">
        <v>0.0</v>
      </c>
      <c r="K892" s="1">
        <v>10.0</v>
      </c>
      <c r="L892" s="1">
        <v>0.0</v>
      </c>
      <c r="M892" s="1">
        <v>0.0</v>
      </c>
      <c r="N892" s="1">
        <v>0.0</v>
      </c>
      <c r="O892" s="1">
        <v>0.0</v>
      </c>
      <c r="P892" s="1">
        <v>10.0</v>
      </c>
      <c r="Q892" s="1">
        <v>4.0</v>
      </c>
      <c r="V892" s="2">
        <f>VLOOKUP(B892,'202324'!B:C,2,FALSE)-A892</f>
        <v>5</v>
      </c>
    </row>
    <row r="893">
      <c r="A893" s="1">
        <f t="shared" si="1"/>
        <v>891</v>
      </c>
      <c r="B893" s="1" t="s">
        <v>1951</v>
      </c>
      <c r="C893" s="1" t="s">
        <v>1065</v>
      </c>
      <c r="D893" s="1" t="s">
        <v>28</v>
      </c>
      <c r="E893" s="11">
        <f t="shared" si="2"/>
        <v>10.45</v>
      </c>
      <c r="F893" s="11">
        <f t="shared" si="3"/>
        <v>3.483333333</v>
      </c>
      <c r="G893" s="1">
        <v>3.0</v>
      </c>
      <c r="H893" s="1">
        <v>1.0</v>
      </c>
      <c r="I893" s="1">
        <v>0.0</v>
      </c>
      <c r="J893" s="1">
        <v>1.0</v>
      </c>
      <c r="K893" s="1">
        <v>7.0</v>
      </c>
      <c r="L893" s="1">
        <v>0.0</v>
      </c>
      <c r="M893" s="1">
        <v>0.0</v>
      </c>
      <c r="N893" s="1">
        <v>0.0</v>
      </c>
      <c r="O893" s="1">
        <v>0.0</v>
      </c>
      <c r="P893" s="1">
        <v>7.0</v>
      </c>
      <c r="Q893" s="1">
        <v>0.0</v>
      </c>
      <c r="V893" s="2">
        <f>VLOOKUP(B893,'202324'!B:C,2,FALSE)-A893</f>
        <v>0</v>
      </c>
    </row>
    <row r="894">
      <c r="A894" s="1">
        <f t="shared" si="1"/>
        <v>892</v>
      </c>
      <c r="B894" s="1" t="s">
        <v>1952</v>
      </c>
      <c r="C894" s="1" t="s">
        <v>1044</v>
      </c>
      <c r="D894" s="1" t="s">
        <v>28</v>
      </c>
      <c r="E894" s="11">
        <f t="shared" si="2"/>
        <v>10.25</v>
      </c>
      <c r="F894" s="11">
        <f t="shared" si="3"/>
        <v>1.464285714</v>
      </c>
      <c r="G894" s="1">
        <v>7.0</v>
      </c>
      <c r="H894" s="1">
        <v>0.0</v>
      </c>
      <c r="I894" s="1">
        <v>1.0</v>
      </c>
      <c r="J894" s="1">
        <v>1.0</v>
      </c>
      <c r="K894" s="1">
        <v>5.0</v>
      </c>
      <c r="L894" s="1">
        <v>0.0</v>
      </c>
      <c r="M894" s="1">
        <v>0.0</v>
      </c>
      <c r="N894" s="1">
        <v>0.0</v>
      </c>
      <c r="O894" s="1">
        <v>0.0</v>
      </c>
      <c r="P894" s="1">
        <v>5.0</v>
      </c>
      <c r="Q894" s="1">
        <v>6.0</v>
      </c>
      <c r="V894" s="2">
        <f>VLOOKUP(B894,'202324'!B:C,2,FALSE)-A894</f>
        <v>-1</v>
      </c>
    </row>
    <row r="895">
      <c r="A895" s="1">
        <f t="shared" si="1"/>
        <v>893</v>
      </c>
      <c r="B895" s="1" t="s">
        <v>1953</v>
      </c>
      <c r="C895" s="1" t="s">
        <v>1065</v>
      </c>
      <c r="D895" s="1" t="s">
        <v>36</v>
      </c>
      <c r="E895" s="11">
        <f t="shared" si="2"/>
        <v>10.05</v>
      </c>
      <c r="F895" s="11">
        <f t="shared" si="3"/>
        <v>3.35</v>
      </c>
      <c r="G895" s="1">
        <v>3.0</v>
      </c>
      <c r="H895" s="1">
        <v>1.0</v>
      </c>
      <c r="I895" s="1">
        <v>0.0</v>
      </c>
      <c r="J895" s="1">
        <v>1.0</v>
      </c>
      <c r="K895" s="1">
        <v>7.0</v>
      </c>
      <c r="L895" s="1">
        <v>0.0</v>
      </c>
      <c r="M895" s="1">
        <v>0.0</v>
      </c>
      <c r="N895" s="1">
        <v>0.0</v>
      </c>
      <c r="O895" s="1">
        <v>0.0</v>
      </c>
      <c r="P895" s="1">
        <v>3.0</v>
      </c>
      <c r="Q895" s="1">
        <v>2.0</v>
      </c>
      <c r="V895" s="2">
        <f>VLOOKUP(B895,'202324'!B:C,2,FALSE)-A895</f>
        <v>-2</v>
      </c>
    </row>
    <row r="896">
      <c r="A896" s="1">
        <f t="shared" si="1"/>
        <v>893</v>
      </c>
      <c r="B896" s="1" t="s">
        <v>1954</v>
      </c>
      <c r="C896" s="1" t="s">
        <v>1044</v>
      </c>
      <c r="D896" s="1" t="s">
        <v>31</v>
      </c>
      <c r="E896" s="11">
        <f t="shared" si="2"/>
        <v>10.05</v>
      </c>
      <c r="F896" s="11">
        <f t="shared" si="3"/>
        <v>1.435714286</v>
      </c>
      <c r="G896" s="1">
        <v>7.0</v>
      </c>
      <c r="H896" s="1">
        <v>0.0</v>
      </c>
      <c r="I896" s="1">
        <v>0.0</v>
      </c>
      <c r="J896" s="1">
        <v>0.0</v>
      </c>
      <c r="K896" s="1">
        <v>5.0</v>
      </c>
      <c r="L896" s="1">
        <v>0.0</v>
      </c>
      <c r="M896" s="1">
        <v>0.0</v>
      </c>
      <c r="N896" s="1">
        <v>0.0</v>
      </c>
      <c r="O896" s="1">
        <v>0.0</v>
      </c>
      <c r="P896" s="1">
        <v>13.0</v>
      </c>
      <c r="Q896" s="1">
        <v>6.0</v>
      </c>
      <c r="V896" s="2">
        <f>VLOOKUP(B896,'202324'!B:C,2,FALSE)-A896</f>
        <v>9</v>
      </c>
    </row>
    <row r="897">
      <c r="A897" s="1">
        <f t="shared" si="1"/>
        <v>895</v>
      </c>
      <c r="B897" s="1" t="s">
        <v>1955</v>
      </c>
      <c r="C897" s="1" t="s">
        <v>1042</v>
      </c>
      <c r="D897" s="1" t="s">
        <v>5</v>
      </c>
      <c r="E897" s="11">
        <f t="shared" si="2"/>
        <v>9.9</v>
      </c>
      <c r="F897" s="11">
        <f t="shared" si="3"/>
        <v>4.95</v>
      </c>
      <c r="G897" s="1">
        <v>2.0</v>
      </c>
      <c r="R897" s="1">
        <v>1.0</v>
      </c>
      <c r="S897" s="1">
        <v>2.0</v>
      </c>
      <c r="T897" s="1">
        <v>33.0</v>
      </c>
      <c r="U897" s="1">
        <v>0.0</v>
      </c>
      <c r="V897" s="2">
        <f>VLOOKUP(B897,'202324'!B:C,2,FALSE)-A897</f>
        <v>-5</v>
      </c>
    </row>
    <row r="898">
      <c r="A898" s="1">
        <f t="shared" si="1"/>
        <v>896</v>
      </c>
      <c r="B898" s="1" t="s">
        <v>1956</v>
      </c>
      <c r="C898" s="1" t="s">
        <v>1111</v>
      </c>
      <c r="D898" s="1" t="s">
        <v>31</v>
      </c>
      <c r="E898" s="11">
        <f t="shared" si="2"/>
        <v>9.85</v>
      </c>
      <c r="F898" s="11">
        <f t="shared" si="3"/>
        <v>1.641666667</v>
      </c>
      <c r="G898" s="1">
        <v>6.0</v>
      </c>
      <c r="H898" s="1">
        <v>1.0</v>
      </c>
      <c r="I898" s="1">
        <v>0.0</v>
      </c>
      <c r="J898" s="1">
        <v>1.0</v>
      </c>
      <c r="K898" s="1">
        <v>5.0</v>
      </c>
      <c r="L898" s="1">
        <v>0.0</v>
      </c>
      <c r="M898" s="1">
        <v>0.0</v>
      </c>
      <c r="N898" s="1">
        <v>0.0</v>
      </c>
      <c r="O898" s="1">
        <v>0.0</v>
      </c>
      <c r="P898" s="1">
        <v>1.0</v>
      </c>
      <c r="Q898" s="1">
        <v>5.0</v>
      </c>
      <c r="V898" s="2">
        <f>VLOOKUP(B898,'202324'!B:C,2,FALSE)-A898</f>
        <v>-5</v>
      </c>
    </row>
    <row r="899">
      <c r="A899" s="1">
        <f t="shared" si="1"/>
        <v>896</v>
      </c>
      <c r="B899" s="1" t="s">
        <v>1957</v>
      </c>
      <c r="C899" s="1" t="s">
        <v>1065</v>
      </c>
      <c r="D899" s="1" t="s">
        <v>28</v>
      </c>
      <c r="E899" s="11">
        <f t="shared" si="2"/>
        <v>9.85</v>
      </c>
      <c r="F899" s="11">
        <f t="shared" si="3"/>
        <v>1.97</v>
      </c>
      <c r="G899" s="1">
        <v>5.0</v>
      </c>
      <c r="H899" s="1">
        <v>0.0</v>
      </c>
      <c r="I899" s="1">
        <v>0.0</v>
      </c>
      <c r="J899" s="1">
        <v>0.0</v>
      </c>
      <c r="K899" s="1">
        <v>7.0</v>
      </c>
      <c r="L899" s="1">
        <v>0.0</v>
      </c>
      <c r="M899" s="1">
        <v>0.0</v>
      </c>
      <c r="N899" s="1">
        <v>0.0</v>
      </c>
      <c r="O899" s="1">
        <v>0.0</v>
      </c>
      <c r="P899" s="1">
        <v>11.0</v>
      </c>
      <c r="Q899" s="1">
        <v>5.0</v>
      </c>
      <c r="V899" s="2">
        <f>VLOOKUP(B899,'202324'!B:C,2,FALSE)-A899</f>
        <v>6</v>
      </c>
    </row>
    <row r="900">
      <c r="A900" s="1">
        <f t="shared" si="1"/>
        <v>898</v>
      </c>
      <c r="B900" s="1" t="s">
        <v>1958</v>
      </c>
      <c r="C900" s="1" t="s">
        <v>1106</v>
      </c>
      <c r="D900" s="1" t="s">
        <v>66</v>
      </c>
      <c r="E900" s="11">
        <f t="shared" si="2"/>
        <v>9.7</v>
      </c>
      <c r="F900" s="11">
        <f t="shared" si="3"/>
        <v>1.616666667</v>
      </c>
      <c r="G900" s="1">
        <v>6.0</v>
      </c>
      <c r="H900" s="1">
        <v>0.0</v>
      </c>
      <c r="I900" s="1">
        <v>1.0</v>
      </c>
      <c r="J900" s="1">
        <v>1.0</v>
      </c>
      <c r="K900" s="1">
        <v>5.0</v>
      </c>
      <c r="L900" s="1">
        <v>0.0</v>
      </c>
      <c r="M900" s="1">
        <v>0.0</v>
      </c>
      <c r="N900" s="1">
        <v>0.0</v>
      </c>
      <c r="O900" s="1">
        <v>0.0</v>
      </c>
      <c r="P900" s="1">
        <v>2.0</v>
      </c>
      <c r="Q900" s="1">
        <v>7.0</v>
      </c>
      <c r="V900" s="2">
        <f>VLOOKUP(B900,'202324'!B:C,2,FALSE)-A900</f>
        <v>-3</v>
      </c>
    </row>
    <row r="901">
      <c r="A901" s="1">
        <f t="shared" si="1"/>
        <v>899</v>
      </c>
      <c r="B901" s="1" t="s">
        <v>1959</v>
      </c>
      <c r="C901" s="1" t="s">
        <v>1111</v>
      </c>
      <c r="D901" s="1" t="s">
        <v>31</v>
      </c>
      <c r="E901" s="11">
        <f t="shared" si="2"/>
        <v>9.6</v>
      </c>
      <c r="F901" s="11">
        <f t="shared" si="3"/>
        <v>1.92</v>
      </c>
      <c r="G901" s="1">
        <v>5.0</v>
      </c>
      <c r="H901" s="1">
        <v>0.0</v>
      </c>
      <c r="I901" s="1">
        <v>1.0</v>
      </c>
      <c r="J901" s="1">
        <v>1.0</v>
      </c>
      <c r="K901" s="1">
        <v>2.0</v>
      </c>
      <c r="L901" s="1">
        <v>0.0</v>
      </c>
      <c r="M901" s="1">
        <v>0.0</v>
      </c>
      <c r="N901" s="1">
        <v>0.0</v>
      </c>
      <c r="O901" s="1">
        <v>0.0</v>
      </c>
      <c r="P901" s="1">
        <v>6.0</v>
      </c>
      <c r="Q901" s="1">
        <v>7.0</v>
      </c>
      <c r="V901" s="2">
        <f>VLOOKUP(B901,'202324'!B:C,2,FALSE)-A901</f>
        <v>1</v>
      </c>
    </row>
    <row r="902">
      <c r="A902" s="1">
        <f t="shared" si="1"/>
        <v>900</v>
      </c>
      <c r="B902" s="1" t="s">
        <v>1960</v>
      </c>
      <c r="C902" s="1" t="s">
        <v>1076</v>
      </c>
      <c r="D902" s="1" t="s">
        <v>28</v>
      </c>
      <c r="E902" s="11">
        <f t="shared" si="2"/>
        <v>9.55</v>
      </c>
      <c r="F902" s="11">
        <f t="shared" si="3"/>
        <v>2.3875</v>
      </c>
      <c r="G902" s="1">
        <v>4.0</v>
      </c>
      <c r="H902" s="1">
        <v>1.0</v>
      </c>
      <c r="I902" s="1">
        <v>0.0</v>
      </c>
      <c r="J902" s="1">
        <v>1.0</v>
      </c>
      <c r="K902" s="1">
        <v>6.0</v>
      </c>
      <c r="L902" s="1">
        <v>0.0</v>
      </c>
      <c r="M902" s="1">
        <v>0.0</v>
      </c>
      <c r="N902" s="1">
        <v>0.0</v>
      </c>
      <c r="O902" s="1">
        <v>0.0</v>
      </c>
      <c r="P902" s="1">
        <v>3.0</v>
      </c>
      <c r="Q902" s="1">
        <v>2.0</v>
      </c>
      <c r="V902" s="2">
        <f>VLOOKUP(B902,'202324'!B:C,2,FALSE)-A902</f>
        <v>-2</v>
      </c>
    </row>
    <row r="903">
      <c r="A903" s="1">
        <f t="shared" si="1"/>
        <v>900</v>
      </c>
      <c r="B903" s="1" t="s">
        <v>1961</v>
      </c>
      <c r="C903" s="1" t="s">
        <v>1044</v>
      </c>
      <c r="D903" s="1" t="s">
        <v>31</v>
      </c>
      <c r="E903" s="11">
        <f t="shared" si="2"/>
        <v>9.55</v>
      </c>
      <c r="F903" s="11">
        <f t="shared" si="3"/>
        <v>1.364285714</v>
      </c>
      <c r="G903" s="1">
        <v>7.0</v>
      </c>
      <c r="H903" s="1">
        <v>0.0</v>
      </c>
      <c r="I903" s="1">
        <v>2.0</v>
      </c>
      <c r="J903" s="1">
        <v>2.0</v>
      </c>
      <c r="K903" s="1">
        <v>1.0</v>
      </c>
      <c r="L903" s="1">
        <v>0.0</v>
      </c>
      <c r="M903" s="1">
        <v>0.0</v>
      </c>
      <c r="N903" s="1">
        <v>0.0</v>
      </c>
      <c r="O903" s="1">
        <v>0.0</v>
      </c>
      <c r="P903" s="1">
        <v>3.0</v>
      </c>
      <c r="Q903" s="1">
        <v>4.0</v>
      </c>
      <c r="V903" s="2">
        <f>VLOOKUP(B903,'202324'!B:C,2,FALSE)-A903</f>
        <v>-2</v>
      </c>
    </row>
    <row r="904">
      <c r="A904" s="1">
        <f t="shared" si="1"/>
        <v>902</v>
      </c>
      <c r="B904" s="1" t="s">
        <v>1962</v>
      </c>
      <c r="C904" s="1" t="s">
        <v>1106</v>
      </c>
      <c r="D904" s="1" t="s">
        <v>28</v>
      </c>
      <c r="E904" s="11">
        <f t="shared" si="2"/>
        <v>9.5</v>
      </c>
      <c r="F904" s="11">
        <f t="shared" si="3"/>
        <v>1.1875</v>
      </c>
      <c r="G904" s="1">
        <v>8.0</v>
      </c>
      <c r="H904" s="1">
        <v>0.0</v>
      </c>
      <c r="I904" s="1">
        <v>1.0</v>
      </c>
      <c r="J904" s="1">
        <v>1.0</v>
      </c>
      <c r="K904" s="1">
        <v>4.0</v>
      </c>
      <c r="L904" s="1">
        <v>0.0</v>
      </c>
      <c r="M904" s="1">
        <v>0.0</v>
      </c>
      <c r="N904" s="1">
        <v>0.0</v>
      </c>
      <c r="O904" s="1">
        <v>0.0</v>
      </c>
      <c r="P904" s="1">
        <v>10.0</v>
      </c>
      <c r="Q904" s="1">
        <v>2.0</v>
      </c>
      <c r="V904" s="2">
        <f>VLOOKUP(B904,'202324'!B:C,2,FALSE)-A904</f>
        <v>3</v>
      </c>
    </row>
    <row r="905">
      <c r="A905" s="1">
        <f t="shared" si="1"/>
        <v>903</v>
      </c>
      <c r="B905" s="1" t="s">
        <v>1963</v>
      </c>
      <c r="C905" s="1" t="s">
        <v>1044</v>
      </c>
      <c r="D905" s="1" t="s">
        <v>5</v>
      </c>
      <c r="E905" s="11">
        <f t="shared" si="2"/>
        <v>9.3</v>
      </c>
      <c r="F905" s="11">
        <f t="shared" si="3"/>
        <v>1.55</v>
      </c>
      <c r="G905" s="1">
        <v>6.0</v>
      </c>
      <c r="R905" s="1">
        <v>1.0</v>
      </c>
      <c r="S905" s="1">
        <v>19.0</v>
      </c>
      <c r="T905" s="1">
        <v>116.0</v>
      </c>
      <c r="U905" s="1">
        <v>0.0</v>
      </c>
      <c r="V905" s="2">
        <f>VLOOKUP(B905,'202324'!B:C,2,FALSE)-A905</f>
        <v>-6</v>
      </c>
    </row>
    <row r="906">
      <c r="A906" s="1">
        <f t="shared" si="1"/>
        <v>904</v>
      </c>
      <c r="B906" s="1" t="s">
        <v>1964</v>
      </c>
      <c r="C906" s="1" t="s">
        <v>1040</v>
      </c>
      <c r="D906" s="1" t="s">
        <v>5</v>
      </c>
      <c r="E906" s="11">
        <f t="shared" si="2"/>
        <v>9</v>
      </c>
      <c r="F906" s="11">
        <f t="shared" si="3"/>
        <v>9</v>
      </c>
      <c r="G906" s="1">
        <v>1.0</v>
      </c>
      <c r="R906" s="1">
        <v>1.0</v>
      </c>
      <c r="S906" s="1">
        <v>1.0</v>
      </c>
      <c r="T906" s="1">
        <v>25.0</v>
      </c>
      <c r="U906" s="1">
        <v>0.0</v>
      </c>
      <c r="V906" s="2">
        <f>VLOOKUP(B906,'202324'!B:C,2,FALSE)-A906</f>
        <v>-4</v>
      </c>
    </row>
    <row r="907">
      <c r="A907" s="1">
        <f t="shared" si="1"/>
        <v>905</v>
      </c>
      <c r="B907" s="1" t="s">
        <v>1965</v>
      </c>
      <c r="C907" s="1" t="s">
        <v>1082</v>
      </c>
      <c r="D907" s="1" t="s">
        <v>66</v>
      </c>
      <c r="E907" s="11">
        <f t="shared" si="2"/>
        <v>8.85</v>
      </c>
      <c r="F907" s="11">
        <f t="shared" si="3"/>
        <v>1.475</v>
      </c>
      <c r="G907" s="1">
        <v>6.0</v>
      </c>
      <c r="H907" s="1">
        <v>0.0</v>
      </c>
      <c r="I907" s="1">
        <v>1.0</v>
      </c>
      <c r="J907" s="1">
        <v>1.0</v>
      </c>
      <c r="K907" s="1">
        <v>4.0</v>
      </c>
      <c r="L907" s="1">
        <v>0.0</v>
      </c>
      <c r="M907" s="1">
        <v>0.0</v>
      </c>
      <c r="N907" s="1">
        <v>0.0</v>
      </c>
      <c r="O907" s="1">
        <v>0.0</v>
      </c>
      <c r="P907" s="1">
        <v>1.0</v>
      </c>
      <c r="Q907" s="1">
        <v>7.0</v>
      </c>
      <c r="V907" s="2">
        <f>VLOOKUP(B907,'202324'!B:C,2,FALSE)-A907</f>
        <v>-3</v>
      </c>
    </row>
    <row r="908">
      <c r="A908" s="1">
        <f t="shared" si="1"/>
        <v>906</v>
      </c>
      <c r="B908" s="1" t="s">
        <v>1966</v>
      </c>
      <c r="C908" s="1" t="s">
        <v>1034</v>
      </c>
      <c r="D908" s="1" t="s">
        <v>66</v>
      </c>
      <c r="E908" s="11">
        <f t="shared" si="2"/>
        <v>8.8</v>
      </c>
      <c r="F908" s="11">
        <f t="shared" si="3"/>
        <v>1.76</v>
      </c>
      <c r="G908" s="1">
        <v>5.0</v>
      </c>
      <c r="H908" s="1">
        <v>0.0</v>
      </c>
      <c r="I908" s="1">
        <v>0.0</v>
      </c>
      <c r="J908" s="1">
        <v>0.0</v>
      </c>
      <c r="K908" s="1">
        <v>6.0</v>
      </c>
      <c r="L908" s="1">
        <v>0.0</v>
      </c>
      <c r="M908" s="1">
        <v>0.0</v>
      </c>
      <c r="N908" s="1">
        <v>0.0</v>
      </c>
      <c r="O908" s="1">
        <v>0.0</v>
      </c>
      <c r="P908" s="1">
        <v>8.0</v>
      </c>
      <c r="Q908" s="1">
        <v>6.0</v>
      </c>
      <c r="V908" s="2">
        <f>VLOOKUP(B908,'202324'!B:C,2,FALSE)-A908</f>
        <v>4</v>
      </c>
    </row>
    <row r="909">
      <c r="A909" s="1">
        <f t="shared" si="1"/>
        <v>907</v>
      </c>
      <c r="B909" s="1" t="s">
        <v>1967</v>
      </c>
      <c r="C909" s="1" t="s">
        <v>1048</v>
      </c>
      <c r="D909" s="1" t="s">
        <v>31</v>
      </c>
      <c r="E909" s="11">
        <f t="shared" si="2"/>
        <v>8.75</v>
      </c>
      <c r="F909" s="11">
        <f t="shared" si="3"/>
        <v>1.25</v>
      </c>
      <c r="G909" s="1">
        <v>7.0</v>
      </c>
      <c r="H909" s="1">
        <v>0.0</v>
      </c>
      <c r="I909" s="1">
        <v>0.0</v>
      </c>
      <c r="J909" s="1">
        <v>0.0</v>
      </c>
      <c r="K909" s="1">
        <v>11.0</v>
      </c>
      <c r="L909" s="1">
        <v>0.0</v>
      </c>
      <c r="M909" s="1">
        <v>0.0</v>
      </c>
      <c r="N909" s="1">
        <v>0.0</v>
      </c>
      <c r="O909" s="1">
        <v>0.0</v>
      </c>
      <c r="P909" s="1">
        <v>5.0</v>
      </c>
      <c r="Q909" s="1">
        <v>3.0</v>
      </c>
      <c r="V909" s="2">
        <f>VLOOKUP(B909,'202324'!B:C,2,FALSE)-A909</f>
        <v>0</v>
      </c>
    </row>
    <row r="910">
      <c r="A910" s="1">
        <f t="shared" si="1"/>
        <v>908</v>
      </c>
      <c r="B910" s="1" t="s">
        <v>1968</v>
      </c>
      <c r="C910" s="1" t="s">
        <v>1044</v>
      </c>
      <c r="D910" s="1" t="s">
        <v>28</v>
      </c>
      <c r="E910" s="11">
        <f t="shared" si="2"/>
        <v>8.7</v>
      </c>
      <c r="F910" s="11">
        <f t="shared" si="3"/>
        <v>1.45</v>
      </c>
      <c r="G910" s="1">
        <v>6.0</v>
      </c>
      <c r="H910" s="1">
        <v>0.0</v>
      </c>
      <c r="I910" s="1">
        <v>0.0</v>
      </c>
      <c r="J910" s="1">
        <v>0.0</v>
      </c>
      <c r="K910" s="1">
        <v>1.0</v>
      </c>
      <c r="L910" s="1">
        <v>0.0</v>
      </c>
      <c r="M910" s="1">
        <v>0.0</v>
      </c>
      <c r="N910" s="1">
        <v>0.0</v>
      </c>
      <c r="O910" s="1">
        <v>0.0</v>
      </c>
      <c r="P910" s="1">
        <v>22.0</v>
      </c>
      <c r="Q910" s="1">
        <v>1.0</v>
      </c>
      <c r="V910" s="2">
        <f>VLOOKUP(B910,'202324'!B:C,2,FALSE)-A910</f>
        <v>11</v>
      </c>
    </row>
    <row r="911">
      <c r="A911" s="1">
        <f t="shared" si="1"/>
        <v>909</v>
      </c>
      <c r="B911" s="1" t="s">
        <v>1969</v>
      </c>
      <c r="C911" s="1" t="s">
        <v>1097</v>
      </c>
      <c r="D911" s="1" t="s">
        <v>31</v>
      </c>
      <c r="E911" s="11">
        <f t="shared" si="2"/>
        <v>8.55</v>
      </c>
      <c r="F911" s="11">
        <f t="shared" si="3"/>
        <v>4.275</v>
      </c>
      <c r="G911" s="1">
        <v>2.0</v>
      </c>
      <c r="H911" s="1">
        <v>0.0</v>
      </c>
      <c r="I911" s="1">
        <v>2.0</v>
      </c>
      <c r="J911" s="1">
        <v>2.0</v>
      </c>
      <c r="K911" s="1">
        <v>3.0</v>
      </c>
      <c r="L911" s="1">
        <v>0.0</v>
      </c>
      <c r="M911" s="1">
        <v>0.0</v>
      </c>
      <c r="N911" s="1">
        <v>0.0</v>
      </c>
      <c r="O911" s="1">
        <v>0.0</v>
      </c>
      <c r="P911" s="1">
        <v>3.0</v>
      </c>
      <c r="Q911" s="1">
        <v>0.0</v>
      </c>
      <c r="V911" s="2">
        <f>VLOOKUP(B911,'202324'!B:C,2,FALSE)-A911</f>
        <v>-2</v>
      </c>
    </row>
    <row r="912">
      <c r="A912" s="1">
        <f t="shared" si="1"/>
        <v>909</v>
      </c>
      <c r="B912" s="1" t="s">
        <v>1970</v>
      </c>
      <c r="C912" s="1" t="s">
        <v>1076</v>
      </c>
      <c r="D912" s="1" t="s">
        <v>66</v>
      </c>
      <c r="E912" s="11">
        <f t="shared" si="2"/>
        <v>8.55</v>
      </c>
      <c r="F912" s="11">
        <f t="shared" si="3"/>
        <v>2.1375</v>
      </c>
      <c r="G912" s="1">
        <v>4.0</v>
      </c>
      <c r="H912" s="1">
        <v>0.0</v>
      </c>
      <c r="I912" s="1">
        <v>1.0</v>
      </c>
      <c r="J912" s="1">
        <v>1.0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3.0</v>
      </c>
      <c r="Q912" s="1">
        <v>9.0</v>
      </c>
      <c r="V912" s="2">
        <f>VLOOKUP(B912,'202324'!B:C,2,FALSE)-A912</f>
        <v>-2</v>
      </c>
    </row>
    <row r="913">
      <c r="A913" s="1">
        <f t="shared" si="1"/>
        <v>911</v>
      </c>
      <c r="B913" s="1" t="s">
        <v>1971</v>
      </c>
      <c r="C913" s="1" t="s">
        <v>1052</v>
      </c>
      <c r="D913" s="1" t="s">
        <v>31</v>
      </c>
      <c r="E913" s="11">
        <f t="shared" si="2"/>
        <v>8.5</v>
      </c>
      <c r="F913" s="11">
        <f t="shared" si="3"/>
        <v>4.25</v>
      </c>
      <c r="G913" s="1">
        <v>2.0</v>
      </c>
      <c r="H913" s="1">
        <v>1.0</v>
      </c>
      <c r="I913" s="1">
        <v>1.0</v>
      </c>
      <c r="J913" s="1">
        <v>2.0</v>
      </c>
      <c r="K913" s="1">
        <v>1.0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1.0</v>
      </c>
      <c r="V913" s="2">
        <f>VLOOKUP(B913,'202324'!B:C,2,FALSE)-A913</f>
        <v>-6</v>
      </c>
    </row>
    <row r="914">
      <c r="A914" s="1">
        <f t="shared" si="1"/>
        <v>912</v>
      </c>
      <c r="B914" s="1" t="s">
        <v>1972</v>
      </c>
      <c r="C914" s="1" t="s">
        <v>1080</v>
      </c>
      <c r="D914" s="1" t="s">
        <v>28</v>
      </c>
      <c r="E914" s="11">
        <f t="shared" si="2"/>
        <v>8.4</v>
      </c>
      <c r="F914" s="11">
        <f t="shared" si="3"/>
        <v>1.4</v>
      </c>
      <c r="G914" s="1">
        <v>6.0</v>
      </c>
      <c r="H914" s="1">
        <v>0.0</v>
      </c>
      <c r="I914" s="1">
        <v>0.0</v>
      </c>
      <c r="J914" s="1">
        <v>0.0</v>
      </c>
      <c r="K914" s="1">
        <v>5.0</v>
      </c>
      <c r="L914" s="1">
        <v>0.0</v>
      </c>
      <c r="M914" s="1">
        <v>0.0</v>
      </c>
      <c r="N914" s="1">
        <v>0.0</v>
      </c>
      <c r="O914" s="1">
        <v>0.0</v>
      </c>
      <c r="P914" s="1">
        <v>14.0</v>
      </c>
      <c r="Q914" s="1">
        <v>2.0</v>
      </c>
      <c r="V914" s="2">
        <f>VLOOKUP(B914,'202324'!B:C,2,FALSE)-A914</f>
        <v>4</v>
      </c>
    </row>
    <row r="915">
      <c r="A915" s="1">
        <f t="shared" si="1"/>
        <v>913</v>
      </c>
      <c r="B915" s="1" t="s">
        <v>1973</v>
      </c>
      <c r="C915" s="1" t="s">
        <v>1044</v>
      </c>
      <c r="D915" s="1" t="s">
        <v>66</v>
      </c>
      <c r="E915" s="11">
        <f t="shared" si="2"/>
        <v>8.1</v>
      </c>
      <c r="F915" s="11">
        <f t="shared" si="3"/>
        <v>1.157142857</v>
      </c>
      <c r="G915" s="1">
        <v>7.0</v>
      </c>
      <c r="H915" s="1">
        <v>0.0</v>
      </c>
      <c r="I915" s="1">
        <v>0.0</v>
      </c>
      <c r="J915" s="1">
        <v>0.0</v>
      </c>
      <c r="K915" s="1">
        <v>6.0</v>
      </c>
      <c r="L915" s="1">
        <v>0.0</v>
      </c>
      <c r="M915" s="1">
        <v>0.0</v>
      </c>
      <c r="N915" s="1">
        <v>0.0</v>
      </c>
      <c r="O915" s="1">
        <v>0.0</v>
      </c>
      <c r="P915" s="1">
        <v>6.0</v>
      </c>
      <c r="Q915" s="1">
        <v>6.0</v>
      </c>
      <c r="V915" s="2">
        <f>VLOOKUP(B915,'202324'!B:C,2,FALSE)-A915</f>
        <v>-1</v>
      </c>
    </row>
    <row r="916">
      <c r="A916" s="1">
        <f t="shared" si="1"/>
        <v>914</v>
      </c>
      <c r="B916" s="1" t="s">
        <v>1974</v>
      </c>
      <c r="C916" s="1" t="s">
        <v>1097</v>
      </c>
      <c r="D916" s="1" t="s">
        <v>66</v>
      </c>
      <c r="E916" s="11">
        <f t="shared" si="2"/>
        <v>7.85</v>
      </c>
      <c r="F916" s="11">
        <f t="shared" si="3"/>
        <v>3.925</v>
      </c>
      <c r="G916" s="1">
        <v>2.0</v>
      </c>
      <c r="H916" s="1">
        <v>0.0</v>
      </c>
      <c r="I916" s="1">
        <v>2.0</v>
      </c>
      <c r="J916" s="1">
        <v>2.0</v>
      </c>
      <c r="K916" s="1">
        <v>3.0</v>
      </c>
      <c r="L916" s="1">
        <v>0.0</v>
      </c>
      <c r="M916" s="1">
        <v>0.0</v>
      </c>
      <c r="N916" s="1">
        <v>0.0</v>
      </c>
      <c r="O916" s="1">
        <v>0.0</v>
      </c>
      <c r="P916" s="1">
        <v>1.0</v>
      </c>
      <c r="Q916" s="1">
        <v>0.0</v>
      </c>
      <c r="V916" s="2">
        <f>VLOOKUP(B916,'202324'!B:C,2,FALSE)-A916</f>
        <v>-3</v>
      </c>
    </row>
    <row r="917">
      <c r="A917" s="1">
        <f t="shared" si="1"/>
        <v>915</v>
      </c>
      <c r="B917" s="1" t="s">
        <v>1975</v>
      </c>
      <c r="C917" s="1" t="s">
        <v>1116</v>
      </c>
      <c r="D917" s="1" t="s">
        <v>36</v>
      </c>
      <c r="E917" s="11">
        <f t="shared" si="2"/>
        <v>7.75</v>
      </c>
      <c r="F917" s="11">
        <f t="shared" si="3"/>
        <v>7.75</v>
      </c>
      <c r="G917" s="1">
        <v>1.0</v>
      </c>
      <c r="H917" s="1">
        <v>1.0</v>
      </c>
      <c r="I917" s="1">
        <v>0.0</v>
      </c>
      <c r="J917" s="1">
        <v>1.0</v>
      </c>
      <c r="K917" s="1">
        <v>3.0</v>
      </c>
      <c r="L917" s="1">
        <v>0.0</v>
      </c>
      <c r="M917" s="1">
        <v>0.0</v>
      </c>
      <c r="N917" s="1">
        <v>0.0</v>
      </c>
      <c r="O917" s="1">
        <v>0.0</v>
      </c>
      <c r="P917" s="1">
        <v>5.0</v>
      </c>
      <c r="Q917" s="1">
        <v>0.0</v>
      </c>
      <c r="V917" s="2">
        <f>VLOOKUP(B917,'202324'!B:C,2,FALSE)-A917</f>
        <v>-1</v>
      </c>
    </row>
    <row r="918">
      <c r="A918" s="1">
        <f t="shared" si="1"/>
        <v>916</v>
      </c>
      <c r="B918" s="1" t="s">
        <v>1976</v>
      </c>
      <c r="C918" s="1" t="s">
        <v>1146</v>
      </c>
      <c r="D918" s="1" t="s">
        <v>31</v>
      </c>
      <c r="E918" s="11">
        <f t="shared" si="2"/>
        <v>7.7</v>
      </c>
      <c r="F918" s="11">
        <f t="shared" si="3"/>
        <v>1.925</v>
      </c>
      <c r="G918" s="1">
        <v>4.0</v>
      </c>
      <c r="H918" s="1">
        <v>0.0</v>
      </c>
      <c r="I918" s="1">
        <v>0.0</v>
      </c>
      <c r="J918" s="1">
        <v>0.0</v>
      </c>
      <c r="K918" s="1">
        <v>6.0</v>
      </c>
      <c r="L918" s="1">
        <v>0.0</v>
      </c>
      <c r="M918" s="1">
        <v>0.0</v>
      </c>
      <c r="N918" s="1">
        <v>0.0</v>
      </c>
      <c r="O918" s="1">
        <v>0.0</v>
      </c>
      <c r="P918" s="1">
        <v>2.0</v>
      </c>
      <c r="Q918" s="1">
        <v>8.0</v>
      </c>
      <c r="V918" s="2">
        <f>VLOOKUP(B918,'202324'!B:C,2,FALSE)-A918</f>
        <v>-4</v>
      </c>
    </row>
    <row r="919">
      <c r="A919" s="1">
        <f t="shared" si="1"/>
        <v>917</v>
      </c>
      <c r="B919" s="1" t="s">
        <v>1977</v>
      </c>
      <c r="C919" s="1" t="s">
        <v>1038</v>
      </c>
      <c r="D919" s="1" t="s">
        <v>31</v>
      </c>
      <c r="E919" s="11">
        <f t="shared" si="2"/>
        <v>7.4</v>
      </c>
      <c r="F919" s="11">
        <f t="shared" si="3"/>
        <v>7.4</v>
      </c>
      <c r="G919" s="1">
        <v>1.0</v>
      </c>
      <c r="H919" s="1">
        <v>1.0</v>
      </c>
      <c r="I919" s="1">
        <v>0.0</v>
      </c>
      <c r="J919" s="1">
        <v>1.0</v>
      </c>
      <c r="K919" s="1">
        <v>2.0</v>
      </c>
      <c r="L919" s="1">
        <v>0.0</v>
      </c>
      <c r="M919" s="1">
        <v>0.0</v>
      </c>
      <c r="N919" s="1">
        <v>0.0</v>
      </c>
      <c r="O919" s="1">
        <v>0.0</v>
      </c>
      <c r="P919" s="1">
        <v>4.0</v>
      </c>
      <c r="Q919" s="1">
        <v>1.0</v>
      </c>
      <c r="V919" s="2">
        <f>VLOOKUP(B919,'202324'!B:C,2,FALSE)-A919</f>
        <v>-1</v>
      </c>
    </row>
    <row r="920">
      <c r="A920" s="1">
        <f t="shared" si="1"/>
        <v>918</v>
      </c>
      <c r="B920" s="1" t="s">
        <v>1978</v>
      </c>
      <c r="C920" s="1" t="s">
        <v>1175</v>
      </c>
      <c r="D920" s="1" t="s">
        <v>5</v>
      </c>
      <c r="E920" s="11">
        <f t="shared" si="2"/>
        <v>7.2</v>
      </c>
      <c r="F920" s="11">
        <f t="shared" si="3"/>
        <v>3.6</v>
      </c>
      <c r="G920" s="1">
        <v>2.0</v>
      </c>
      <c r="R920" s="1">
        <v>0.0</v>
      </c>
      <c r="S920" s="1">
        <v>1.0</v>
      </c>
      <c r="T920" s="1">
        <v>29.0</v>
      </c>
      <c r="U920" s="1">
        <v>0.0</v>
      </c>
      <c r="V920" s="2">
        <f>VLOOKUP(B920,'202324'!B:C,2,FALSE)-A920</f>
        <v>-3</v>
      </c>
    </row>
    <row r="921">
      <c r="A921" s="1">
        <f t="shared" si="1"/>
        <v>919</v>
      </c>
      <c r="B921" s="1" t="s">
        <v>1979</v>
      </c>
      <c r="C921" s="1" t="s">
        <v>1082</v>
      </c>
      <c r="D921" s="1" t="s">
        <v>66</v>
      </c>
      <c r="E921" s="11">
        <f t="shared" si="2"/>
        <v>7.15</v>
      </c>
      <c r="F921" s="11">
        <f t="shared" si="3"/>
        <v>2.383333333</v>
      </c>
      <c r="G921" s="1">
        <v>3.0</v>
      </c>
      <c r="H921" s="1">
        <v>0.0</v>
      </c>
      <c r="I921" s="1">
        <v>1.0</v>
      </c>
      <c r="J921" s="1">
        <v>1.0</v>
      </c>
      <c r="K921" s="1">
        <v>1.0</v>
      </c>
      <c r="L921" s="1">
        <v>0.0</v>
      </c>
      <c r="M921" s="1">
        <v>0.0</v>
      </c>
      <c r="N921" s="1">
        <v>0.0</v>
      </c>
      <c r="O921" s="1">
        <v>0.0</v>
      </c>
      <c r="P921" s="1">
        <v>9.0</v>
      </c>
      <c r="Q921" s="1">
        <v>1.0</v>
      </c>
      <c r="V921" s="2">
        <f>VLOOKUP(B921,'202324'!B:C,2,FALSE)-A921</f>
        <v>1</v>
      </c>
    </row>
    <row r="922">
      <c r="A922" s="1">
        <f t="shared" si="1"/>
        <v>920</v>
      </c>
      <c r="B922" s="1" t="s">
        <v>1980</v>
      </c>
      <c r="C922" s="1" t="s">
        <v>1036</v>
      </c>
      <c r="D922" s="1" t="s">
        <v>31</v>
      </c>
      <c r="E922" s="11">
        <f t="shared" si="2"/>
        <v>7.05</v>
      </c>
      <c r="F922" s="11">
        <f t="shared" si="3"/>
        <v>1.007142857</v>
      </c>
      <c r="G922" s="1">
        <v>7.0</v>
      </c>
      <c r="H922" s="1">
        <v>0.0</v>
      </c>
      <c r="I922" s="1">
        <v>0.0</v>
      </c>
      <c r="J922" s="1">
        <v>0.0</v>
      </c>
      <c r="K922" s="1">
        <v>4.0</v>
      </c>
      <c r="L922" s="1">
        <v>0.0</v>
      </c>
      <c r="M922" s="1">
        <v>0.0</v>
      </c>
      <c r="N922" s="1">
        <v>0.0</v>
      </c>
      <c r="O922" s="1">
        <v>0.0</v>
      </c>
      <c r="P922" s="1">
        <v>13.0</v>
      </c>
      <c r="Q922" s="1">
        <v>1.0</v>
      </c>
      <c r="V922" s="2">
        <f>VLOOKUP(B922,'202324'!B:C,2,FALSE)-A922</f>
        <v>3</v>
      </c>
    </row>
    <row r="923">
      <c r="A923" s="1">
        <f t="shared" si="1"/>
        <v>921</v>
      </c>
      <c r="B923" s="1" t="s">
        <v>1981</v>
      </c>
      <c r="C923" s="1" t="s">
        <v>1076</v>
      </c>
      <c r="D923" s="1" t="s">
        <v>31</v>
      </c>
      <c r="E923" s="11">
        <f t="shared" si="2"/>
        <v>6.85</v>
      </c>
      <c r="F923" s="11">
        <f t="shared" si="3"/>
        <v>3.425</v>
      </c>
      <c r="G923" s="1">
        <v>2.0</v>
      </c>
      <c r="H923" s="1">
        <v>1.0</v>
      </c>
      <c r="I923" s="1">
        <v>0.0</v>
      </c>
      <c r="J923" s="1">
        <v>1.0</v>
      </c>
      <c r="K923" s="1">
        <v>3.0</v>
      </c>
      <c r="L923" s="1">
        <v>0.0</v>
      </c>
      <c r="M923" s="1">
        <v>0.0</v>
      </c>
      <c r="N923" s="1">
        <v>0.0</v>
      </c>
      <c r="O923" s="1">
        <v>0.0</v>
      </c>
      <c r="P923" s="1">
        <v>1.0</v>
      </c>
      <c r="Q923" s="1">
        <v>1.0</v>
      </c>
      <c r="V923" s="2">
        <f>VLOOKUP(B923,'202324'!B:C,2,FALSE)-A923</f>
        <v>-3</v>
      </c>
    </row>
    <row r="924">
      <c r="A924" s="1">
        <f t="shared" si="1"/>
        <v>922</v>
      </c>
      <c r="B924" s="1" t="s">
        <v>1982</v>
      </c>
      <c r="C924" s="1" t="s">
        <v>1172</v>
      </c>
      <c r="D924" s="1" t="s">
        <v>28</v>
      </c>
      <c r="E924" s="11">
        <f t="shared" si="2"/>
        <v>6.65</v>
      </c>
      <c r="F924" s="11">
        <f t="shared" si="3"/>
        <v>1.6625</v>
      </c>
      <c r="G924" s="1">
        <v>4.0</v>
      </c>
      <c r="H924" s="1">
        <v>0.0</v>
      </c>
      <c r="I924" s="1">
        <v>0.0</v>
      </c>
      <c r="J924" s="1">
        <v>0.0</v>
      </c>
      <c r="K924" s="1">
        <v>1.0</v>
      </c>
      <c r="L924" s="1">
        <v>0.0</v>
      </c>
      <c r="M924" s="1">
        <v>0.0</v>
      </c>
      <c r="N924" s="1">
        <v>0.0</v>
      </c>
      <c r="O924" s="1">
        <v>0.0</v>
      </c>
      <c r="P924" s="1">
        <v>9.0</v>
      </c>
      <c r="Q924" s="1">
        <v>6.0</v>
      </c>
      <c r="V924" s="2">
        <f>VLOOKUP(B924,'202324'!B:C,2,FALSE)-A924</f>
        <v>1</v>
      </c>
    </row>
    <row r="925">
      <c r="A925" s="1">
        <f t="shared" si="1"/>
        <v>923</v>
      </c>
      <c r="B925" s="1" t="s">
        <v>1983</v>
      </c>
      <c r="C925" s="1" t="s">
        <v>1085</v>
      </c>
      <c r="D925" s="1" t="s">
        <v>66</v>
      </c>
      <c r="E925" s="11">
        <f t="shared" si="2"/>
        <v>6.4</v>
      </c>
      <c r="F925" s="11">
        <f t="shared" si="3"/>
        <v>1.28</v>
      </c>
      <c r="G925" s="1">
        <v>5.0</v>
      </c>
      <c r="H925" s="1">
        <v>0.0</v>
      </c>
      <c r="I925" s="1">
        <v>0.0</v>
      </c>
      <c r="J925" s="1">
        <v>0.0</v>
      </c>
      <c r="K925" s="1">
        <v>5.0</v>
      </c>
      <c r="L925" s="1">
        <v>0.0</v>
      </c>
      <c r="M925" s="1">
        <v>0.0</v>
      </c>
      <c r="N925" s="1">
        <v>0.0</v>
      </c>
      <c r="O925" s="1">
        <v>0.0</v>
      </c>
      <c r="P925" s="1">
        <v>4.0</v>
      </c>
      <c r="Q925" s="1">
        <v>5.0</v>
      </c>
      <c r="V925" s="2">
        <f>VLOOKUP(B925,'202324'!B:C,2,FALSE)-A925</f>
        <v>-2</v>
      </c>
    </row>
    <row r="926">
      <c r="A926" s="1">
        <f t="shared" si="1"/>
        <v>924</v>
      </c>
      <c r="B926" s="1" t="s">
        <v>1984</v>
      </c>
      <c r="C926" s="1" t="s">
        <v>1175</v>
      </c>
      <c r="D926" s="1" t="s">
        <v>28</v>
      </c>
      <c r="E926" s="11">
        <f t="shared" si="2"/>
        <v>6.1</v>
      </c>
      <c r="F926" s="11">
        <f t="shared" si="3"/>
        <v>1.016666667</v>
      </c>
      <c r="G926" s="1">
        <v>6.0</v>
      </c>
      <c r="H926" s="1">
        <v>0.0</v>
      </c>
      <c r="I926" s="1">
        <v>0.0</v>
      </c>
      <c r="J926" s="1">
        <v>0.0</v>
      </c>
      <c r="K926" s="1">
        <v>3.0</v>
      </c>
      <c r="L926" s="1">
        <v>0.0</v>
      </c>
      <c r="M926" s="1">
        <v>0.0</v>
      </c>
      <c r="N926" s="1">
        <v>0.0</v>
      </c>
      <c r="O926" s="1">
        <v>0.0</v>
      </c>
      <c r="P926" s="1">
        <v>6.0</v>
      </c>
      <c r="Q926" s="1">
        <v>5.0</v>
      </c>
      <c r="V926" s="2">
        <f>VLOOKUP(B926,'202324'!B:C,2,FALSE)-A926</f>
        <v>3</v>
      </c>
    </row>
    <row r="927">
      <c r="A927" s="1">
        <f t="shared" si="1"/>
        <v>925</v>
      </c>
      <c r="B927" s="1" t="s">
        <v>1985</v>
      </c>
      <c r="C927" s="1" t="s">
        <v>1076</v>
      </c>
      <c r="D927" s="1" t="s">
        <v>31</v>
      </c>
      <c r="E927" s="11">
        <f t="shared" si="2"/>
        <v>6.05</v>
      </c>
      <c r="F927" s="11">
        <f t="shared" si="3"/>
        <v>0.75625</v>
      </c>
      <c r="G927" s="1">
        <v>8.0</v>
      </c>
      <c r="H927" s="1">
        <v>0.0</v>
      </c>
      <c r="I927" s="1">
        <v>0.0</v>
      </c>
      <c r="J927" s="1">
        <v>0.0</v>
      </c>
      <c r="K927" s="1">
        <v>7.0</v>
      </c>
      <c r="L927" s="1">
        <v>0.0</v>
      </c>
      <c r="M927" s="1">
        <v>0.0</v>
      </c>
      <c r="N927" s="1">
        <v>0.0</v>
      </c>
      <c r="O927" s="1">
        <v>0.0</v>
      </c>
      <c r="P927" s="1">
        <v>3.0</v>
      </c>
      <c r="Q927" s="1">
        <v>3.0</v>
      </c>
      <c r="V927" s="2">
        <f>VLOOKUP(B927,'202324'!B:C,2,FALSE)-A927</f>
        <v>-2</v>
      </c>
    </row>
    <row r="928">
      <c r="A928" s="1">
        <f t="shared" si="1"/>
        <v>926</v>
      </c>
      <c r="B928" s="1" t="s">
        <v>1986</v>
      </c>
      <c r="C928" s="1" t="s">
        <v>1172</v>
      </c>
      <c r="D928" s="1" t="s">
        <v>31</v>
      </c>
      <c r="E928" s="11">
        <f t="shared" si="2"/>
        <v>6</v>
      </c>
      <c r="F928" s="11">
        <f t="shared" si="3"/>
        <v>2</v>
      </c>
      <c r="G928" s="1">
        <v>3.0</v>
      </c>
      <c r="H928" s="1">
        <v>1.0</v>
      </c>
      <c r="I928" s="1">
        <v>0.0</v>
      </c>
      <c r="J928" s="1">
        <v>1.0</v>
      </c>
      <c r="K928" s="1">
        <v>2.0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1.0</v>
      </c>
      <c r="V928" s="2">
        <f>VLOOKUP(B928,'202324'!B:C,2,FALSE)-A928</f>
        <v>-5</v>
      </c>
    </row>
    <row r="929">
      <c r="A929" s="1">
        <f t="shared" si="1"/>
        <v>927</v>
      </c>
      <c r="B929" s="1" t="s">
        <v>1987</v>
      </c>
      <c r="C929" s="1" t="s">
        <v>1106</v>
      </c>
      <c r="D929" s="1" t="s">
        <v>28</v>
      </c>
      <c r="E929" s="11">
        <f t="shared" si="2"/>
        <v>5.95</v>
      </c>
      <c r="F929" s="11">
        <f t="shared" si="3"/>
        <v>1.19</v>
      </c>
      <c r="G929" s="1">
        <v>5.0</v>
      </c>
      <c r="H929" s="1">
        <v>0.0</v>
      </c>
      <c r="I929" s="1">
        <v>0.0</v>
      </c>
      <c r="J929" s="1">
        <v>0.0</v>
      </c>
      <c r="K929" s="1">
        <v>4.0</v>
      </c>
      <c r="L929" s="1">
        <v>0.0</v>
      </c>
      <c r="M929" s="1">
        <v>0.0</v>
      </c>
      <c r="N929" s="1">
        <v>0.0</v>
      </c>
      <c r="O929" s="1">
        <v>0.0</v>
      </c>
      <c r="P929" s="1">
        <v>7.0</v>
      </c>
      <c r="Q929" s="1">
        <v>3.0</v>
      </c>
      <c r="V929" s="2">
        <f>VLOOKUP(B929,'202324'!B:C,2,FALSE)-A929</f>
        <v>4</v>
      </c>
    </row>
    <row r="930">
      <c r="A930" s="1">
        <f t="shared" si="1"/>
        <v>928</v>
      </c>
      <c r="B930" s="1" t="s">
        <v>1988</v>
      </c>
      <c r="C930" s="1" t="s">
        <v>1080</v>
      </c>
      <c r="D930" s="1" t="s">
        <v>66</v>
      </c>
      <c r="E930" s="11">
        <f t="shared" si="2"/>
        <v>5.85</v>
      </c>
      <c r="F930" s="11">
        <f t="shared" si="3"/>
        <v>2.925</v>
      </c>
      <c r="G930" s="1">
        <v>2.0</v>
      </c>
      <c r="H930" s="1">
        <v>0.0</v>
      </c>
      <c r="I930" s="1">
        <v>1.0</v>
      </c>
      <c r="J930" s="1">
        <v>1.0</v>
      </c>
      <c r="K930" s="1">
        <v>3.0</v>
      </c>
      <c r="L930" s="1">
        <v>0.0</v>
      </c>
      <c r="M930" s="1">
        <v>1.0</v>
      </c>
      <c r="N930" s="1">
        <v>0.0</v>
      </c>
      <c r="O930" s="1">
        <v>0.0</v>
      </c>
      <c r="P930" s="1">
        <v>1.0</v>
      </c>
      <c r="Q930" s="1">
        <v>2.0</v>
      </c>
      <c r="V930" s="2">
        <f>VLOOKUP(B930,'202324'!B:C,2,FALSE)-A930</f>
        <v>-5</v>
      </c>
    </row>
    <row r="931">
      <c r="A931" s="1">
        <f t="shared" si="1"/>
        <v>929</v>
      </c>
      <c r="B931" s="1" t="s">
        <v>1989</v>
      </c>
      <c r="C931" s="1" t="s">
        <v>1042</v>
      </c>
      <c r="D931" s="1" t="s">
        <v>28</v>
      </c>
      <c r="E931" s="11">
        <f t="shared" si="2"/>
        <v>5.6</v>
      </c>
      <c r="F931" s="11">
        <f t="shared" si="3"/>
        <v>2.8</v>
      </c>
      <c r="G931" s="1">
        <v>2.0</v>
      </c>
      <c r="H931" s="1">
        <v>0.0</v>
      </c>
      <c r="I931" s="1">
        <v>0.0</v>
      </c>
      <c r="J931" s="1">
        <v>0.0</v>
      </c>
      <c r="K931" s="1">
        <v>5.0</v>
      </c>
      <c r="L931" s="1">
        <v>0.0</v>
      </c>
      <c r="M931" s="1">
        <v>0.0</v>
      </c>
      <c r="N931" s="1">
        <v>0.0</v>
      </c>
      <c r="O931" s="1">
        <v>0.0</v>
      </c>
      <c r="P931" s="1">
        <v>6.0</v>
      </c>
      <c r="Q931" s="1">
        <v>2.0</v>
      </c>
      <c r="V931" s="2">
        <f>VLOOKUP(B931,'202324'!B:C,2,FALSE)-A931</f>
        <v>5</v>
      </c>
    </row>
    <row r="932">
      <c r="A932" s="1">
        <f t="shared" si="1"/>
        <v>929</v>
      </c>
      <c r="B932" s="1" t="s">
        <v>1990</v>
      </c>
      <c r="C932" s="1" t="s">
        <v>1040</v>
      </c>
      <c r="D932" s="1" t="s">
        <v>28</v>
      </c>
      <c r="E932" s="11">
        <f t="shared" si="2"/>
        <v>5.6</v>
      </c>
      <c r="F932" s="11">
        <f t="shared" si="3"/>
        <v>1.866666667</v>
      </c>
      <c r="G932" s="1">
        <v>3.0</v>
      </c>
      <c r="H932" s="1">
        <v>0.0</v>
      </c>
      <c r="I932" s="1">
        <v>0.0</v>
      </c>
      <c r="J932" s="1">
        <v>0.0</v>
      </c>
      <c r="K932" s="1">
        <v>6.0</v>
      </c>
      <c r="L932" s="1">
        <v>0.0</v>
      </c>
      <c r="M932" s="1">
        <v>0.0</v>
      </c>
      <c r="N932" s="1">
        <v>0.0</v>
      </c>
      <c r="O932" s="1">
        <v>0.0</v>
      </c>
      <c r="P932" s="1">
        <v>6.0</v>
      </c>
      <c r="Q932" s="1">
        <v>1.0</v>
      </c>
      <c r="V932" s="2">
        <f>VLOOKUP(B932,'202324'!B:C,2,FALSE)-A932</f>
        <v>5</v>
      </c>
    </row>
    <row r="933">
      <c r="A933" s="1">
        <f t="shared" si="1"/>
        <v>931</v>
      </c>
      <c r="B933" s="1" t="s">
        <v>1991</v>
      </c>
      <c r="C933" s="1" t="s">
        <v>1082</v>
      </c>
      <c r="D933" s="1" t="s">
        <v>66</v>
      </c>
      <c r="E933" s="11">
        <f t="shared" si="2"/>
        <v>5.55</v>
      </c>
      <c r="F933" s="11">
        <f t="shared" si="3"/>
        <v>0.925</v>
      </c>
      <c r="G933" s="1">
        <v>6.0</v>
      </c>
      <c r="H933" s="1">
        <v>0.0</v>
      </c>
      <c r="I933" s="1">
        <v>0.0</v>
      </c>
      <c r="J933" s="1">
        <v>0.0</v>
      </c>
      <c r="K933" s="1">
        <v>6.0</v>
      </c>
      <c r="L933" s="1">
        <v>0.0</v>
      </c>
      <c r="M933" s="1">
        <v>0.0</v>
      </c>
      <c r="N933" s="1">
        <v>0.0</v>
      </c>
      <c r="O933" s="1">
        <v>0.0</v>
      </c>
      <c r="P933" s="1">
        <v>3.0</v>
      </c>
      <c r="Q933" s="1">
        <v>3.0</v>
      </c>
      <c r="V933" s="2">
        <f>VLOOKUP(B933,'202324'!B:C,2,FALSE)-A933</f>
        <v>0</v>
      </c>
    </row>
    <row r="934">
      <c r="A934" s="1">
        <f t="shared" si="1"/>
        <v>932</v>
      </c>
      <c r="B934" s="1" t="s">
        <v>1992</v>
      </c>
      <c r="C934" s="1" t="s">
        <v>1156</v>
      </c>
      <c r="D934" s="1" t="s">
        <v>31</v>
      </c>
      <c r="E934" s="11">
        <f t="shared" si="2"/>
        <v>5.5</v>
      </c>
      <c r="F934" s="11">
        <f t="shared" si="3"/>
        <v>5.5</v>
      </c>
      <c r="G934" s="1">
        <v>1.0</v>
      </c>
      <c r="H934" s="1">
        <v>1.0</v>
      </c>
      <c r="I934" s="1">
        <v>0.0</v>
      </c>
      <c r="J934" s="1">
        <v>1.0</v>
      </c>
      <c r="K934" s="1">
        <v>2.0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V934" s="2">
        <f>VLOOKUP(B934,'202324'!B:C,2,FALSE)-A934</f>
        <v>-5</v>
      </c>
    </row>
    <row r="935">
      <c r="A935" s="1">
        <f t="shared" si="1"/>
        <v>932</v>
      </c>
      <c r="B935" s="1" t="s">
        <v>1993</v>
      </c>
      <c r="C935" s="1" t="s">
        <v>1030</v>
      </c>
      <c r="D935" s="1" t="s">
        <v>31</v>
      </c>
      <c r="E935" s="11">
        <f t="shared" si="2"/>
        <v>5.5</v>
      </c>
      <c r="F935" s="11">
        <f t="shared" si="3"/>
        <v>1.375</v>
      </c>
      <c r="G935" s="1">
        <v>4.0</v>
      </c>
      <c r="H935" s="1">
        <v>1.0</v>
      </c>
      <c r="I935" s="1">
        <v>0.0</v>
      </c>
      <c r="J935" s="1">
        <v>1.0</v>
      </c>
      <c r="K935" s="1">
        <v>2.0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V935" s="2">
        <f>VLOOKUP(B935,'202324'!B:C,2,FALSE)-A935</f>
        <v>-5</v>
      </c>
    </row>
    <row r="936">
      <c r="A936" s="1">
        <f t="shared" si="1"/>
        <v>932</v>
      </c>
      <c r="B936" s="1" t="s">
        <v>1994</v>
      </c>
      <c r="C936" s="1" t="s">
        <v>1175</v>
      </c>
      <c r="D936" s="1" t="s">
        <v>36</v>
      </c>
      <c r="E936" s="11">
        <f t="shared" si="2"/>
        <v>5.5</v>
      </c>
      <c r="F936" s="11">
        <f t="shared" si="3"/>
        <v>1.833333333</v>
      </c>
      <c r="G936" s="1">
        <v>3.0</v>
      </c>
      <c r="H936" s="1">
        <v>0.0</v>
      </c>
      <c r="I936" s="1">
        <v>0.0</v>
      </c>
      <c r="J936" s="1">
        <v>0.0</v>
      </c>
      <c r="K936" s="1">
        <v>3.0</v>
      </c>
      <c r="L936" s="1">
        <v>0.0</v>
      </c>
      <c r="M936" s="1">
        <v>0.0</v>
      </c>
      <c r="N936" s="1">
        <v>0.0</v>
      </c>
      <c r="O936" s="1">
        <v>0.0</v>
      </c>
      <c r="P936" s="1">
        <v>10.0</v>
      </c>
      <c r="Q936" s="1">
        <v>1.0</v>
      </c>
      <c r="V936" s="2">
        <f>VLOOKUP(B936,'202324'!B:C,2,FALSE)-A936</f>
        <v>8</v>
      </c>
    </row>
    <row r="937">
      <c r="A937" s="1">
        <f t="shared" si="1"/>
        <v>935</v>
      </c>
      <c r="B937" s="1" t="s">
        <v>1995</v>
      </c>
      <c r="C937" s="1" t="s">
        <v>1046</v>
      </c>
      <c r="D937" s="1" t="s">
        <v>28</v>
      </c>
      <c r="E937" s="11">
        <f t="shared" si="2"/>
        <v>5.45</v>
      </c>
      <c r="F937" s="11">
        <f t="shared" si="3"/>
        <v>0.68125</v>
      </c>
      <c r="G937" s="1">
        <v>8.0</v>
      </c>
      <c r="H937" s="1">
        <v>0.0</v>
      </c>
      <c r="I937" s="1">
        <v>0.0</v>
      </c>
      <c r="J937" s="1">
        <v>0.0</v>
      </c>
      <c r="K937" s="1">
        <v>4.0</v>
      </c>
      <c r="L937" s="1">
        <v>0.0</v>
      </c>
      <c r="M937" s="1">
        <v>0.0</v>
      </c>
      <c r="N937" s="1">
        <v>0.0</v>
      </c>
      <c r="O937" s="1">
        <v>0.0</v>
      </c>
      <c r="P937" s="1">
        <v>7.0</v>
      </c>
      <c r="Q937" s="1">
        <v>2.0</v>
      </c>
      <c r="V937" s="2">
        <f>VLOOKUP(B937,'202324'!B:C,2,FALSE)-A937</f>
        <v>3</v>
      </c>
    </row>
    <row r="938">
      <c r="A938" s="1">
        <f t="shared" si="1"/>
        <v>936</v>
      </c>
      <c r="B938" s="1" t="s">
        <v>1996</v>
      </c>
      <c r="C938" s="1" t="s">
        <v>1120</v>
      </c>
      <c r="D938" s="1" t="s">
        <v>5</v>
      </c>
      <c r="E938" s="11">
        <f t="shared" si="2"/>
        <v>5.4</v>
      </c>
      <c r="F938" s="11">
        <f t="shared" si="3"/>
        <v>5.4</v>
      </c>
      <c r="G938" s="1">
        <v>1.0</v>
      </c>
      <c r="R938" s="1">
        <v>0.0</v>
      </c>
      <c r="S938" s="1">
        <v>3.0</v>
      </c>
      <c r="T938" s="1">
        <v>33.0</v>
      </c>
      <c r="U938" s="1">
        <v>0.0</v>
      </c>
      <c r="V938" s="2">
        <f>VLOOKUP(B938,'202324'!B:C,2,FALSE)-A938</f>
        <v>-6</v>
      </c>
    </row>
    <row r="939">
      <c r="A939" s="1">
        <f t="shared" si="1"/>
        <v>936</v>
      </c>
      <c r="B939" s="1" t="s">
        <v>1997</v>
      </c>
      <c r="C939" s="1" t="s">
        <v>1048</v>
      </c>
      <c r="D939" s="1" t="s">
        <v>66</v>
      </c>
      <c r="E939" s="11">
        <f t="shared" si="2"/>
        <v>5.4</v>
      </c>
      <c r="F939" s="11">
        <f t="shared" si="3"/>
        <v>1.35</v>
      </c>
      <c r="G939" s="1">
        <v>4.0</v>
      </c>
      <c r="H939" s="1">
        <v>0.0</v>
      </c>
      <c r="I939" s="1">
        <v>0.0</v>
      </c>
      <c r="J939" s="1">
        <v>0.0</v>
      </c>
      <c r="K939" s="1">
        <v>1.0</v>
      </c>
      <c r="L939" s="1">
        <v>0.0</v>
      </c>
      <c r="M939" s="1">
        <v>0.0</v>
      </c>
      <c r="N939" s="1">
        <v>0.0</v>
      </c>
      <c r="O939" s="1">
        <v>0.0</v>
      </c>
      <c r="P939" s="1">
        <v>4.0</v>
      </c>
      <c r="Q939" s="1">
        <v>7.0</v>
      </c>
      <c r="V939" s="2">
        <f>VLOOKUP(B939,'202324'!B:C,2,FALSE)-A939</f>
        <v>-2</v>
      </c>
    </row>
    <row r="940">
      <c r="A940" s="1">
        <f t="shared" si="1"/>
        <v>938</v>
      </c>
      <c r="B940" s="1" t="s">
        <v>1998</v>
      </c>
      <c r="C940" s="1" t="s">
        <v>1156</v>
      </c>
      <c r="D940" s="1" t="s">
        <v>5</v>
      </c>
      <c r="E940" s="11">
        <f t="shared" si="2"/>
        <v>5.1</v>
      </c>
      <c r="F940" s="11">
        <f t="shared" si="3"/>
        <v>5.1</v>
      </c>
      <c r="G940" s="1">
        <v>1.0</v>
      </c>
      <c r="R940" s="1">
        <v>0.0</v>
      </c>
      <c r="S940" s="1">
        <v>3.0</v>
      </c>
      <c r="T940" s="1">
        <v>32.0</v>
      </c>
      <c r="U940" s="1">
        <v>0.0</v>
      </c>
      <c r="V940" s="2">
        <f>VLOOKUP(B940,'202324'!B:C,2,FALSE)-A940</f>
        <v>-5</v>
      </c>
    </row>
    <row r="941">
      <c r="A941" s="1">
        <f t="shared" si="1"/>
        <v>939</v>
      </c>
      <c r="B941" s="1" t="s">
        <v>1999</v>
      </c>
      <c r="C941" s="1" t="s">
        <v>1067</v>
      </c>
      <c r="D941" s="1" t="s">
        <v>28</v>
      </c>
      <c r="E941" s="11">
        <f t="shared" si="2"/>
        <v>5</v>
      </c>
      <c r="F941" s="11">
        <f t="shared" si="3"/>
        <v>0.7142857143</v>
      </c>
      <c r="G941" s="1">
        <v>7.0</v>
      </c>
      <c r="H941" s="1">
        <v>0.0</v>
      </c>
      <c r="I941" s="1">
        <v>0.0</v>
      </c>
      <c r="J941" s="1">
        <v>0.0</v>
      </c>
      <c r="K941" s="1">
        <v>8.0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2.0</v>
      </c>
      <c r="V941" s="2">
        <f>VLOOKUP(B941,'202324'!B:C,2,FALSE)-A941</f>
        <v>-5</v>
      </c>
    </row>
    <row r="942">
      <c r="A942" s="1">
        <f t="shared" si="1"/>
        <v>940</v>
      </c>
      <c r="B942" s="1" t="s">
        <v>2000</v>
      </c>
      <c r="C942" s="1" t="s">
        <v>1175</v>
      </c>
      <c r="D942" s="1" t="s">
        <v>66</v>
      </c>
      <c r="E942" s="11">
        <f t="shared" si="2"/>
        <v>4.9</v>
      </c>
      <c r="F942" s="11">
        <f t="shared" si="3"/>
        <v>1.633333333</v>
      </c>
      <c r="G942" s="1">
        <v>3.0</v>
      </c>
      <c r="H942" s="1">
        <v>0.0</v>
      </c>
      <c r="I942" s="1">
        <v>0.0</v>
      </c>
      <c r="J942" s="1">
        <v>0.0</v>
      </c>
      <c r="K942" s="1">
        <v>4.0</v>
      </c>
      <c r="L942" s="1">
        <v>0.0</v>
      </c>
      <c r="M942" s="1">
        <v>0.0</v>
      </c>
      <c r="N942" s="1">
        <v>0.0</v>
      </c>
      <c r="O942" s="1">
        <v>0.0</v>
      </c>
      <c r="P942" s="1">
        <v>4.0</v>
      </c>
      <c r="Q942" s="1">
        <v>3.0</v>
      </c>
      <c r="V942" s="2">
        <f>VLOOKUP(B942,'202324'!B:C,2,FALSE)-A942</f>
        <v>0</v>
      </c>
    </row>
    <row r="943">
      <c r="A943" s="1">
        <f t="shared" si="1"/>
        <v>941</v>
      </c>
      <c r="B943" s="1" t="s">
        <v>2001</v>
      </c>
      <c r="C943" s="1" t="s">
        <v>1097</v>
      </c>
      <c r="D943" s="1" t="s">
        <v>66</v>
      </c>
      <c r="E943" s="11">
        <f t="shared" si="2"/>
        <v>4.85</v>
      </c>
      <c r="F943" s="11">
        <f t="shared" si="3"/>
        <v>4.85</v>
      </c>
      <c r="G943" s="1">
        <v>1.0</v>
      </c>
      <c r="H943" s="1">
        <v>0.0</v>
      </c>
      <c r="I943" s="1">
        <v>1.0</v>
      </c>
      <c r="J943" s="1">
        <v>1.0</v>
      </c>
      <c r="K943" s="1">
        <v>2.0</v>
      </c>
      <c r="L943" s="1">
        <v>0.0</v>
      </c>
      <c r="M943" s="1">
        <v>0.0</v>
      </c>
      <c r="N943" s="1">
        <v>0.0</v>
      </c>
      <c r="O943" s="1">
        <v>0.0</v>
      </c>
      <c r="P943" s="1">
        <v>1.0</v>
      </c>
      <c r="Q943" s="1">
        <v>1.0</v>
      </c>
      <c r="V943" s="2">
        <f>VLOOKUP(B943,'202324'!B:C,2,FALSE)-A943</f>
        <v>-3</v>
      </c>
    </row>
    <row r="944">
      <c r="A944" s="1">
        <f t="shared" si="1"/>
        <v>942</v>
      </c>
      <c r="B944" s="1" t="s">
        <v>2002</v>
      </c>
      <c r="C944" s="1" t="s">
        <v>1172</v>
      </c>
      <c r="D944" s="1" t="s">
        <v>66</v>
      </c>
      <c r="E944" s="11">
        <f t="shared" si="2"/>
        <v>4.8</v>
      </c>
      <c r="F944" s="11">
        <f t="shared" si="3"/>
        <v>1.2</v>
      </c>
      <c r="G944" s="1">
        <v>4.0</v>
      </c>
      <c r="H944" s="1">
        <v>0.0</v>
      </c>
      <c r="I944" s="1">
        <v>0.0</v>
      </c>
      <c r="J944" s="1">
        <v>0.0</v>
      </c>
      <c r="K944" s="1">
        <v>2.0</v>
      </c>
      <c r="L944" s="1">
        <v>0.0</v>
      </c>
      <c r="M944" s="1">
        <v>0.0</v>
      </c>
      <c r="N944" s="1">
        <v>0.0</v>
      </c>
      <c r="O944" s="1">
        <v>0.0</v>
      </c>
      <c r="P944" s="1">
        <v>8.0</v>
      </c>
      <c r="Q944" s="1">
        <v>2.0</v>
      </c>
      <c r="V944" s="2">
        <f>VLOOKUP(B944,'202324'!B:C,2,FALSE)-A944</f>
        <v>6</v>
      </c>
    </row>
    <row r="945">
      <c r="A945" s="1">
        <f t="shared" si="1"/>
        <v>943</v>
      </c>
      <c r="B945" s="1" t="s">
        <v>2003</v>
      </c>
      <c r="C945" s="1" t="s">
        <v>1091</v>
      </c>
      <c r="D945" s="1" t="s">
        <v>66</v>
      </c>
      <c r="E945" s="11">
        <f t="shared" si="2"/>
        <v>4.75</v>
      </c>
      <c r="F945" s="11">
        <f t="shared" si="3"/>
        <v>1.1875</v>
      </c>
      <c r="G945" s="1">
        <v>4.0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5.0</v>
      </c>
      <c r="Q945" s="1">
        <v>6.0</v>
      </c>
      <c r="V945" s="2">
        <f>VLOOKUP(B945,'202324'!B:C,2,FALSE)-A945</f>
        <v>1</v>
      </c>
    </row>
    <row r="946">
      <c r="A946" s="1">
        <f t="shared" si="1"/>
        <v>944</v>
      </c>
      <c r="B946" s="1" t="s">
        <v>2004</v>
      </c>
      <c r="C946" s="1" t="s">
        <v>1054</v>
      </c>
      <c r="D946" s="1" t="s">
        <v>28</v>
      </c>
      <c r="E946" s="11">
        <f t="shared" si="2"/>
        <v>4.7</v>
      </c>
      <c r="F946" s="11">
        <f t="shared" si="3"/>
        <v>0.94</v>
      </c>
      <c r="G946" s="1">
        <v>5.0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12.0</v>
      </c>
      <c r="Q946" s="1">
        <v>1.0</v>
      </c>
      <c r="V946" s="2">
        <f>VLOOKUP(B946,'202324'!B:C,2,FALSE)-A946</f>
        <v>10</v>
      </c>
    </row>
    <row r="947">
      <c r="A947" s="1">
        <f t="shared" si="1"/>
        <v>945</v>
      </c>
      <c r="B947" s="1" t="s">
        <v>2005</v>
      </c>
      <c r="C947" s="1" t="s">
        <v>1111</v>
      </c>
      <c r="D947" s="1" t="s">
        <v>66</v>
      </c>
      <c r="E947" s="11">
        <f t="shared" si="2"/>
        <v>4.55</v>
      </c>
      <c r="F947" s="11">
        <f t="shared" si="3"/>
        <v>1.516666667</v>
      </c>
      <c r="G947" s="1">
        <v>3.0</v>
      </c>
      <c r="H947" s="1">
        <v>0.0</v>
      </c>
      <c r="I947" s="1">
        <v>0.0</v>
      </c>
      <c r="J947" s="1">
        <v>0.0</v>
      </c>
      <c r="K947" s="1">
        <v>1.0</v>
      </c>
      <c r="L947" s="1">
        <v>0.0</v>
      </c>
      <c r="M947" s="1">
        <v>0.0</v>
      </c>
      <c r="N947" s="1">
        <v>0.0</v>
      </c>
      <c r="O947" s="1">
        <v>0.0</v>
      </c>
      <c r="P947" s="1">
        <v>3.0</v>
      </c>
      <c r="Q947" s="1">
        <v>6.0</v>
      </c>
      <c r="V947" s="2">
        <f>VLOOKUP(B947,'202324'!B:C,2,FALSE)-A947</f>
        <v>-1</v>
      </c>
    </row>
    <row r="948">
      <c r="A948" s="1">
        <f t="shared" si="1"/>
        <v>946</v>
      </c>
      <c r="B948" s="1" t="s">
        <v>2006</v>
      </c>
      <c r="C948" s="1" t="s">
        <v>1065</v>
      </c>
      <c r="D948" s="1" t="s">
        <v>28</v>
      </c>
      <c r="E948" s="11">
        <f t="shared" si="2"/>
        <v>4.5</v>
      </c>
      <c r="F948" s="11">
        <f t="shared" si="3"/>
        <v>4.5</v>
      </c>
      <c r="G948" s="1">
        <v>1.0</v>
      </c>
      <c r="H948" s="1">
        <v>0.0</v>
      </c>
      <c r="I948" s="1">
        <v>1.0</v>
      </c>
      <c r="J948" s="1">
        <v>1.0</v>
      </c>
      <c r="K948" s="1">
        <v>3.0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V948" s="2">
        <f>VLOOKUP(B948,'202324'!B:C,2,FALSE)-A948</f>
        <v>-6</v>
      </c>
    </row>
    <row r="949">
      <c r="A949" s="1">
        <f t="shared" si="1"/>
        <v>946</v>
      </c>
      <c r="B949" s="1" t="s">
        <v>2007</v>
      </c>
      <c r="C949" s="1" t="s">
        <v>1116</v>
      </c>
      <c r="D949" s="1" t="s">
        <v>31</v>
      </c>
      <c r="E949" s="11">
        <f t="shared" si="2"/>
        <v>4.5</v>
      </c>
      <c r="F949" s="11">
        <f t="shared" si="3"/>
        <v>4.5</v>
      </c>
      <c r="G949" s="1">
        <v>1.0</v>
      </c>
      <c r="H949" s="1">
        <v>0.0</v>
      </c>
      <c r="I949" s="1">
        <v>1.0</v>
      </c>
      <c r="J949" s="1">
        <v>1.0</v>
      </c>
      <c r="K949" s="1">
        <v>2.0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1.0</v>
      </c>
      <c r="V949" s="2">
        <f>VLOOKUP(B949,'202324'!B:C,2,FALSE)-A949</f>
        <v>-6</v>
      </c>
    </row>
    <row r="950">
      <c r="A950" s="1">
        <f t="shared" si="1"/>
        <v>948</v>
      </c>
      <c r="B950" s="1" t="s">
        <v>2008</v>
      </c>
      <c r="C950" s="1" t="s">
        <v>1073</v>
      </c>
      <c r="D950" s="1" t="s">
        <v>66</v>
      </c>
      <c r="E950" s="11">
        <f t="shared" si="2"/>
        <v>4.35</v>
      </c>
      <c r="F950" s="11">
        <f t="shared" si="3"/>
        <v>2.175</v>
      </c>
      <c r="G950" s="1">
        <v>2.0</v>
      </c>
      <c r="H950" s="1">
        <v>0.0</v>
      </c>
      <c r="I950" s="1">
        <v>0.0</v>
      </c>
      <c r="J950" s="1">
        <v>0.0</v>
      </c>
      <c r="K950" s="1">
        <v>6.0</v>
      </c>
      <c r="L950" s="1">
        <v>0.0</v>
      </c>
      <c r="M950" s="1">
        <v>0.0</v>
      </c>
      <c r="N950" s="1">
        <v>0.0</v>
      </c>
      <c r="O950" s="1">
        <v>0.0</v>
      </c>
      <c r="P950" s="1">
        <v>1.0</v>
      </c>
      <c r="Q950" s="1">
        <v>2.0</v>
      </c>
      <c r="V950" s="2">
        <f>VLOOKUP(B950,'202324'!B:C,2,FALSE)-A950</f>
        <v>-4</v>
      </c>
    </row>
    <row r="951">
      <c r="A951" s="1">
        <f t="shared" si="1"/>
        <v>948</v>
      </c>
      <c r="B951" s="1" t="s">
        <v>2009</v>
      </c>
      <c r="C951" s="1" t="s">
        <v>1067</v>
      </c>
      <c r="D951" s="1" t="s">
        <v>66</v>
      </c>
      <c r="E951" s="11">
        <f t="shared" si="2"/>
        <v>4.35</v>
      </c>
      <c r="F951" s="11">
        <f t="shared" si="3"/>
        <v>1.45</v>
      </c>
      <c r="G951" s="1">
        <v>3.0</v>
      </c>
      <c r="H951" s="1">
        <v>0.0</v>
      </c>
      <c r="I951" s="1">
        <v>1.0</v>
      </c>
      <c r="J951" s="1">
        <v>1.0</v>
      </c>
      <c r="K951" s="1">
        <v>2.0</v>
      </c>
      <c r="L951" s="1">
        <v>0.0</v>
      </c>
      <c r="M951" s="1">
        <v>0.0</v>
      </c>
      <c r="N951" s="1">
        <v>0.0</v>
      </c>
      <c r="O951" s="1">
        <v>0.0</v>
      </c>
      <c r="P951" s="1">
        <v>1.0</v>
      </c>
      <c r="Q951" s="1">
        <v>0.0</v>
      </c>
      <c r="V951" s="2">
        <f>VLOOKUP(B951,'202324'!B:C,2,FALSE)-A951</f>
        <v>-4</v>
      </c>
    </row>
    <row r="952">
      <c r="A952" s="1">
        <f t="shared" si="1"/>
        <v>950</v>
      </c>
      <c r="B952" s="1" t="s">
        <v>2010</v>
      </c>
      <c r="C952" s="1" t="s">
        <v>1052</v>
      </c>
      <c r="D952" s="1" t="s">
        <v>36</v>
      </c>
      <c r="E952" s="11">
        <f t="shared" si="2"/>
        <v>4.25</v>
      </c>
      <c r="F952" s="11">
        <f t="shared" si="3"/>
        <v>1.416666667</v>
      </c>
      <c r="G952" s="1">
        <v>3.0</v>
      </c>
      <c r="H952" s="1">
        <v>0.0</v>
      </c>
      <c r="I952" s="1">
        <v>0.0</v>
      </c>
      <c r="J952" s="1">
        <v>0.0</v>
      </c>
      <c r="K952" s="1">
        <v>2.0</v>
      </c>
      <c r="L952" s="1">
        <v>0.0</v>
      </c>
      <c r="M952" s="1">
        <v>0.0</v>
      </c>
      <c r="N952" s="1">
        <v>0.0</v>
      </c>
      <c r="O952" s="1">
        <v>0.0</v>
      </c>
      <c r="P952" s="1">
        <v>5.0</v>
      </c>
      <c r="Q952" s="1">
        <v>3.0</v>
      </c>
      <c r="V952" s="2">
        <f>VLOOKUP(B952,'202324'!B:C,2,FALSE)-A952</f>
        <v>1</v>
      </c>
    </row>
    <row r="953">
      <c r="A953" s="1">
        <f t="shared" si="1"/>
        <v>951</v>
      </c>
      <c r="B953" s="1" t="s">
        <v>2011</v>
      </c>
      <c r="C953" s="1" t="s">
        <v>1038</v>
      </c>
      <c r="D953" s="1" t="s">
        <v>28</v>
      </c>
      <c r="E953" s="11">
        <f t="shared" si="2"/>
        <v>4.2</v>
      </c>
      <c r="F953" s="11">
        <f t="shared" si="3"/>
        <v>1.05</v>
      </c>
      <c r="G953" s="1">
        <v>4.0</v>
      </c>
      <c r="H953" s="1">
        <v>0.0</v>
      </c>
      <c r="I953" s="1">
        <v>0.0</v>
      </c>
      <c r="J953" s="1">
        <v>0.0</v>
      </c>
      <c r="K953" s="1">
        <v>3.0</v>
      </c>
      <c r="L953" s="1">
        <v>0.0</v>
      </c>
      <c r="M953" s="1">
        <v>0.0</v>
      </c>
      <c r="N953" s="1">
        <v>0.0</v>
      </c>
      <c r="O953" s="1">
        <v>0.0</v>
      </c>
      <c r="P953" s="1">
        <v>2.0</v>
      </c>
      <c r="Q953" s="1">
        <v>4.0</v>
      </c>
      <c r="V953" s="2">
        <f>VLOOKUP(B953,'202324'!B:C,2,FALSE)-A953</f>
        <v>-3</v>
      </c>
    </row>
    <row r="954">
      <c r="A954" s="1">
        <f t="shared" si="1"/>
        <v>952</v>
      </c>
      <c r="B954" s="1" t="s">
        <v>2012</v>
      </c>
      <c r="C954" s="1" t="s">
        <v>1052</v>
      </c>
      <c r="D954" s="1" t="s">
        <v>28</v>
      </c>
      <c r="E954" s="11">
        <f t="shared" si="2"/>
        <v>4.05</v>
      </c>
      <c r="F954" s="11">
        <f t="shared" si="3"/>
        <v>1.0125</v>
      </c>
      <c r="G954" s="1">
        <v>4.0</v>
      </c>
      <c r="H954" s="1">
        <v>0.0</v>
      </c>
      <c r="I954" s="1">
        <v>0.0</v>
      </c>
      <c r="J954" s="1">
        <v>0.0</v>
      </c>
      <c r="K954" s="1">
        <v>4.0</v>
      </c>
      <c r="L954" s="1">
        <v>0.0</v>
      </c>
      <c r="M954" s="1">
        <v>0.0</v>
      </c>
      <c r="N954" s="1">
        <v>0.0</v>
      </c>
      <c r="O954" s="1">
        <v>0.0</v>
      </c>
      <c r="P954" s="1">
        <v>3.0</v>
      </c>
      <c r="Q954" s="1">
        <v>2.0</v>
      </c>
      <c r="V954" s="2">
        <f>VLOOKUP(B954,'202324'!B:C,2,FALSE)-A954</f>
        <v>-1</v>
      </c>
    </row>
    <row r="955">
      <c r="A955" s="1">
        <f t="shared" si="1"/>
        <v>952</v>
      </c>
      <c r="B955" s="1" t="s">
        <v>2013</v>
      </c>
      <c r="C955" s="1" t="s">
        <v>1046</v>
      </c>
      <c r="D955" s="1" t="s">
        <v>31</v>
      </c>
      <c r="E955" s="11">
        <f t="shared" si="2"/>
        <v>4.05</v>
      </c>
      <c r="F955" s="11">
        <f t="shared" si="3"/>
        <v>1.0125</v>
      </c>
      <c r="G955" s="1">
        <v>4.0</v>
      </c>
      <c r="H955" s="1">
        <v>0.0</v>
      </c>
      <c r="I955" s="1">
        <v>0.0</v>
      </c>
      <c r="J955" s="1">
        <v>0.0</v>
      </c>
      <c r="K955" s="1">
        <v>4.0</v>
      </c>
      <c r="L955" s="1">
        <v>0.0</v>
      </c>
      <c r="M955" s="1">
        <v>0.0</v>
      </c>
      <c r="N955" s="1">
        <v>0.0</v>
      </c>
      <c r="O955" s="1">
        <v>0.0</v>
      </c>
      <c r="P955" s="1">
        <v>3.0</v>
      </c>
      <c r="Q955" s="1">
        <v>2.0</v>
      </c>
      <c r="V955" s="2">
        <f>VLOOKUP(B955,'202324'!B:C,2,FALSE)-A955</f>
        <v>-1</v>
      </c>
    </row>
    <row r="956">
      <c r="A956" s="1">
        <f t="shared" si="1"/>
        <v>954</v>
      </c>
      <c r="B956" s="1" t="s">
        <v>2014</v>
      </c>
      <c r="C956" s="1" t="s">
        <v>1087</v>
      </c>
      <c r="D956" s="1" t="s">
        <v>36</v>
      </c>
      <c r="E956" s="11">
        <f t="shared" si="2"/>
        <v>4</v>
      </c>
      <c r="F956" s="11">
        <f t="shared" si="3"/>
        <v>4</v>
      </c>
      <c r="G956" s="1">
        <v>1.0</v>
      </c>
      <c r="H956" s="1">
        <v>0.0</v>
      </c>
      <c r="I956" s="1">
        <v>1.0</v>
      </c>
      <c r="J956" s="1">
        <v>1.0</v>
      </c>
      <c r="K956" s="1">
        <v>2.0</v>
      </c>
      <c r="L956" s="1">
        <v>0.0</v>
      </c>
      <c r="M956" s="1">
        <v>1.0</v>
      </c>
      <c r="N956" s="1">
        <v>0.0</v>
      </c>
      <c r="O956" s="1">
        <v>0.0</v>
      </c>
      <c r="P956" s="1">
        <v>0.0</v>
      </c>
      <c r="Q956" s="1">
        <v>0.0</v>
      </c>
      <c r="V956" s="2">
        <f>VLOOKUP(B956,'202324'!B:C,2,FALSE)-A956</f>
        <v>-6</v>
      </c>
    </row>
    <row r="957">
      <c r="A957" s="1">
        <f t="shared" si="1"/>
        <v>955</v>
      </c>
      <c r="B957" s="1" t="s">
        <v>2015</v>
      </c>
      <c r="C957" s="1" t="s">
        <v>1048</v>
      </c>
      <c r="D957" s="1" t="s">
        <v>31</v>
      </c>
      <c r="E957" s="11">
        <f t="shared" si="2"/>
        <v>3.75</v>
      </c>
      <c r="F957" s="11">
        <f t="shared" si="3"/>
        <v>1.25</v>
      </c>
      <c r="G957" s="1">
        <v>3.0</v>
      </c>
      <c r="H957" s="1">
        <v>0.0</v>
      </c>
      <c r="I957" s="1">
        <v>0.0</v>
      </c>
      <c r="J957" s="1">
        <v>0.0</v>
      </c>
      <c r="K957" s="1">
        <v>2.0</v>
      </c>
      <c r="L957" s="1">
        <v>0.0</v>
      </c>
      <c r="M957" s="1">
        <v>0.0</v>
      </c>
      <c r="N957" s="1">
        <v>0.0</v>
      </c>
      <c r="O957" s="1">
        <v>0.0</v>
      </c>
      <c r="P957" s="1">
        <v>5.0</v>
      </c>
      <c r="Q957" s="1">
        <v>2.0</v>
      </c>
      <c r="V957" s="2">
        <f>VLOOKUP(B957,'202324'!B:C,2,FALSE)-A957</f>
        <v>3</v>
      </c>
    </row>
    <row r="958">
      <c r="A958" s="1">
        <f t="shared" si="1"/>
        <v>956</v>
      </c>
      <c r="B958" s="1" t="s">
        <v>2016</v>
      </c>
      <c r="C958" s="1" t="s">
        <v>1111</v>
      </c>
      <c r="D958" s="1" t="s">
        <v>36</v>
      </c>
      <c r="E958" s="11">
        <f t="shared" si="2"/>
        <v>3.7</v>
      </c>
      <c r="F958" s="11">
        <f t="shared" si="3"/>
        <v>3.7</v>
      </c>
      <c r="G958" s="1">
        <v>1.0</v>
      </c>
      <c r="H958" s="1">
        <v>0.0</v>
      </c>
      <c r="I958" s="1">
        <v>1.0</v>
      </c>
      <c r="J958" s="1">
        <v>1.0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2.0</v>
      </c>
      <c r="Q958" s="1">
        <v>0.0</v>
      </c>
      <c r="V958" s="2">
        <f>VLOOKUP(B958,'202324'!B:C,2,FALSE)-A958</f>
        <v>-2</v>
      </c>
    </row>
    <row r="959">
      <c r="A959" s="1">
        <f t="shared" si="1"/>
        <v>956</v>
      </c>
      <c r="B959" s="1" t="s">
        <v>2017</v>
      </c>
      <c r="C959" s="1" t="s">
        <v>1082</v>
      </c>
      <c r="D959" s="1" t="s">
        <v>36</v>
      </c>
      <c r="E959" s="11">
        <f t="shared" si="2"/>
        <v>3.7</v>
      </c>
      <c r="F959" s="11">
        <f t="shared" si="3"/>
        <v>1.233333333</v>
      </c>
      <c r="G959" s="1">
        <v>3.0</v>
      </c>
      <c r="H959" s="1">
        <v>0.0</v>
      </c>
      <c r="I959" s="1">
        <v>0.0</v>
      </c>
      <c r="J959" s="1">
        <v>0.0</v>
      </c>
      <c r="K959" s="1">
        <v>3.0</v>
      </c>
      <c r="L959" s="1">
        <v>0.0</v>
      </c>
      <c r="M959" s="1">
        <v>0.0</v>
      </c>
      <c r="N959" s="1">
        <v>0.0</v>
      </c>
      <c r="O959" s="1">
        <v>0.0</v>
      </c>
      <c r="P959" s="1">
        <v>2.0</v>
      </c>
      <c r="Q959" s="1">
        <v>3.0</v>
      </c>
      <c r="V959" s="2">
        <f>VLOOKUP(B959,'202324'!B:C,2,FALSE)-A959</f>
        <v>-2</v>
      </c>
    </row>
    <row r="960">
      <c r="A960" s="1">
        <f t="shared" si="1"/>
        <v>958</v>
      </c>
      <c r="B960" s="1" t="s">
        <v>2018</v>
      </c>
      <c r="C960" s="1" t="s">
        <v>1046</v>
      </c>
      <c r="D960" s="1" t="s">
        <v>66</v>
      </c>
      <c r="E960" s="11">
        <f t="shared" si="2"/>
        <v>3.55</v>
      </c>
      <c r="F960" s="11">
        <f t="shared" si="3"/>
        <v>1.183333333</v>
      </c>
      <c r="G960" s="1">
        <v>3.0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3.0</v>
      </c>
      <c r="Q960" s="1">
        <v>5.0</v>
      </c>
      <c r="V960" s="2">
        <f>VLOOKUP(B960,'202324'!B:C,2,FALSE)-A960</f>
        <v>0</v>
      </c>
    </row>
    <row r="961">
      <c r="A961" s="1">
        <f t="shared" si="1"/>
        <v>959</v>
      </c>
      <c r="B961" s="1" t="s">
        <v>2019</v>
      </c>
      <c r="C961" s="1" t="s">
        <v>1073</v>
      </c>
      <c r="D961" s="1" t="s">
        <v>28</v>
      </c>
      <c r="E961" s="11">
        <f t="shared" si="2"/>
        <v>3.5</v>
      </c>
      <c r="F961" s="11">
        <f t="shared" si="3"/>
        <v>3.5</v>
      </c>
      <c r="G961" s="1">
        <v>1.0</v>
      </c>
      <c r="H961" s="1">
        <v>0.0</v>
      </c>
      <c r="I961" s="1">
        <v>1.0</v>
      </c>
      <c r="J961" s="1">
        <v>1.0</v>
      </c>
      <c r="K961" s="1">
        <v>1.0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V961" s="2">
        <f>VLOOKUP(B961,'202324'!B:C,2,FALSE)-A961</f>
        <v>-5</v>
      </c>
    </row>
    <row r="962">
      <c r="A962" s="1">
        <f t="shared" si="1"/>
        <v>960</v>
      </c>
      <c r="B962" s="1" t="s">
        <v>2020</v>
      </c>
      <c r="C962" s="1" t="s">
        <v>1044</v>
      </c>
      <c r="D962" s="1" t="s">
        <v>66</v>
      </c>
      <c r="E962" s="11">
        <f t="shared" si="2"/>
        <v>3.4</v>
      </c>
      <c r="F962" s="11">
        <f t="shared" si="3"/>
        <v>0.85</v>
      </c>
      <c r="G962" s="1">
        <v>4.0</v>
      </c>
      <c r="H962" s="1">
        <v>0.0</v>
      </c>
      <c r="I962" s="1">
        <v>0.0</v>
      </c>
      <c r="J962" s="1">
        <v>0.0</v>
      </c>
      <c r="K962" s="1">
        <v>2.0</v>
      </c>
      <c r="L962" s="1">
        <v>0.0</v>
      </c>
      <c r="M962" s="1">
        <v>0.0</v>
      </c>
      <c r="N962" s="1">
        <v>0.0</v>
      </c>
      <c r="O962" s="1">
        <v>0.0</v>
      </c>
      <c r="P962" s="1">
        <v>4.0</v>
      </c>
      <c r="Q962" s="1">
        <v>2.0</v>
      </c>
      <c r="V962" s="2">
        <f>VLOOKUP(B962,'202324'!B:C,2,FALSE)-A962</f>
        <v>1</v>
      </c>
    </row>
    <row r="963">
      <c r="A963" s="1">
        <f t="shared" si="1"/>
        <v>960</v>
      </c>
      <c r="B963" s="1" t="s">
        <v>2021</v>
      </c>
      <c r="C963" s="1" t="s">
        <v>1032</v>
      </c>
      <c r="D963" s="1" t="s">
        <v>31</v>
      </c>
      <c r="E963" s="11">
        <f t="shared" si="2"/>
        <v>3.4</v>
      </c>
      <c r="F963" s="11">
        <f t="shared" si="3"/>
        <v>0.85</v>
      </c>
      <c r="G963" s="1">
        <v>4.0</v>
      </c>
      <c r="H963" s="1">
        <v>0.0</v>
      </c>
      <c r="I963" s="1">
        <v>0.0</v>
      </c>
      <c r="J963" s="1">
        <v>0.0</v>
      </c>
      <c r="K963" s="1">
        <v>3.0</v>
      </c>
      <c r="L963" s="1">
        <v>0.0</v>
      </c>
      <c r="M963" s="1">
        <v>0.0</v>
      </c>
      <c r="N963" s="1">
        <v>0.0</v>
      </c>
      <c r="O963" s="1">
        <v>0.0</v>
      </c>
      <c r="P963" s="1">
        <v>4.0</v>
      </c>
      <c r="Q963" s="1">
        <v>1.0</v>
      </c>
      <c r="V963" s="2">
        <f>VLOOKUP(B963,'202324'!B:C,2,FALSE)-A963</f>
        <v>1</v>
      </c>
    </row>
    <row r="964">
      <c r="A964" s="1">
        <f t="shared" si="1"/>
        <v>962</v>
      </c>
      <c r="B964" s="1" t="s">
        <v>2022</v>
      </c>
      <c r="C964" s="1" t="s">
        <v>1073</v>
      </c>
      <c r="D964" s="1" t="s">
        <v>66</v>
      </c>
      <c r="E964" s="11">
        <f t="shared" si="2"/>
        <v>3.35</v>
      </c>
      <c r="F964" s="11">
        <f t="shared" si="3"/>
        <v>3.35</v>
      </c>
      <c r="G964" s="1">
        <v>1.0</v>
      </c>
      <c r="H964" s="1">
        <v>0.0</v>
      </c>
      <c r="I964" s="1">
        <v>0.0</v>
      </c>
      <c r="J964" s="1">
        <v>0.0</v>
      </c>
      <c r="K964" s="1">
        <v>3.0</v>
      </c>
      <c r="L964" s="1">
        <v>0.0</v>
      </c>
      <c r="M964" s="1">
        <v>0.0</v>
      </c>
      <c r="N964" s="1">
        <v>0.0</v>
      </c>
      <c r="O964" s="1">
        <v>0.0</v>
      </c>
      <c r="P964" s="1">
        <v>1.0</v>
      </c>
      <c r="Q964" s="1">
        <v>3.0</v>
      </c>
      <c r="V964" s="2">
        <f>VLOOKUP(B964,'202324'!B:C,2,FALSE)-A964</f>
        <v>-4</v>
      </c>
    </row>
    <row r="965">
      <c r="A965" s="1">
        <f t="shared" si="1"/>
        <v>963</v>
      </c>
      <c r="B965" s="1" t="s">
        <v>2023</v>
      </c>
      <c r="C965" s="1" t="s">
        <v>1097</v>
      </c>
      <c r="D965" s="1" t="s">
        <v>28</v>
      </c>
      <c r="E965" s="11">
        <f t="shared" si="2"/>
        <v>3.25</v>
      </c>
      <c r="F965" s="11">
        <f t="shared" si="3"/>
        <v>1.083333333</v>
      </c>
      <c r="G965" s="1">
        <v>3.0</v>
      </c>
      <c r="H965" s="1">
        <v>0.0</v>
      </c>
      <c r="I965" s="1">
        <v>0.0</v>
      </c>
      <c r="J965" s="1">
        <v>0.0</v>
      </c>
      <c r="K965" s="1">
        <v>2.0</v>
      </c>
      <c r="L965" s="1">
        <v>0.0</v>
      </c>
      <c r="M965" s="1">
        <v>0.0</v>
      </c>
      <c r="N965" s="1">
        <v>0.0</v>
      </c>
      <c r="O965" s="1">
        <v>0.0</v>
      </c>
      <c r="P965" s="1">
        <v>5.0</v>
      </c>
      <c r="Q965" s="1">
        <v>1.0</v>
      </c>
      <c r="V965" s="2">
        <f>VLOOKUP(B965,'202324'!B:C,2,FALSE)-A965</f>
        <v>0</v>
      </c>
    </row>
    <row r="966">
      <c r="A966" s="1">
        <f t="shared" si="1"/>
        <v>964</v>
      </c>
      <c r="B966" s="1" t="s">
        <v>2024</v>
      </c>
      <c r="C966" s="1" t="s">
        <v>1076</v>
      </c>
      <c r="D966" s="1" t="s">
        <v>36</v>
      </c>
      <c r="E966" s="11">
        <f t="shared" si="2"/>
        <v>3.1</v>
      </c>
      <c r="F966" s="11">
        <f t="shared" si="3"/>
        <v>1.033333333</v>
      </c>
      <c r="G966" s="1">
        <v>3.0</v>
      </c>
      <c r="H966" s="1">
        <v>0.0</v>
      </c>
      <c r="I966" s="1">
        <v>0.0</v>
      </c>
      <c r="J966" s="1">
        <v>0.0</v>
      </c>
      <c r="K966" s="1">
        <v>2.0</v>
      </c>
      <c r="L966" s="1">
        <v>0.0</v>
      </c>
      <c r="M966" s="1">
        <v>0.0</v>
      </c>
      <c r="N966" s="1">
        <v>0.0</v>
      </c>
      <c r="O966" s="1">
        <v>0.0</v>
      </c>
      <c r="P966" s="1">
        <v>6.0</v>
      </c>
      <c r="Q966" s="1">
        <v>0.0</v>
      </c>
      <c r="V966" s="2">
        <f>VLOOKUP(B966,'202324'!B:C,2,FALSE)-A966</f>
        <v>0</v>
      </c>
    </row>
    <row r="967">
      <c r="A967" s="1">
        <f t="shared" si="1"/>
        <v>965</v>
      </c>
      <c r="B967" s="1" t="s">
        <v>2025</v>
      </c>
      <c r="C967" s="1" t="s">
        <v>1111</v>
      </c>
      <c r="D967" s="1" t="s">
        <v>28</v>
      </c>
      <c r="E967" s="11">
        <f t="shared" si="2"/>
        <v>2.75</v>
      </c>
      <c r="F967" s="11">
        <f t="shared" si="3"/>
        <v>1.375</v>
      </c>
      <c r="G967" s="1">
        <v>2.0</v>
      </c>
      <c r="H967" s="1">
        <v>0.0</v>
      </c>
      <c r="I967" s="1">
        <v>0.0</v>
      </c>
      <c r="J967" s="1">
        <v>0.0</v>
      </c>
      <c r="K967" s="1">
        <v>1.0</v>
      </c>
      <c r="L967" s="1">
        <v>0.0</v>
      </c>
      <c r="M967" s="1">
        <v>0.0</v>
      </c>
      <c r="N967" s="1">
        <v>0.0</v>
      </c>
      <c r="O967" s="1">
        <v>0.0</v>
      </c>
      <c r="P967" s="1">
        <v>5.0</v>
      </c>
      <c r="Q967" s="1">
        <v>1.0</v>
      </c>
      <c r="V967" s="2">
        <f>VLOOKUP(B967,'202324'!B:C,2,FALSE)-A967</f>
        <v>2</v>
      </c>
    </row>
    <row r="968">
      <c r="A968" s="1">
        <f t="shared" si="1"/>
        <v>965</v>
      </c>
      <c r="B968" s="1" t="s">
        <v>2026</v>
      </c>
      <c r="C968" s="1" t="s">
        <v>1069</v>
      </c>
      <c r="D968" s="1" t="s">
        <v>36</v>
      </c>
      <c r="E968" s="11">
        <f t="shared" si="2"/>
        <v>2.75</v>
      </c>
      <c r="F968" s="11">
        <f t="shared" si="3"/>
        <v>0.6875</v>
      </c>
      <c r="G968" s="1">
        <v>4.0</v>
      </c>
      <c r="H968" s="1">
        <v>0.0</v>
      </c>
      <c r="I968" s="1">
        <v>0.0</v>
      </c>
      <c r="J968" s="1">
        <v>0.0</v>
      </c>
      <c r="K968" s="1">
        <v>1.0</v>
      </c>
      <c r="L968" s="1">
        <v>0.0</v>
      </c>
      <c r="M968" s="1">
        <v>0.0</v>
      </c>
      <c r="N968" s="1">
        <v>0.0</v>
      </c>
      <c r="O968" s="1">
        <v>0.0</v>
      </c>
      <c r="P968" s="1">
        <v>5.0</v>
      </c>
      <c r="Q968" s="1">
        <v>1.0</v>
      </c>
      <c r="V968" s="2">
        <f>VLOOKUP(B968,'202324'!B:C,2,FALSE)-A968</f>
        <v>2</v>
      </c>
    </row>
    <row r="969">
      <c r="A969" s="1">
        <f t="shared" si="1"/>
        <v>967</v>
      </c>
      <c r="B969" s="1" t="s">
        <v>2027</v>
      </c>
      <c r="C969" s="1" t="s">
        <v>1030</v>
      </c>
      <c r="D969" s="1" t="s">
        <v>28</v>
      </c>
      <c r="E969" s="11">
        <f t="shared" si="2"/>
        <v>2.7</v>
      </c>
      <c r="F969" s="11">
        <f t="shared" si="3"/>
        <v>2.7</v>
      </c>
      <c r="G969" s="1">
        <v>1.0</v>
      </c>
      <c r="H969" s="1">
        <v>0.0</v>
      </c>
      <c r="I969" s="1">
        <v>0.0</v>
      </c>
      <c r="J969" s="1">
        <v>0.0</v>
      </c>
      <c r="K969" s="1">
        <v>2.0</v>
      </c>
      <c r="L969" s="1">
        <v>0.0</v>
      </c>
      <c r="M969" s="1">
        <v>0.0</v>
      </c>
      <c r="N969" s="1">
        <v>0.0</v>
      </c>
      <c r="O969" s="1">
        <v>0.0</v>
      </c>
      <c r="P969" s="1">
        <v>2.0</v>
      </c>
      <c r="Q969" s="1">
        <v>2.0</v>
      </c>
      <c r="V969" s="2">
        <f>VLOOKUP(B969,'202324'!B:C,2,FALSE)-A969</f>
        <v>-3</v>
      </c>
    </row>
    <row r="970">
      <c r="A970" s="1">
        <f t="shared" si="1"/>
        <v>967</v>
      </c>
      <c r="B970" s="1" t="s">
        <v>2028</v>
      </c>
      <c r="C970" s="1" t="s">
        <v>1054</v>
      </c>
      <c r="D970" s="1" t="s">
        <v>36</v>
      </c>
      <c r="E970" s="11">
        <f t="shared" si="2"/>
        <v>2.7</v>
      </c>
      <c r="F970" s="11">
        <f t="shared" si="3"/>
        <v>0.675</v>
      </c>
      <c r="G970" s="1">
        <v>4.0</v>
      </c>
      <c r="H970" s="1">
        <v>0.0</v>
      </c>
      <c r="I970" s="1">
        <v>0.0</v>
      </c>
      <c r="J970" s="1">
        <v>0.0</v>
      </c>
      <c r="K970" s="1">
        <v>3.0</v>
      </c>
      <c r="L970" s="1">
        <v>0.0</v>
      </c>
      <c r="M970" s="1">
        <v>0.0</v>
      </c>
      <c r="N970" s="1">
        <v>0.0</v>
      </c>
      <c r="O970" s="1">
        <v>0.0</v>
      </c>
      <c r="P970" s="1">
        <v>2.0</v>
      </c>
      <c r="Q970" s="1">
        <v>1.0</v>
      </c>
      <c r="V970" s="2">
        <f>VLOOKUP(B970,'202324'!B:C,2,FALSE)-A970</f>
        <v>-3</v>
      </c>
    </row>
    <row r="971">
      <c r="A971" s="1">
        <f t="shared" si="1"/>
        <v>969</v>
      </c>
      <c r="B971" s="1" t="s">
        <v>2029</v>
      </c>
      <c r="C971" s="1" t="s">
        <v>1032</v>
      </c>
      <c r="D971" s="1" t="s">
        <v>28</v>
      </c>
      <c r="E971" s="11">
        <f t="shared" si="2"/>
        <v>2.6</v>
      </c>
      <c r="F971" s="11">
        <f t="shared" si="3"/>
        <v>2.6</v>
      </c>
      <c r="G971" s="1">
        <v>1.0</v>
      </c>
      <c r="H971" s="1">
        <v>0.0</v>
      </c>
      <c r="I971" s="1">
        <v>0.0</v>
      </c>
      <c r="J971" s="1">
        <v>0.0</v>
      </c>
      <c r="K971" s="1">
        <v>1.0</v>
      </c>
      <c r="L971" s="1">
        <v>0.0</v>
      </c>
      <c r="M971" s="1">
        <v>0.0</v>
      </c>
      <c r="N971" s="1">
        <v>0.0</v>
      </c>
      <c r="O971" s="1">
        <v>0.0</v>
      </c>
      <c r="P971" s="1">
        <v>6.0</v>
      </c>
      <c r="Q971" s="1">
        <v>0.0</v>
      </c>
      <c r="V971" s="2">
        <f>VLOOKUP(B971,'202324'!B:C,2,FALSE)-A971</f>
        <v>1</v>
      </c>
    </row>
    <row r="972">
      <c r="A972" s="1">
        <f t="shared" si="1"/>
        <v>969</v>
      </c>
      <c r="B972" s="1" t="s">
        <v>2030</v>
      </c>
      <c r="C972" s="1" t="s">
        <v>1097</v>
      </c>
      <c r="D972" s="1" t="s">
        <v>28</v>
      </c>
      <c r="E972" s="11">
        <f t="shared" si="2"/>
        <v>2.6</v>
      </c>
      <c r="F972" s="11">
        <f t="shared" si="3"/>
        <v>0.65</v>
      </c>
      <c r="G972" s="1">
        <v>4.0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6.0</v>
      </c>
      <c r="Q972" s="1">
        <v>1.0</v>
      </c>
      <c r="V972" s="2">
        <f>VLOOKUP(B972,'202324'!B:C,2,FALSE)-A972</f>
        <v>1</v>
      </c>
    </row>
    <row r="973">
      <c r="A973" s="1">
        <f t="shared" si="1"/>
        <v>971</v>
      </c>
      <c r="B973" s="1" t="s">
        <v>2031</v>
      </c>
      <c r="C973" s="1" t="s">
        <v>1111</v>
      </c>
      <c r="D973" s="1" t="s">
        <v>66</v>
      </c>
      <c r="E973" s="11">
        <f t="shared" si="2"/>
        <v>2.4</v>
      </c>
      <c r="F973" s="11">
        <f t="shared" si="3"/>
        <v>2.4</v>
      </c>
      <c r="G973" s="1">
        <v>1.0</v>
      </c>
      <c r="H973" s="1">
        <v>0.0</v>
      </c>
      <c r="I973" s="1">
        <v>0.0</v>
      </c>
      <c r="J973" s="1">
        <v>0.0</v>
      </c>
      <c r="K973" s="1">
        <v>1.0</v>
      </c>
      <c r="L973" s="1">
        <v>0.0</v>
      </c>
      <c r="M973" s="1">
        <v>0.0</v>
      </c>
      <c r="N973" s="1">
        <v>0.0</v>
      </c>
      <c r="O973" s="1">
        <v>0.0</v>
      </c>
      <c r="P973" s="1">
        <v>4.0</v>
      </c>
      <c r="Q973" s="1">
        <v>1.0</v>
      </c>
      <c r="V973" s="2">
        <f>VLOOKUP(B973,'202324'!B:C,2,FALSE)-A973</f>
        <v>-1</v>
      </c>
    </row>
    <row r="974">
      <c r="A974" s="1">
        <f t="shared" si="1"/>
        <v>971</v>
      </c>
      <c r="B974" s="1" t="s">
        <v>2032</v>
      </c>
      <c r="C974" s="1" t="s">
        <v>1111</v>
      </c>
      <c r="D974" s="1" t="s">
        <v>66</v>
      </c>
      <c r="E974" s="11">
        <f t="shared" si="2"/>
        <v>2.4</v>
      </c>
      <c r="F974" s="11">
        <f t="shared" si="3"/>
        <v>2.4</v>
      </c>
      <c r="G974" s="1">
        <v>1.0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4.0</v>
      </c>
      <c r="Q974" s="1">
        <v>2.0</v>
      </c>
      <c r="V974" s="2">
        <f>VLOOKUP(B974,'202324'!B:C,2,FALSE)-A974</f>
        <v>-1</v>
      </c>
    </row>
    <row r="975">
      <c r="A975" s="1">
        <f t="shared" si="1"/>
        <v>971</v>
      </c>
      <c r="B975" s="1" t="s">
        <v>2033</v>
      </c>
      <c r="C975" s="1" t="s">
        <v>1032</v>
      </c>
      <c r="D975" s="1" t="s">
        <v>66</v>
      </c>
      <c r="E975" s="11">
        <f t="shared" si="2"/>
        <v>2.4</v>
      </c>
      <c r="F975" s="11">
        <f t="shared" si="3"/>
        <v>1.2</v>
      </c>
      <c r="G975" s="1">
        <v>2.0</v>
      </c>
      <c r="H975" s="1">
        <v>0.0</v>
      </c>
      <c r="I975" s="1">
        <v>0.0</v>
      </c>
      <c r="J975" s="1">
        <v>0.0</v>
      </c>
      <c r="K975" s="1">
        <v>1.0</v>
      </c>
      <c r="L975" s="1">
        <v>0.0</v>
      </c>
      <c r="M975" s="1">
        <v>0.0</v>
      </c>
      <c r="N975" s="1">
        <v>0.0</v>
      </c>
      <c r="O975" s="1">
        <v>0.0</v>
      </c>
      <c r="P975" s="1">
        <v>4.0</v>
      </c>
      <c r="Q975" s="1">
        <v>1.0</v>
      </c>
      <c r="V975" s="2">
        <f>VLOOKUP(B975,'202324'!B:C,2,FALSE)-A975</f>
        <v>-1</v>
      </c>
    </row>
    <row r="976">
      <c r="A976" s="1">
        <f t="shared" si="1"/>
        <v>974</v>
      </c>
      <c r="B976" s="1" t="s">
        <v>2034</v>
      </c>
      <c r="C976" s="1" t="s">
        <v>1040</v>
      </c>
      <c r="D976" s="1" t="s">
        <v>66</v>
      </c>
      <c r="E976" s="11">
        <f t="shared" si="2"/>
        <v>2.35</v>
      </c>
      <c r="F976" s="11">
        <f t="shared" si="3"/>
        <v>2.35</v>
      </c>
      <c r="G976" s="1">
        <v>1.0</v>
      </c>
      <c r="H976" s="1">
        <v>0.0</v>
      </c>
      <c r="I976" s="1">
        <v>0.0</v>
      </c>
      <c r="J976" s="1">
        <v>0.0</v>
      </c>
      <c r="K976" s="1">
        <v>1.0</v>
      </c>
      <c r="L976" s="1">
        <v>0.0</v>
      </c>
      <c r="M976" s="1">
        <v>0.0</v>
      </c>
      <c r="N976" s="1">
        <v>0.0</v>
      </c>
      <c r="O976" s="1">
        <v>0.0</v>
      </c>
      <c r="P976" s="1">
        <v>1.0</v>
      </c>
      <c r="Q976" s="1">
        <v>3.0</v>
      </c>
      <c r="V976" s="2">
        <f>VLOOKUP(B976,'202324'!B:C,2,FALSE)-A976</f>
        <v>-7</v>
      </c>
    </row>
    <row r="977">
      <c r="A977" s="1">
        <f t="shared" si="1"/>
        <v>975</v>
      </c>
      <c r="B977" s="1" t="s">
        <v>2035</v>
      </c>
      <c r="C977" s="1" t="s">
        <v>1156</v>
      </c>
      <c r="D977" s="1" t="s">
        <v>28</v>
      </c>
      <c r="E977" s="11">
        <f t="shared" si="2"/>
        <v>2.25</v>
      </c>
      <c r="F977" s="11">
        <f t="shared" si="3"/>
        <v>1.125</v>
      </c>
      <c r="G977" s="1">
        <v>2.0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5.0</v>
      </c>
      <c r="Q977" s="1">
        <v>1.0</v>
      </c>
      <c r="V977" s="2">
        <f>VLOOKUP(B977,'202324'!B:C,2,FALSE)-A977</f>
        <v>1</v>
      </c>
    </row>
    <row r="978">
      <c r="A978" s="1">
        <f t="shared" si="1"/>
        <v>975</v>
      </c>
      <c r="B978" s="1" t="s">
        <v>2036</v>
      </c>
      <c r="C978" s="1" t="s">
        <v>1067</v>
      </c>
      <c r="D978" s="1" t="s">
        <v>28</v>
      </c>
      <c r="E978" s="11">
        <f t="shared" si="2"/>
        <v>2.25</v>
      </c>
      <c r="F978" s="11">
        <f t="shared" si="3"/>
        <v>1.125</v>
      </c>
      <c r="G978" s="1">
        <v>2.0</v>
      </c>
      <c r="H978" s="1">
        <v>0.0</v>
      </c>
      <c r="I978" s="1">
        <v>0.0</v>
      </c>
      <c r="J978" s="1">
        <v>0.0</v>
      </c>
      <c r="K978" s="1">
        <v>1.0</v>
      </c>
      <c r="L978" s="1">
        <v>0.0</v>
      </c>
      <c r="M978" s="1">
        <v>0.0</v>
      </c>
      <c r="N978" s="1">
        <v>0.0</v>
      </c>
      <c r="O978" s="1">
        <v>0.0</v>
      </c>
      <c r="P978" s="1">
        <v>5.0</v>
      </c>
      <c r="Q978" s="1">
        <v>0.0</v>
      </c>
      <c r="V978" s="2">
        <f>VLOOKUP(B978,'202324'!B:C,2,FALSE)-A978</f>
        <v>1</v>
      </c>
    </row>
    <row r="979">
      <c r="A979" s="1">
        <f t="shared" si="1"/>
        <v>977</v>
      </c>
      <c r="B979" s="1" t="s">
        <v>2037</v>
      </c>
      <c r="C979" s="1" t="s">
        <v>1146</v>
      </c>
      <c r="D979" s="1" t="s">
        <v>31</v>
      </c>
      <c r="E979" s="11">
        <f t="shared" si="2"/>
        <v>2.05</v>
      </c>
      <c r="F979" s="11">
        <f t="shared" si="3"/>
        <v>1.025</v>
      </c>
      <c r="G979" s="1">
        <v>2.0</v>
      </c>
      <c r="H979" s="1">
        <v>0.0</v>
      </c>
      <c r="I979" s="1">
        <v>0.0</v>
      </c>
      <c r="J979" s="1">
        <v>0.0</v>
      </c>
      <c r="K979" s="1">
        <v>1.0</v>
      </c>
      <c r="L979" s="1">
        <v>0.0</v>
      </c>
      <c r="M979" s="1">
        <v>0.0</v>
      </c>
      <c r="N979" s="1">
        <v>0.0</v>
      </c>
      <c r="O979" s="1">
        <v>0.0</v>
      </c>
      <c r="P979" s="1">
        <v>3.0</v>
      </c>
      <c r="Q979" s="1">
        <v>1.0</v>
      </c>
      <c r="V979" s="2">
        <f>VLOOKUP(B979,'202324'!B:C,2,FALSE)-A979</f>
        <v>-1</v>
      </c>
    </row>
    <row r="980">
      <c r="A980" s="1">
        <f t="shared" si="1"/>
        <v>978</v>
      </c>
      <c r="B980" s="1" t="s">
        <v>2038</v>
      </c>
      <c r="C980" s="1" t="s">
        <v>1073</v>
      </c>
      <c r="D980" s="1" t="s">
        <v>28</v>
      </c>
      <c r="E980" s="11">
        <f t="shared" si="2"/>
        <v>2</v>
      </c>
      <c r="F980" s="11">
        <f t="shared" si="3"/>
        <v>2</v>
      </c>
      <c r="G980" s="1">
        <v>1.0</v>
      </c>
      <c r="H980" s="1">
        <v>0.0</v>
      </c>
      <c r="I980" s="1">
        <v>0.0</v>
      </c>
      <c r="J980" s="1">
        <v>0.0</v>
      </c>
      <c r="K980" s="1">
        <v>3.0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1.0</v>
      </c>
      <c r="V980" s="2">
        <f>VLOOKUP(B980,'202324'!B:C,2,FALSE)-A980</f>
        <v>-8</v>
      </c>
    </row>
    <row r="981">
      <c r="A981" s="1">
        <f t="shared" si="1"/>
        <v>979</v>
      </c>
      <c r="B981" s="1" t="s">
        <v>2039</v>
      </c>
      <c r="C981" s="1" t="s">
        <v>1065</v>
      </c>
      <c r="D981" s="1" t="s">
        <v>31</v>
      </c>
      <c r="E981" s="11">
        <f t="shared" si="2"/>
        <v>1.9</v>
      </c>
      <c r="F981" s="11">
        <f t="shared" si="3"/>
        <v>1.9</v>
      </c>
      <c r="G981" s="1">
        <v>1.0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4.0</v>
      </c>
      <c r="Q981" s="1">
        <v>1.0</v>
      </c>
      <c r="V981" s="2">
        <f>VLOOKUP(B981,'202324'!B:C,2,FALSE)-A981</f>
        <v>1</v>
      </c>
    </row>
    <row r="982">
      <c r="A982" s="1">
        <f t="shared" si="1"/>
        <v>979</v>
      </c>
      <c r="B982" s="1" t="s">
        <v>2040</v>
      </c>
      <c r="C982" s="1" t="s">
        <v>1087</v>
      </c>
      <c r="D982" s="1" t="s">
        <v>66</v>
      </c>
      <c r="E982" s="11">
        <f t="shared" si="2"/>
        <v>1.9</v>
      </c>
      <c r="F982" s="11">
        <f t="shared" si="3"/>
        <v>0.95</v>
      </c>
      <c r="G982" s="1">
        <v>2.0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4.0</v>
      </c>
      <c r="Q982" s="1">
        <v>1.0</v>
      </c>
      <c r="V982" s="2">
        <f>VLOOKUP(B982,'202324'!B:C,2,FALSE)-A982</f>
        <v>1</v>
      </c>
    </row>
    <row r="983">
      <c r="A983" s="1">
        <f t="shared" si="1"/>
        <v>979</v>
      </c>
      <c r="B983" s="1" t="s">
        <v>2041</v>
      </c>
      <c r="C983" s="1" t="s">
        <v>1106</v>
      </c>
      <c r="D983" s="1" t="s">
        <v>31</v>
      </c>
      <c r="E983" s="11">
        <f t="shared" si="2"/>
        <v>1.9</v>
      </c>
      <c r="F983" s="11">
        <f t="shared" si="3"/>
        <v>0.95</v>
      </c>
      <c r="G983" s="1">
        <v>2.0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4.0</v>
      </c>
      <c r="Q983" s="1">
        <v>1.0</v>
      </c>
      <c r="V983" s="2">
        <f>VLOOKUP(B983,'202324'!B:C,2,FALSE)-A983</f>
        <v>1</v>
      </c>
    </row>
    <row r="984">
      <c r="A984" s="1">
        <f t="shared" si="1"/>
        <v>979</v>
      </c>
      <c r="B984" s="1" t="s">
        <v>2042</v>
      </c>
      <c r="C984" s="1" t="s">
        <v>1146</v>
      </c>
      <c r="D984" s="1" t="s">
        <v>36</v>
      </c>
      <c r="E984" s="11">
        <f t="shared" si="2"/>
        <v>1.9</v>
      </c>
      <c r="F984" s="11">
        <f t="shared" si="3"/>
        <v>0.95</v>
      </c>
      <c r="G984" s="1">
        <v>2.0</v>
      </c>
      <c r="H984" s="1">
        <v>0.0</v>
      </c>
      <c r="I984" s="1">
        <v>0.0</v>
      </c>
      <c r="J984" s="1">
        <v>0.0</v>
      </c>
      <c r="K984" s="1">
        <v>1.0</v>
      </c>
      <c r="L984" s="1">
        <v>0.0</v>
      </c>
      <c r="M984" s="1">
        <v>0.0</v>
      </c>
      <c r="N984" s="1">
        <v>0.0</v>
      </c>
      <c r="O984" s="1">
        <v>0.0</v>
      </c>
      <c r="P984" s="1">
        <v>4.0</v>
      </c>
      <c r="Q984" s="1">
        <v>0.0</v>
      </c>
      <c r="V984" s="2">
        <f>VLOOKUP(B984,'202324'!B:C,2,FALSE)-A984</f>
        <v>1</v>
      </c>
    </row>
    <row r="985">
      <c r="A985" s="1">
        <f t="shared" si="1"/>
        <v>983</v>
      </c>
      <c r="B985" s="1" t="s">
        <v>2043</v>
      </c>
      <c r="C985" s="1" t="s">
        <v>1030</v>
      </c>
      <c r="D985" s="1" t="s">
        <v>36</v>
      </c>
      <c r="E985" s="11">
        <f t="shared" si="2"/>
        <v>1.85</v>
      </c>
      <c r="F985" s="11">
        <f t="shared" si="3"/>
        <v>0.925</v>
      </c>
      <c r="G985" s="1">
        <v>2.0</v>
      </c>
      <c r="H985" s="1">
        <v>0.0</v>
      </c>
      <c r="I985" s="1">
        <v>0.0</v>
      </c>
      <c r="J985" s="1">
        <v>0.0</v>
      </c>
      <c r="K985" s="1">
        <v>3.0</v>
      </c>
      <c r="L985" s="1">
        <v>0.0</v>
      </c>
      <c r="M985" s="1">
        <v>0.0</v>
      </c>
      <c r="N985" s="1">
        <v>0.0</v>
      </c>
      <c r="O985" s="1">
        <v>0.0</v>
      </c>
      <c r="P985" s="1">
        <v>1.0</v>
      </c>
      <c r="Q985" s="1">
        <v>0.0</v>
      </c>
      <c r="V985" s="2">
        <f>VLOOKUP(B985,'202324'!B:C,2,FALSE)-A985</f>
        <v>-7</v>
      </c>
    </row>
    <row r="986">
      <c r="A986" s="1">
        <f t="shared" si="1"/>
        <v>984</v>
      </c>
      <c r="B986" s="1" t="s">
        <v>2044</v>
      </c>
      <c r="C986" s="1" t="s">
        <v>1085</v>
      </c>
      <c r="D986" s="1" t="s">
        <v>66</v>
      </c>
      <c r="E986" s="11">
        <f t="shared" si="2"/>
        <v>1.7</v>
      </c>
      <c r="F986" s="11">
        <f t="shared" si="3"/>
        <v>1.7</v>
      </c>
      <c r="G986" s="1">
        <v>1.0</v>
      </c>
      <c r="H986" s="1">
        <v>0.0</v>
      </c>
      <c r="I986" s="1">
        <v>0.0</v>
      </c>
      <c r="J986" s="1">
        <v>0.0</v>
      </c>
      <c r="K986" s="1">
        <v>2.0</v>
      </c>
      <c r="L986" s="1">
        <v>0.0</v>
      </c>
      <c r="M986" s="1">
        <v>0.0</v>
      </c>
      <c r="N986" s="1">
        <v>0.0</v>
      </c>
      <c r="O986" s="1">
        <v>0.0</v>
      </c>
      <c r="P986" s="1">
        <v>2.0</v>
      </c>
      <c r="Q986" s="1">
        <v>0.0</v>
      </c>
      <c r="V986" s="2">
        <f>VLOOKUP(B986,'202324'!B:C,2,FALSE)-A986</f>
        <v>-4</v>
      </c>
    </row>
    <row r="987">
      <c r="A987" s="1">
        <f t="shared" si="1"/>
        <v>984</v>
      </c>
      <c r="B987" s="1" t="s">
        <v>2045</v>
      </c>
      <c r="C987" s="1" t="s">
        <v>1111</v>
      </c>
      <c r="D987" s="1" t="s">
        <v>66</v>
      </c>
      <c r="E987" s="11">
        <f t="shared" si="2"/>
        <v>1.7</v>
      </c>
      <c r="F987" s="11">
        <f t="shared" si="3"/>
        <v>1.7</v>
      </c>
      <c r="G987" s="1">
        <v>1.0</v>
      </c>
      <c r="H987" s="1">
        <v>0.0</v>
      </c>
      <c r="I987" s="1">
        <v>0.0</v>
      </c>
      <c r="J987" s="1">
        <v>0.0</v>
      </c>
      <c r="K987" s="1">
        <v>1.0</v>
      </c>
      <c r="L987" s="1">
        <v>0.0</v>
      </c>
      <c r="M987" s="1">
        <v>0.0</v>
      </c>
      <c r="N987" s="1">
        <v>0.0</v>
      </c>
      <c r="O987" s="1">
        <v>0.0</v>
      </c>
      <c r="P987" s="1">
        <v>2.0</v>
      </c>
      <c r="Q987" s="1">
        <v>1.0</v>
      </c>
      <c r="V987" s="2">
        <f>VLOOKUP(B987,'202324'!B:C,2,FALSE)-A987</f>
        <v>-4</v>
      </c>
    </row>
    <row r="988">
      <c r="A988" s="1">
        <f t="shared" si="1"/>
        <v>984</v>
      </c>
      <c r="B988" s="1" t="s">
        <v>2046</v>
      </c>
      <c r="C988" s="1" t="s">
        <v>1076</v>
      </c>
      <c r="D988" s="1" t="s">
        <v>28</v>
      </c>
      <c r="E988" s="11">
        <f t="shared" si="2"/>
        <v>1.7</v>
      </c>
      <c r="F988" s="11">
        <f t="shared" si="3"/>
        <v>0.85</v>
      </c>
      <c r="G988" s="1">
        <v>2.0</v>
      </c>
      <c r="H988" s="1">
        <v>0.0</v>
      </c>
      <c r="I988" s="1">
        <v>0.0</v>
      </c>
      <c r="J988" s="1">
        <v>0.0</v>
      </c>
      <c r="K988" s="1">
        <v>2.0</v>
      </c>
      <c r="L988" s="1">
        <v>0.0</v>
      </c>
      <c r="M988" s="1">
        <v>0.0</v>
      </c>
      <c r="N988" s="1">
        <v>0.0</v>
      </c>
      <c r="O988" s="1">
        <v>0.0</v>
      </c>
      <c r="P988" s="1">
        <v>2.0</v>
      </c>
      <c r="Q988" s="1">
        <v>0.0</v>
      </c>
      <c r="V988" s="2">
        <f>VLOOKUP(B988,'202324'!B:C,2,FALSE)-A988</f>
        <v>-4</v>
      </c>
    </row>
    <row r="989">
      <c r="A989" s="1">
        <f t="shared" si="1"/>
        <v>987</v>
      </c>
      <c r="B989" s="1" t="s">
        <v>2047</v>
      </c>
      <c r="C989" s="1" t="s">
        <v>1146</v>
      </c>
      <c r="D989" s="1" t="s">
        <v>66</v>
      </c>
      <c r="E989" s="11">
        <f t="shared" si="2"/>
        <v>1.55</v>
      </c>
      <c r="F989" s="11">
        <f t="shared" si="3"/>
        <v>1.55</v>
      </c>
      <c r="G989" s="1">
        <v>1.0</v>
      </c>
      <c r="H989" s="1">
        <v>0.0</v>
      </c>
      <c r="I989" s="1">
        <v>0.0</v>
      </c>
      <c r="J989" s="1">
        <v>0.0</v>
      </c>
      <c r="K989" s="1">
        <v>1.0</v>
      </c>
      <c r="L989" s="1">
        <v>0.0</v>
      </c>
      <c r="M989" s="1">
        <v>0.0</v>
      </c>
      <c r="N989" s="1">
        <v>0.0</v>
      </c>
      <c r="O989" s="1">
        <v>0.0</v>
      </c>
      <c r="P989" s="1">
        <v>3.0</v>
      </c>
      <c r="Q989" s="1">
        <v>0.0</v>
      </c>
      <c r="V989" s="2">
        <f>VLOOKUP(B989,'202324'!B:C,2,FALSE)-A989</f>
        <v>2</v>
      </c>
    </row>
    <row r="990">
      <c r="A990" s="1">
        <f t="shared" si="1"/>
        <v>987</v>
      </c>
      <c r="B990" s="1" t="s">
        <v>2048</v>
      </c>
      <c r="C990" s="1" t="s">
        <v>1120</v>
      </c>
      <c r="D990" s="1" t="s">
        <v>31</v>
      </c>
      <c r="E990" s="11">
        <f t="shared" si="2"/>
        <v>1.55</v>
      </c>
      <c r="F990" s="11">
        <f t="shared" si="3"/>
        <v>0.5166666667</v>
      </c>
      <c r="G990" s="1">
        <v>3.0</v>
      </c>
      <c r="H990" s="1">
        <v>0.0</v>
      </c>
      <c r="I990" s="1">
        <v>0.0</v>
      </c>
      <c r="J990" s="1">
        <v>0.0</v>
      </c>
      <c r="K990" s="1">
        <v>1.0</v>
      </c>
      <c r="L990" s="1">
        <v>0.0</v>
      </c>
      <c r="M990" s="1">
        <v>0.0</v>
      </c>
      <c r="N990" s="1">
        <v>0.0</v>
      </c>
      <c r="O990" s="1">
        <v>0.0</v>
      </c>
      <c r="P990" s="1">
        <v>3.0</v>
      </c>
      <c r="Q990" s="1">
        <v>0.0</v>
      </c>
      <c r="V990" s="2">
        <f>VLOOKUP(B990,'202324'!B:C,2,FALSE)-A990</f>
        <v>2</v>
      </c>
    </row>
    <row r="991">
      <c r="A991" s="1">
        <f t="shared" si="1"/>
        <v>989</v>
      </c>
      <c r="B991" s="1" t="s">
        <v>2049</v>
      </c>
      <c r="C991" s="1" t="s">
        <v>1069</v>
      </c>
      <c r="D991" s="1" t="s">
        <v>66</v>
      </c>
      <c r="E991" s="11">
        <f t="shared" si="2"/>
        <v>1.5</v>
      </c>
      <c r="F991" s="11">
        <f t="shared" si="3"/>
        <v>1.5</v>
      </c>
      <c r="G991" s="1">
        <v>1.0</v>
      </c>
      <c r="H991" s="1">
        <v>0.0</v>
      </c>
      <c r="I991" s="1">
        <v>0.0</v>
      </c>
      <c r="J991" s="1">
        <v>0.0</v>
      </c>
      <c r="K991" s="1">
        <v>2.0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1.0</v>
      </c>
      <c r="V991" s="2">
        <f>VLOOKUP(B991,'202324'!B:C,2,FALSE)-A991</f>
        <v>-9</v>
      </c>
    </row>
    <row r="992">
      <c r="A992" s="1">
        <f t="shared" si="1"/>
        <v>989</v>
      </c>
      <c r="B992" s="1" t="s">
        <v>2050</v>
      </c>
      <c r="C992" s="1" t="s">
        <v>1146</v>
      </c>
      <c r="D992" s="1" t="s">
        <v>66</v>
      </c>
      <c r="E992" s="11">
        <f t="shared" si="2"/>
        <v>1.5</v>
      </c>
      <c r="F992" s="11">
        <f t="shared" si="3"/>
        <v>1.5</v>
      </c>
      <c r="G992" s="1">
        <v>1.0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3.0</v>
      </c>
      <c r="V992" s="2">
        <f>VLOOKUP(B992,'202324'!B:C,2,FALSE)-A992</f>
        <v>-9</v>
      </c>
    </row>
    <row r="993">
      <c r="A993" s="1">
        <f t="shared" si="1"/>
        <v>991</v>
      </c>
      <c r="B993" s="1" t="s">
        <v>2051</v>
      </c>
      <c r="C993" s="1" t="s">
        <v>1085</v>
      </c>
      <c r="D993" s="1" t="s">
        <v>31</v>
      </c>
      <c r="E993" s="11">
        <f t="shared" si="2"/>
        <v>1.35</v>
      </c>
      <c r="F993" s="11">
        <f t="shared" si="3"/>
        <v>1.35</v>
      </c>
      <c r="G993" s="1">
        <v>1.0</v>
      </c>
      <c r="H993" s="1">
        <v>0.0</v>
      </c>
      <c r="I993" s="1">
        <v>0.0</v>
      </c>
      <c r="J993" s="1">
        <v>0.0</v>
      </c>
      <c r="K993" s="1">
        <v>2.0</v>
      </c>
      <c r="L993" s="1">
        <v>0.0</v>
      </c>
      <c r="M993" s="1">
        <v>0.0</v>
      </c>
      <c r="N993" s="1">
        <v>0.0</v>
      </c>
      <c r="O993" s="1">
        <v>0.0</v>
      </c>
      <c r="P993" s="1">
        <v>1.0</v>
      </c>
      <c r="Q993" s="1">
        <v>0.0</v>
      </c>
      <c r="V993" s="2">
        <f>VLOOKUP(B993,'202324'!B:C,2,FALSE)-A993</f>
        <v>-2</v>
      </c>
    </row>
    <row r="994">
      <c r="A994" s="1">
        <f t="shared" si="1"/>
        <v>991</v>
      </c>
      <c r="B994" s="1" t="s">
        <v>2052</v>
      </c>
      <c r="C994" s="1" t="s">
        <v>1054</v>
      </c>
      <c r="D994" s="1" t="s">
        <v>31</v>
      </c>
      <c r="E994" s="11">
        <f t="shared" si="2"/>
        <v>1.35</v>
      </c>
      <c r="F994" s="11">
        <f t="shared" si="3"/>
        <v>1.35</v>
      </c>
      <c r="G994" s="1">
        <v>1.0</v>
      </c>
      <c r="H994" s="1">
        <v>0.0</v>
      </c>
      <c r="I994" s="1">
        <v>0.0</v>
      </c>
      <c r="J994" s="1">
        <v>0.0</v>
      </c>
      <c r="K994" s="1">
        <v>1.0</v>
      </c>
      <c r="L994" s="1">
        <v>0.0</v>
      </c>
      <c r="M994" s="1">
        <v>0.0</v>
      </c>
      <c r="N994" s="1">
        <v>0.0</v>
      </c>
      <c r="O994" s="1">
        <v>0.0</v>
      </c>
      <c r="P994" s="1">
        <v>1.0</v>
      </c>
      <c r="Q994" s="1">
        <v>1.0</v>
      </c>
      <c r="V994" s="2">
        <f>VLOOKUP(B994,'202324'!B:C,2,FALSE)-A994</f>
        <v>-2</v>
      </c>
    </row>
    <row r="995">
      <c r="A995" s="1">
        <f t="shared" si="1"/>
        <v>991</v>
      </c>
      <c r="B995" s="1" t="s">
        <v>2053</v>
      </c>
      <c r="C995" s="1" t="s">
        <v>1034</v>
      </c>
      <c r="D995" s="1" t="s">
        <v>66</v>
      </c>
      <c r="E995" s="11">
        <f t="shared" si="2"/>
        <v>1.35</v>
      </c>
      <c r="F995" s="11">
        <f t="shared" si="3"/>
        <v>1.35</v>
      </c>
      <c r="G995" s="1">
        <v>1.0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1.0</v>
      </c>
      <c r="Q995" s="1">
        <v>2.0</v>
      </c>
      <c r="V995" s="2">
        <f>VLOOKUP(B995,'202324'!B:C,2,FALSE)-A995</f>
        <v>-2</v>
      </c>
    </row>
    <row r="996">
      <c r="A996" s="1">
        <f t="shared" si="1"/>
        <v>994</v>
      </c>
      <c r="B996" s="1" t="s">
        <v>2054</v>
      </c>
      <c r="C996" s="1" t="s">
        <v>1091</v>
      </c>
      <c r="D996" s="1" t="s">
        <v>5</v>
      </c>
      <c r="E996" s="11">
        <f t="shared" si="2"/>
        <v>1.2</v>
      </c>
      <c r="F996" s="11">
        <f t="shared" si="3"/>
        <v>0.24</v>
      </c>
      <c r="G996" s="1">
        <v>5.0</v>
      </c>
      <c r="R996" s="1">
        <v>1.0</v>
      </c>
      <c r="S996" s="1">
        <v>17.0</v>
      </c>
      <c r="T996" s="1">
        <v>79.0</v>
      </c>
      <c r="U996" s="1">
        <v>0.0</v>
      </c>
      <c r="V996" s="2">
        <f>VLOOKUP(B996,'202324'!B:C,2,FALSE)-A996</f>
        <v>0</v>
      </c>
    </row>
    <row r="997">
      <c r="A997" s="1">
        <f t="shared" si="1"/>
        <v>995</v>
      </c>
      <c r="B997" s="1" t="s">
        <v>2055</v>
      </c>
      <c r="C997" s="1" t="s">
        <v>1073</v>
      </c>
      <c r="D997" s="1" t="s">
        <v>31</v>
      </c>
      <c r="E997" s="11">
        <f t="shared" si="2"/>
        <v>1.05</v>
      </c>
      <c r="F997" s="11">
        <f t="shared" si="3"/>
        <v>1.05</v>
      </c>
      <c r="G997" s="1">
        <v>1.0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3.0</v>
      </c>
      <c r="Q997" s="1">
        <v>0.0</v>
      </c>
      <c r="V997" s="2">
        <f>VLOOKUP(B997,'202324'!B:C,2,FALSE)-A997</f>
        <v>1</v>
      </c>
    </row>
    <row r="998">
      <c r="A998" s="1">
        <f t="shared" si="1"/>
        <v>995</v>
      </c>
      <c r="B998" s="1" t="s">
        <v>2056</v>
      </c>
      <c r="C998" s="1" t="s">
        <v>1076</v>
      </c>
      <c r="D998" s="1" t="s">
        <v>28</v>
      </c>
      <c r="E998" s="11">
        <f t="shared" si="2"/>
        <v>1.05</v>
      </c>
      <c r="F998" s="11">
        <f t="shared" si="3"/>
        <v>0.525</v>
      </c>
      <c r="G998" s="1">
        <v>2.0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3.0</v>
      </c>
      <c r="Q998" s="1">
        <v>0.0</v>
      </c>
      <c r="V998" s="2">
        <f>VLOOKUP(B998,'202324'!B:C,2,FALSE)-A998</f>
        <v>1</v>
      </c>
    </row>
    <row r="999">
      <c r="A999" s="1">
        <f t="shared" si="1"/>
        <v>997</v>
      </c>
      <c r="B999" s="1" t="s">
        <v>2057</v>
      </c>
      <c r="C999" s="1" t="s">
        <v>1073</v>
      </c>
      <c r="D999" s="1" t="s">
        <v>36</v>
      </c>
      <c r="E999" s="11">
        <f t="shared" si="2"/>
        <v>1</v>
      </c>
      <c r="F999" s="11">
        <f t="shared" si="3"/>
        <v>1</v>
      </c>
      <c r="G999" s="1">
        <v>1.0</v>
      </c>
      <c r="H999" s="1">
        <v>0.0</v>
      </c>
      <c r="I999" s="1">
        <v>0.0</v>
      </c>
      <c r="J999" s="1">
        <v>0.0</v>
      </c>
      <c r="K999" s="1">
        <v>2.0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V999" s="2">
        <f>VLOOKUP(B999,'202324'!B:C,2,FALSE)-A999</f>
        <v>-2</v>
      </c>
    </row>
    <row r="1000">
      <c r="A1000" s="1">
        <f t="shared" si="1"/>
        <v>998</v>
      </c>
      <c r="B1000" s="1" t="s">
        <v>2058</v>
      </c>
      <c r="C1000" s="1" t="s">
        <v>1040</v>
      </c>
      <c r="D1000" s="1" t="s">
        <v>28</v>
      </c>
      <c r="E1000" s="11">
        <f t="shared" si="2"/>
        <v>0.85</v>
      </c>
      <c r="F1000" s="11">
        <f t="shared" si="3"/>
        <v>0.85</v>
      </c>
      <c r="G1000" s="1">
        <v>1.0</v>
      </c>
      <c r="H1000" s="1">
        <v>0.0</v>
      </c>
      <c r="I1000" s="1">
        <v>0.0</v>
      </c>
      <c r="J1000" s="1">
        <v>0.0</v>
      </c>
      <c r="K1000" s="1">
        <v>1.0</v>
      </c>
      <c r="L1000" s="1">
        <v>0.0</v>
      </c>
      <c r="M1000" s="1">
        <v>0.0</v>
      </c>
      <c r="N1000" s="1">
        <v>0.0</v>
      </c>
      <c r="O1000" s="1">
        <v>0.0</v>
      </c>
      <c r="P1000" s="1">
        <v>1.0</v>
      </c>
      <c r="Q1000" s="1">
        <v>0.0</v>
      </c>
      <c r="V1000" s="2">
        <f>VLOOKUP(B1000,'202324'!B:C,2,FALSE)-A1000</f>
        <v>-2</v>
      </c>
    </row>
    <row r="1001">
      <c r="A1001" s="1">
        <f t="shared" si="1"/>
        <v>998</v>
      </c>
      <c r="B1001" s="1" t="s">
        <v>2059</v>
      </c>
      <c r="C1001" s="1" t="s">
        <v>1040</v>
      </c>
      <c r="D1001" s="1" t="s">
        <v>31</v>
      </c>
      <c r="E1001" s="11">
        <f t="shared" si="2"/>
        <v>0.85</v>
      </c>
      <c r="F1001" s="11">
        <f t="shared" si="3"/>
        <v>0.85</v>
      </c>
      <c r="G1001" s="1">
        <v>1.0</v>
      </c>
      <c r="H1001" s="1">
        <v>0.0</v>
      </c>
      <c r="I1001" s="1">
        <v>0.0</v>
      </c>
      <c r="J1001" s="1">
        <v>0.0</v>
      </c>
      <c r="K1001" s="1">
        <v>1.0</v>
      </c>
      <c r="L1001" s="1">
        <v>0.0</v>
      </c>
      <c r="M1001" s="1">
        <v>0.0</v>
      </c>
      <c r="N1001" s="1">
        <v>0.0</v>
      </c>
      <c r="O1001" s="1">
        <v>0.0</v>
      </c>
      <c r="P1001" s="1">
        <v>1.0</v>
      </c>
      <c r="Q1001" s="1">
        <v>0.0</v>
      </c>
      <c r="V1001" s="2">
        <f>VLOOKUP(B1001,'202324'!B:C,2,FALSE)-A1001</f>
        <v>-2</v>
      </c>
    </row>
    <row r="1002">
      <c r="A1002" s="1">
        <f t="shared" si="1"/>
        <v>998</v>
      </c>
      <c r="B1002" s="1" t="s">
        <v>2060</v>
      </c>
      <c r="C1002" s="1" t="s">
        <v>1570</v>
      </c>
      <c r="D1002" s="1" t="s">
        <v>28</v>
      </c>
      <c r="E1002" s="11">
        <f t="shared" si="2"/>
        <v>0.85</v>
      </c>
      <c r="F1002" s="11">
        <f t="shared" si="3"/>
        <v>0.85</v>
      </c>
      <c r="G1002" s="1">
        <v>1.0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1.0</v>
      </c>
      <c r="Q1002" s="1">
        <v>1.0</v>
      </c>
      <c r="V1002" s="2">
        <f>VLOOKUP(B1002,'202324'!B:C,2,FALSE)-A1002</f>
        <v>-2</v>
      </c>
    </row>
    <row r="1003">
      <c r="A1003" s="1">
        <f t="shared" si="1"/>
        <v>998</v>
      </c>
      <c r="B1003" s="1" t="s">
        <v>2061</v>
      </c>
      <c r="C1003" s="1" t="s">
        <v>1067</v>
      </c>
      <c r="D1003" s="1" t="s">
        <v>31</v>
      </c>
      <c r="E1003" s="11">
        <f t="shared" si="2"/>
        <v>0.85</v>
      </c>
      <c r="F1003" s="11">
        <f t="shared" si="3"/>
        <v>0.85</v>
      </c>
      <c r="G1003" s="1">
        <v>1.0</v>
      </c>
      <c r="H1003" s="1">
        <v>0.0</v>
      </c>
      <c r="I1003" s="1">
        <v>0.0</v>
      </c>
      <c r="J1003" s="1">
        <v>0.0</v>
      </c>
      <c r="K1003" s="1">
        <v>1.0</v>
      </c>
      <c r="L1003" s="1">
        <v>0.0</v>
      </c>
      <c r="M1003" s="1">
        <v>0.0</v>
      </c>
      <c r="N1003" s="1">
        <v>0.0</v>
      </c>
      <c r="O1003" s="1">
        <v>0.0</v>
      </c>
      <c r="P1003" s="1">
        <v>1.0</v>
      </c>
      <c r="Q1003" s="1">
        <v>0.0</v>
      </c>
      <c r="V1003" s="2">
        <f>VLOOKUP(B1003,'202324'!B:C,2,FALSE)-A1003</f>
        <v>-2</v>
      </c>
    </row>
    <row r="1004">
      <c r="A1004" s="1">
        <f t="shared" si="1"/>
        <v>998</v>
      </c>
      <c r="B1004" s="1" t="s">
        <v>2062</v>
      </c>
      <c r="C1004" s="1" t="s">
        <v>1091</v>
      </c>
      <c r="D1004" s="1" t="s">
        <v>31</v>
      </c>
      <c r="E1004" s="11">
        <f t="shared" si="2"/>
        <v>0.85</v>
      </c>
      <c r="F1004" s="11">
        <f t="shared" si="3"/>
        <v>0.85</v>
      </c>
      <c r="G1004" s="1">
        <v>1.0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1.0</v>
      </c>
      <c r="Q1004" s="1">
        <v>1.0</v>
      </c>
      <c r="V1004" s="2">
        <f>VLOOKUP(B1004,'202324'!B:C,2,FALSE)-A1004</f>
        <v>-2</v>
      </c>
    </row>
    <row r="1005">
      <c r="A1005" s="1">
        <f t="shared" si="1"/>
        <v>1003</v>
      </c>
      <c r="B1005" s="1" t="s">
        <v>2063</v>
      </c>
      <c r="C1005" s="1" t="s">
        <v>1052</v>
      </c>
      <c r="D1005" s="1" t="s">
        <v>36</v>
      </c>
      <c r="E1005" s="11">
        <f t="shared" si="2"/>
        <v>0.7</v>
      </c>
      <c r="F1005" s="11">
        <f t="shared" si="3"/>
        <v>0.7</v>
      </c>
      <c r="G1005" s="1">
        <v>1.0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2.0</v>
      </c>
      <c r="Q1005" s="1">
        <v>0.0</v>
      </c>
      <c r="V1005" s="2">
        <f>VLOOKUP(B1005,'202324'!B:C,2,FALSE)-A1005</f>
        <v>0</v>
      </c>
    </row>
    <row r="1006">
      <c r="A1006" s="1">
        <f t="shared" si="1"/>
        <v>1003</v>
      </c>
      <c r="B1006" s="1" t="s">
        <v>2064</v>
      </c>
      <c r="C1006" s="1" t="s">
        <v>1146</v>
      </c>
      <c r="D1006" s="1" t="s">
        <v>36</v>
      </c>
      <c r="E1006" s="11">
        <f t="shared" si="2"/>
        <v>0.7</v>
      </c>
      <c r="F1006" s="11">
        <f t="shared" si="3"/>
        <v>0.7</v>
      </c>
      <c r="G1006" s="1">
        <v>1.0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2.0</v>
      </c>
      <c r="Q1006" s="1">
        <v>0.0</v>
      </c>
      <c r="V1006" s="2">
        <f>VLOOKUP(B1006,'202324'!B:C,2,FALSE)-A1006</f>
        <v>0</v>
      </c>
    </row>
    <row r="1007">
      <c r="A1007" s="1">
        <f t="shared" si="1"/>
        <v>1003</v>
      </c>
      <c r="B1007" s="1" t="s">
        <v>2065</v>
      </c>
      <c r="C1007" s="1" t="s">
        <v>1172</v>
      </c>
      <c r="D1007" s="1" t="s">
        <v>66</v>
      </c>
      <c r="E1007" s="11">
        <f t="shared" si="2"/>
        <v>0.7</v>
      </c>
      <c r="F1007" s="11">
        <f t="shared" si="3"/>
        <v>0.35</v>
      </c>
      <c r="G1007" s="1">
        <v>2.0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2.0</v>
      </c>
      <c r="Q1007" s="1">
        <v>0.0</v>
      </c>
      <c r="V1007" s="2">
        <f>VLOOKUP(B1007,'202324'!B:C,2,FALSE)-A1007</f>
        <v>0</v>
      </c>
    </row>
    <row r="1008">
      <c r="A1008" s="1">
        <f t="shared" si="1"/>
        <v>1003</v>
      </c>
      <c r="B1008" s="1" t="s">
        <v>2066</v>
      </c>
      <c r="C1008" s="1" t="s">
        <v>1034</v>
      </c>
      <c r="D1008" s="1" t="s">
        <v>31</v>
      </c>
      <c r="E1008" s="11">
        <f t="shared" si="2"/>
        <v>0.7</v>
      </c>
      <c r="F1008" s="11">
        <f t="shared" si="3"/>
        <v>0.35</v>
      </c>
      <c r="G1008" s="1">
        <v>2.0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2.0</v>
      </c>
      <c r="Q1008" s="1">
        <v>0.0</v>
      </c>
      <c r="V1008" s="2">
        <f>VLOOKUP(B1008,'202324'!B:C,2,FALSE)-A1008</f>
        <v>0</v>
      </c>
    </row>
    <row r="1009">
      <c r="A1009" s="1">
        <f t="shared" si="1"/>
        <v>1007</v>
      </c>
      <c r="B1009" s="1" t="s">
        <v>2067</v>
      </c>
      <c r="C1009" s="1" t="s">
        <v>1091</v>
      </c>
      <c r="D1009" s="1" t="s">
        <v>66</v>
      </c>
      <c r="E1009" s="11">
        <f t="shared" si="2"/>
        <v>0.5</v>
      </c>
      <c r="F1009" s="11">
        <f t="shared" si="3"/>
        <v>0.5</v>
      </c>
      <c r="G1009" s="1">
        <v>1.0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1.0</v>
      </c>
      <c r="V1009" s="2">
        <f>VLOOKUP(B1009,'202324'!B:C,2,FALSE)-A1009</f>
        <v>-4</v>
      </c>
    </row>
    <row r="1010">
      <c r="A1010" s="1">
        <f t="shared" si="1"/>
        <v>1007</v>
      </c>
      <c r="B1010" s="1" t="s">
        <v>2068</v>
      </c>
      <c r="C1010" s="1" t="s">
        <v>1040</v>
      </c>
      <c r="D1010" s="1" t="s">
        <v>31</v>
      </c>
      <c r="E1010" s="11">
        <f t="shared" si="2"/>
        <v>0.5</v>
      </c>
      <c r="F1010" s="11">
        <f t="shared" si="3"/>
        <v>0.5</v>
      </c>
      <c r="G1010" s="1">
        <v>1.0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1.0</v>
      </c>
      <c r="V1010" s="2">
        <f>VLOOKUP(B1010,'202324'!B:C,2,FALSE)-A1010</f>
        <v>-4</v>
      </c>
    </row>
    <row r="1011">
      <c r="A1011" s="1">
        <f t="shared" si="1"/>
        <v>1007</v>
      </c>
      <c r="B1011" s="1" t="s">
        <v>2069</v>
      </c>
      <c r="C1011" s="1" t="s">
        <v>1046</v>
      </c>
      <c r="D1011" s="1" t="s">
        <v>66</v>
      </c>
      <c r="E1011" s="11">
        <f t="shared" si="2"/>
        <v>0.5</v>
      </c>
      <c r="F1011" s="11">
        <f t="shared" si="3"/>
        <v>0.5</v>
      </c>
      <c r="G1011" s="1">
        <v>1.0</v>
      </c>
      <c r="H1011" s="1">
        <v>0.0</v>
      </c>
      <c r="I1011" s="1">
        <v>0.0</v>
      </c>
      <c r="J1011" s="1">
        <v>0.0</v>
      </c>
      <c r="K1011" s="1">
        <v>1.0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V1011" s="2">
        <f>VLOOKUP(B1011,'202324'!B:C,2,FALSE)-A1011</f>
        <v>-4</v>
      </c>
    </row>
    <row r="1012">
      <c r="A1012" s="1">
        <f t="shared" si="1"/>
        <v>1010</v>
      </c>
      <c r="B1012" s="1" t="s">
        <v>2070</v>
      </c>
      <c r="C1012" s="1" t="s">
        <v>1040</v>
      </c>
      <c r="D1012" s="1" t="s">
        <v>66</v>
      </c>
      <c r="E1012" s="11">
        <f t="shared" si="2"/>
        <v>0.35</v>
      </c>
      <c r="F1012" s="11">
        <f t="shared" si="3"/>
        <v>0.35</v>
      </c>
      <c r="G1012" s="1">
        <v>1.0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1.0</v>
      </c>
      <c r="Q1012" s="1">
        <v>0.0</v>
      </c>
      <c r="V1012" s="2">
        <f>VLOOKUP(B1012,'202324'!B:C,2,FALSE)-A1012</f>
        <v>1</v>
      </c>
    </row>
    <row r="1013">
      <c r="A1013" s="1">
        <f t="shared" si="1"/>
        <v>1010</v>
      </c>
      <c r="B1013" s="1" t="s">
        <v>2071</v>
      </c>
      <c r="C1013" s="1" t="s">
        <v>1082</v>
      </c>
      <c r="D1013" s="1" t="s">
        <v>28</v>
      </c>
      <c r="E1013" s="11">
        <f t="shared" si="2"/>
        <v>0.35</v>
      </c>
      <c r="F1013" s="11">
        <f t="shared" si="3"/>
        <v>0.1166666667</v>
      </c>
      <c r="G1013" s="1">
        <v>3.0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1.0</v>
      </c>
      <c r="Q1013" s="1">
        <v>0.0</v>
      </c>
      <c r="V1013" s="2">
        <f>VLOOKUP(B1013,'202324'!B:C,2,FALSE)-A1013</f>
        <v>1</v>
      </c>
    </row>
    <row r="1014">
      <c r="A1014" s="1">
        <f t="shared" si="1"/>
        <v>1012</v>
      </c>
      <c r="B1014" s="1" t="s">
        <v>2072</v>
      </c>
      <c r="C1014" s="1" t="s">
        <v>1073</v>
      </c>
      <c r="D1014" s="1" t="s">
        <v>5</v>
      </c>
      <c r="E1014" s="11">
        <f t="shared" si="2"/>
        <v>0.3</v>
      </c>
      <c r="F1014" s="11">
        <f t="shared" si="3"/>
        <v>0.3</v>
      </c>
      <c r="G1014" s="1">
        <v>1.0</v>
      </c>
      <c r="R1014" s="1">
        <v>0.0</v>
      </c>
      <c r="S1014" s="1">
        <v>0.0</v>
      </c>
      <c r="T1014" s="1">
        <v>1.0</v>
      </c>
      <c r="U1014" s="1">
        <v>0.0</v>
      </c>
      <c r="V1014" s="2">
        <f>VLOOKUP(B1014,'202324'!B:C,2,FALSE)-A1014</f>
        <v>-2</v>
      </c>
    </row>
    <row r="1015">
      <c r="A1015" s="1">
        <f t="shared" si="1"/>
        <v>1013</v>
      </c>
      <c r="B1015" s="1" t="s">
        <v>2073</v>
      </c>
      <c r="C1015" s="1" t="s">
        <v>1036</v>
      </c>
      <c r="D1015" s="1" t="s">
        <v>66</v>
      </c>
      <c r="E1015" s="11">
        <f t="shared" si="2"/>
        <v>0</v>
      </c>
      <c r="F1015" s="11">
        <f t="shared" si="3"/>
        <v>0</v>
      </c>
      <c r="G1015" s="1">
        <v>1.0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V1015" s="2">
        <f>VLOOKUP(B1015,'202324'!B:C,2,FALSE)-A1015</f>
        <v>0</v>
      </c>
    </row>
    <row r="1016">
      <c r="A1016" s="1">
        <f t="shared" si="1"/>
        <v>1013</v>
      </c>
      <c r="B1016" s="1" t="s">
        <v>2074</v>
      </c>
      <c r="C1016" s="1" t="s">
        <v>1156</v>
      </c>
      <c r="D1016" s="1" t="s">
        <v>36</v>
      </c>
      <c r="E1016" s="11">
        <f t="shared" si="2"/>
        <v>0</v>
      </c>
      <c r="F1016" s="11">
        <f t="shared" si="3"/>
        <v>0</v>
      </c>
      <c r="G1016" s="1">
        <v>1.0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V1016" s="2">
        <f>VLOOKUP(B1016,'202324'!B:C,2,FALSE)-A1016</f>
        <v>0</v>
      </c>
    </row>
    <row r="1017">
      <c r="A1017" s="1">
        <f t="shared" si="1"/>
        <v>1013</v>
      </c>
      <c r="B1017" s="1" t="s">
        <v>2075</v>
      </c>
      <c r="C1017" s="1" t="s">
        <v>1156</v>
      </c>
      <c r="D1017" s="1" t="s">
        <v>31</v>
      </c>
      <c r="E1017" s="11">
        <f t="shared" si="2"/>
        <v>0</v>
      </c>
      <c r="F1017" s="11">
        <f t="shared" si="3"/>
        <v>0</v>
      </c>
      <c r="G1017" s="1">
        <v>1.0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V1017" s="2">
        <f>VLOOKUP(B1017,'202324'!B:C,2,FALSE)-A1017</f>
        <v>0</v>
      </c>
    </row>
    <row r="1018">
      <c r="A1018" s="1">
        <f t="shared" si="1"/>
        <v>1013</v>
      </c>
      <c r="B1018" s="1" t="s">
        <v>2076</v>
      </c>
      <c r="C1018" s="1" t="s">
        <v>1038</v>
      </c>
      <c r="D1018" s="1" t="s">
        <v>28</v>
      </c>
      <c r="E1018" s="11">
        <f t="shared" si="2"/>
        <v>0</v>
      </c>
      <c r="F1018" s="11">
        <f t="shared" si="3"/>
        <v>0</v>
      </c>
      <c r="G1018" s="1">
        <v>1.0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V1018" s="2">
        <f>VLOOKUP(B1018,'202324'!B:C,2,FALSE)-A1018</f>
        <v>0</v>
      </c>
    </row>
    <row r="1019">
      <c r="A1019" s="1">
        <f t="shared" si="1"/>
        <v>1013</v>
      </c>
      <c r="B1019" s="1" t="s">
        <v>2077</v>
      </c>
      <c r="C1019" s="1" t="s">
        <v>1067</v>
      </c>
      <c r="D1019" s="1" t="s">
        <v>31</v>
      </c>
      <c r="E1019" s="11">
        <f t="shared" si="2"/>
        <v>0</v>
      </c>
      <c r="F1019" s="11">
        <f t="shared" si="3"/>
        <v>0</v>
      </c>
      <c r="G1019" s="1">
        <v>1.0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V1019" s="2">
        <f>VLOOKUP(B1019,'202324'!B:C,2,FALSE)-A1019</f>
        <v>0</v>
      </c>
    </row>
    <row r="1020">
      <c r="A1020" s="1">
        <f t="shared" si="1"/>
        <v>1013</v>
      </c>
      <c r="B1020" s="1" t="s">
        <v>2078</v>
      </c>
      <c r="C1020" s="1" t="s">
        <v>1146</v>
      </c>
      <c r="D1020" s="1" t="s">
        <v>28</v>
      </c>
      <c r="E1020" s="11">
        <f t="shared" si="2"/>
        <v>0</v>
      </c>
      <c r="F1020" s="11">
        <f t="shared" si="3"/>
        <v>0</v>
      </c>
      <c r="G1020" s="1">
        <v>1.0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V1020" s="2">
        <f>VLOOKUP(B1020,'202324'!B:C,2,FALSE)-A1020</f>
        <v>0</v>
      </c>
    </row>
    <row r="1021">
      <c r="A1021" s="1">
        <f t="shared" si="1"/>
        <v>1013</v>
      </c>
      <c r="B1021" s="1" t="s">
        <v>2079</v>
      </c>
      <c r="C1021" s="1" t="s">
        <v>1146</v>
      </c>
      <c r="D1021" s="1" t="s">
        <v>31</v>
      </c>
      <c r="E1021" s="11">
        <f t="shared" si="2"/>
        <v>0</v>
      </c>
      <c r="F1021" s="11">
        <f t="shared" si="3"/>
        <v>0</v>
      </c>
      <c r="G1021" s="1">
        <v>2.0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V1021" s="2">
        <f>VLOOKUP(B1021,'202324'!B:C,2,FALSE)-A1021</f>
        <v>0</v>
      </c>
    </row>
    <row r="1022">
      <c r="A1022" s="1">
        <f t="shared" si="1"/>
        <v>1020</v>
      </c>
      <c r="B1022" s="1" t="s">
        <v>2080</v>
      </c>
      <c r="C1022" s="1" t="s">
        <v>1111</v>
      </c>
      <c r="D1022" s="1" t="s">
        <v>5</v>
      </c>
      <c r="E1022" s="11">
        <f t="shared" si="2"/>
        <v>-0.3</v>
      </c>
      <c r="F1022" s="11">
        <f t="shared" si="3"/>
        <v>-0.15</v>
      </c>
      <c r="G1022" s="1">
        <v>2.0</v>
      </c>
      <c r="R1022" s="1">
        <v>0.0</v>
      </c>
      <c r="S1022" s="1">
        <v>5.0</v>
      </c>
      <c r="T1022" s="1">
        <v>24.0</v>
      </c>
      <c r="U1022" s="1">
        <v>0.0</v>
      </c>
      <c r="V1022" s="2">
        <f>VLOOKUP(B1022,'202324'!B:C,2,FALSE)-A1022</f>
        <v>0</v>
      </c>
    </row>
    <row r="1023">
      <c r="A1023" s="1">
        <f t="shared" si="1"/>
        <v>1021</v>
      </c>
      <c r="B1023" s="1" t="s">
        <v>2081</v>
      </c>
      <c r="C1023" s="1" t="s">
        <v>1087</v>
      </c>
      <c r="D1023" s="1" t="s">
        <v>5</v>
      </c>
      <c r="E1023" s="11">
        <f t="shared" si="2"/>
        <v>-1.2</v>
      </c>
      <c r="F1023" s="11">
        <f t="shared" si="3"/>
        <v>-1.2</v>
      </c>
      <c r="G1023" s="1">
        <v>1.0</v>
      </c>
      <c r="R1023" s="1">
        <v>0.0</v>
      </c>
      <c r="S1023" s="1">
        <v>2.0</v>
      </c>
      <c r="T1023" s="1">
        <v>6.0</v>
      </c>
      <c r="U1023" s="1">
        <v>0.0</v>
      </c>
      <c r="V1023" s="2">
        <f>VLOOKUP(B1023,'202324'!B:C,2,FALSE)-A1023</f>
        <v>0</v>
      </c>
    </row>
    <row r="1024">
      <c r="A1024" s="1">
        <f t="shared" si="1"/>
        <v>1022</v>
      </c>
      <c r="B1024" s="1" t="s">
        <v>2082</v>
      </c>
      <c r="C1024" s="1" t="s">
        <v>1091</v>
      </c>
      <c r="D1024" s="1" t="s">
        <v>5</v>
      </c>
      <c r="E1024" s="11">
        <f t="shared" si="2"/>
        <v>-2.1</v>
      </c>
      <c r="F1024" s="11">
        <f t="shared" si="3"/>
        <v>-0.7</v>
      </c>
      <c r="G1024" s="1">
        <v>3.0</v>
      </c>
      <c r="R1024" s="1">
        <v>0.0</v>
      </c>
      <c r="S1024" s="1">
        <v>10.0</v>
      </c>
      <c r="T1024" s="1">
        <v>43.0</v>
      </c>
      <c r="U1024" s="1">
        <v>0.0</v>
      </c>
      <c r="V1024" s="2">
        <f>VLOOKUP(B1024,'202324'!B:C,2,FALSE)-A1024</f>
        <v>0</v>
      </c>
    </row>
  </sheetData>
  <conditionalFormatting sqref="V1:V1024">
    <cfRule type="colorScale" priority="1">
      <colorScale>
        <cfvo type="formula" val="-50"/>
        <cfvo type="formula" val="0"/>
        <cfvo type="formula" val="50"/>
        <color rgb="FFE67C73"/>
        <color rgb="FFFFFFFF"/>
        <color rgb="FF57BB8A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3.0"/>
    <col customWidth="1" min="2" max="2" width="26.25"/>
    <col customWidth="1" hidden="1" min="3" max="3" width="26.25"/>
    <col customWidth="1" min="4" max="4" width="7.38"/>
    <col customWidth="1" min="5" max="5" width="8.13"/>
    <col customWidth="1" min="6" max="6" width="8.88"/>
    <col customWidth="1" min="7" max="7" width="10.88"/>
    <col customWidth="1" min="8" max="22" width="5.75"/>
  </cols>
  <sheetData>
    <row r="1">
      <c r="A1" s="3" t="s">
        <v>1021</v>
      </c>
      <c r="B1" s="3" t="s">
        <v>1022</v>
      </c>
      <c r="C1" s="3"/>
      <c r="D1" s="3" t="s">
        <v>1023</v>
      </c>
      <c r="E1" s="3" t="s">
        <v>1</v>
      </c>
      <c r="F1" s="4" t="s">
        <v>2</v>
      </c>
      <c r="G1" s="4" t="s">
        <v>3</v>
      </c>
      <c r="H1" s="3" t="s">
        <v>4</v>
      </c>
      <c r="I1" s="3" t="s">
        <v>5</v>
      </c>
      <c r="J1" s="3" t="s">
        <v>6</v>
      </c>
      <c r="K1" s="3" t="s">
        <v>1024</v>
      </c>
      <c r="L1" s="3" t="s">
        <v>1025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1026</v>
      </c>
      <c r="R1" s="3" t="s">
        <v>1027</v>
      </c>
      <c r="S1" s="5" t="s">
        <v>19</v>
      </c>
      <c r="T1" s="5" t="s">
        <v>21</v>
      </c>
      <c r="U1" s="5" t="s">
        <v>23</v>
      </c>
      <c r="V1" s="5" t="s">
        <v>24</v>
      </c>
    </row>
    <row r="2">
      <c r="A2" s="5" t="s">
        <v>25</v>
      </c>
      <c r="B2" s="5"/>
      <c r="C2" s="5"/>
      <c r="D2" s="5"/>
      <c r="E2" s="5"/>
      <c r="F2" s="7"/>
      <c r="G2" s="7"/>
      <c r="H2" s="8">
        <v>0.0</v>
      </c>
      <c r="I2" s="8">
        <v>4.5</v>
      </c>
      <c r="J2" s="8">
        <v>3.0</v>
      </c>
      <c r="K2" s="8">
        <v>0.0</v>
      </c>
      <c r="L2" s="8">
        <v>0.5</v>
      </c>
      <c r="M2" s="8">
        <v>0.0</v>
      </c>
      <c r="N2" s="8">
        <v>0.0</v>
      </c>
      <c r="O2" s="8">
        <v>2.0</v>
      </c>
      <c r="P2" s="8">
        <v>2.0</v>
      </c>
      <c r="Q2" s="9">
        <v>0.25</v>
      </c>
      <c r="R2" s="8">
        <v>0.5</v>
      </c>
      <c r="S2" s="10">
        <v>3.0</v>
      </c>
      <c r="T2" s="10">
        <v>-1.5</v>
      </c>
      <c r="U2" s="10">
        <v>0.3</v>
      </c>
      <c r="V2" s="10">
        <v>3.0</v>
      </c>
    </row>
    <row r="3">
      <c r="A3" s="1">
        <f t="shared" ref="A3:A1024" si="1">rank(F3, F:F)</f>
        <v>1</v>
      </c>
      <c r="B3" s="1" t="s">
        <v>1029</v>
      </c>
      <c r="C3" s="1">
        <f t="shared" ref="C3:C1024" si="2">A3</f>
        <v>1</v>
      </c>
      <c r="D3" s="1" t="s">
        <v>1030</v>
      </c>
      <c r="E3" s="1" t="s">
        <v>31</v>
      </c>
      <c r="F3" s="11">
        <f t="shared" ref="F3:F1024" si="3">SUMPRODUCT(H$2:V$2,H3:V3)</f>
        <v>747</v>
      </c>
      <c r="G3" s="11">
        <f t="shared" ref="G3:G1024" si="4">F3/H3</f>
        <v>9.109756098</v>
      </c>
      <c r="H3" s="1">
        <v>82.0</v>
      </c>
      <c r="I3" s="1">
        <v>51.0</v>
      </c>
      <c r="J3" s="1">
        <v>89.0</v>
      </c>
      <c r="K3" s="1">
        <v>140.0</v>
      </c>
      <c r="L3" s="1">
        <v>405.0</v>
      </c>
      <c r="M3" s="1">
        <v>10.0</v>
      </c>
      <c r="N3" s="1">
        <v>38.0</v>
      </c>
      <c r="O3" s="1">
        <v>0.0</v>
      </c>
      <c r="P3" s="1">
        <v>0.0</v>
      </c>
      <c r="Q3" s="1">
        <v>54.0</v>
      </c>
      <c r="R3" s="1">
        <v>69.0</v>
      </c>
    </row>
    <row r="4">
      <c r="A4" s="1">
        <f t="shared" si="1"/>
        <v>2</v>
      </c>
      <c r="B4" s="1" t="s">
        <v>1031</v>
      </c>
      <c r="C4" s="1">
        <f t="shared" si="2"/>
        <v>2</v>
      </c>
      <c r="D4" s="1" t="s">
        <v>1032</v>
      </c>
      <c r="E4" s="1" t="s">
        <v>31</v>
      </c>
      <c r="F4" s="11">
        <f t="shared" si="3"/>
        <v>679.75</v>
      </c>
      <c r="G4" s="11">
        <f t="shared" si="4"/>
        <v>8.391975309</v>
      </c>
      <c r="H4" s="1">
        <v>81.0</v>
      </c>
      <c r="I4" s="1">
        <v>69.0</v>
      </c>
      <c r="J4" s="1">
        <v>38.0</v>
      </c>
      <c r="K4" s="1">
        <v>107.0</v>
      </c>
      <c r="L4" s="1">
        <v>369.0</v>
      </c>
      <c r="M4" s="1">
        <v>18.0</v>
      </c>
      <c r="N4" s="1">
        <v>11.0</v>
      </c>
      <c r="O4" s="1">
        <v>0.0</v>
      </c>
      <c r="P4" s="1">
        <v>1.0</v>
      </c>
      <c r="Q4" s="1">
        <v>89.0</v>
      </c>
      <c r="R4" s="1">
        <v>93.0</v>
      </c>
    </row>
    <row r="5">
      <c r="A5" s="1">
        <f t="shared" si="1"/>
        <v>2</v>
      </c>
      <c r="B5" s="1" t="s">
        <v>1033</v>
      </c>
      <c r="C5" s="1">
        <f t="shared" si="2"/>
        <v>2</v>
      </c>
      <c r="D5" s="1" t="s">
        <v>1034</v>
      </c>
      <c r="E5" s="1" t="s">
        <v>36</v>
      </c>
      <c r="F5" s="11">
        <f t="shared" si="3"/>
        <v>679.75</v>
      </c>
      <c r="G5" s="11">
        <f t="shared" si="4"/>
        <v>8.391975309</v>
      </c>
      <c r="H5" s="1">
        <v>81.0</v>
      </c>
      <c r="I5" s="1">
        <v>44.0</v>
      </c>
      <c r="J5" s="1">
        <v>100.0</v>
      </c>
      <c r="K5" s="1">
        <v>144.0</v>
      </c>
      <c r="L5" s="1">
        <v>306.0</v>
      </c>
      <c r="M5" s="1">
        <v>13.0</v>
      </c>
      <c r="N5" s="1">
        <v>40.0</v>
      </c>
      <c r="O5" s="1">
        <v>0.0</v>
      </c>
      <c r="P5" s="1">
        <v>0.0</v>
      </c>
      <c r="Q5" s="1">
        <v>45.0</v>
      </c>
      <c r="R5" s="1">
        <v>35.0</v>
      </c>
    </row>
    <row r="6">
      <c r="A6" s="1">
        <f t="shared" si="1"/>
        <v>4</v>
      </c>
      <c r="B6" s="1" t="s">
        <v>1035</v>
      </c>
      <c r="C6" s="1">
        <f t="shared" si="2"/>
        <v>4</v>
      </c>
      <c r="D6" s="1" t="s">
        <v>1036</v>
      </c>
      <c r="E6" s="1" t="s">
        <v>31</v>
      </c>
      <c r="F6" s="11">
        <f t="shared" si="3"/>
        <v>626.5</v>
      </c>
      <c r="G6" s="11">
        <f t="shared" si="4"/>
        <v>8.243421053</v>
      </c>
      <c r="H6" s="1">
        <v>76.0</v>
      </c>
      <c r="I6" s="1">
        <v>32.0</v>
      </c>
      <c r="J6" s="1">
        <v>100.0</v>
      </c>
      <c r="K6" s="1">
        <v>132.0</v>
      </c>
      <c r="L6" s="1">
        <v>263.0</v>
      </c>
      <c r="M6" s="1">
        <v>7.0</v>
      </c>
      <c r="N6" s="1">
        <v>37.0</v>
      </c>
      <c r="O6" s="1">
        <v>1.0</v>
      </c>
      <c r="P6" s="1">
        <v>0.0</v>
      </c>
      <c r="Q6" s="1">
        <v>118.0</v>
      </c>
      <c r="R6" s="1">
        <v>39.0</v>
      </c>
    </row>
    <row r="7">
      <c r="A7" s="1">
        <f t="shared" si="1"/>
        <v>5</v>
      </c>
      <c r="B7" s="1" t="s">
        <v>1037</v>
      </c>
      <c r="C7" s="1">
        <f t="shared" si="2"/>
        <v>5</v>
      </c>
      <c r="D7" s="1" t="s">
        <v>1038</v>
      </c>
      <c r="E7" s="1" t="s">
        <v>36</v>
      </c>
      <c r="F7" s="11">
        <f t="shared" si="3"/>
        <v>618.5</v>
      </c>
      <c r="G7" s="11">
        <f t="shared" si="4"/>
        <v>7.542682927</v>
      </c>
      <c r="H7" s="1">
        <v>82.0</v>
      </c>
      <c r="I7" s="1">
        <v>47.0</v>
      </c>
      <c r="J7" s="1">
        <v>63.0</v>
      </c>
      <c r="K7" s="1">
        <v>110.0</v>
      </c>
      <c r="L7" s="1">
        <v>382.0</v>
      </c>
      <c r="M7" s="1">
        <v>12.0</v>
      </c>
      <c r="N7" s="1">
        <v>23.0</v>
      </c>
      <c r="O7" s="1">
        <v>0.0</v>
      </c>
      <c r="P7" s="1">
        <v>0.0</v>
      </c>
      <c r="Q7" s="1">
        <v>70.0</v>
      </c>
      <c r="R7" s="1">
        <v>19.0</v>
      </c>
    </row>
    <row r="8">
      <c r="A8" s="1">
        <f t="shared" si="1"/>
        <v>6</v>
      </c>
      <c r="B8" s="1" t="s">
        <v>1039</v>
      </c>
      <c r="C8" s="1">
        <f t="shared" si="2"/>
        <v>6</v>
      </c>
      <c r="D8" s="1" t="s">
        <v>1040</v>
      </c>
      <c r="E8" s="1" t="s">
        <v>28</v>
      </c>
      <c r="F8" s="11">
        <f t="shared" si="3"/>
        <v>599</v>
      </c>
      <c r="G8" s="11">
        <f t="shared" si="4"/>
        <v>7.304878049</v>
      </c>
      <c r="H8" s="1">
        <v>82.0</v>
      </c>
      <c r="I8" s="1">
        <v>49.0</v>
      </c>
      <c r="J8" s="1">
        <v>71.0</v>
      </c>
      <c r="K8" s="1">
        <v>120.0</v>
      </c>
      <c r="L8" s="1">
        <v>303.0</v>
      </c>
      <c r="M8" s="1">
        <v>11.0</v>
      </c>
      <c r="N8" s="1">
        <v>33.0</v>
      </c>
      <c r="O8" s="1">
        <v>0.0</v>
      </c>
      <c r="P8" s="1">
        <v>1.0</v>
      </c>
      <c r="Q8" s="1">
        <v>18.0</v>
      </c>
      <c r="R8" s="1">
        <v>15.0</v>
      </c>
    </row>
    <row r="9">
      <c r="A9" s="1">
        <f t="shared" si="1"/>
        <v>7</v>
      </c>
      <c r="B9" s="1" t="s">
        <v>1041</v>
      </c>
      <c r="C9" s="1">
        <f t="shared" si="2"/>
        <v>7</v>
      </c>
      <c r="D9" s="1" t="s">
        <v>1042</v>
      </c>
      <c r="E9" s="1" t="s">
        <v>36</v>
      </c>
      <c r="F9" s="11">
        <f t="shared" si="3"/>
        <v>584.75</v>
      </c>
      <c r="G9" s="11">
        <f t="shared" si="4"/>
        <v>7.131097561</v>
      </c>
      <c r="H9" s="1">
        <v>82.0</v>
      </c>
      <c r="I9" s="1">
        <v>48.0</v>
      </c>
      <c r="J9" s="1">
        <v>46.0</v>
      </c>
      <c r="K9" s="1">
        <v>94.0</v>
      </c>
      <c r="L9" s="1">
        <v>347.0</v>
      </c>
      <c r="M9" s="1">
        <v>13.0</v>
      </c>
      <c r="N9" s="1">
        <v>19.0</v>
      </c>
      <c r="O9" s="1">
        <v>0.0</v>
      </c>
      <c r="P9" s="1">
        <v>0.0</v>
      </c>
      <c r="Q9" s="1">
        <v>141.0</v>
      </c>
      <c r="R9" s="1">
        <v>44.0</v>
      </c>
    </row>
    <row r="10">
      <c r="A10" s="1">
        <f t="shared" si="1"/>
        <v>8</v>
      </c>
      <c r="B10" s="1" t="s">
        <v>1045</v>
      </c>
      <c r="C10" s="1">
        <f t="shared" si="2"/>
        <v>8</v>
      </c>
      <c r="D10" s="1" t="s">
        <v>1046</v>
      </c>
      <c r="E10" s="1" t="s">
        <v>31</v>
      </c>
      <c r="F10" s="11">
        <f t="shared" si="3"/>
        <v>550</v>
      </c>
      <c r="G10" s="11">
        <f t="shared" si="4"/>
        <v>6.790123457</v>
      </c>
      <c r="H10" s="1">
        <v>81.0</v>
      </c>
      <c r="I10" s="1">
        <v>37.0</v>
      </c>
      <c r="J10" s="1">
        <v>66.0</v>
      </c>
      <c r="K10" s="1">
        <v>103.0</v>
      </c>
      <c r="L10" s="1">
        <v>194.0</v>
      </c>
      <c r="M10" s="1">
        <v>10.0</v>
      </c>
      <c r="N10" s="1">
        <v>30.0</v>
      </c>
      <c r="O10" s="1">
        <v>2.0</v>
      </c>
      <c r="P10" s="1">
        <v>0.0</v>
      </c>
      <c r="Q10" s="1">
        <v>216.0</v>
      </c>
      <c r="R10" s="1">
        <v>61.0</v>
      </c>
    </row>
    <row r="11">
      <c r="A11" s="1">
        <f t="shared" si="1"/>
        <v>9</v>
      </c>
      <c r="B11" s="1" t="s">
        <v>1049</v>
      </c>
      <c r="C11" s="1">
        <f t="shared" si="2"/>
        <v>9</v>
      </c>
      <c r="D11" s="1" t="s">
        <v>1030</v>
      </c>
      <c r="E11" s="1" t="s">
        <v>36</v>
      </c>
      <c r="F11" s="11">
        <f t="shared" si="3"/>
        <v>548.25</v>
      </c>
      <c r="G11" s="11">
        <f t="shared" si="4"/>
        <v>6.853125</v>
      </c>
      <c r="H11" s="1">
        <v>80.0</v>
      </c>
      <c r="I11" s="1">
        <v>42.0</v>
      </c>
      <c r="J11" s="1">
        <v>62.0</v>
      </c>
      <c r="K11" s="1">
        <v>104.0</v>
      </c>
      <c r="L11" s="1">
        <v>271.0</v>
      </c>
      <c r="M11" s="1">
        <v>14.0</v>
      </c>
      <c r="N11" s="1">
        <v>26.0</v>
      </c>
      <c r="O11" s="1">
        <v>0.0</v>
      </c>
      <c r="P11" s="1">
        <v>0.0</v>
      </c>
      <c r="Q11" s="1">
        <v>53.0</v>
      </c>
      <c r="R11" s="1">
        <v>49.0</v>
      </c>
    </row>
    <row r="12">
      <c r="A12" s="1">
        <f t="shared" si="1"/>
        <v>10</v>
      </c>
      <c r="B12" s="1" t="s">
        <v>1043</v>
      </c>
      <c r="C12" s="1">
        <f t="shared" si="2"/>
        <v>10</v>
      </c>
      <c r="D12" s="1" t="s">
        <v>1044</v>
      </c>
      <c r="E12" s="1" t="s">
        <v>28</v>
      </c>
      <c r="F12" s="11">
        <f t="shared" si="3"/>
        <v>546.25</v>
      </c>
      <c r="G12" s="11">
        <f t="shared" si="4"/>
        <v>6.74382716</v>
      </c>
      <c r="H12" s="1">
        <v>81.0</v>
      </c>
      <c r="I12" s="1">
        <v>37.0</v>
      </c>
      <c r="J12" s="1">
        <v>37.0</v>
      </c>
      <c r="K12" s="1">
        <v>74.0</v>
      </c>
      <c r="L12" s="1">
        <v>357.0</v>
      </c>
      <c r="M12" s="1">
        <v>12.0</v>
      </c>
      <c r="N12" s="1">
        <v>10.0</v>
      </c>
      <c r="O12" s="1">
        <v>0.0</v>
      </c>
      <c r="P12" s="1">
        <v>0.0</v>
      </c>
      <c r="Q12" s="1">
        <v>293.0</v>
      </c>
      <c r="R12" s="1">
        <v>34.0</v>
      </c>
    </row>
    <row r="13">
      <c r="A13" s="1">
        <f t="shared" si="1"/>
        <v>11</v>
      </c>
      <c r="B13" s="1" t="s">
        <v>1047</v>
      </c>
      <c r="C13" s="1">
        <f t="shared" si="2"/>
        <v>11</v>
      </c>
      <c r="D13" s="1" t="s">
        <v>1048</v>
      </c>
      <c r="E13" s="1" t="s">
        <v>36</v>
      </c>
      <c r="F13" s="11">
        <f t="shared" si="3"/>
        <v>546</v>
      </c>
      <c r="G13" s="11">
        <f t="shared" si="4"/>
        <v>6.658536585</v>
      </c>
      <c r="H13" s="1">
        <v>82.0</v>
      </c>
      <c r="I13" s="1">
        <v>57.0</v>
      </c>
      <c r="J13" s="1">
        <v>37.0</v>
      </c>
      <c r="K13" s="1">
        <v>94.0</v>
      </c>
      <c r="L13" s="1">
        <v>233.0</v>
      </c>
      <c r="M13" s="1">
        <v>27.0</v>
      </c>
      <c r="N13" s="1">
        <v>7.0</v>
      </c>
      <c r="O13" s="1">
        <v>5.0</v>
      </c>
      <c r="P13" s="1">
        <v>0.0</v>
      </c>
      <c r="Q13" s="1">
        <v>76.0</v>
      </c>
      <c r="R13" s="1">
        <v>66.0</v>
      </c>
    </row>
    <row r="14">
      <c r="A14" s="1">
        <f t="shared" si="1"/>
        <v>12</v>
      </c>
      <c r="B14" s="1" t="s">
        <v>1050</v>
      </c>
      <c r="C14" s="1">
        <f t="shared" si="2"/>
        <v>12</v>
      </c>
      <c r="D14" s="1" t="s">
        <v>1032</v>
      </c>
      <c r="E14" s="1" t="s">
        <v>31</v>
      </c>
      <c r="F14" s="11">
        <f t="shared" si="3"/>
        <v>542.5</v>
      </c>
      <c r="G14" s="11">
        <f t="shared" si="4"/>
        <v>6.615853659</v>
      </c>
      <c r="H14" s="1">
        <v>82.0</v>
      </c>
      <c r="I14" s="1">
        <v>40.0</v>
      </c>
      <c r="J14" s="1">
        <v>58.0</v>
      </c>
      <c r="K14" s="1">
        <v>98.0</v>
      </c>
      <c r="L14" s="1">
        <v>316.0</v>
      </c>
      <c r="M14" s="1">
        <v>11.0</v>
      </c>
      <c r="N14" s="1">
        <v>24.0</v>
      </c>
      <c r="O14" s="1">
        <v>3.0</v>
      </c>
      <c r="P14" s="1">
        <v>1.0</v>
      </c>
      <c r="Q14" s="1">
        <v>32.0</v>
      </c>
      <c r="R14" s="1">
        <v>29.0</v>
      </c>
    </row>
    <row r="15">
      <c r="A15" s="1">
        <f t="shared" si="1"/>
        <v>13</v>
      </c>
      <c r="B15" s="1" t="s">
        <v>1053</v>
      </c>
      <c r="C15" s="1">
        <f t="shared" si="2"/>
        <v>13</v>
      </c>
      <c r="D15" s="1" t="s">
        <v>1054</v>
      </c>
      <c r="E15" s="1" t="s">
        <v>28</v>
      </c>
      <c r="F15" s="11">
        <f t="shared" si="3"/>
        <v>528</v>
      </c>
      <c r="G15" s="11">
        <f t="shared" si="4"/>
        <v>7.04</v>
      </c>
      <c r="H15" s="1">
        <v>75.0</v>
      </c>
      <c r="I15" s="1">
        <v>46.0</v>
      </c>
      <c r="J15" s="1">
        <v>50.0</v>
      </c>
      <c r="K15" s="1">
        <v>96.0</v>
      </c>
      <c r="L15" s="1">
        <v>277.0</v>
      </c>
      <c r="M15" s="1">
        <v>19.0</v>
      </c>
      <c r="N15" s="1">
        <v>22.0</v>
      </c>
      <c r="O15" s="1">
        <v>0.0</v>
      </c>
      <c r="P15" s="1">
        <v>0.0</v>
      </c>
      <c r="Q15" s="1">
        <v>54.0</v>
      </c>
      <c r="R15" s="1">
        <v>38.0</v>
      </c>
    </row>
    <row r="16">
      <c r="A16" s="1">
        <f t="shared" si="1"/>
        <v>14</v>
      </c>
      <c r="B16" s="1" t="s">
        <v>1051</v>
      </c>
      <c r="C16" s="1">
        <f t="shared" si="2"/>
        <v>14</v>
      </c>
      <c r="D16" s="1" t="s">
        <v>1052</v>
      </c>
      <c r="E16" s="1" t="s">
        <v>31</v>
      </c>
      <c r="F16" s="11">
        <f t="shared" si="3"/>
        <v>527.5</v>
      </c>
      <c r="G16" s="11">
        <f t="shared" si="4"/>
        <v>6.432926829</v>
      </c>
      <c r="H16" s="1">
        <v>82.0</v>
      </c>
      <c r="I16" s="1">
        <v>42.0</v>
      </c>
      <c r="J16" s="1">
        <v>52.0</v>
      </c>
      <c r="K16" s="1">
        <v>94.0</v>
      </c>
      <c r="L16" s="1">
        <v>278.0</v>
      </c>
      <c r="M16" s="1">
        <v>10.0</v>
      </c>
      <c r="N16" s="1">
        <v>13.0</v>
      </c>
      <c r="O16" s="1">
        <v>0.0</v>
      </c>
      <c r="P16" s="1">
        <v>0.0</v>
      </c>
      <c r="Q16" s="1">
        <v>100.0</v>
      </c>
      <c r="R16" s="1">
        <v>37.0</v>
      </c>
    </row>
    <row r="17">
      <c r="A17" s="1">
        <f t="shared" si="1"/>
        <v>15</v>
      </c>
      <c r="B17" s="1" t="s">
        <v>1055</v>
      </c>
      <c r="C17" s="1">
        <f t="shared" si="2"/>
        <v>15</v>
      </c>
      <c r="D17" s="1" t="s">
        <v>1036</v>
      </c>
      <c r="E17" s="1" t="s">
        <v>31</v>
      </c>
      <c r="F17" s="11">
        <f t="shared" si="3"/>
        <v>519.5</v>
      </c>
      <c r="G17" s="11">
        <f t="shared" si="4"/>
        <v>6.413580247</v>
      </c>
      <c r="H17" s="1">
        <v>81.0</v>
      </c>
      <c r="I17" s="1">
        <v>41.0</v>
      </c>
      <c r="J17" s="1">
        <v>65.0</v>
      </c>
      <c r="K17" s="1">
        <v>106.0</v>
      </c>
      <c r="L17" s="1">
        <v>217.0</v>
      </c>
      <c r="M17" s="1">
        <v>21.0</v>
      </c>
      <c r="N17" s="1">
        <v>18.0</v>
      </c>
      <c r="O17" s="1">
        <v>0.0</v>
      </c>
      <c r="P17" s="1">
        <v>2.0</v>
      </c>
      <c r="Q17" s="1">
        <v>58.0</v>
      </c>
      <c r="R17" s="1">
        <v>26.0</v>
      </c>
    </row>
    <row r="18">
      <c r="A18" s="1">
        <f t="shared" si="1"/>
        <v>16</v>
      </c>
      <c r="B18" s="1" t="s">
        <v>1056</v>
      </c>
      <c r="C18" s="1">
        <f t="shared" si="2"/>
        <v>16</v>
      </c>
      <c r="D18" s="1" t="s">
        <v>1042</v>
      </c>
      <c r="E18" s="1" t="s">
        <v>66</v>
      </c>
      <c r="F18" s="11">
        <f t="shared" si="3"/>
        <v>512.5</v>
      </c>
      <c r="G18" s="11">
        <f t="shared" si="4"/>
        <v>6.25</v>
      </c>
      <c r="H18" s="1">
        <v>82.0</v>
      </c>
      <c r="I18" s="1">
        <v>23.0</v>
      </c>
      <c r="J18" s="1">
        <v>62.0</v>
      </c>
      <c r="K18" s="1">
        <v>85.0</v>
      </c>
      <c r="L18" s="1">
        <v>268.0</v>
      </c>
      <c r="M18" s="1">
        <v>9.0</v>
      </c>
      <c r="N18" s="1">
        <v>24.0</v>
      </c>
      <c r="O18" s="1">
        <v>0.0</v>
      </c>
      <c r="P18" s="1">
        <v>1.0</v>
      </c>
      <c r="Q18" s="1">
        <v>46.0</v>
      </c>
      <c r="R18" s="1">
        <v>151.0</v>
      </c>
    </row>
    <row r="19">
      <c r="A19" s="1">
        <f t="shared" si="1"/>
        <v>17</v>
      </c>
      <c r="B19" s="1" t="s">
        <v>1057</v>
      </c>
      <c r="C19" s="1">
        <f t="shared" si="2"/>
        <v>17</v>
      </c>
      <c r="D19" s="1" t="s">
        <v>1030</v>
      </c>
      <c r="E19" s="1" t="s">
        <v>66</v>
      </c>
      <c r="F19" s="11">
        <f t="shared" si="3"/>
        <v>508.25</v>
      </c>
      <c r="G19" s="11">
        <f t="shared" si="4"/>
        <v>6.600649351</v>
      </c>
      <c r="H19" s="1">
        <v>77.0</v>
      </c>
      <c r="I19" s="1">
        <v>21.0</v>
      </c>
      <c r="J19" s="1">
        <v>69.0</v>
      </c>
      <c r="K19" s="1">
        <v>90.0</v>
      </c>
      <c r="L19" s="1">
        <v>231.0</v>
      </c>
      <c r="M19" s="1">
        <v>7.0</v>
      </c>
      <c r="N19" s="1">
        <v>32.0</v>
      </c>
      <c r="O19" s="1">
        <v>1.0</v>
      </c>
      <c r="P19" s="1">
        <v>3.0</v>
      </c>
      <c r="Q19" s="1">
        <v>37.0</v>
      </c>
      <c r="R19" s="1">
        <v>148.0</v>
      </c>
    </row>
    <row r="20">
      <c r="A20" s="1">
        <f t="shared" si="1"/>
        <v>18</v>
      </c>
      <c r="B20" s="1" t="s">
        <v>1059</v>
      </c>
      <c r="C20" s="1">
        <f t="shared" si="2"/>
        <v>18</v>
      </c>
      <c r="D20" s="1" t="s">
        <v>1036</v>
      </c>
      <c r="E20" s="1" t="s">
        <v>36</v>
      </c>
      <c r="F20" s="11">
        <f t="shared" si="3"/>
        <v>497.25</v>
      </c>
      <c r="G20" s="11">
        <f t="shared" si="4"/>
        <v>6.215625</v>
      </c>
      <c r="H20" s="1">
        <v>80.0</v>
      </c>
      <c r="I20" s="1">
        <v>54.0</v>
      </c>
      <c r="J20" s="1">
        <v>23.0</v>
      </c>
      <c r="K20" s="1">
        <v>77.0</v>
      </c>
      <c r="L20" s="1">
        <v>290.0</v>
      </c>
      <c r="M20" s="1">
        <v>15.0</v>
      </c>
      <c r="N20" s="1">
        <v>5.0</v>
      </c>
      <c r="O20" s="1">
        <v>0.0</v>
      </c>
      <c r="P20" s="1">
        <v>0.0</v>
      </c>
      <c r="Q20" s="1">
        <v>87.0</v>
      </c>
      <c r="R20" s="1">
        <v>37.0</v>
      </c>
    </row>
    <row r="21">
      <c r="A21" s="1">
        <f t="shared" si="1"/>
        <v>19</v>
      </c>
      <c r="B21" s="1" t="s">
        <v>1058</v>
      </c>
      <c r="C21" s="1">
        <f t="shared" si="2"/>
        <v>19</v>
      </c>
      <c r="D21" s="1" t="s">
        <v>1048</v>
      </c>
      <c r="E21" s="1" t="s">
        <v>28</v>
      </c>
      <c r="F21" s="11">
        <f t="shared" si="3"/>
        <v>496.5</v>
      </c>
      <c r="G21" s="11">
        <f t="shared" si="4"/>
        <v>6.20625</v>
      </c>
      <c r="H21" s="1">
        <v>80.0</v>
      </c>
      <c r="I21" s="1">
        <v>26.0</v>
      </c>
      <c r="J21" s="1">
        <v>62.0</v>
      </c>
      <c r="K21" s="1">
        <v>88.0</v>
      </c>
      <c r="L21" s="1">
        <v>280.0</v>
      </c>
      <c r="M21" s="1">
        <v>6.0</v>
      </c>
      <c r="N21" s="1">
        <v>26.0</v>
      </c>
      <c r="O21" s="1">
        <v>1.0</v>
      </c>
      <c r="P21" s="1">
        <v>0.0</v>
      </c>
      <c r="Q21" s="1">
        <v>150.0</v>
      </c>
      <c r="R21" s="1">
        <v>28.0</v>
      </c>
    </row>
    <row r="22">
      <c r="A22" s="1">
        <f t="shared" si="1"/>
        <v>20</v>
      </c>
      <c r="B22" s="1" t="s">
        <v>1060</v>
      </c>
      <c r="C22" s="1">
        <f t="shared" si="2"/>
        <v>20</v>
      </c>
      <c r="D22" s="1" t="s">
        <v>1046</v>
      </c>
      <c r="E22" s="1" t="s">
        <v>31</v>
      </c>
      <c r="F22" s="11">
        <f t="shared" si="3"/>
        <v>490.75</v>
      </c>
      <c r="G22" s="11">
        <f t="shared" si="4"/>
        <v>5.984756098</v>
      </c>
      <c r="H22" s="1">
        <v>82.0</v>
      </c>
      <c r="I22" s="1">
        <v>34.0</v>
      </c>
      <c r="J22" s="1">
        <v>55.0</v>
      </c>
      <c r="K22" s="1">
        <v>89.0</v>
      </c>
      <c r="L22" s="1">
        <v>207.0</v>
      </c>
      <c r="M22" s="1">
        <v>13.0</v>
      </c>
      <c r="N22" s="1">
        <v>18.0</v>
      </c>
      <c r="O22" s="1">
        <v>0.0</v>
      </c>
      <c r="P22" s="1">
        <v>2.0</v>
      </c>
      <c r="Q22" s="1">
        <v>125.0</v>
      </c>
      <c r="R22" s="1">
        <v>68.0</v>
      </c>
    </row>
    <row r="23">
      <c r="A23" s="1">
        <f t="shared" si="1"/>
        <v>21</v>
      </c>
      <c r="B23" s="1" t="s">
        <v>1063</v>
      </c>
      <c r="C23" s="1">
        <f t="shared" si="2"/>
        <v>21</v>
      </c>
      <c r="D23" s="1" t="s">
        <v>1034</v>
      </c>
      <c r="E23" s="1" t="s">
        <v>31</v>
      </c>
      <c r="F23" s="11">
        <f t="shared" si="3"/>
        <v>478.5</v>
      </c>
      <c r="G23" s="11">
        <f t="shared" si="4"/>
        <v>5.907407407</v>
      </c>
      <c r="H23" s="1">
        <v>81.0</v>
      </c>
      <c r="I23" s="1">
        <v>46.0</v>
      </c>
      <c r="J23" s="1">
        <v>44.0</v>
      </c>
      <c r="K23" s="1">
        <v>90.0</v>
      </c>
      <c r="L23" s="1">
        <v>227.0</v>
      </c>
      <c r="M23" s="1">
        <v>15.0</v>
      </c>
      <c r="N23" s="1">
        <v>17.0</v>
      </c>
      <c r="O23" s="1">
        <v>0.0</v>
      </c>
      <c r="P23" s="1">
        <v>0.0</v>
      </c>
      <c r="Q23" s="1">
        <v>16.0</v>
      </c>
      <c r="R23" s="1">
        <v>44.0</v>
      </c>
    </row>
    <row r="24">
      <c r="A24" s="1">
        <f t="shared" si="1"/>
        <v>22</v>
      </c>
      <c r="B24" s="1" t="s">
        <v>1061</v>
      </c>
      <c r="C24" s="1">
        <f t="shared" si="2"/>
        <v>22</v>
      </c>
      <c r="D24" s="1" t="s">
        <v>1034</v>
      </c>
      <c r="E24" s="1" t="s">
        <v>31</v>
      </c>
      <c r="F24" s="11">
        <f t="shared" si="3"/>
        <v>475</v>
      </c>
      <c r="G24" s="11">
        <f t="shared" si="4"/>
        <v>6.012658228</v>
      </c>
      <c r="H24" s="1">
        <v>79.0</v>
      </c>
      <c r="I24" s="1">
        <v>40.0</v>
      </c>
      <c r="J24" s="1">
        <v>41.0</v>
      </c>
      <c r="K24" s="1">
        <v>81.0</v>
      </c>
      <c r="L24" s="1">
        <v>262.0</v>
      </c>
      <c r="M24" s="1">
        <v>19.0</v>
      </c>
      <c r="N24" s="1">
        <v>20.0</v>
      </c>
      <c r="O24" s="1">
        <v>0.0</v>
      </c>
      <c r="P24" s="1">
        <v>0.0</v>
      </c>
      <c r="Q24" s="1">
        <v>78.0</v>
      </c>
      <c r="R24" s="1">
        <v>43.0</v>
      </c>
    </row>
    <row r="25">
      <c r="A25" s="1">
        <f t="shared" si="1"/>
        <v>23</v>
      </c>
      <c r="B25" s="1" t="s">
        <v>1062</v>
      </c>
      <c r="C25" s="1">
        <f t="shared" si="2"/>
        <v>23</v>
      </c>
      <c r="D25" s="1" t="s">
        <v>1040</v>
      </c>
      <c r="E25" s="1" t="s">
        <v>31</v>
      </c>
      <c r="F25" s="11">
        <f t="shared" si="3"/>
        <v>464.75</v>
      </c>
      <c r="G25" s="11">
        <f t="shared" si="4"/>
        <v>5.667682927</v>
      </c>
      <c r="H25" s="1">
        <v>82.0</v>
      </c>
      <c r="I25" s="1">
        <v>25.0</v>
      </c>
      <c r="J25" s="1">
        <v>52.0</v>
      </c>
      <c r="K25" s="1">
        <v>77.0</v>
      </c>
      <c r="L25" s="1">
        <v>215.0</v>
      </c>
      <c r="M25" s="1">
        <v>11.0</v>
      </c>
      <c r="N25" s="1">
        <v>13.0</v>
      </c>
      <c r="O25" s="1">
        <v>1.0</v>
      </c>
      <c r="P25" s="1">
        <v>0.0</v>
      </c>
      <c r="Q25" s="1">
        <v>175.0</v>
      </c>
      <c r="R25" s="1">
        <v>86.0</v>
      </c>
    </row>
    <row r="26">
      <c r="A26" s="1">
        <f t="shared" si="1"/>
        <v>24</v>
      </c>
      <c r="B26" s="1" t="s">
        <v>1064</v>
      </c>
      <c r="C26" s="1">
        <f t="shared" si="2"/>
        <v>24</v>
      </c>
      <c r="D26" s="1" t="s">
        <v>1065</v>
      </c>
      <c r="E26" s="1" t="s">
        <v>28</v>
      </c>
      <c r="F26" s="11">
        <f t="shared" si="3"/>
        <v>457.5</v>
      </c>
      <c r="G26" s="11">
        <f t="shared" si="4"/>
        <v>5.579268293</v>
      </c>
      <c r="H26" s="1">
        <v>82.0</v>
      </c>
      <c r="I26" s="1">
        <v>37.0</v>
      </c>
      <c r="J26" s="1">
        <v>23.0</v>
      </c>
      <c r="K26" s="1">
        <v>60.0</v>
      </c>
      <c r="L26" s="1">
        <v>272.0</v>
      </c>
      <c r="M26" s="1">
        <v>13.0</v>
      </c>
      <c r="N26" s="1">
        <v>7.0</v>
      </c>
      <c r="O26" s="1">
        <v>3.0</v>
      </c>
      <c r="P26" s="1">
        <v>1.0</v>
      </c>
      <c r="Q26" s="1">
        <v>156.0</v>
      </c>
      <c r="R26" s="1">
        <v>78.0</v>
      </c>
    </row>
    <row r="27">
      <c r="A27" s="1">
        <f t="shared" si="1"/>
        <v>25</v>
      </c>
      <c r="B27" s="1" t="s">
        <v>1072</v>
      </c>
      <c r="C27" s="1">
        <f t="shared" si="2"/>
        <v>25</v>
      </c>
      <c r="D27" s="1" t="s">
        <v>1073</v>
      </c>
      <c r="E27" s="1" t="s">
        <v>28</v>
      </c>
      <c r="F27" s="11">
        <f t="shared" si="3"/>
        <v>453.75</v>
      </c>
      <c r="G27" s="11">
        <f t="shared" si="4"/>
        <v>5.817307692</v>
      </c>
      <c r="H27" s="1">
        <v>78.0</v>
      </c>
      <c r="I27" s="1">
        <v>36.0</v>
      </c>
      <c r="J27" s="1">
        <v>53.0</v>
      </c>
      <c r="K27" s="1">
        <v>89.0</v>
      </c>
      <c r="L27" s="1">
        <v>216.0</v>
      </c>
      <c r="M27" s="1">
        <v>11.0</v>
      </c>
      <c r="N27" s="1">
        <v>21.0</v>
      </c>
      <c r="O27" s="1">
        <v>1.0</v>
      </c>
      <c r="P27" s="1">
        <v>1.0</v>
      </c>
      <c r="Q27" s="1">
        <v>47.0</v>
      </c>
      <c r="R27" s="1">
        <v>18.0</v>
      </c>
    </row>
    <row r="28">
      <c r="A28" s="1">
        <f t="shared" si="1"/>
        <v>26</v>
      </c>
      <c r="B28" s="1" t="s">
        <v>1071</v>
      </c>
      <c r="C28" s="1">
        <f t="shared" si="2"/>
        <v>26</v>
      </c>
      <c r="D28" s="1" t="s">
        <v>1036</v>
      </c>
      <c r="E28" s="1" t="s">
        <v>66</v>
      </c>
      <c r="F28" s="11">
        <f t="shared" si="3"/>
        <v>453.25</v>
      </c>
      <c r="G28" s="11">
        <f t="shared" si="4"/>
        <v>5.595679012</v>
      </c>
      <c r="H28" s="1">
        <v>81.0</v>
      </c>
      <c r="I28" s="1">
        <v>18.0</v>
      </c>
      <c r="J28" s="1">
        <v>64.0</v>
      </c>
      <c r="K28" s="1">
        <v>82.0</v>
      </c>
      <c r="L28" s="1">
        <v>220.0</v>
      </c>
      <c r="M28" s="1">
        <v>8.0</v>
      </c>
      <c r="N28" s="1">
        <v>27.0</v>
      </c>
      <c r="O28" s="1">
        <v>0.0</v>
      </c>
      <c r="P28" s="1">
        <v>0.0</v>
      </c>
      <c r="Q28" s="1">
        <v>71.0</v>
      </c>
      <c r="R28" s="1">
        <v>105.0</v>
      </c>
    </row>
    <row r="29">
      <c r="A29" s="1">
        <f t="shared" si="1"/>
        <v>27</v>
      </c>
      <c r="B29" s="1" t="s">
        <v>1070</v>
      </c>
      <c r="C29" s="1">
        <f t="shared" si="2"/>
        <v>27</v>
      </c>
      <c r="D29" s="1" t="s">
        <v>1040</v>
      </c>
      <c r="E29" s="1" t="s">
        <v>28</v>
      </c>
      <c r="F29" s="11">
        <f t="shared" si="3"/>
        <v>450.75</v>
      </c>
      <c r="G29" s="11">
        <f t="shared" si="4"/>
        <v>5.49695122</v>
      </c>
      <c r="H29" s="1">
        <v>82.0</v>
      </c>
      <c r="I29" s="1">
        <v>39.0</v>
      </c>
      <c r="J29" s="1">
        <v>36.0</v>
      </c>
      <c r="K29" s="1">
        <v>75.0</v>
      </c>
      <c r="L29" s="1">
        <v>246.0</v>
      </c>
      <c r="M29" s="1">
        <v>18.0</v>
      </c>
      <c r="N29" s="1">
        <v>11.0</v>
      </c>
      <c r="O29" s="1">
        <v>2.0</v>
      </c>
      <c r="P29" s="1">
        <v>3.0</v>
      </c>
      <c r="Q29" s="1">
        <v>97.0</v>
      </c>
      <c r="R29" s="1">
        <v>20.0</v>
      </c>
    </row>
    <row r="30">
      <c r="A30" s="1">
        <f t="shared" si="1"/>
        <v>28</v>
      </c>
      <c r="B30" s="1" t="s">
        <v>1066</v>
      </c>
      <c r="C30" s="1">
        <f t="shared" si="2"/>
        <v>28</v>
      </c>
      <c r="D30" s="1" t="s">
        <v>1067</v>
      </c>
      <c r="E30" s="1" t="s">
        <v>66</v>
      </c>
      <c r="F30" s="11">
        <f t="shared" si="3"/>
        <v>450</v>
      </c>
      <c r="G30" s="11">
        <f t="shared" si="4"/>
        <v>5.555555556</v>
      </c>
      <c r="H30" s="1">
        <v>81.0</v>
      </c>
      <c r="I30" s="1">
        <v>20.0</v>
      </c>
      <c r="J30" s="1">
        <v>39.0</v>
      </c>
      <c r="K30" s="1">
        <v>59.0</v>
      </c>
      <c r="L30" s="1">
        <v>235.0</v>
      </c>
      <c r="M30" s="1">
        <v>6.0</v>
      </c>
      <c r="N30" s="1">
        <v>14.0</v>
      </c>
      <c r="O30" s="1">
        <v>0.0</v>
      </c>
      <c r="P30" s="1">
        <v>0.0</v>
      </c>
      <c r="Q30" s="1">
        <v>194.0</v>
      </c>
      <c r="R30" s="1">
        <v>154.0</v>
      </c>
    </row>
    <row r="31">
      <c r="A31" s="1">
        <f t="shared" si="1"/>
        <v>29</v>
      </c>
      <c r="B31" s="1" t="s">
        <v>1075</v>
      </c>
      <c r="C31" s="1">
        <f t="shared" si="2"/>
        <v>29</v>
      </c>
      <c r="D31" s="1" t="s">
        <v>1076</v>
      </c>
      <c r="E31" s="1" t="s">
        <v>28</v>
      </c>
      <c r="F31" s="11">
        <f t="shared" si="3"/>
        <v>448.5</v>
      </c>
      <c r="G31" s="11">
        <f t="shared" si="4"/>
        <v>5.469512195</v>
      </c>
      <c r="H31" s="1">
        <v>82.0</v>
      </c>
      <c r="I31" s="1">
        <v>27.0</v>
      </c>
      <c r="J31" s="1">
        <v>56.0</v>
      </c>
      <c r="K31" s="1">
        <v>83.0</v>
      </c>
      <c r="L31" s="1">
        <v>248.0</v>
      </c>
      <c r="M31" s="1">
        <v>7.0</v>
      </c>
      <c r="N31" s="1">
        <v>20.0</v>
      </c>
      <c r="O31" s="1">
        <v>0.0</v>
      </c>
      <c r="P31" s="1">
        <v>1.0</v>
      </c>
      <c r="Q31" s="1">
        <v>66.0</v>
      </c>
      <c r="R31" s="1">
        <v>33.0</v>
      </c>
    </row>
    <row r="32">
      <c r="A32" s="1">
        <f t="shared" si="1"/>
        <v>30</v>
      </c>
      <c r="B32" s="1" t="s">
        <v>1077</v>
      </c>
      <c r="C32" s="1">
        <f t="shared" si="2"/>
        <v>30</v>
      </c>
      <c r="D32" s="1" t="s">
        <v>1078</v>
      </c>
      <c r="E32" s="1" t="s">
        <v>31</v>
      </c>
      <c r="F32" s="11">
        <f t="shared" si="3"/>
        <v>442.25</v>
      </c>
      <c r="G32" s="11">
        <f t="shared" si="4"/>
        <v>5.743506494</v>
      </c>
      <c r="H32" s="1">
        <v>77.0</v>
      </c>
      <c r="I32" s="1">
        <v>28.0</v>
      </c>
      <c r="J32" s="1">
        <v>47.0</v>
      </c>
      <c r="K32" s="1">
        <v>75.0</v>
      </c>
      <c r="L32" s="1">
        <v>246.0</v>
      </c>
      <c r="M32" s="1">
        <v>5.0</v>
      </c>
      <c r="N32" s="1">
        <v>22.0</v>
      </c>
      <c r="O32" s="1">
        <v>3.0</v>
      </c>
      <c r="P32" s="1">
        <v>1.0</v>
      </c>
      <c r="Q32" s="1">
        <v>113.0</v>
      </c>
      <c r="R32" s="1">
        <v>32.0</v>
      </c>
    </row>
    <row r="33">
      <c r="A33" s="1">
        <f t="shared" si="1"/>
        <v>31</v>
      </c>
      <c r="B33" s="1" t="s">
        <v>1068</v>
      </c>
      <c r="C33" s="1">
        <f t="shared" si="2"/>
        <v>31</v>
      </c>
      <c r="D33" s="1" t="s">
        <v>1069</v>
      </c>
      <c r="E33" s="1" t="s">
        <v>66</v>
      </c>
      <c r="F33" s="11">
        <f t="shared" si="3"/>
        <v>441.75</v>
      </c>
      <c r="G33" s="11">
        <f t="shared" si="4"/>
        <v>5.387195122</v>
      </c>
      <c r="H33" s="1">
        <v>82.0</v>
      </c>
      <c r="I33" s="1">
        <v>20.0</v>
      </c>
      <c r="J33" s="1">
        <v>32.0</v>
      </c>
      <c r="K33" s="1">
        <v>52.0</v>
      </c>
      <c r="L33" s="1">
        <v>208.0</v>
      </c>
      <c r="M33" s="1">
        <v>3.0</v>
      </c>
      <c r="N33" s="1">
        <v>12.0</v>
      </c>
      <c r="O33" s="1">
        <v>0.0</v>
      </c>
      <c r="P33" s="1">
        <v>2.0</v>
      </c>
      <c r="Q33" s="1">
        <v>191.0</v>
      </c>
      <c r="R33" s="1">
        <v>200.0</v>
      </c>
    </row>
    <row r="34">
      <c r="A34" s="1">
        <f t="shared" si="1"/>
        <v>32</v>
      </c>
      <c r="B34" s="1" t="s">
        <v>1074</v>
      </c>
      <c r="C34" s="1">
        <f t="shared" si="2"/>
        <v>32</v>
      </c>
      <c r="D34" s="1" t="s">
        <v>1054</v>
      </c>
      <c r="E34" s="1" t="s">
        <v>31</v>
      </c>
      <c r="F34" s="11">
        <f t="shared" si="3"/>
        <v>441.5</v>
      </c>
      <c r="G34" s="11">
        <f t="shared" si="4"/>
        <v>5.733766234</v>
      </c>
      <c r="H34" s="1">
        <v>77.0</v>
      </c>
      <c r="I34" s="1">
        <v>30.0</v>
      </c>
      <c r="J34" s="1">
        <v>34.0</v>
      </c>
      <c r="K34" s="1">
        <v>64.0</v>
      </c>
      <c r="L34" s="1">
        <v>267.0</v>
      </c>
      <c r="M34" s="1">
        <v>12.0</v>
      </c>
      <c r="N34" s="1">
        <v>9.0</v>
      </c>
      <c r="O34" s="1">
        <v>1.0</v>
      </c>
      <c r="P34" s="1">
        <v>0.0</v>
      </c>
      <c r="Q34" s="1">
        <v>166.0</v>
      </c>
      <c r="R34" s="1">
        <v>55.0</v>
      </c>
    </row>
    <row r="35">
      <c r="A35" s="1">
        <f t="shared" si="1"/>
        <v>33</v>
      </c>
      <c r="B35" s="1" t="s">
        <v>1079</v>
      </c>
      <c r="C35" s="1">
        <f t="shared" si="2"/>
        <v>33</v>
      </c>
      <c r="D35" s="1" t="s">
        <v>1080</v>
      </c>
      <c r="E35" s="1" t="s">
        <v>28</v>
      </c>
      <c r="F35" s="11">
        <f t="shared" si="3"/>
        <v>441.25</v>
      </c>
      <c r="G35" s="11">
        <f t="shared" si="4"/>
        <v>5.381097561</v>
      </c>
      <c r="H35" s="1">
        <v>82.0</v>
      </c>
      <c r="I35" s="1">
        <v>42.0</v>
      </c>
      <c r="J35" s="1">
        <v>27.0</v>
      </c>
      <c r="K35" s="1">
        <v>69.0</v>
      </c>
      <c r="L35" s="1">
        <v>266.0</v>
      </c>
      <c r="M35" s="1">
        <v>8.0</v>
      </c>
      <c r="N35" s="1">
        <v>9.0</v>
      </c>
      <c r="O35" s="1">
        <v>0.0</v>
      </c>
      <c r="P35" s="1">
        <v>0.0</v>
      </c>
      <c r="Q35" s="1">
        <v>107.0</v>
      </c>
      <c r="R35" s="1">
        <v>23.0</v>
      </c>
    </row>
    <row r="36">
      <c r="A36" s="1">
        <f t="shared" si="1"/>
        <v>34</v>
      </c>
      <c r="B36" s="1" t="s">
        <v>1089</v>
      </c>
      <c r="C36" s="1">
        <f t="shared" si="2"/>
        <v>34</v>
      </c>
      <c r="D36" s="1" t="s">
        <v>1046</v>
      </c>
      <c r="E36" s="1" t="s">
        <v>66</v>
      </c>
      <c r="F36" s="11">
        <f t="shared" si="3"/>
        <v>435.75</v>
      </c>
      <c r="G36" s="11">
        <f t="shared" si="4"/>
        <v>5.31402439</v>
      </c>
      <c r="H36" s="1">
        <v>82.0</v>
      </c>
      <c r="I36" s="1">
        <v>17.0</v>
      </c>
      <c r="J36" s="1">
        <v>75.0</v>
      </c>
      <c r="K36" s="1">
        <v>92.0</v>
      </c>
      <c r="L36" s="1">
        <v>199.0</v>
      </c>
      <c r="M36" s="1">
        <v>5.0</v>
      </c>
      <c r="N36" s="1">
        <v>33.0</v>
      </c>
      <c r="O36" s="1">
        <v>0.0</v>
      </c>
      <c r="P36" s="1">
        <v>0.0</v>
      </c>
      <c r="Q36" s="1">
        <v>29.0</v>
      </c>
      <c r="R36" s="1">
        <v>55.0</v>
      </c>
    </row>
    <row r="37">
      <c r="A37" s="1">
        <f t="shared" si="1"/>
        <v>35</v>
      </c>
      <c r="B37" s="1" t="s">
        <v>1086</v>
      </c>
      <c r="C37" s="1">
        <f t="shared" si="2"/>
        <v>35</v>
      </c>
      <c r="D37" s="1" t="s">
        <v>1087</v>
      </c>
      <c r="E37" s="1" t="s">
        <v>31</v>
      </c>
      <c r="F37" s="11">
        <f t="shared" si="3"/>
        <v>434</v>
      </c>
      <c r="G37" s="11">
        <f t="shared" si="4"/>
        <v>5.425</v>
      </c>
      <c r="H37" s="1">
        <v>80.0</v>
      </c>
      <c r="I37" s="1">
        <v>23.0</v>
      </c>
      <c r="J37" s="1">
        <v>57.0</v>
      </c>
      <c r="K37" s="1">
        <v>80.0</v>
      </c>
      <c r="L37" s="1">
        <v>240.0</v>
      </c>
      <c r="M37" s="1">
        <v>5.0</v>
      </c>
      <c r="N37" s="1">
        <v>20.0</v>
      </c>
      <c r="O37" s="1">
        <v>0.0</v>
      </c>
      <c r="P37" s="1">
        <v>0.0</v>
      </c>
      <c r="Q37" s="1">
        <v>54.0</v>
      </c>
      <c r="R37" s="1">
        <v>52.0</v>
      </c>
    </row>
    <row r="38">
      <c r="A38" s="1">
        <f t="shared" si="1"/>
        <v>36</v>
      </c>
      <c r="B38" s="1" t="s">
        <v>1084</v>
      </c>
      <c r="C38" s="1">
        <f t="shared" si="2"/>
        <v>36</v>
      </c>
      <c r="D38" s="1" t="s">
        <v>1085</v>
      </c>
      <c r="E38" s="1" t="s">
        <v>28</v>
      </c>
      <c r="F38" s="11">
        <f t="shared" si="3"/>
        <v>433.75</v>
      </c>
      <c r="G38" s="11">
        <f t="shared" si="4"/>
        <v>5.289634146</v>
      </c>
      <c r="H38" s="1">
        <v>82.0</v>
      </c>
      <c r="I38" s="1">
        <v>29.0</v>
      </c>
      <c r="J38" s="1">
        <v>51.0</v>
      </c>
      <c r="K38" s="1">
        <v>80.0</v>
      </c>
      <c r="L38" s="1">
        <v>231.0</v>
      </c>
      <c r="M38" s="1">
        <v>9.0</v>
      </c>
      <c r="N38" s="1">
        <v>19.0</v>
      </c>
      <c r="O38" s="1">
        <v>0.0</v>
      </c>
      <c r="P38" s="1">
        <v>0.0</v>
      </c>
      <c r="Q38" s="1">
        <v>77.0</v>
      </c>
      <c r="R38" s="1">
        <v>31.0</v>
      </c>
    </row>
    <row r="39">
      <c r="A39" s="1">
        <f t="shared" si="1"/>
        <v>37</v>
      </c>
      <c r="B39" s="1" t="s">
        <v>1088</v>
      </c>
      <c r="C39" s="1">
        <f t="shared" si="2"/>
        <v>37</v>
      </c>
      <c r="D39" s="1" t="s">
        <v>1069</v>
      </c>
      <c r="E39" s="1" t="s">
        <v>31</v>
      </c>
      <c r="F39" s="11">
        <f t="shared" si="3"/>
        <v>433.25</v>
      </c>
      <c r="G39" s="11">
        <f t="shared" si="4"/>
        <v>5.283536585</v>
      </c>
      <c r="H39" s="1">
        <v>82.0</v>
      </c>
      <c r="I39" s="1">
        <v>29.0</v>
      </c>
      <c r="J39" s="1">
        <v>46.0</v>
      </c>
      <c r="K39" s="1">
        <v>75.0</v>
      </c>
      <c r="L39" s="1">
        <v>277.0</v>
      </c>
      <c r="M39" s="1">
        <v>10.0</v>
      </c>
      <c r="N39" s="1">
        <v>12.0</v>
      </c>
      <c r="O39" s="1">
        <v>0.0</v>
      </c>
      <c r="P39" s="1">
        <v>0.0</v>
      </c>
      <c r="Q39" s="1">
        <v>57.0</v>
      </c>
      <c r="R39" s="1">
        <v>24.0</v>
      </c>
    </row>
    <row r="40">
      <c r="A40" s="1">
        <f t="shared" si="1"/>
        <v>38</v>
      </c>
      <c r="B40" s="1" t="s">
        <v>1081</v>
      </c>
      <c r="C40" s="1">
        <f t="shared" si="2"/>
        <v>38</v>
      </c>
      <c r="D40" s="1" t="s">
        <v>1082</v>
      </c>
      <c r="E40" s="1" t="s">
        <v>28</v>
      </c>
      <c r="F40" s="11">
        <f t="shared" si="3"/>
        <v>431.25</v>
      </c>
      <c r="G40" s="11">
        <f t="shared" si="4"/>
        <v>5.458860759</v>
      </c>
      <c r="H40" s="1">
        <v>79.0</v>
      </c>
      <c r="I40" s="1">
        <v>31.0</v>
      </c>
      <c r="J40" s="1">
        <v>34.0</v>
      </c>
      <c r="K40" s="1">
        <v>65.0</v>
      </c>
      <c r="L40" s="1">
        <v>272.0</v>
      </c>
      <c r="M40" s="1">
        <v>13.0</v>
      </c>
      <c r="N40" s="1">
        <v>15.0</v>
      </c>
      <c r="O40" s="1">
        <v>0.0</v>
      </c>
      <c r="P40" s="1">
        <v>0.0</v>
      </c>
      <c r="Q40" s="1">
        <v>161.0</v>
      </c>
      <c r="R40" s="1">
        <v>27.0</v>
      </c>
    </row>
    <row r="41">
      <c r="A41" s="1">
        <f t="shared" si="1"/>
        <v>39</v>
      </c>
      <c r="B41" s="1" t="s">
        <v>1094</v>
      </c>
      <c r="C41" s="1">
        <f t="shared" si="2"/>
        <v>39</v>
      </c>
      <c r="D41" s="1" t="s">
        <v>1080</v>
      </c>
      <c r="E41" s="1" t="s">
        <v>31</v>
      </c>
      <c r="F41" s="11">
        <f t="shared" si="3"/>
        <v>430.25</v>
      </c>
      <c r="G41" s="11">
        <f t="shared" si="4"/>
        <v>6.829365079</v>
      </c>
      <c r="H41" s="1">
        <v>63.0</v>
      </c>
      <c r="I41" s="1">
        <v>31.0</v>
      </c>
      <c r="J41" s="1">
        <v>37.0</v>
      </c>
      <c r="K41" s="1">
        <v>68.0</v>
      </c>
      <c r="L41" s="1">
        <v>278.0</v>
      </c>
      <c r="M41" s="1">
        <v>11.0</v>
      </c>
      <c r="N41" s="1">
        <v>11.0</v>
      </c>
      <c r="O41" s="1">
        <v>0.0</v>
      </c>
      <c r="P41" s="1">
        <v>2.0</v>
      </c>
      <c r="Q41" s="1">
        <v>25.0</v>
      </c>
      <c r="R41" s="1">
        <v>61.0</v>
      </c>
    </row>
    <row r="42">
      <c r="A42" s="1">
        <f t="shared" si="1"/>
        <v>40</v>
      </c>
      <c r="B42" s="1" t="s">
        <v>1083</v>
      </c>
      <c r="C42" s="1">
        <f t="shared" si="2"/>
        <v>40</v>
      </c>
      <c r="D42" s="1" t="s">
        <v>1032</v>
      </c>
      <c r="E42" s="1" t="s">
        <v>31</v>
      </c>
      <c r="F42" s="11">
        <f t="shared" si="3"/>
        <v>430</v>
      </c>
      <c r="G42" s="11">
        <f t="shared" si="4"/>
        <v>5.375</v>
      </c>
      <c r="H42" s="1">
        <v>80.0</v>
      </c>
      <c r="I42" s="1">
        <v>29.0</v>
      </c>
      <c r="J42" s="1">
        <v>36.0</v>
      </c>
      <c r="K42" s="1">
        <v>65.0</v>
      </c>
      <c r="L42" s="1">
        <v>279.0</v>
      </c>
      <c r="M42" s="1">
        <v>9.0</v>
      </c>
      <c r="N42" s="1">
        <v>11.0</v>
      </c>
      <c r="O42" s="1">
        <v>0.0</v>
      </c>
      <c r="P42" s="1">
        <v>0.0</v>
      </c>
      <c r="Q42" s="1">
        <v>134.0</v>
      </c>
      <c r="R42" s="1">
        <v>37.0</v>
      </c>
    </row>
    <row r="43">
      <c r="A43" s="1">
        <f t="shared" si="1"/>
        <v>41</v>
      </c>
      <c r="B43" s="1" t="s">
        <v>1090</v>
      </c>
      <c r="C43" s="1">
        <f t="shared" si="2"/>
        <v>41</v>
      </c>
      <c r="D43" s="1" t="s">
        <v>1091</v>
      </c>
      <c r="E43" s="1" t="s">
        <v>31</v>
      </c>
      <c r="F43" s="11">
        <f t="shared" si="3"/>
        <v>428</v>
      </c>
      <c r="G43" s="11">
        <f t="shared" si="4"/>
        <v>5.631578947</v>
      </c>
      <c r="H43" s="1">
        <v>76.0</v>
      </c>
      <c r="I43" s="1">
        <v>33.0</v>
      </c>
      <c r="J43" s="1">
        <v>35.0</v>
      </c>
      <c r="K43" s="1">
        <v>68.0</v>
      </c>
      <c r="L43" s="1">
        <v>244.0</v>
      </c>
      <c r="M43" s="1">
        <v>4.0</v>
      </c>
      <c r="N43" s="1">
        <v>5.0</v>
      </c>
      <c r="O43" s="1">
        <v>6.0</v>
      </c>
      <c r="P43" s="1">
        <v>1.0</v>
      </c>
      <c r="Q43" s="1">
        <v>90.0</v>
      </c>
      <c r="R43" s="1">
        <v>32.0</v>
      </c>
    </row>
    <row r="44">
      <c r="A44" s="1">
        <f t="shared" si="1"/>
        <v>42</v>
      </c>
      <c r="B44" s="1" t="s">
        <v>1092</v>
      </c>
      <c r="C44" s="1">
        <f t="shared" si="2"/>
        <v>42</v>
      </c>
      <c r="D44" s="1" t="s">
        <v>1048</v>
      </c>
      <c r="E44" s="1" t="s">
        <v>31</v>
      </c>
      <c r="F44" s="11">
        <f t="shared" si="3"/>
        <v>426</v>
      </c>
      <c r="G44" s="11">
        <f t="shared" si="4"/>
        <v>5.835616438</v>
      </c>
      <c r="H44" s="1">
        <v>73.0</v>
      </c>
      <c r="I44" s="1">
        <v>23.0</v>
      </c>
      <c r="J44" s="1">
        <v>57.0</v>
      </c>
      <c r="K44" s="1">
        <v>80.0</v>
      </c>
      <c r="L44" s="1">
        <v>193.0</v>
      </c>
      <c r="M44" s="1">
        <v>5.0</v>
      </c>
      <c r="N44" s="1">
        <v>24.0</v>
      </c>
      <c r="O44" s="1">
        <v>0.0</v>
      </c>
      <c r="P44" s="1">
        <v>2.0</v>
      </c>
      <c r="Q44" s="1">
        <v>104.0</v>
      </c>
      <c r="R44" s="1">
        <v>50.0</v>
      </c>
    </row>
    <row r="45">
      <c r="A45" s="1">
        <f t="shared" si="1"/>
        <v>43</v>
      </c>
      <c r="B45" s="1" t="s">
        <v>1093</v>
      </c>
      <c r="C45" s="1">
        <f t="shared" si="2"/>
        <v>43</v>
      </c>
      <c r="D45" s="1" t="s">
        <v>1087</v>
      </c>
      <c r="E45" s="1" t="s">
        <v>66</v>
      </c>
      <c r="F45" s="11">
        <f t="shared" si="3"/>
        <v>425</v>
      </c>
      <c r="G45" s="11">
        <f t="shared" si="4"/>
        <v>5.379746835</v>
      </c>
      <c r="H45" s="1">
        <v>79.0</v>
      </c>
      <c r="I45" s="1">
        <v>10.0</v>
      </c>
      <c r="J45" s="1">
        <v>60.0</v>
      </c>
      <c r="K45" s="1">
        <v>70.0</v>
      </c>
      <c r="L45" s="1">
        <v>174.0</v>
      </c>
      <c r="M45" s="1">
        <v>1.0</v>
      </c>
      <c r="N45" s="1">
        <v>23.0</v>
      </c>
      <c r="O45" s="1">
        <v>0.0</v>
      </c>
      <c r="P45" s="1">
        <v>1.0</v>
      </c>
      <c r="Q45" s="1">
        <v>84.0</v>
      </c>
      <c r="R45" s="1">
        <v>180.0</v>
      </c>
    </row>
    <row r="46">
      <c r="A46" s="1">
        <f t="shared" si="1"/>
        <v>44</v>
      </c>
      <c r="B46" s="1" t="s">
        <v>1095</v>
      </c>
      <c r="C46" s="1">
        <f t="shared" si="2"/>
        <v>44</v>
      </c>
      <c r="D46" s="1" t="s">
        <v>1073</v>
      </c>
      <c r="E46" s="1" t="s">
        <v>28</v>
      </c>
      <c r="F46" s="11">
        <f t="shared" si="3"/>
        <v>421</v>
      </c>
      <c r="G46" s="11">
        <f t="shared" si="4"/>
        <v>6.28358209</v>
      </c>
      <c r="H46" s="1">
        <v>67.0</v>
      </c>
      <c r="I46" s="1">
        <v>30.0</v>
      </c>
      <c r="J46" s="1">
        <v>47.0</v>
      </c>
      <c r="K46" s="1">
        <v>77.0</v>
      </c>
      <c r="L46" s="1">
        <v>238.0</v>
      </c>
      <c r="M46" s="1">
        <v>5.0</v>
      </c>
      <c r="N46" s="1">
        <v>17.0</v>
      </c>
      <c r="O46" s="1">
        <v>0.0</v>
      </c>
      <c r="P46" s="1">
        <v>0.0</v>
      </c>
      <c r="Q46" s="1">
        <v>48.0</v>
      </c>
      <c r="R46" s="1">
        <v>28.0</v>
      </c>
    </row>
    <row r="47">
      <c r="A47" s="1">
        <f t="shared" si="1"/>
        <v>45</v>
      </c>
      <c r="B47" s="1" t="s">
        <v>1098</v>
      </c>
      <c r="C47" s="1">
        <f t="shared" si="2"/>
        <v>45</v>
      </c>
      <c r="D47" s="1" t="s">
        <v>1087</v>
      </c>
      <c r="E47" s="1" t="s">
        <v>31</v>
      </c>
      <c r="F47" s="11">
        <f t="shared" si="3"/>
        <v>420</v>
      </c>
      <c r="G47" s="11">
        <f t="shared" si="4"/>
        <v>5.12195122</v>
      </c>
      <c r="H47" s="1">
        <v>82.0</v>
      </c>
      <c r="I47" s="1">
        <v>34.0</v>
      </c>
      <c r="J47" s="1">
        <v>35.0</v>
      </c>
      <c r="K47" s="1">
        <v>69.0</v>
      </c>
      <c r="L47" s="1">
        <v>250.0</v>
      </c>
      <c r="M47" s="1">
        <v>9.0</v>
      </c>
      <c r="N47" s="1">
        <v>10.0</v>
      </c>
      <c r="O47" s="1">
        <v>1.0</v>
      </c>
      <c r="P47" s="1">
        <v>1.0</v>
      </c>
      <c r="Q47" s="1">
        <v>38.0</v>
      </c>
      <c r="R47" s="1">
        <v>47.0</v>
      </c>
    </row>
    <row r="48">
      <c r="A48" s="1">
        <f t="shared" si="1"/>
        <v>46</v>
      </c>
      <c r="B48" s="1" t="s">
        <v>1096</v>
      </c>
      <c r="C48" s="1">
        <f t="shared" si="2"/>
        <v>46</v>
      </c>
      <c r="D48" s="1" t="s">
        <v>1097</v>
      </c>
      <c r="E48" s="1" t="s">
        <v>36</v>
      </c>
      <c r="F48" s="11">
        <f t="shared" si="3"/>
        <v>419</v>
      </c>
      <c r="G48" s="11">
        <f t="shared" si="4"/>
        <v>5.109756098</v>
      </c>
      <c r="H48" s="1">
        <v>82.0</v>
      </c>
      <c r="I48" s="1">
        <v>28.0</v>
      </c>
      <c r="J48" s="1">
        <v>37.0</v>
      </c>
      <c r="K48" s="1">
        <v>65.0</v>
      </c>
      <c r="L48" s="1">
        <v>314.0</v>
      </c>
      <c r="M48" s="1">
        <v>9.0</v>
      </c>
      <c r="N48" s="1">
        <v>12.0</v>
      </c>
      <c r="O48" s="1">
        <v>0.0</v>
      </c>
      <c r="P48" s="1">
        <v>0.0</v>
      </c>
      <c r="Q48" s="1">
        <v>56.0</v>
      </c>
      <c r="R48" s="1">
        <v>22.0</v>
      </c>
    </row>
    <row r="49">
      <c r="A49" s="1">
        <f t="shared" si="1"/>
        <v>47</v>
      </c>
      <c r="B49" s="1" t="s">
        <v>1099</v>
      </c>
      <c r="C49" s="1">
        <f t="shared" si="2"/>
        <v>47</v>
      </c>
      <c r="D49" s="1" t="s">
        <v>1087</v>
      </c>
      <c r="E49" s="1" t="s">
        <v>31</v>
      </c>
      <c r="F49" s="11">
        <f t="shared" si="3"/>
        <v>417.5</v>
      </c>
      <c r="G49" s="11">
        <f t="shared" si="4"/>
        <v>5.154320988</v>
      </c>
      <c r="H49" s="1">
        <v>81.0</v>
      </c>
      <c r="I49" s="1">
        <v>33.0</v>
      </c>
      <c r="J49" s="1">
        <v>35.0</v>
      </c>
      <c r="K49" s="1">
        <v>68.0</v>
      </c>
      <c r="L49" s="1">
        <v>248.0</v>
      </c>
      <c r="M49" s="1">
        <v>10.0</v>
      </c>
      <c r="N49" s="1">
        <v>8.0</v>
      </c>
      <c r="O49" s="1">
        <v>1.0</v>
      </c>
      <c r="P49" s="1">
        <v>1.0</v>
      </c>
      <c r="Q49" s="1">
        <v>60.0</v>
      </c>
      <c r="R49" s="1">
        <v>42.0</v>
      </c>
    </row>
    <row r="50">
      <c r="A50" s="1">
        <f t="shared" si="1"/>
        <v>48</v>
      </c>
      <c r="B50" s="1" t="s">
        <v>1100</v>
      </c>
      <c r="C50" s="1">
        <f t="shared" si="2"/>
        <v>48</v>
      </c>
      <c r="D50" s="1" t="s">
        <v>1040</v>
      </c>
      <c r="E50" s="1" t="s">
        <v>31</v>
      </c>
      <c r="F50" s="11">
        <f t="shared" si="3"/>
        <v>417.25</v>
      </c>
      <c r="G50" s="11">
        <f t="shared" si="4"/>
        <v>5.151234568</v>
      </c>
      <c r="H50" s="1">
        <v>81.0</v>
      </c>
      <c r="I50" s="1">
        <v>26.0</v>
      </c>
      <c r="J50" s="1">
        <v>46.0</v>
      </c>
      <c r="K50" s="1">
        <v>72.0</v>
      </c>
      <c r="L50" s="1">
        <v>221.0</v>
      </c>
      <c r="M50" s="1">
        <v>12.0</v>
      </c>
      <c r="N50" s="1">
        <v>19.0</v>
      </c>
      <c r="O50" s="1">
        <v>2.0</v>
      </c>
      <c r="P50" s="1">
        <v>4.0</v>
      </c>
      <c r="Q50" s="1">
        <v>49.0</v>
      </c>
      <c r="R50" s="1">
        <v>55.0</v>
      </c>
    </row>
    <row r="51">
      <c r="A51" s="1">
        <f t="shared" si="1"/>
        <v>49</v>
      </c>
      <c r="B51" s="1" t="s">
        <v>1101</v>
      </c>
      <c r="C51" s="1">
        <f t="shared" si="2"/>
        <v>49</v>
      </c>
      <c r="D51" s="1" t="s">
        <v>1048</v>
      </c>
      <c r="E51" s="1" t="s">
        <v>31</v>
      </c>
      <c r="F51" s="11">
        <f t="shared" si="3"/>
        <v>415.75</v>
      </c>
      <c r="G51" s="11">
        <f t="shared" si="4"/>
        <v>5.470394737</v>
      </c>
      <c r="H51" s="1">
        <v>76.0</v>
      </c>
      <c r="I51" s="1">
        <v>34.0</v>
      </c>
      <c r="J51" s="1">
        <v>38.0</v>
      </c>
      <c r="K51" s="1">
        <v>72.0</v>
      </c>
      <c r="L51" s="1">
        <v>246.0</v>
      </c>
      <c r="M51" s="1">
        <v>8.0</v>
      </c>
      <c r="N51" s="1">
        <v>13.0</v>
      </c>
      <c r="O51" s="1">
        <v>0.0</v>
      </c>
      <c r="P51" s="1">
        <v>0.0</v>
      </c>
      <c r="Q51" s="1">
        <v>63.0</v>
      </c>
      <c r="R51" s="1">
        <v>20.0</v>
      </c>
    </row>
    <row r="52">
      <c r="A52" s="1">
        <f t="shared" si="1"/>
        <v>49</v>
      </c>
      <c r="B52" s="1" t="s">
        <v>1105</v>
      </c>
      <c r="C52" s="1">
        <f t="shared" si="2"/>
        <v>49</v>
      </c>
      <c r="D52" s="1" t="s">
        <v>1106</v>
      </c>
      <c r="E52" s="1" t="s">
        <v>31</v>
      </c>
      <c r="F52" s="11">
        <f t="shared" si="3"/>
        <v>415.75</v>
      </c>
      <c r="G52" s="11">
        <f t="shared" si="4"/>
        <v>5.070121951</v>
      </c>
      <c r="H52" s="1">
        <v>82.0</v>
      </c>
      <c r="I52" s="1">
        <v>26.0</v>
      </c>
      <c r="J52" s="1">
        <v>60.0</v>
      </c>
      <c r="K52" s="1">
        <v>86.0</v>
      </c>
      <c r="L52" s="1">
        <v>170.0</v>
      </c>
      <c r="M52" s="1">
        <v>8.0</v>
      </c>
      <c r="N52" s="1">
        <v>19.0</v>
      </c>
      <c r="O52" s="1">
        <v>1.0</v>
      </c>
      <c r="P52" s="1">
        <v>2.0</v>
      </c>
      <c r="Q52" s="1">
        <v>17.0</v>
      </c>
      <c r="R52" s="1">
        <v>47.0</v>
      </c>
    </row>
    <row r="53">
      <c r="A53" s="1">
        <f t="shared" si="1"/>
        <v>51</v>
      </c>
      <c r="B53" s="1" t="s">
        <v>1102</v>
      </c>
      <c r="C53" s="1">
        <f t="shared" si="2"/>
        <v>51</v>
      </c>
      <c r="D53" s="1" t="s">
        <v>1032</v>
      </c>
      <c r="E53" s="1" t="s">
        <v>36</v>
      </c>
      <c r="F53" s="11">
        <f t="shared" si="3"/>
        <v>415.25</v>
      </c>
      <c r="G53" s="11">
        <f t="shared" si="4"/>
        <v>6.018115942</v>
      </c>
      <c r="H53" s="1">
        <v>69.0</v>
      </c>
      <c r="I53" s="1">
        <v>26.0</v>
      </c>
      <c r="J53" s="1">
        <v>59.0</v>
      </c>
      <c r="K53" s="1">
        <v>85.0</v>
      </c>
      <c r="L53" s="1">
        <v>158.0</v>
      </c>
      <c r="M53" s="1">
        <v>8.0</v>
      </c>
      <c r="N53" s="1">
        <v>19.0</v>
      </c>
      <c r="O53" s="1">
        <v>1.0</v>
      </c>
      <c r="P53" s="1">
        <v>0.0</v>
      </c>
      <c r="Q53" s="1">
        <v>59.0</v>
      </c>
      <c r="R53" s="1">
        <v>51.0</v>
      </c>
    </row>
    <row r="54">
      <c r="A54" s="1">
        <f t="shared" si="1"/>
        <v>52</v>
      </c>
      <c r="B54" s="1" t="s">
        <v>1108</v>
      </c>
      <c r="C54" s="1">
        <f t="shared" si="2"/>
        <v>52</v>
      </c>
      <c r="D54" s="1" t="s">
        <v>1076</v>
      </c>
      <c r="E54" s="1" t="s">
        <v>31</v>
      </c>
      <c r="F54" s="11">
        <f t="shared" si="3"/>
        <v>414</v>
      </c>
      <c r="G54" s="11">
        <f t="shared" si="4"/>
        <v>6.677419355</v>
      </c>
      <c r="H54" s="1">
        <v>62.0</v>
      </c>
      <c r="I54" s="1">
        <v>27.0</v>
      </c>
      <c r="J54" s="1">
        <v>47.0</v>
      </c>
      <c r="K54" s="1">
        <v>74.0</v>
      </c>
      <c r="L54" s="1">
        <v>274.0</v>
      </c>
      <c r="M54" s="1">
        <v>9.0</v>
      </c>
      <c r="N54" s="1">
        <v>22.0</v>
      </c>
      <c r="O54" s="1">
        <v>0.0</v>
      </c>
      <c r="P54" s="1">
        <v>0.0</v>
      </c>
      <c r="Q54" s="1">
        <v>10.0</v>
      </c>
      <c r="R54" s="1">
        <v>24.0</v>
      </c>
    </row>
    <row r="55">
      <c r="A55" s="1">
        <f t="shared" si="1"/>
        <v>52</v>
      </c>
      <c r="B55" s="1" t="s">
        <v>1103</v>
      </c>
      <c r="C55" s="1">
        <f t="shared" si="2"/>
        <v>52</v>
      </c>
      <c r="D55" s="1" t="s">
        <v>1097</v>
      </c>
      <c r="E55" s="1" t="s">
        <v>31</v>
      </c>
      <c r="F55" s="11">
        <f t="shared" si="3"/>
        <v>414</v>
      </c>
      <c r="G55" s="11">
        <f t="shared" si="4"/>
        <v>5.048780488</v>
      </c>
      <c r="H55" s="1">
        <v>82.0</v>
      </c>
      <c r="I55" s="1">
        <v>33.0</v>
      </c>
      <c r="J55" s="1">
        <v>44.0</v>
      </c>
      <c r="K55" s="1">
        <v>77.0</v>
      </c>
      <c r="L55" s="1">
        <v>185.0</v>
      </c>
      <c r="M55" s="1">
        <v>12.0</v>
      </c>
      <c r="N55" s="1">
        <v>19.0</v>
      </c>
      <c r="O55" s="1">
        <v>0.0</v>
      </c>
      <c r="P55" s="1">
        <v>0.0</v>
      </c>
      <c r="Q55" s="1">
        <v>68.0</v>
      </c>
      <c r="R55" s="1">
        <v>48.0</v>
      </c>
    </row>
    <row r="56">
      <c r="A56" s="1">
        <f t="shared" si="1"/>
        <v>54</v>
      </c>
      <c r="B56" s="1" t="s">
        <v>1110</v>
      </c>
      <c r="C56" s="1">
        <f t="shared" si="2"/>
        <v>54</v>
      </c>
      <c r="D56" s="1" t="s">
        <v>1111</v>
      </c>
      <c r="E56" s="1" t="s">
        <v>31</v>
      </c>
      <c r="F56" s="11">
        <f t="shared" si="3"/>
        <v>411.5</v>
      </c>
      <c r="G56" s="11">
        <f t="shared" si="4"/>
        <v>5.275641026</v>
      </c>
      <c r="H56" s="1">
        <v>78.0</v>
      </c>
      <c r="I56" s="1">
        <v>33.0</v>
      </c>
      <c r="J56" s="1">
        <v>43.0</v>
      </c>
      <c r="K56" s="1">
        <v>76.0</v>
      </c>
      <c r="L56" s="1">
        <v>228.0</v>
      </c>
      <c r="M56" s="1">
        <v>9.0</v>
      </c>
      <c r="N56" s="1">
        <v>21.0</v>
      </c>
      <c r="O56" s="1">
        <v>0.0</v>
      </c>
      <c r="P56" s="1">
        <v>0.0</v>
      </c>
      <c r="Q56" s="1">
        <v>20.0</v>
      </c>
      <c r="R56" s="1">
        <v>30.0</v>
      </c>
    </row>
    <row r="57">
      <c r="A57" s="1">
        <f t="shared" si="1"/>
        <v>55</v>
      </c>
      <c r="B57" s="1" t="s">
        <v>1115</v>
      </c>
      <c r="C57" s="1">
        <f t="shared" si="2"/>
        <v>55</v>
      </c>
      <c r="D57" s="1" t="s">
        <v>1116</v>
      </c>
      <c r="E57" s="1" t="s">
        <v>5</v>
      </c>
      <c r="F57" s="11">
        <f t="shared" si="3"/>
        <v>409.8</v>
      </c>
      <c r="G57" s="11">
        <f t="shared" si="4"/>
        <v>6.83</v>
      </c>
      <c r="H57" s="1">
        <v>60.0</v>
      </c>
      <c r="S57" s="1">
        <v>37.0</v>
      </c>
      <c r="T57" s="1">
        <v>142.0</v>
      </c>
      <c r="U57" s="12">
        <v>1656.0</v>
      </c>
      <c r="V57" s="1">
        <v>5.0</v>
      </c>
    </row>
    <row r="58">
      <c r="A58" s="1">
        <f t="shared" si="1"/>
        <v>56</v>
      </c>
      <c r="B58" s="1" t="s">
        <v>1107</v>
      </c>
      <c r="C58" s="1">
        <f t="shared" si="2"/>
        <v>56</v>
      </c>
      <c r="D58" s="1" t="s">
        <v>1046</v>
      </c>
      <c r="E58" s="1" t="s">
        <v>36</v>
      </c>
      <c r="F58" s="11">
        <f t="shared" si="3"/>
        <v>409.5</v>
      </c>
      <c r="G58" s="11">
        <f t="shared" si="4"/>
        <v>5.055555556</v>
      </c>
      <c r="H58" s="1">
        <v>81.0</v>
      </c>
      <c r="I58" s="1">
        <v>40.0</v>
      </c>
      <c r="J58" s="1">
        <v>33.0</v>
      </c>
      <c r="K58" s="1">
        <v>73.0</v>
      </c>
      <c r="L58" s="1">
        <v>204.0</v>
      </c>
      <c r="M58" s="1">
        <v>16.0</v>
      </c>
      <c r="N58" s="1">
        <v>9.0</v>
      </c>
      <c r="O58" s="1">
        <v>0.0</v>
      </c>
      <c r="P58" s="1">
        <v>0.0</v>
      </c>
      <c r="Q58" s="1">
        <v>56.0</v>
      </c>
      <c r="R58" s="1">
        <v>29.0</v>
      </c>
    </row>
    <row r="59">
      <c r="A59" s="1">
        <f t="shared" si="1"/>
        <v>57</v>
      </c>
      <c r="B59" s="1" t="s">
        <v>1109</v>
      </c>
      <c r="C59" s="1">
        <f t="shared" si="2"/>
        <v>57</v>
      </c>
      <c r="D59" s="1" t="s">
        <v>1097</v>
      </c>
      <c r="E59" s="1" t="s">
        <v>66</v>
      </c>
      <c r="F59" s="11">
        <f t="shared" si="3"/>
        <v>408.25</v>
      </c>
      <c r="G59" s="11">
        <f t="shared" si="4"/>
        <v>4.978658537</v>
      </c>
      <c r="H59" s="1">
        <v>82.0</v>
      </c>
      <c r="I59" s="1">
        <v>11.0</v>
      </c>
      <c r="J59" s="1">
        <v>51.0</v>
      </c>
      <c r="K59" s="1">
        <v>62.0</v>
      </c>
      <c r="L59" s="1">
        <v>187.0</v>
      </c>
      <c r="M59" s="1">
        <v>5.0</v>
      </c>
      <c r="N59" s="1">
        <v>23.0</v>
      </c>
      <c r="O59" s="1">
        <v>2.0</v>
      </c>
      <c r="P59" s="1">
        <v>0.0</v>
      </c>
      <c r="Q59" s="1">
        <v>61.0</v>
      </c>
      <c r="R59" s="1">
        <v>186.0</v>
      </c>
    </row>
    <row r="60">
      <c r="A60" s="1">
        <f t="shared" si="1"/>
        <v>58</v>
      </c>
      <c r="B60" s="1" t="s">
        <v>1104</v>
      </c>
      <c r="C60" s="1">
        <f t="shared" si="2"/>
        <v>58</v>
      </c>
      <c r="D60" s="1" t="s">
        <v>1091</v>
      </c>
      <c r="E60" s="1" t="s">
        <v>36</v>
      </c>
      <c r="F60" s="11">
        <f t="shared" si="3"/>
        <v>405.75</v>
      </c>
      <c r="G60" s="11">
        <f t="shared" si="4"/>
        <v>5.201923077</v>
      </c>
      <c r="H60" s="1">
        <v>78.0</v>
      </c>
      <c r="I60" s="1">
        <v>28.0</v>
      </c>
      <c r="J60" s="1">
        <v>25.0</v>
      </c>
      <c r="K60" s="1">
        <v>53.0</v>
      </c>
      <c r="L60" s="1">
        <v>289.0</v>
      </c>
      <c r="M60" s="1">
        <v>5.0</v>
      </c>
      <c r="N60" s="1">
        <v>3.0</v>
      </c>
      <c r="O60" s="1">
        <v>0.0</v>
      </c>
      <c r="P60" s="1">
        <v>0.0</v>
      </c>
      <c r="Q60" s="1">
        <v>147.0</v>
      </c>
      <c r="R60" s="1">
        <v>47.0</v>
      </c>
    </row>
    <row r="61">
      <c r="A61" s="1">
        <f t="shared" si="1"/>
        <v>58</v>
      </c>
      <c r="B61" s="1" t="s">
        <v>1113</v>
      </c>
      <c r="C61" s="1">
        <f t="shared" si="2"/>
        <v>58</v>
      </c>
      <c r="D61" s="1" t="s">
        <v>1078</v>
      </c>
      <c r="E61" s="1" t="s">
        <v>28</v>
      </c>
      <c r="F61" s="11">
        <f t="shared" si="3"/>
        <v>405.75</v>
      </c>
      <c r="G61" s="11">
        <f t="shared" si="4"/>
        <v>4.948170732</v>
      </c>
      <c r="H61" s="1">
        <v>82.0</v>
      </c>
      <c r="I61" s="1">
        <v>29.0</v>
      </c>
      <c r="J61" s="1">
        <v>44.0</v>
      </c>
      <c r="K61" s="1">
        <v>73.0</v>
      </c>
      <c r="L61" s="1">
        <v>225.0</v>
      </c>
      <c r="M61" s="1">
        <v>11.0</v>
      </c>
      <c r="N61" s="1">
        <v>19.0</v>
      </c>
      <c r="O61" s="1">
        <v>0.0</v>
      </c>
      <c r="P61" s="1">
        <v>0.0</v>
      </c>
      <c r="Q61" s="1">
        <v>67.0</v>
      </c>
      <c r="R61" s="1">
        <v>28.0</v>
      </c>
    </row>
    <row r="62">
      <c r="A62" s="1">
        <f t="shared" si="1"/>
        <v>60</v>
      </c>
      <c r="B62" s="1" t="s">
        <v>1112</v>
      </c>
      <c r="C62" s="1">
        <f t="shared" si="2"/>
        <v>60</v>
      </c>
      <c r="D62" s="1" t="s">
        <v>1038</v>
      </c>
      <c r="E62" s="1" t="s">
        <v>28</v>
      </c>
      <c r="F62" s="11">
        <f t="shared" si="3"/>
        <v>402</v>
      </c>
      <c r="G62" s="11">
        <f t="shared" si="4"/>
        <v>4.902439024</v>
      </c>
      <c r="H62" s="1">
        <v>82.0</v>
      </c>
      <c r="I62" s="1">
        <v>29.0</v>
      </c>
      <c r="J62" s="1">
        <v>38.0</v>
      </c>
      <c r="K62" s="1">
        <v>67.0</v>
      </c>
      <c r="L62" s="1">
        <v>207.0</v>
      </c>
      <c r="M62" s="1">
        <v>7.0</v>
      </c>
      <c r="N62" s="1">
        <v>19.0</v>
      </c>
      <c r="O62" s="1">
        <v>3.0</v>
      </c>
      <c r="P62" s="1">
        <v>1.0</v>
      </c>
      <c r="Q62" s="1">
        <v>114.0</v>
      </c>
      <c r="R62" s="1">
        <v>35.0</v>
      </c>
    </row>
    <row r="63">
      <c r="A63" s="1">
        <f t="shared" si="1"/>
        <v>61</v>
      </c>
      <c r="B63" s="1" t="s">
        <v>1114</v>
      </c>
      <c r="C63" s="1">
        <f t="shared" si="2"/>
        <v>61</v>
      </c>
      <c r="D63" s="1" t="s">
        <v>1073</v>
      </c>
      <c r="E63" s="1" t="s">
        <v>36</v>
      </c>
      <c r="F63" s="11">
        <f t="shared" si="3"/>
        <v>399.25</v>
      </c>
      <c r="G63" s="11">
        <f t="shared" si="4"/>
        <v>4.929012346</v>
      </c>
      <c r="H63" s="1">
        <v>81.0</v>
      </c>
      <c r="I63" s="1">
        <v>33.0</v>
      </c>
      <c r="J63" s="1">
        <v>34.0</v>
      </c>
      <c r="K63" s="1">
        <v>67.0</v>
      </c>
      <c r="L63" s="1">
        <v>176.0</v>
      </c>
      <c r="M63" s="1">
        <v>13.0</v>
      </c>
      <c r="N63" s="1">
        <v>7.0</v>
      </c>
      <c r="O63" s="1">
        <v>2.0</v>
      </c>
      <c r="P63" s="1">
        <v>1.0</v>
      </c>
      <c r="Q63" s="1">
        <v>115.0</v>
      </c>
      <c r="R63" s="1">
        <v>52.0</v>
      </c>
    </row>
    <row r="64">
      <c r="A64" s="1">
        <f t="shared" si="1"/>
        <v>62</v>
      </c>
      <c r="B64" s="1" t="s">
        <v>1119</v>
      </c>
      <c r="C64" s="1">
        <f t="shared" si="2"/>
        <v>62</v>
      </c>
      <c r="D64" s="1" t="s">
        <v>1120</v>
      </c>
      <c r="E64" s="1" t="s">
        <v>31</v>
      </c>
      <c r="F64" s="11">
        <f t="shared" si="3"/>
        <v>399</v>
      </c>
      <c r="G64" s="11">
        <f t="shared" si="4"/>
        <v>5.867647059</v>
      </c>
      <c r="H64" s="1">
        <v>68.0</v>
      </c>
      <c r="I64" s="1">
        <v>33.0</v>
      </c>
      <c r="J64" s="1">
        <v>36.0</v>
      </c>
      <c r="K64" s="1">
        <v>69.0</v>
      </c>
      <c r="L64" s="1">
        <v>221.0</v>
      </c>
      <c r="M64" s="1">
        <v>14.0</v>
      </c>
      <c r="N64" s="1">
        <v>12.0</v>
      </c>
      <c r="O64" s="1">
        <v>2.0</v>
      </c>
      <c r="P64" s="1">
        <v>0.0</v>
      </c>
      <c r="Q64" s="1">
        <v>44.0</v>
      </c>
      <c r="R64" s="1">
        <v>34.0</v>
      </c>
    </row>
    <row r="65">
      <c r="A65" s="1">
        <f t="shared" si="1"/>
        <v>63</v>
      </c>
      <c r="B65" s="1" t="s">
        <v>1117</v>
      </c>
      <c r="C65" s="1">
        <f t="shared" si="2"/>
        <v>63</v>
      </c>
      <c r="D65" s="1" t="s">
        <v>1034</v>
      </c>
      <c r="E65" s="1" t="s">
        <v>66</v>
      </c>
      <c r="F65" s="11">
        <f t="shared" si="3"/>
        <v>398.75</v>
      </c>
      <c r="G65" s="11">
        <f t="shared" si="4"/>
        <v>5.112179487</v>
      </c>
      <c r="H65" s="1">
        <v>78.0</v>
      </c>
      <c r="I65" s="1">
        <v>13.0</v>
      </c>
      <c r="J65" s="1">
        <v>63.0</v>
      </c>
      <c r="K65" s="1">
        <v>76.0</v>
      </c>
      <c r="L65" s="1">
        <v>168.0</v>
      </c>
      <c r="M65" s="1">
        <v>4.0</v>
      </c>
      <c r="N65" s="1">
        <v>27.0</v>
      </c>
      <c r="O65" s="1">
        <v>0.0</v>
      </c>
      <c r="P65" s="1">
        <v>0.0</v>
      </c>
      <c r="Q65" s="1">
        <v>65.0</v>
      </c>
      <c r="R65" s="1">
        <v>102.0</v>
      </c>
    </row>
    <row r="66">
      <c r="A66" s="1">
        <f t="shared" si="1"/>
        <v>64</v>
      </c>
      <c r="B66" s="1" t="s">
        <v>1122</v>
      </c>
      <c r="C66" s="1">
        <f t="shared" si="2"/>
        <v>64</v>
      </c>
      <c r="D66" s="1" t="s">
        <v>1034</v>
      </c>
      <c r="E66" s="1" t="s">
        <v>28</v>
      </c>
      <c r="F66" s="11">
        <f t="shared" si="3"/>
        <v>396.25</v>
      </c>
      <c r="G66" s="11">
        <f t="shared" si="4"/>
        <v>4.832317073</v>
      </c>
      <c r="H66" s="1">
        <v>82.0</v>
      </c>
      <c r="I66" s="1">
        <v>26.0</v>
      </c>
      <c r="J66" s="1">
        <v>49.0</v>
      </c>
      <c r="K66" s="1">
        <v>75.0</v>
      </c>
      <c r="L66" s="1">
        <v>184.0</v>
      </c>
      <c r="M66" s="1">
        <v>2.0</v>
      </c>
      <c r="N66" s="1">
        <v>5.0</v>
      </c>
      <c r="O66" s="1">
        <v>0.0</v>
      </c>
      <c r="P66" s="1">
        <v>2.0</v>
      </c>
      <c r="Q66" s="1">
        <v>55.0</v>
      </c>
      <c r="R66" s="1">
        <v>45.0</v>
      </c>
    </row>
    <row r="67">
      <c r="A67" s="1">
        <f t="shared" si="1"/>
        <v>65</v>
      </c>
      <c r="B67" s="1" t="s">
        <v>1125</v>
      </c>
      <c r="C67" s="1">
        <f t="shared" si="2"/>
        <v>65</v>
      </c>
      <c r="D67" s="1" t="s">
        <v>1106</v>
      </c>
      <c r="E67" s="1" t="s">
        <v>36</v>
      </c>
      <c r="F67" s="11">
        <f t="shared" si="3"/>
        <v>395.5</v>
      </c>
      <c r="G67" s="11">
        <f t="shared" si="4"/>
        <v>4.823170732</v>
      </c>
      <c r="H67" s="1">
        <v>82.0</v>
      </c>
      <c r="I67" s="1">
        <v>31.0</v>
      </c>
      <c r="J67" s="1">
        <v>36.0</v>
      </c>
      <c r="K67" s="1">
        <v>67.0</v>
      </c>
      <c r="L67" s="1">
        <v>251.0</v>
      </c>
      <c r="M67" s="1">
        <v>8.0</v>
      </c>
      <c r="N67" s="1">
        <v>13.0</v>
      </c>
      <c r="O67" s="1">
        <v>0.0</v>
      </c>
      <c r="P67" s="1">
        <v>0.0</v>
      </c>
      <c r="Q67" s="1">
        <v>26.0</v>
      </c>
      <c r="R67" s="1">
        <v>32.0</v>
      </c>
    </row>
    <row r="68">
      <c r="A68" s="1">
        <f t="shared" si="1"/>
        <v>66</v>
      </c>
      <c r="B68" s="1" t="s">
        <v>1118</v>
      </c>
      <c r="C68" s="1">
        <f t="shared" si="2"/>
        <v>66</v>
      </c>
      <c r="D68" s="1" t="s">
        <v>1078</v>
      </c>
      <c r="E68" s="1" t="s">
        <v>28</v>
      </c>
      <c r="F68" s="11">
        <f t="shared" si="3"/>
        <v>395.25</v>
      </c>
      <c r="G68" s="11">
        <f t="shared" si="4"/>
        <v>4.820121951</v>
      </c>
      <c r="H68" s="1">
        <v>82.0</v>
      </c>
      <c r="I68" s="1">
        <v>31.0</v>
      </c>
      <c r="J68" s="1">
        <v>26.0</v>
      </c>
      <c r="K68" s="1">
        <v>57.0</v>
      </c>
      <c r="L68" s="1">
        <v>244.0</v>
      </c>
      <c r="M68" s="1">
        <v>2.0</v>
      </c>
      <c r="N68" s="1">
        <v>5.0</v>
      </c>
      <c r="O68" s="1">
        <v>2.0</v>
      </c>
      <c r="P68" s="1">
        <v>0.0</v>
      </c>
      <c r="Q68" s="1">
        <v>91.0</v>
      </c>
      <c r="R68" s="1">
        <v>58.0</v>
      </c>
    </row>
    <row r="69">
      <c r="A69" s="1">
        <f t="shared" si="1"/>
        <v>67</v>
      </c>
      <c r="B69" s="1" t="s">
        <v>1121</v>
      </c>
      <c r="C69" s="1">
        <f t="shared" si="2"/>
        <v>67</v>
      </c>
      <c r="D69" s="1" t="s">
        <v>1116</v>
      </c>
      <c r="E69" s="1" t="s">
        <v>66</v>
      </c>
      <c r="F69" s="11">
        <f t="shared" si="3"/>
        <v>394</v>
      </c>
      <c r="G69" s="11">
        <f t="shared" si="4"/>
        <v>4.864197531</v>
      </c>
      <c r="H69" s="1">
        <v>81.0</v>
      </c>
      <c r="I69" s="1">
        <v>10.0</v>
      </c>
      <c r="J69" s="1">
        <v>59.0</v>
      </c>
      <c r="K69" s="1">
        <v>69.0</v>
      </c>
      <c r="L69" s="1">
        <v>196.0</v>
      </c>
      <c r="M69" s="1">
        <v>2.0</v>
      </c>
      <c r="N69" s="1">
        <v>17.0</v>
      </c>
      <c r="O69" s="1">
        <v>0.0</v>
      </c>
      <c r="P69" s="1">
        <v>0.0</v>
      </c>
      <c r="Q69" s="1">
        <v>90.0</v>
      </c>
      <c r="R69" s="1">
        <v>103.0</v>
      </c>
    </row>
    <row r="70">
      <c r="A70" s="1">
        <f t="shared" si="1"/>
        <v>68</v>
      </c>
      <c r="B70" s="1" t="s">
        <v>1123</v>
      </c>
      <c r="C70" s="1">
        <f t="shared" si="2"/>
        <v>68</v>
      </c>
      <c r="D70" s="1" t="s">
        <v>1120</v>
      </c>
      <c r="E70" s="1" t="s">
        <v>36</v>
      </c>
      <c r="F70" s="11">
        <f t="shared" si="3"/>
        <v>393.75</v>
      </c>
      <c r="G70" s="11">
        <f t="shared" si="4"/>
        <v>4.801829268</v>
      </c>
      <c r="H70" s="1">
        <v>82.0</v>
      </c>
      <c r="I70" s="1">
        <v>27.0</v>
      </c>
      <c r="J70" s="1">
        <v>40.0</v>
      </c>
      <c r="K70" s="1">
        <v>67.0</v>
      </c>
      <c r="L70" s="1">
        <v>237.0</v>
      </c>
      <c r="M70" s="1">
        <v>11.0</v>
      </c>
      <c r="N70" s="1">
        <v>8.0</v>
      </c>
      <c r="O70" s="1">
        <v>0.0</v>
      </c>
      <c r="P70" s="1">
        <v>0.0</v>
      </c>
      <c r="Q70" s="1">
        <v>65.0</v>
      </c>
      <c r="R70" s="1">
        <v>35.0</v>
      </c>
    </row>
    <row r="71">
      <c r="A71" s="1">
        <f t="shared" si="1"/>
        <v>69</v>
      </c>
      <c r="B71" s="1" t="s">
        <v>1124</v>
      </c>
      <c r="C71" s="1">
        <f t="shared" si="2"/>
        <v>69</v>
      </c>
      <c r="D71" s="1" t="s">
        <v>1085</v>
      </c>
      <c r="E71" s="1" t="s">
        <v>36</v>
      </c>
      <c r="F71" s="11">
        <f t="shared" si="3"/>
        <v>392.25</v>
      </c>
      <c r="G71" s="11">
        <f t="shared" si="4"/>
        <v>4.783536585</v>
      </c>
      <c r="H71" s="1">
        <v>82.0</v>
      </c>
      <c r="I71" s="1">
        <v>27.0</v>
      </c>
      <c r="J71" s="1">
        <v>40.0</v>
      </c>
      <c r="K71" s="1">
        <v>67.0</v>
      </c>
      <c r="L71" s="1">
        <v>194.0</v>
      </c>
      <c r="M71" s="1">
        <v>11.0</v>
      </c>
      <c r="N71" s="1">
        <v>10.0</v>
      </c>
      <c r="O71" s="1">
        <v>0.0</v>
      </c>
      <c r="P71" s="1">
        <v>0.0</v>
      </c>
      <c r="Q71" s="1">
        <v>75.0</v>
      </c>
      <c r="R71" s="1">
        <v>70.0</v>
      </c>
    </row>
    <row r="72">
      <c r="A72" s="1">
        <f t="shared" si="1"/>
        <v>70</v>
      </c>
      <c r="B72" s="1" t="s">
        <v>1126</v>
      </c>
      <c r="C72" s="1">
        <f t="shared" si="2"/>
        <v>70</v>
      </c>
      <c r="D72" s="1" t="s">
        <v>1085</v>
      </c>
      <c r="E72" s="1" t="s">
        <v>31</v>
      </c>
      <c r="F72" s="11">
        <f t="shared" si="3"/>
        <v>391</v>
      </c>
      <c r="G72" s="11">
        <f t="shared" si="4"/>
        <v>4.768292683</v>
      </c>
      <c r="H72" s="1">
        <v>82.0</v>
      </c>
      <c r="I72" s="1">
        <v>32.0</v>
      </c>
      <c r="J72" s="1">
        <v>33.0</v>
      </c>
      <c r="K72" s="1">
        <v>65.0</v>
      </c>
      <c r="L72" s="1">
        <v>216.0</v>
      </c>
      <c r="M72" s="1">
        <v>3.0</v>
      </c>
      <c r="N72" s="1">
        <v>7.0</v>
      </c>
      <c r="O72" s="1">
        <v>3.0</v>
      </c>
      <c r="P72" s="1">
        <v>0.0</v>
      </c>
      <c r="Q72" s="1">
        <v>52.0</v>
      </c>
      <c r="R72" s="1">
        <v>42.0</v>
      </c>
    </row>
    <row r="73">
      <c r="A73" s="1">
        <f t="shared" si="1"/>
        <v>71</v>
      </c>
      <c r="B73" s="1" t="s">
        <v>1127</v>
      </c>
      <c r="C73" s="1">
        <f t="shared" si="2"/>
        <v>71</v>
      </c>
      <c r="D73" s="1" t="s">
        <v>1040</v>
      </c>
      <c r="E73" s="1" t="s">
        <v>66</v>
      </c>
      <c r="F73" s="11">
        <f t="shared" si="3"/>
        <v>389.5</v>
      </c>
      <c r="G73" s="11">
        <f t="shared" si="4"/>
        <v>5.409722222</v>
      </c>
      <c r="H73" s="1">
        <v>72.0</v>
      </c>
      <c r="I73" s="1">
        <v>17.0</v>
      </c>
      <c r="J73" s="1">
        <v>56.0</v>
      </c>
      <c r="K73" s="1">
        <v>73.0</v>
      </c>
      <c r="L73" s="1">
        <v>137.0</v>
      </c>
      <c r="M73" s="1">
        <v>6.0</v>
      </c>
      <c r="N73" s="1">
        <v>27.0</v>
      </c>
      <c r="O73" s="1">
        <v>1.0</v>
      </c>
      <c r="P73" s="1">
        <v>1.0</v>
      </c>
      <c r="Q73" s="1">
        <v>44.0</v>
      </c>
      <c r="R73" s="1">
        <v>123.0</v>
      </c>
    </row>
    <row r="74">
      <c r="A74" s="1">
        <f t="shared" si="1"/>
        <v>72</v>
      </c>
      <c r="B74" s="1" t="s">
        <v>1128</v>
      </c>
      <c r="C74" s="1">
        <f t="shared" si="2"/>
        <v>72</v>
      </c>
      <c r="D74" s="1" t="s">
        <v>1054</v>
      </c>
      <c r="E74" s="1" t="s">
        <v>28</v>
      </c>
      <c r="F74" s="11">
        <f t="shared" si="3"/>
        <v>388.25</v>
      </c>
      <c r="G74" s="11">
        <f t="shared" si="4"/>
        <v>5.176666667</v>
      </c>
      <c r="H74" s="1">
        <v>75.0</v>
      </c>
      <c r="I74" s="1">
        <v>29.0</v>
      </c>
      <c r="J74" s="1">
        <v>40.0</v>
      </c>
      <c r="K74" s="1">
        <v>69.0</v>
      </c>
      <c r="L74" s="1">
        <v>227.0</v>
      </c>
      <c r="M74" s="1">
        <v>10.0</v>
      </c>
      <c r="N74" s="1">
        <v>15.0</v>
      </c>
      <c r="O74" s="1">
        <v>0.0</v>
      </c>
      <c r="P74" s="1">
        <v>0.0</v>
      </c>
      <c r="Q74" s="1">
        <v>33.0</v>
      </c>
      <c r="R74" s="1">
        <v>32.0</v>
      </c>
    </row>
    <row r="75">
      <c r="A75" s="1">
        <f t="shared" si="1"/>
        <v>73</v>
      </c>
      <c r="B75" s="1" t="s">
        <v>1129</v>
      </c>
      <c r="C75" s="1">
        <f t="shared" si="2"/>
        <v>73</v>
      </c>
      <c r="D75" s="1" t="s">
        <v>1044</v>
      </c>
      <c r="E75" s="1" t="s">
        <v>36</v>
      </c>
      <c r="F75" s="11">
        <f t="shared" si="3"/>
        <v>379</v>
      </c>
      <c r="G75" s="11">
        <f t="shared" si="4"/>
        <v>4.62195122</v>
      </c>
      <c r="H75" s="1">
        <v>82.0</v>
      </c>
      <c r="I75" s="1">
        <v>28.0</v>
      </c>
      <c r="J75" s="1">
        <v>38.0</v>
      </c>
      <c r="K75" s="1">
        <v>66.0</v>
      </c>
      <c r="L75" s="1">
        <v>196.0</v>
      </c>
      <c r="M75" s="1">
        <v>7.0</v>
      </c>
      <c r="N75" s="1">
        <v>15.0</v>
      </c>
      <c r="O75" s="1">
        <v>0.0</v>
      </c>
      <c r="P75" s="1">
        <v>0.0</v>
      </c>
      <c r="Q75" s="1">
        <v>98.0</v>
      </c>
      <c r="R75" s="1">
        <v>33.0</v>
      </c>
    </row>
    <row r="76">
      <c r="A76" s="1">
        <f t="shared" si="1"/>
        <v>74</v>
      </c>
      <c r="B76" s="1" t="s">
        <v>1130</v>
      </c>
      <c r="C76" s="1">
        <f t="shared" si="2"/>
        <v>74</v>
      </c>
      <c r="D76" s="1" t="s">
        <v>1044</v>
      </c>
      <c r="E76" s="1" t="s">
        <v>31</v>
      </c>
      <c r="F76" s="11">
        <f t="shared" si="3"/>
        <v>378.5</v>
      </c>
      <c r="G76" s="11">
        <f t="shared" si="4"/>
        <v>5.046666667</v>
      </c>
      <c r="H76" s="1">
        <v>75.0</v>
      </c>
      <c r="I76" s="1">
        <v>18.0</v>
      </c>
      <c r="J76" s="1">
        <v>52.0</v>
      </c>
      <c r="K76" s="1">
        <v>70.0</v>
      </c>
      <c r="L76" s="1">
        <v>192.0</v>
      </c>
      <c r="M76" s="1">
        <v>1.0</v>
      </c>
      <c r="N76" s="1">
        <v>19.0</v>
      </c>
      <c r="O76" s="1">
        <v>0.0</v>
      </c>
      <c r="P76" s="1">
        <v>0.0</v>
      </c>
      <c r="Q76" s="1">
        <v>100.0</v>
      </c>
      <c r="R76" s="1">
        <v>41.0</v>
      </c>
    </row>
    <row r="77">
      <c r="A77" s="1">
        <f t="shared" si="1"/>
        <v>75</v>
      </c>
      <c r="B77" s="1" t="s">
        <v>1132</v>
      </c>
      <c r="C77" s="1">
        <f t="shared" si="2"/>
        <v>75</v>
      </c>
      <c r="D77" s="1" t="s">
        <v>1069</v>
      </c>
      <c r="E77" s="1" t="s">
        <v>31</v>
      </c>
      <c r="F77" s="11">
        <f t="shared" si="3"/>
        <v>374.5</v>
      </c>
      <c r="G77" s="11">
        <f t="shared" si="4"/>
        <v>4.801282051</v>
      </c>
      <c r="H77" s="1">
        <v>78.0</v>
      </c>
      <c r="I77" s="1">
        <v>30.0</v>
      </c>
      <c r="J77" s="1">
        <v>24.0</v>
      </c>
      <c r="K77" s="1">
        <v>54.0</v>
      </c>
      <c r="L77" s="1">
        <v>191.0</v>
      </c>
      <c r="M77" s="1">
        <v>3.0</v>
      </c>
      <c r="N77" s="1">
        <v>0.0</v>
      </c>
      <c r="O77" s="1">
        <v>4.0</v>
      </c>
      <c r="P77" s="1">
        <v>2.0</v>
      </c>
      <c r="Q77" s="1">
        <v>126.0</v>
      </c>
      <c r="R77" s="1">
        <v>57.0</v>
      </c>
    </row>
    <row r="78">
      <c r="A78" s="1">
        <f t="shared" si="1"/>
        <v>75</v>
      </c>
      <c r="B78" s="1" t="s">
        <v>1134</v>
      </c>
      <c r="C78" s="1">
        <f t="shared" si="2"/>
        <v>75</v>
      </c>
      <c r="D78" s="1" t="s">
        <v>1120</v>
      </c>
      <c r="E78" s="1" t="s">
        <v>36</v>
      </c>
      <c r="F78" s="11">
        <f t="shared" si="3"/>
        <v>374.5</v>
      </c>
      <c r="G78" s="11">
        <f t="shared" si="4"/>
        <v>4.567073171</v>
      </c>
      <c r="H78" s="1">
        <v>82.0</v>
      </c>
      <c r="I78" s="1">
        <v>31.0</v>
      </c>
      <c r="J78" s="1">
        <v>41.0</v>
      </c>
      <c r="K78" s="1">
        <v>72.0</v>
      </c>
      <c r="L78" s="1">
        <v>163.0</v>
      </c>
      <c r="M78" s="1">
        <v>6.0</v>
      </c>
      <c r="N78" s="1">
        <v>10.0</v>
      </c>
      <c r="O78" s="1">
        <v>0.0</v>
      </c>
      <c r="P78" s="1">
        <v>0.0</v>
      </c>
      <c r="Q78" s="1">
        <v>68.0</v>
      </c>
      <c r="R78" s="1">
        <v>27.0</v>
      </c>
    </row>
    <row r="79">
      <c r="A79" s="1">
        <f t="shared" si="1"/>
        <v>77</v>
      </c>
      <c r="B79" s="1" t="s">
        <v>1136</v>
      </c>
      <c r="C79" s="1">
        <f t="shared" si="2"/>
        <v>77</v>
      </c>
      <c r="D79" s="1" t="s">
        <v>1082</v>
      </c>
      <c r="E79" s="1" t="s">
        <v>66</v>
      </c>
      <c r="F79" s="11">
        <f t="shared" si="3"/>
        <v>373.25</v>
      </c>
      <c r="G79" s="11">
        <f t="shared" si="4"/>
        <v>4.551829268</v>
      </c>
      <c r="H79" s="1">
        <v>82.0</v>
      </c>
      <c r="I79" s="1">
        <v>10.0</v>
      </c>
      <c r="J79" s="1">
        <v>42.0</v>
      </c>
      <c r="K79" s="1">
        <v>52.0</v>
      </c>
      <c r="L79" s="1">
        <v>176.0</v>
      </c>
      <c r="M79" s="1">
        <v>6.0</v>
      </c>
      <c r="N79" s="1">
        <v>15.0</v>
      </c>
      <c r="O79" s="1">
        <v>0.0</v>
      </c>
      <c r="P79" s="1">
        <v>0.0</v>
      </c>
      <c r="Q79" s="1">
        <v>69.0</v>
      </c>
      <c r="R79" s="1">
        <v>194.0</v>
      </c>
    </row>
    <row r="80">
      <c r="A80" s="1">
        <f t="shared" si="1"/>
        <v>78</v>
      </c>
      <c r="B80" s="1" t="s">
        <v>1135</v>
      </c>
      <c r="C80" s="1">
        <f t="shared" si="2"/>
        <v>78</v>
      </c>
      <c r="D80" s="1" t="s">
        <v>1067</v>
      </c>
      <c r="E80" s="1" t="s">
        <v>31</v>
      </c>
      <c r="F80" s="11">
        <f t="shared" si="3"/>
        <v>372.75</v>
      </c>
      <c r="G80" s="11">
        <f t="shared" si="4"/>
        <v>5.25</v>
      </c>
      <c r="H80" s="1">
        <v>71.0</v>
      </c>
      <c r="I80" s="1">
        <v>29.0</v>
      </c>
      <c r="J80" s="1">
        <v>27.0</v>
      </c>
      <c r="K80" s="1">
        <v>56.0</v>
      </c>
      <c r="L80" s="1">
        <v>246.0</v>
      </c>
      <c r="M80" s="1">
        <v>9.0</v>
      </c>
      <c r="N80" s="1">
        <v>7.0</v>
      </c>
      <c r="O80" s="1">
        <v>2.0</v>
      </c>
      <c r="P80" s="1">
        <v>0.0</v>
      </c>
      <c r="Q80" s="1">
        <v>79.0</v>
      </c>
      <c r="R80" s="1">
        <v>29.0</v>
      </c>
    </row>
    <row r="81">
      <c r="A81" s="1">
        <f t="shared" si="1"/>
        <v>79</v>
      </c>
      <c r="B81" s="1" t="s">
        <v>1140</v>
      </c>
      <c r="C81" s="1">
        <f t="shared" si="2"/>
        <v>79</v>
      </c>
      <c r="D81" s="1" t="s">
        <v>1042</v>
      </c>
      <c r="E81" s="1" t="s">
        <v>31</v>
      </c>
      <c r="F81" s="11">
        <f t="shared" si="3"/>
        <v>370.25</v>
      </c>
      <c r="G81" s="11">
        <f t="shared" si="4"/>
        <v>4.515243902</v>
      </c>
      <c r="H81" s="1">
        <v>82.0</v>
      </c>
      <c r="I81" s="1">
        <v>26.0</v>
      </c>
      <c r="J81" s="1">
        <v>43.0</v>
      </c>
      <c r="K81" s="1">
        <v>69.0</v>
      </c>
      <c r="L81" s="1">
        <v>180.0</v>
      </c>
      <c r="M81" s="1">
        <v>14.0</v>
      </c>
      <c r="N81" s="1">
        <v>14.0</v>
      </c>
      <c r="O81" s="1">
        <v>0.0</v>
      </c>
      <c r="P81" s="1">
        <v>0.0</v>
      </c>
      <c r="Q81" s="1">
        <v>25.0</v>
      </c>
      <c r="R81" s="1">
        <v>56.0</v>
      </c>
    </row>
    <row r="82">
      <c r="A82" s="1">
        <f t="shared" si="1"/>
        <v>80</v>
      </c>
      <c r="B82" s="1" t="s">
        <v>1142</v>
      </c>
      <c r="C82" s="1">
        <f t="shared" si="2"/>
        <v>80</v>
      </c>
      <c r="D82" s="1" t="s">
        <v>1052</v>
      </c>
      <c r="E82" s="1" t="s">
        <v>31</v>
      </c>
      <c r="F82" s="11">
        <f t="shared" si="3"/>
        <v>369.25</v>
      </c>
      <c r="G82" s="11">
        <f t="shared" si="4"/>
        <v>4.50304878</v>
      </c>
      <c r="H82" s="1">
        <v>82.0</v>
      </c>
      <c r="I82" s="1">
        <v>27.0</v>
      </c>
      <c r="J82" s="1">
        <v>40.0</v>
      </c>
      <c r="K82" s="1">
        <v>67.0</v>
      </c>
      <c r="L82" s="1">
        <v>199.0</v>
      </c>
      <c r="M82" s="1">
        <v>6.0</v>
      </c>
      <c r="N82" s="1">
        <v>12.0</v>
      </c>
      <c r="O82" s="1">
        <v>0.0</v>
      </c>
      <c r="P82" s="1">
        <v>0.0</v>
      </c>
      <c r="Q82" s="1">
        <v>29.0</v>
      </c>
      <c r="R82" s="1">
        <v>42.0</v>
      </c>
    </row>
    <row r="83">
      <c r="A83" s="1">
        <f t="shared" si="1"/>
        <v>81</v>
      </c>
      <c r="B83" s="1" t="s">
        <v>1143</v>
      </c>
      <c r="C83" s="1">
        <f t="shared" si="2"/>
        <v>81</v>
      </c>
      <c r="D83" s="1" t="s">
        <v>1042</v>
      </c>
      <c r="E83" s="1" t="s">
        <v>36</v>
      </c>
      <c r="F83" s="11">
        <f t="shared" si="3"/>
        <v>367.75</v>
      </c>
      <c r="G83" s="11">
        <f t="shared" si="4"/>
        <v>4.540123457</v>
      </c>
      <c r="H83" s="1">
        <v>81.0</v>
      </c>
      <c r="I83" s="1">
        <v>23.0</v>
      </c>
      <c r="J83" s="1">
        <v>52.0</v>
      </c>
      <c r="K83" s="1">
        <v>75.0</v>
      </c>
      <c r="L83" s="1">
        <v>153.0</v>
      </c>
      <c r="M83" s="1">
        <v>5.0</v>
      </c>
      <c r="N83" s="1">
        <v>19.0</v>
      </c>
      <c r="O83" s="1">
        <v>1.0</v>
      </c>
      <c r="P83" s="1">
        <v>1.0</v>
      </c>
      <c r="Q83" s="1">
        <v>35.0</v>
      </c>
      <c r="R83" s="1">
        <v>38.0</v>
      </c>
    </row>
    <row r="84">
      <c r="A84" s="1">
        <f t="shared" si="1"/>
        <v>82</v>
      </c>
      <c r="B84" s="1" t="s">
        <v>1131</v>
      </c>
      <c r="C84" s="1">
        <f t="shared" si="2"/>
        <v>82</v>
      </c>
      <c r="D84" s="1" t="s">
        <v>1120</v>
      </c>
      <c r="E84" s="1" t="s">
        <v>66</v>
      </c>
      <c r="F84" s="11">
        <f t="shared" si="3"/>
        <v>367.5</v>
      </c>
      <c r="G84" s="11">
        <f t="shared" si="4"/>
        <v>4.481707317</v>
      </c>
      <c r="H84" s="1">
        <v>82.0</v>
      </c>
      <c r="I84" s="1">
        <v>9.0</v>
      </c>
      <c r="J84" s="1">
        <v>33.0</v>
      </c>
      <c r="K84" s="1">
        <v>42.0</v>
      </c>
      <c r="L84" s="1">
        <v>135.0</v>
      </c>
      <c r="M84" s="1">
        <v>3.0</v>
      </c>
      <c r="N84" s="1">
        <v>14.0</v>
      </c>
      <c r="O84" s="1">
        <v>0.0</v>
      </c>
      <c r="P84" s="1">
        <v>1.0</v>
      </c>
      <c r="Q84" s="1">
        <v>210.0</v>
      </c>
      <c r="R84" s="1">
        <v>212.0</v>
      </c>
    </row>
    <row r="85">
      <c r="A85" s="1">
        <f t="shared" si="1"/>
        <v>83</v>
      </c>
      <c r="B85" s="1" t="s">
        <v>1138</v>
      </c>
      <c r="C85" s="1">
        <f t="shared" si="2"/>
        <v>83</v>
      </c>
      <c r="D85" s="1" t="s">
        <v>1067</v>
      </c>
      <c r="E85" s="1" t="s">
        <v>36</v>
      </c>
      <c r="F85" s="11">
        <f t="shared" si="3"/>
        <v>367</v>
      </c>
      <c r="G85" s="11">
        <f t="shared" si="4"/>
        <v>4.893333333</v>
      </c>
      <c r="H85" s="1">
        <v>75.0</v>
      </c>
      <c r="I85" s="1">
        <v>22.0</v>
      </c>
      <c r="J85" s="1">
        <v>37.0</v>
      </c>
      <c r="K85" s="1">
        <v>59.0</v>
      </c>
      <c r="L85" s="1">
        <v>192.0</v>
      </c>
      <c r="M85" s="1">
        <v>2.0</v>
      </c>
      <c r="N85" s="1">
        <v>9.0</v>
      </c>
      <c r="O85" s="1">
        <v>1.0</v>
      </c>
      <c r="P85" s="1">
        <v>0.0</v>
      </c>
      <c r="Q85" s="1">
        <v>72.0</v>
      </c>
      <c r="R85" s="1">
        <v>82.0</v>
      </c>
    </row>
    <row r="86">
      <c r="A86" s="1">
        <f t="shared" si="1"/>
        <v>83</v>
      </c>
      <c r="B86" s="1" t="s">
        <v>1147</v>
      </c>
      <c r="C86" s="1">
        <f t="shared" si="2"/>
        <v>83</v>
      </c>
      <c r="D86" s="1" t="s">
        <v>1085</v>
      </c>
      <c r="E86" s="1" t="s">
        <v>31</v>
      </c>
      <c r="F86" s="11">
        <f t="shared" si="3"/>
        <v>367</v>
      </c>
      <c r="G86" s="11">
        <f t="shared" si="4"/>
        <v>4.5875</v>
      </c>
      <c r="H86" s="1">
        <v>80.0</v>
      </c>
      <c r="I86" s="1">
        <v>30.0</v>
      </c>
      <c r="J86" s="1">
        <v>35.0</v>
      </c>
      <c r="K86" s="1">
        <v>65.0</v>
      </c>
      <c r="L86" s="1">
        <v>182.0</v>
      </c>
      <c r="M86" s="1">
        <v>8.0</v>
      </c>
      <c r="N86" s="1">
        <v>11.0</v>
      </c>
      <c r="O86" s="1">
        <v>3.0</v>
      </c>
      <c r="P86" s="1">
        <v>1.0</v>
      </c>
      <c r="Q86" s="1">
        <v>36.0</v>
      </c>
      <c r="R86" s="1">
        <v>38.0</v>
      </c>
    </row>
    <row r="87">
      <c r="A87" s="1">
        <f t="shared" si="1"/>
        <v>85</v>
      </c>
      <c r="B87" s="1" t="s">
        <v>1144</v>
      </c>
      <c r="C87" s="1">
        <f t="shared" si="2"/>
        <v>85</v>
      </c>
      <c r="D87" s="1" t="s">
        <v>1076</v>
      </c>
      <c r="E87" s="1" t="s">
        <v>31</v>
      </c>
      <c r="F87" s="11">
        <f t="shared" si="3"/>
        <v>366.5</v>
      </c>
      <c r="G87" s="11">
        <f t="shared" si="4"/>
        <v>5.161971831</v>
      </c>
      <c r="H87" s="1">
        <v>71.0</v>
      </c>
      <c r="I87" s="1">
        <v>27.0</v>
      </c>
      <c r="J87" s="1">
        <v>40.0</v>
      </c>
      <c r="K87" s="1">
        <v>67.0</v>
      </c>
      <c r="L87" s="1">
        <v>182.0</v>
      </c>
      <c r="M87" s="1">
        <v>6.0</v>
      </c>
      <c r="N87" s="1">
        <v>11.0</v>
      </c>
      <c r="O87" s="1">
        <v>1.0</v>
      </c>
      <c r="P87" s="1">
        <v>0.0</v>
      </c>
      <c r="Q87" s="1">
        <v>44.0</v>
      </c>
      <c r="R87" s="1">
        <v>42.0</v>
      </c>
    </row>
    <row r="88">
      <c r="A88" s="1">
        <f t="shared" si="1"/>
        <v>86</v>
      </c>
      <c r="B88" s="1" t="s">
        <v>1141</v>
      </c>
      <c r="C88" s="1">
        <f t="shared" si="2"/>
        <v>86</v>
      </c>
      <c r="D88" s="1" t="s">
        <v>1116</v>
      </c>
      <c r="E88" s="1" t="s">
        <v>31</v>
      </c>
      <c r="F88" s="11">
        <f t="shared" si="3"/>
        <v>366.25</v>
      </c>
      <c r="G88" s="11">
        <f t="shared" si="4"/>
        <v>4.949324324</v>
      </c>
      <c r="H88" s="1">
        <v>74.0</v>
      </c>
      <c r="I88" s="1">
        <v>25.0</v>
      </c>
      <c r="J88" s="1">
        <v>47.0</v>
      </c>
      <c r="K88" s="1">
        <v>72.0</v>
      </c>
      <c r="L88" s="1">
        <v>154.0</v>
      </c>
      <c r="M88" s="1">
        <v>6.0</v>
      </c>
      <c r="N88" s="1">
        <v>12.0</v>
      </c>
      <c r="O88" s="1">
        <v>0.0</v>
      </c>
      <c r="P88" s="1">
        <v>0.0</v>
      </c>
      <c r="Q88" s="1">
        <v>63.0</v>
      </c>
      <c r="R88" s="1">
        <v>40.0</v>
      </c>
    </row>
    <row r="89">
      <c r="A89" s="1">
        <f t="shared" si="1"/>
        <v>86</v>
      </c>
      <c r="B89" s="1" t="s">
        <v>1145</v>
      </c>
      <c r="C89" s="1">
        <f t="shared" si="2"/>
        <v>86</v>
      </c>
      <c r="D89" s="1" t="s">
        <v>1146</v>
      </c>
      <c r="E89" s="1" t="s">
        <v>28</v>
      </c>
      <c r="F89" s="11">
        <f t="shared" si="3"/>
        <v>366.25</v>
      </c>
      <c r="G89" s="11">
        <f t="shared" si="4"/>
        <v>4.578125</v>
      </c>
      <c r="H89" s="1">
        <v>80.0</v>
      </c>
      <c r="I89" s="1">
        <v>29.0</v>
      </c>
      <c r="J89" s="1">
        <v>33.0</v>
      </c>
      <c r="K89" s="1">
        <v>62.0</v>
      </c>
      <c r="L89" s="1">
        <v>216.0</v>
      </c>
      <c r="M89" s="1">
        <v>9.0</v>
      </c>
      <c r="N89" s="1">
        <v>14.0</v>
      </c>
      <c r="O89" s="1">
        <v>2.0</v>
      </c>
      <c r="P89" s="1">
        <v>0.0</v>
      </c>
      <c r="Q89" s="1">
        <v>45.0</v>
      </c>
      <c r="R89" s="1">
        <v>27.0</v>
      </c>
    </row>
    <row r="90">
      <c r="A90" s="1">
        <f t="shared" si="1"/>
        <v>88</v>
      </c>
      <c r="B90" s="1" t="s">
        <v>1139</v>
      </c>
      <c r="C90" s="1">
        <f t="shared" si="2"/>
        <v>88</v>
      </c>
      <c r="D90" s="1" t="s">
        <v>1032</v>
      </c>
      <c r="E90" s="1" t="s">
        <v>66</v>
      </c>
      <c r="F90" s="11">
        <f t="shared" si="3"/>
        <v>364</v>
      </c>
      <c r="G90" s="11">
        <f t="shared" si="4"/>
        <v>5.055555556</v>
      </c>
      <c r="H90" s="1">
        <v>72.0</v>
      </c>
      <c r="I90" s="1">
        <v>7.0</v>
      </c>
      <c r="J90" s="1">
        <v>51.0</v>
      </c>
      <c r="K90" s="1">
        <v>58.0</v>
      </c>
      <c r="L90" s="1">
        <v>173.0</v>
      </c>
      <c r="M90" s="1">
        <v>1.0</v>
      </c>
      <c r="N90" s="1">
        <v>19.0</v>
      </c>
      <c r="O90" s="1">
        <v>0.0</v>
      </c>
      <c r="P90" s="1">
        <v>0.0</v>
      </c>
      <c r="Q90" s="1">
        <v>98.0</v>
      </c>
      <c r="R90" s="1">
        <v>137.0</v>
      </c>
    </row>
    <row r="91">
      <c r="A91" s="1">
        <f t="shared" si="1"/>
        <v>88</v>
      </c>
      <c r="B91" s="1" t="s">
        <v>1151</v>
      </c>
      <c r="C91" s="1">
        <f t="shared" si="2"/>
        <v>88</v>
      </c>
      <c r="D91" s="1" t="s">
        <v>1116</v>
      </c>
      <c r="E91" s="1" t="s">
        <v>28</v>
      </c>
      <c r="F91" s="11">
        <f t="shared" si="3"/>
        <v>364</v>
      </c>
      <c r="G91" s="11">
        <f t="shared" si="4"/>
        <v>4.43902439</v>
      </c>
      <c r="H91" s="1">
        <v>82.0</v>
      </c>
      <c r="I91" s="1">
        <v>25.0</v>
      </c>
      <c r="J91" s="1">
        <v>36.0</v>
      </c>
      <c r="K91" s="1">
        <v>61.0</v>
      </c>
      <c r="L91" s="1">
        <v>233.0</v>
      </c>
      <c r="M91" s="1">
        <v>0.0</v>
      </c>
      <c r="N91" s="1">
        <v>7.0</v>
      </c>
      <c r="O91" s="1">
        <v>0.0</v>
      </c>
      <c r="P91" s="1">
        <v>0.0</v>
      </c>
      <c r="Q91" s="1">
        <v>30.0</v>
      </c>
      <c r="R91" s="1">
        <v>39.0</v>
      </c>
    </row>
    <row r="92">
      <c r="A92" s="1">
        <f t="shared" si="1"/>
        <v>90</v>
      </c>
      <c r="B92" s="1" t="s">
        <v>1137</v>
      </c>
      <c r="C92" s="1">
        <f t="shared" si="2"/>
        <v>90</v>
      </c>
      <c r="D92" s="1" t="s">
        <v>1038</v>
      </c>
      <c r="E92" s="1" t="s">
        <v>31</v>
      </c>
      <c r="F92" s="11">
        <f t="shared" si="3"/>
        <v>363.75</v>
      </c>
      <c r="G92" s="11">
        <f t="shared" si="4"/>
        <v>4.43597561</v>
      </c>
      <c r="H92" s="1">
        <v>82.0</v>
      </c>
      <c r="I92" s="1">
        <v>25.0</v>
      </c>
      <c r="J92" s="1">
        <v>35.0</v>
      </c>
      <c r="K92" s="1">
        <v>60.0</v>
      </c>
      <c r="L92" s="1">
        <v>147.0</v>
      </c>
      <c r="M92" s="1">
        <v>7.0</v>
      </c>
      <c r="N92" s="1">
        <v>4.0</v>
      </c>
      <c r="O92" s="1">
        <v>1.0</v>
      </c>
      <c r="P92" s="1">
        <v>4.0</v>
      </c>
      <c r="Q92" s="1">
        <v>131.0</v>
      </c>
      <c r="R92" s="1">
        <v>60.0</v>
      </c>
    </row>
    <row r="93">
      <c r="A93" s="1">
        <f t="shared" si="1"/>
        <v>91</v>
      </c>
      <c r="B93" s="1" t="s">
        <v>1150</v>
      </c>
      <c r="C93" s="1">
        <f t="shared" si="2"/>
        <v>91</v>
      </c>
      <c r="D93" s="1" t="s">
        <v>1106</v>
      </c>
      <c r="E93" s="1" t="s">
        <v>28</v>
      </c>
      <c r="F93" s="11">
        <f t="shared" si="3"/>
        <v>363.5</v>
      </c>
      <c r="G93" s="11">
        <f t="shared" si="4"/>
        <v>4.54375</v>
      </c>
      <c r="H93" s="1">
        <v>80.0</v>
      </c>
      <c r="I93" s="1">
        <v>27.0</v>
      </c>
      <c r="J93" s="1">
        <v>36.0</v>
      </c>
      <c r="K93" s="1">
        <v>63.0</v>
      </c>
      <c r="L93" s="1">
        <v>207.0</v>
      </c>
      <c r="M93" s="1">
        <v>8.0</v>
      </c>
      <c r="N93" s="1">
        <v>10.0</v>
      </c>
      <c r="O93" s="1">
        <v>2.0</v>
      </c>
      <c r="P93" s="1">
        <v>1.0</v>
      </c>
      <c r="Q93" s="1">
        <v>42.0</v>
      </c>
      <c r="R93" s="1">
        <v>28.0</v>
      </c>
    </row>
    <row r="94">
      <c r="A94" s="1">
        <f t="shared" si="1"/>
        <v>92</v>
      </c>
      <c r="B94" s="1" t="s">
        <v>1152</v>
      </c>
      <c r="C94" s="1">
        <f t="shared" si="2"/>
        <v>92</v>
      </c>
      <c r="D94" s="1" t="s">
        <v>1078</v>
      </c>
      <c r="E94" s="1" t="s">
        <v>31</v>
      </c>
      <c r="F94" s="11">
        <f t="shared" si="3"/>
        <v>363.25</v>
      </c>
      <c r="G94" s="11">
        <f t="shared" si="4"/>
        <v>4.484567901</v>
      </c>
      <c r="H94" s="1">
        <v>81.0</v>
      </c>
      <c r="I94" s="1">
        <v>26.0</v>
      </c>
      <c r="J94" s="1">
        <v>44.0</v>
      </c>
      <c r="K94" s="1">
        <v>70.0</v>
      </c>
      <c r="L94" s="1">
        <v>133.0</v>
      </c>
      <c r="M94" s="1">
        <v>9.0</v>
      </c>
      <c r="N94" s="1">
        <v>14.0</v>
      </c>
      <c r="O94" s="1">
        <v>1.0</v>
      </c>
      <c r="P94" s="1">
        <v>2.0</v>
      </c>
      <c r="Q94" s="1">
        <v>37.0</v>
      </c>
      <c r="R94" s="1">
        <v>65.0</v>
      </c>
    </row>
    <row r="95">
      <c r="A95" s="1">
        <f t="shared" si="1"/>
        <v>93</v>
      </c>
      <c r="B95" s="1" t="s">
        <v>1148</v>
      </c>
      <c r="C95" s="1">
        <f t="shared" si="2"/>
        <v>93</v>
      </c>
      <c r="D95" s="1" t="s">
        <v>1087</v>
      </c>
      <c r="E95" s="1" t="s">
        <v>36</v>
      </c>
      <c r="F95" s="11">
        <f t="shared" si="3"/>
        <v>359.5</v>
      </c>
      <c r="G95" s="11">
        <f t="shared" si="4"/>
        <v>4.384146341</v>
      </c>
      <c r="H95" s="1">
        <v>82.0</v>
      </c>
      <c r="I95" s="1">
        <v>30.0</v>
      </c>
      <c r="J95" s="1">
        <v>24.0</v>
      </c>
      <c r="K95" s="1">
        <v>54.0</v>
      </c>
      <c r="L95" s="1">
        <v>218.0</v>
      </c>
      <c r="M95" s="1">
        <v>10.0</v>
      </c>
      <c r="N95" s="1">
        <v>10.0</v>
      </c>
      <c r="O95" s="1">
        <v>0.0</v>
      </c>
      <c r="P95" s="1">
        <v>0.0</v>
      </c>
      <c r="Q95" s="1">
        <v>90.0</v>
      </c>
      <c r="R95" s="1">
        <v>42.0</v>
      </c>
    </row>
    <row r="96">
      <c r="A96" s="1">
        <f t="shared" si="1"/>
        <v>93</v>
      </c>
      <c r="B96" s="1" t="s">
        <v>1159</v>
      </c>
      <c r="C96" s="1">
        <f t="shared" si="2"/>
        <v>93</v>
      </c>
      <c r="D96" s="1" t="s">
        <v>1082</v>
      </c>
      <c r="E96" s="1" t="s">
        <v>31</v>
      </c>
      <c r="F96" s="11">
        <f t="shared" si="3"/>
        <v>359.5</v>
      </c>
      <c r="G96" s="11">
        <f t="shared" si="4"/>
        <v>4.384146341</v>
      </c>
      <c r="H96" s="1">
        <v>82.0</v>
      </c>
      <c r="I96" s="1">
        <v>27.0</v>
      </c>
      <c r="J96" s="1">
        <v>40.0</v>
      </c>
      <c r="K96" s="1">
        <v>67.0</v>
      </c>
      <c r="L96" s="1">
        <v>169.0</v>
      </c>
      <c r="M96" s="1">
        <v>6.0</v>
      </c>
      <c r="N96" s="1">
        <v>16.0</v>
      </c>
      <c r="O96" s="1">
        <v>0.0</v>
      </c>
      <c r="P96" s="1">
        <v>0.0</v>
      </c>
      <c r="Q96" s="1">
        <v>12.0</v>
      </c>
      <c r="R96" s="1">
        <v>61.0</v>
      </c>
    </row>
    <row r="97">
      <c r="A97" s="1">
        <f t="shared" si="1"/>
        <v>95</v>
      </c>
      <c r="B97" s="1" t="s">
        <v>1155</v>
      </c>
      <c r="C97" s="1">
        <f t="shared" si="2"/>
        <v>95</v>
      </c>
      <c r="D97" s="1" t="s">
        <v>1156</v>
      </c>
      <c r="E97" s="1" t="s">
        <v>66</v>
      </c>
      <c r="F97" s="11">
        <f t="shared" si="3"/>
        <v>359.25</v>
      </c>
      <c r="G97" s="11">
        <f t="shared" si="4"/>
        <v>5.132142857</v>
      </c>
      <c r="H97" s="1">
        <v>70.0</v>
      </c>
      <c r="I97" s="1">
        <v>11.0</v>
      </c>
      <c r="J97" s="1">
        <v>46.0</v>
      </c>
      <c r="K97" s="1">
        <v>57.0</v>
      </c>
      <c r="L97" s="1">
        <v>202.0</v>
      </c>
      <c r="M97" s="1">
        <v>2.0</v>
      </c>
      <c r="N97" s="1">
        <v>10.0</v>
      </c>
      <c r="O97" s="1">
        <v>0.0</v>
      </c>
      <c r="P97" s="1">
        <v>0.0</v>
      </c>
      <c r="Q97" s="1">
        <v>23.0</v>
      </c>
      <c r="R97" s="1">
        <v>130.0</v>
      </c>
    </row>
    <row r="98">
      <c r="A98" s="1">
        <f t="shared" si="1"/>
        <v>96</v>
      </c>
      <c r="B98" s="1" t="s">
        <v>1162</v>
      </c>
      <c r="C98" s="1">
        <f t="shared" si="2"/>
        <v>96</v>
      </c>
      <c r="D98" s="1" t="s">
        <v>1048</v>
      </c>
      <c r="E98" s="1" t="s">
        <v>5</v>
      </c>
      <c r="F98" s="11">
        <f t="shared" si="3"/>
        <v>358.2</v>
      </c>
      <c r="G98" s="11">
        <f t="shared" si="4"/>
        <v>6.175862069</v>
      </c>
      <c r="H98" s="1">
        <v>58.0</v>
      </c>
      <c r="S98" s="1">
        <v>36.0</v>
      </c>
      <c r="T98" s="1">
        <v>135.0</v>
      </c>
      <c r="U98" s="12">
        <v>1449.0</v>
      </c>
      <c r="V98" s="1">
        <v>6.0</v>
      </c>
    </row>
    <row r="99">
      <c r="A99" s="1">
        <f t="shared" si="1"/>
        <v>97</v>
      </c>
      <c r="B99" s="1" t="s">
        <v>1161</v>
      </c>
      <c r="C99" s="1">
        <f t="shared" si="2"/>
        <v>97</v>
      </c>
      <c r="D99" s="1" t="s">
        <v>1116</v>
      </c>
      <c r="E99" s="1" t="s">
        <v>28</v>
      </c>
      <c r="F99" s="11">
        <f t="shared" si="3"/>
        <v>357.5</v>
      </c>
      <c r="G99" s="11">
        <f t="shared" si="4"/>
        <v>5.5</v>
      </c>
      <c r="H99" s="1">
        <v>65.0</v>
      </c>
      <c r="I99" s="1">
        <v>34.0</v>
      </c>
      <c r="J99" s="1">
        <v>27.0</v>
      </c>
      <c r="K99" s="1">
        <v>61.0</v>
      </c>
      <c r="L99" s="1">
        <v>221.0</v>
      </c>
      <c r="M99" s="1">
        <v>5.0</v>
      </c>
      <c r="N99" s="1">
        <v>14.0</v>
      </c>
      <c r="O99" s="1">
        <v>0.0</v>
      </c>
      <c r="P99" s="1">
        <v>0.0</v>
      </c>
      <c r="Q99" s="1">
        <v>14.0</v>
      </c>
      <c r="R99" s="1">
        <v>19.0</v>
      </c>
    </row>
    <row r="100">
      <c r="A100" s="1">
        <f t="shared" si="1"/>
        <v>97</v>
      </c>
      <c r="B100" s="1" t="s">
        <v>1153</v>
      </c>
      <c r="C100" s="1">
        <f t="shared" si="2"/>
        <v>97</v>
      </c>
      <c r="D100" s="1" t="s">
        <v>1036</v>
      </c>
      <c r="E100" s="1" t="s">
        <v>28</v>
      </c>
      <c r="F100" s="11">
        <f t="shared" si="3"/>
        <v>357.5</v>
      </c>
      <c r="G100" s="11">
        <f t="shared" si="4"/>
        <v>4.46875</v>
      </c>
      <c r="H100" s="1">
        <v>80.0</v>
      </c>
      <c r="I100" s="1">
        <v>18.0</v>
      </c>
      <c r="J100" s="1">
        <v>49.0</v>
      </c>
      <c r="K100" s="1">
        <v>67.0</v>
      </c>
      <c r="L100" s="1">
        <v>183.0</v>
      </c>
      <c r="M100" s="1">
        <v>4.0</v>
      </c>
      <c r="N100" s="1">
        <v>22.0</v>
      </c>
      <c r="O100" s="1">
        <v>0.0</v>
      </c>
      <c r="P100" s="1">
        <v>3.0</v>
      </c>
      <c r="Q100" s="1">
        <v>62.0</v>
      </c>
      <c r="R100" s="1">
        <v>33.0</v>
      </c>
    </row>
    <row r="101">
      <c r="A101" s="1">
        <f t="shared" si="1"/>
        <v>99</v>
      </c>
      <c r="B101" s="1" t="s">
        <v>1133</v>
      </c>
      <c r="C101" s="1">
        <f t="shared" si="2"/>
        <v>99</v>
      </c>
      <c r="D101" s="1" t="s">
        <v>1036</v>
      </c>
      <c r="E101" s="1" t="s">
        <v>28</v>
      </c>
      <c r="F101" s="11">
        <f t="shared" si="3"/>
        <v>356.75</v>
      </c>
      <c r="G101" s="11">
        <f t="shared" si="4"/>
        <v>4.633116883</v>
      </c>
      <c r="H101" s="1">
        <v>77.0</v>
      </c>
      <c r="I101" s="1">
        <v>24.0</v>
      </c>
      <c r="J101" s="1">
        <v>20.0</v>
      </c>
      <c r="K101" s="1">
        <v>44.0</v>
      </c>
      <c r="L101" s="1">
        <v>220.0</v>
      </c>
      <c r="M101" s="1">
        <v>2.0</v>
      </c>
      <c r="N101" s="1">
        <v>5.0</v>
      </c>
      <c r="O101" s="1">
        <v>1.0</v>
      </c>
      <c r="P101" s="1">
        <v>0.0</v>
      </c>
      <c r="Q101" s="1">
        <v>249.0</v>
      </c>
      <c r="R101" s="1">
        <v>29.0</v>
      </c>
    </row>
    <row r="102">
      <c r="A102" s="1">
        <f t="shared" si="1"/>
        <v>100</v>
      </c>
      <c r="B102" s="1" t="s">
        <v>1164</v>
      </c>
      <c r="C102" s="1">
        <f t="shared" si="2"/>
        <v>100</v>
      </c>
      <c r="D102" s="1" t="s">
        <v>1042</v>
      </c>
      <c r="E102" s="1" t="s">
        <v>5</v>
      </c>
      <c r="F102" s="11">
        <f t="shared" si="3"/>
        <v>356.1</v>
      </c>
      <c r="G102" s="11">
        <f t="shared" si="4"/>
        <v>5.5640625</v>
      </c>
      <c r="H102" s="1">
        <v>64.0</v>
      </c>
      <c r="S102" s="1">
        <v>35.0</v>
      </c>
      <c r="T102" s="1">
        <v>173.0</v>
      </c>
      <c r="U102" s="12">
        <v>1672.0</v>
      </c>
      <c r="V102" s="1">
        <v>3.0</v>
      </c>
    </row>
    <row r="103">
      <c r="A103" s="1">
        <f t="shared" si="1"/>
        <v>101</v>
      </c>
      <c r="B103" s="1" t="s">
        <v>1149</v>
      </c>
      <c r="C103" s="1">
        <f t="shared" si="2"/>
        <v>101</v>
      </c>
      <c r="D103" s="1" t="s">
        <v>1052</v>
      </c>
      <c r="E103" s="1" t="s">
        <v>66</v>
      </c>
      <c r="F103" s="11">
        <f t="shared" si="3"/>
        <v>354.25</v>
      </c>
      <c r="G103" s="11">
        <f t="shared" si="4"/>
        <v>4.320121951</v>
      </c>
      <c r="H103" s="1">
        <v>82.0</v>
      </c>
      <c r="I103" s="1">
        <v>10.0</v>
      </c>
      <c r="J103" s="1">
        <v>41.0</v>
      </c>
      <c r="K103" s="1">
        <v>51.0</v>
      </c>
      <c r="L103" s="1">
        <v>164.0</v>
      </c>
      <c r="M103" s="1">
        <v>0.0</v>
      </c>
      <c r="N103" s="1">
        <v>5.0</v>
      </c>
      <c r="O103" s="1">
        <v>0.0</v>
      </c>
      <c r="P103" s="1">
        <v>1.0</v>
      </c>
      <c r="Q103" s="1">
        <v>137.0</v>
      </c>
      <c r="R103" s="1">
        <v>136.0</v>
      </c>
    </row>
    <row r="104">
      <c r="A104" s="1">
        <f t="shared" si="1"/>
        <v>102</v>
      </c>
      <c r="B104" s="1" t="s">
        <v>1158</v>
      </c>
      <c r="C104" s="1">
        <f t="shared" si="2"/>
        <v>102</v>
      </c>
      <c r="D104" s="1" t="s">
        <v>1116</v>
      </c>
      <c r="E104" s="1" t="s">
        <v>36</v>
      </c>
      <c r="F104" s="11">
        <f t="shared" si="3"/>
        <v>353.25</v>
      </c>
      <c r="G104" s="11">
        <f t="shared" si="4"/>
        <v>4.471518987</v>
      </c>
      <c r="H104" s="1">
        <v>79.0</v>
      </c>
      <c r="I104" s="1">
        <v>33.0</v>
      </c>
      <c r="J104" s="1">
        <v>22.0</v>
      </c>
      <c r="K104" s="1">
        <v>55.0</v>
      </c>
      <c r="L104" s="1">
        <v>229.0</v>
      </c>
      <c r="M104" s="1">
        <v>11.0</v>
      </c>
      <c r="N104" s="1">
        <v>7.0</v>
      </c>
      <c r="O104" s="1">
        <v>0.0</v>
      </c>
      <c r="P104" s="1">
        <v>0.0</v>
      </c>
      <c r="Q104" s="1">
        <v>75.0</v>
      </c>
      <c r="R104" s="1">
        <v>11.0</v>
      </c>
    </row>
    <row r="105">
      <c r="A105" s="1">
        <f t="shared" si="1"/>
        <v>103</v>
      </c>
      <c r="B105" s="1" t="s">
        <v>1167</v>
      </c>
      <c r="C105" s="1">
        <f t="shared" si="2"/>
        <v>103</v>
      </c>
      <c r="D105" s="1" t="s">
        <v>1069</v>
      </c>
      <c r="E105" s="1" t="s">
        <v>28</v>
      </c>
      <c r="F105" s="11">
        <f t="shared" si="3"/>
        <v>352.25</v>
      </c>
      <c r="G105" s="11">
        <f t="shared" si="4"/>
        <v>4.295731707</v>
      </c>
      <c r="H105" s="1">
        <v>82.0</v>
      </c>
      <c r="I105" s="1">
        <v>31.0</v>
      </c>
      <c r="J105" s="1">
        <v>28.0</v>
      </c>
      <c r="K105" s="1">
        <v>59.0</v>
      </c>
      <c r="L105" s="1">
        <v>179.0</v>
      </c>
      <c r="M105" s="1">
        <v>6.0</v>
      </c>
      <c r="N105" s="1">
        <v>11.0</v>
      </c>
      <c r="O105" s="1">
        <v>3.0</v>
      </c>
      <c r="P105" s="1">
        <v>4.0</v>
      </c>
      <c r="Q105" s="1">
        <v>13.0</v>
      </c>
      <c r="R105" s="1">
        <v>44.0</v>
      </c>
    </row>
    <row r="106">
      <c r="A106" s="1">
        <f t="shared" si="1"/>
        <v>104</v>
      </c>
      <c r="B106" s="1" t="s">
        <v>1154</v>
      </c>
      <c r="C106" s="1">
        <f t="shared" si="2"/>
        <v>104</v>
      </c>
      <c r="D106" s="1" t="s">
        <v>1085</v>
      </c>
      <c r="E106" s="1" t="s">
        <v>31</v>
      </c>
      <c r="F106" s="11">
        <f t="shared" si="3"/>
        <v>352</v>
      </c>
      <c r="G106" s="11">
        <f t="shared" si="4"/>
        <v>4.292682927</v>
      </c>
      <c r="H106" s="1">
        <v>82.0</v>
      </c>
      <c r="I106" s="1">
        <v>21.0</v>
      </c>
      <c r="J106" s="1">
        <v>39.0</v>
      </c>
      <c r="K106" s="1">
        <v>60.0</v>
      </c>
      <c r="L106" s="1">
        <v>164.0</v>
      </c>
      <c r="M106" s="1">
        <v>7.0</v>
      </c>
      <c r="N106" s="1">
        <v>15.0</v>
      </c>
      <c r="O106" s="1">
        <v>1.0</v>
      </c>
      <c r="P106" s="1">
        <v>2.0</v>
      </c>
      <c r="Q106" s="1">
        <v>110.0</v>
      </c>
      <c r="R106" s="1">
        <v>50.0</v>
      </c>
    </row>
    <row r="107">
      <c r="A107" s="1">
        <f t="shared" si="1"/>
        <v>105</v>
      </c>
      <c r="B107" s="1" t="s">
        <v>1166</v>
      </c>
      <c r="C107" s="1">
        <f t="shared" si="2"/>
        <v>105</v>
      </c>
      <c r="D107" s="1" t="s">
        <v>1052</v>
      </c>
      <c r="E107" s="1" t="s">
        <v>66</v>
      </c>
      <c r="F107" s="11">
        <f t="shared" si="3"/>
        <v>350.5</v>
      </c>
      <c r="G107" s="11">
        <f t="shared" si="4"/>
        <v>4.274390244</v>
      </c>
      <c r="H107" s="1">
        <v>82.0</v>
      </c>
      <c r="I107" s="1">
        <v>11.0</v>
      </c>
      <c r="J107" s="1">
        <v>45.0</v>
      </c>
      <c r="K107" s="1">
        <v>56.0</v>
      </c>
      <c r="L107" s="1">
        <v>213.0</v>
      </c>
      <c r="M107" s="1">
        <v>2.0</v>
      </c>
      <c r="N107" s="1">
        <v>15.0</v>
      </c>
      <c r="O107" s="1">
        <v>0.0</v>
      </c>
      <c r="P107" s="1">
        <v>0.0</v>
      </c>
      <c r="Q107" s="1">
        <v>40.0</v>
      </c>
      <c r="R107" s="1">
        <v>99.0</v>
      </c>
    </row>
    <row r="108">
      <c r="A108" s="1">
        <f t="shared" si="1"/>
        <v>106</v>
      </c>
      <c r="B108" s="1" t="s">
        <v>1157</v>
      </c>
      <c r="C108" s="1">
        <f t="shared" si="2"/>
        <v>106</v>
      </c>
      <c r="D108" s="1" t="s">
        <v>1076</v>
      </c>
      <c r="E108" s="1" t="s">
        <v>28</v>
      </c>
      <c r="F108" s="11">
        <f t="shared" si="3"/>
        <v>350.25</v>
      </c>
      <c r="G108" s="11">
        <f t="shared" si="4"/>
        <v>5.076086957</v>
      </c>
      <c r="H108" s="1">
        <v>69.0</v>
      </c>
      <c r="I108" s="1">
        <v>28.0</v>
      </c>
      <c r="J108" s="1">
        <v>24.0</v>
      </c>
      <c r="K108" s="1">
        <v>52.0</v>
      </c>
      <c r="L108" s="1">
        <v>207.0</v>
      </c>
      <c r="M108" s="1">
        <v>10.0</v>
      </c>
      <c r="N108" s="1">
        <v>7.0</v>
      </c>
      <c r="O108" s="1">
        <v>0.0</v>
      </c>
      <c r="P108" s="1">
        <v>0.0</v>
      </c>
      <c r="Q108" s="1">
        <v>111.0</v>
      </c>
      <c r="R108" s="1">
        <v>42.0</v>
      </c>
    </row>
    <row r="109">
      <c r="A109" s="1">
        <f t="shared" si="1"/>
        <v>106</v>
      </c>
      <c r="B109" s="1" t="s">
        <v>1165</v>
      </c>
      <c r="C109" s="1">
        <f t="shared" si="2"/>
        <v>106</v>
      </c>
      <c r="D109" s="1" t="s">
        <v>1080</v>
      </c>
      <c r="E109" s="1" t="s">
        <v>31</v>
      </c>
      <c r="F109" s="11">
        <f t="shared" si="3"/>
        <v>350.25</v>
      </c>
      <c r="G109" s="11">
        <f t="shared" si="4"/>
        <v>5.003571429</v>
      </c>
      <c r="H109" s="1">
        <v>70.0</v>
      </c>
      <c r="I109" s="1">
        <v>30.0</v>
      </c>
      <c r="J109" s="1">
        <v>30.0</v>
      </c>
      <c r="K109" s="1">
        <v>60.0</v>
      </c>
      <c r="L109" s="1">
        <v>175.0</v>
      </c>
      <c r="M109" s="1">
        <v>7.0</v>
      </c>
      <c r="N109" s="1">
        <v>8.0</v>
      </c>
      <c r="O109" s="1">
        <v>1.0</v>
      </c>
      <c r="P109" s="1">
        <v>1.0</v>
      </c>
      <c r="Q109" s="1">
        <v>43.0</v>
      </c>
      <c r="R109" s="1">
        <v>46.0</v>
      </c>
    </row>
    <row r="110">
      <c r="A110" s="1">
        <f t="shared" si="1"/>
        <v>106</v>
      </c>
      <c r="B110" s="1" t="s">
        <v>1163</v>
      </c>
      <c r="C110" s="1">
        <f t="shared" si="2"/>
        <v>106</v>
      </c>
      <c r="D110" s="1" t="s">
        <v>1040</v>
      </c>
      <c r="E110" s="1" t="s">
        <v>28</v>
      </c>
      <c r="F110" s="11">
        <f t="shared" si="3"/>
        <v>350.25</v>
      </c>
      <c r="G110" s="11">
        <f t="shared" si="4"/>
        <v>4.271341463</v>
      </c>
      <c r="H110" s="1">
        <v>82.0</v>
      </c>
      <c r="I110" s="1">
        <v>28.0</v>
      </c>
      <c r="J110" s="1">
        <v>29.0</v>
      </c>
      <c r="K110" s="1">
        <v>57.0</v>
      </c>
      <c r="L110" s="1">
        <v>217.0</v>
      </c>
      <c r="M110" s="1">
        <v>2.0</v>
      </c>
      <c r="N110" s="1">
        <v>4.0</v>
      </c>
      <c r="O110" s="1">
        <v>0.0</v>
      </c>
      <c r="P110" s="1">
        <v>0.0</v>
      </c>
      <c r="Q110" s="1">
        <v>73.0</v>
      </c>
      <c r="R110" s="1">
        <v>21.0</v>
      </c>
    </row>
    <row r="111">
      <c r="A111" s="1">
        <f t="shared" si="1"/>
        <v>109</v>
      </c>
      <c r="B111" s="1" t="s">
        <v>1169</v>
      </c>
      <c r="C111" s="1">
        <f t="shared" si="2"/>
        <v>109</v>
      </c>
      <c r="D111" s="1" t="s">
        <v>1085</v>
      </c>
      <c r="E111" s="1" t="s">
        <v>31</v>
      </c>
      <c r="F111" s="11">
        <f t="shared" si="3"/>
        <v>349.75</v>
      </c>
      <c r="G111" s="11">
        <f t="shared" si="4"/>
        <v>4.371875</v>
      </c>
      <c r="H111" s="1">
        <v>80.0</v>
      </c>
      <c r="I111" s="1">
        <v>25.0</v>
      </c>
      <c r="J111" s="1">
        <v>40.0</v>
      </c>
      <c r="K111" s="1">
        <v>65.0</v>
      </c>
      <c r="L111" s="1">
        <v>172.0</v>
      </c>
      <c r="M111" s="1">
        <v>6.0</v>
      </c>
      <c r="N111" s="1">
        <v>10.0</v>
      </c>
      <c r="O111" s="1">
        <v>0.0</v>
      </c>
      <c r="P111" s="1">
        <v>0.0</v>
      </c>
      <c r="Q111" s="1">
        <v>29.0</v>
      </c>
      <c r="R111" s="1">
        <v>48.0</v>
      </c>
    </row>
    <row r="112">
      <c r="A112" s="1">
        <f t="shared" si="1"/>
        <v>110</v>
      </c>
      <c r="B112" s="1" t="s">
        <v>1179</v>
      </c>
      <c r="C112" s="1">
        <f t="shared" si="2"/>
        <v>110</v>
      </c>
      <c r="D112" s="1" t="s">
        <v>1040</v>
      </c>
      <c r="E112" s="1" t="s">
        <v>5</v>
      </c>
      <c r="F112" s="11">
        <f t="shared" si="3"/>
        <v>348</v>
      </c>
      <c r="G112" s="11">
        <f t="shared" si="4"/>
        <v>6.327272727</v>
      </c>
      <c r="H112" s="1">
        <v>55.0</v>
      </c>
      <c r="S112" s="1">
        <v>36.0</v>
      </c>
      <c r="T112" s="1">
        <v>141.0</v>
      </c>
      <c r="U112" s="12">
        <v>1465.0</v>
      </c>
      <c r="V112" s="1">
        <v>4.0</v>
      </c>
    </row>
    <row r="113">
      <c r="A113" s="1">
        <f t="shared" si="1"/>
        <v>110</v>
      </c>
      <c r="B113" s="1" t="s">
        <v>1180</v>
      </c>
      <c r="C113" s="1">
        <f t="shared" si="2"/>
        <v>110</v>
      </c>
      <c r="D113" s="1" t="s">
        <v>1106</v>
      </c>
      <c r="E113" s="1" t="s">
        <v>5</v>
      </c>
      <c r="F113" s="11">
        <f t="shared" si="3"/>
        <v>348</v>
      </c>
      <c r="G113" s="11">
        <f t="shared" si="4"/>
        <v>6.105263158</v>
      </c>
      <c r="H113" s="1">
        <v>57.0</v>
      </c>
      <c r="S113" s="1">
        <v>28.0</v>
      </c>
      <c r="T113" s="1">
        <v>156.0</v>
      </c>
      <c r="U113" s="12">
        <v>1630.0</v>
      </c>
      <c r="V113" s="1">
        <v>3.0</v>
      </c>
    </row>
    <row r="114">
      <c r="A114" s="1">
        <f t="shared" si="1"/>
        <v>112</v>
      </c>
      <c r="B114" s="1" t="s">
        <v>1170</v>
      </c>
      <c r="C114" s="1">
        <f t="shared" si="2"/>
        <v>112</v>
      </c>
      <c r="D114" s="1" t="s">
        <v>1052</v>
      </c>
      <c r="E114" s="1" t="s">
        <v>36</v>
      </c>
      <c r="F114" s="11">
        <f t="shared" si="3"/>
        <v>347.25</v>
      </c>
      <c r="G114" s="11">
        <f t="shared" si="4"/>
        <v>5.600806452</v>
      </c>
      <c r="H114" s="1">
        <v>62.0</v>
      </c>
      <c r="I114" s="1">
        <v>28.0</v>
      </c>
      <c r="J114" s="1">
        <v>28.0</v>
      </c>
      <c r="K114" s="1">
        <v>56.0</v>
      </c>
      <c r="L114" s="1">
        <v>196.0</v>
      </c>
      <c r="M114" s="1">
        <v>3.0</v>
      </c>
      <c r="N114" s="1">
        <v>6.0</v>
      </c>
      <c r="O114" s="1">
        <v>1.0</v>
      </c>
      <c r="P114" s="1">
        <v>0.0</v>
      </c>
      <c r="Q114" s="1">
        <v>47.0</v>
      </c>
      <c r="R114" s="1">
        <v>51.0</v>
      </c>
    </row>
    <row r="115">
      <c r="A115" s="1">
        <f t="shared" si="1"/>
        <v>113</v>
      </c>
      <c r="B115" s="1" t="s">
        <v>1181</v>
      </c>
      <c r="C115" s="1">
        <f t="shared" si="2"/>
        <v>113</v>
      </c>
      <c r="D115" s="1" t="s">
        <v>1046</v>
      </c>
      <c r="E115" s="1" t="s">
        <v>5</v>
      </c>
      <c r="F115" s="11">
        <f t="shared" si="3"/>
        <v>346.2</v>
      </c>
      <c r="G115" s="11">
        <f t="shared" si="4"/>
        <v>6.788235294</v>
      </c>
      <c r="H115" s="1">
        <v>51.0</v>
      </c>
      <c r="S115" s="1">
        <v>35.0</v>
      </c>
      <c r="T115" s="1">
        <v>123.0</v>
      </c>
      <c r="U115" s="12">
        <v>1369.0</v>
      </c>
      <c r="V115" s="1">
        <v>5.0</v>
      </c>
    </row>
    <row r="116">
      <c r="A116" s="1">
        <f t="shared" si="1"/>
        <v>114</v>
      </c>
      <c r="B116" s="1" t="s">
        <v>1171</v>
      </c>
      <c r="C116" s="1">
        <f t="shared" si="2"/>
        <v>114</v>
      </c>
      <c r="D116" s="1" t="s">
        <v>1172</v>
      </c>
      <c r="E116" s="1" t="s">
        <v>31</v>
      </c>
      <c r="F116" s="11">
        <f t="shared" si="3"/>
        <v>346</v>
      </c>
      <c r="G116" s="11">
        <f t="shared" si="4"/>
        <v>5.088235294</v>
      </c>
      <c r="H116" s="1">
        <v>68.0</v>
      </c>
      <c r="I116" s="1">
        <v>22.0</v>
      </c>
      <c r="J116" s="1">
        <v>39.0</v>
      </c>
      <c r="K116" s="1">
        <v>61.0</v>
      </c>
      <c r="L116" s="1">
        <v>206.0</v>
      </c>
      <c r="M116" s="1">
        <v>4.0</v>
      </c>
      <c r="N116" s="1">
        <v>17.0</v>
      </c>
      <c r="O116" s="1">
        <v>0.0</v>
      </c>
      <c r="P116" s="1">
        <v>0.0</v>
      </c>
      <c r="Q116" s="1">
        <v>54.0</v>
      </c>
      <c r="R116" s="1">
        <v>27.0</v>
      </c>
    </row>
    <row r="117">
      <c r="A117" s="1">
        <f t="shared" si="1"/>
        <v>114</v>
      </c>
      <c r="B117" s="1" t="s">
        <v>1173</v>
      </c>
      <c r="C117" s="1">
        <f t="shared" si="2"/>
        <v>114</v>
      </c>
      <c r="D117" s="1" t="s">
        <v>1044</v>
      </c>
      <c r="E117" s="1" t="s">
        <v>31</v>
      </c>
      <c r="F117" s="11">
        <f t="shared" si="3"/>
        <v>346</v>
      </c>
      <c r="G117" s="11">
        <f t="shared" si="4"/>
        <v>4.219512195</v>
      </c>
      <c r="H117" s="1">
        <v>82.0</v>
      </c>
      <c r="I117" s="1">
        <v>21.0</v>
      </c>
      <c r="J117" s="1">
        <v>43.0</v>
      </c>
      <c r="K117" s="1">
        <v>64.0</v>
      </c>
      <c r="L117" s="1">
        <v>183.0</v>
      </c>
      <c r="M117" s="1">
        <v>3.0</v>
      </c>
      <c r="N117" s="1">
        <v>16.0</v>
      </c>
      <c r="O117" s="1">
        <v>2.0</v>
      </c>
      <c r="P117" s="1">
        <v>1.0</v>
      </c>
      <c r="Q117" s="1">
        <v>40.0</v>
      </c>
      <c r="R117" s="1">
        <v>30.0</v>
      </c>
    </row>
    <row r="118">
      <c r="A118" s="1">
        <f t="shared" si="1"/>
        <v>116</v>
      </c>
      <c r="B118" s="1" t="s">
        <v>1168</v>
      </c>
      <c r="C118" s="1">
        <f t="shared" si="2"/>
        <v>116</v>
      </c>
      <c r="D118" s="1" t="s">
        <v>1073</v>
      </c>
      <c r="E118" s="1" t="s">
        <v>31</v>
      </c>
      <c r="F118" s="11">
        <f t="shared" si="3"/>
        <v>345.25</v>
      </c>
      <c r="G118" s="11">
        <f t="shared" si="4"/>
        <v>4.483766234</v>
      </c>
      <c r="H118" s="1">
        <v>77.0</v>
      </c>
      <c r="I118" s="1">
        <v>24.0</v>
      </c>
      <c r="J118" s="1">
        <v>29.0</v>
      </c>
      <c r="K118" s="1">
        <v>53.0</v>
      </c>
      <c r="L118" s="1">
        <v>231.0</v>
      </c>
      <c r="M118" s="1">
        <v>8.0</v>
      </c>
      <c r="N118" s="1">
        <v>5.0</v>
      </c>
      <c r="O118" s="1">
        <v>0.0</v>
      </c>
      <c r="P118" s="1">
        <v>0.0</v>
      </c>
      <c r="Q118" s="1">
        <v>77.0</v>
      </c>
      <c r="R118" s="1">
        <v>31.0</v>
      </c>
    </row>
    <row r="119">
      <c r="A119" s="1">
        <f t="shared" si="1"/>
        <v>117</v>
      </c>
      <c r="B119" s="1" t="s">
        <v>1160</v>
      </c>
      <c r="C119" s="1">
        <f t="shared" si="2"/>
        <v>117</v>
      </c>
      <c r="D119" s="1" t="s">
        <v>1038</v>
      </c>
      <c r="E119" s="1" t="s">
        <v>66</v>
      </c>
      <c r="F119" s="11">
        <f t="shared" si="3"/>
        <v>344.75</v>
      </c>
      <c r="G119" s="11">
        <f t="shared" si="4"/>
        <v>4.658783784</v>
      </c>
      <c r="H119" s="1">
        <v>74.0</v>
      </c>
      <c r="I119" s="1">
        <v>12.0</v>
      </c>
      <c r="J119" s="1">
        <v>35.0</v>
      </c>
      <c r="K119" s="1">
        <v>47.0</v>
      </c>
      <c r="L119" s="1">
        <v>133.0</v>
      </c>
      <c r="M119" s="1">
        <v>1.0</v>
      </c>
      <c r="N119" s="1">
        <v>12.0</v>
      </c>
      <c r="O119" s="1">
        <v>0.0</v>
      </c>
      <c r="P119" s="1">
        <v>0.0</v>
      </c>
      <c r="Q119" s="1">
        <v>159.0</v>
      </c>
      <c r="R119" s="1">
        <v>159.0</v>
      </c>
    </row>
    <row r="120">
      <c r="A120" s="1">
        <f t="shared" si="1"/>
        <v>118</v>
      </c>
      <c r="B120" s="1" t="s">
        <v>1178</v>
      </c>
      <c r="C120" s="1">
        <f t="shared" si="2"/>
        <v>118</v>
      </c>
      <c r="D120" s="1" t="s">
        <v>1044</v>
      </c>
      <c r="E120" s="1" t="s">
        <v>66</v>
      </c>
      <c r="F120" s="11">
        <f t="shared" si="3"/>
        <v>341</v>
      </c>
      <c r="G120" s="11">
        <f t="shared" si="4"/>
        <v>4.158536585</v>
      </c>
      <c r="H120" s="1">
        <v>82.0</v>
      </c>
      <c r="I120" s="1">
        <v>14.0</v>
      </c>
      <c r="J120" s="1">
        <v>27.0</v>
      </c>
      <c r="K120" s="1">
        <v>41.0</v>
      </c>
      <c r="L120" s="1">
        <v>204.0</v>
      </c>
      <c r="M120" s="1">
        <v>7.0</v>
      </c>
      <c r="N120" s="1">
        <v>9.0</v>
      </c>
      <c r="O120" s="1">
        <v>0.0</v>
      </c>
      <c r="P120" s="1">
        <v>0.0</v>
      </c>
      <c r="Q120" s="1">
        <v>72.0</v>
      </c>
      <c r="R120" s="1">
        <v>154.0</v>
      </c>
    </row>
    <row r="121">
      <c r="A121" s="1">
        <f t="shared" si="1"/>
        <v>119</v>
      </c>
      <c r="B121" s="1" t="s">
        <v>1176</v>
      </c>
      <c r="C121" s="1">
        <f t="shared" si="2"/>
        <v>119</v>
      </c>
      <c r="D121" s="1" t="s">
        <v>1078</v>
      </c>
      <c r="E121" s="1" t="s">
        <v>66</v>
      </c>
      <c r="F121" s="11">
        <f t="shared" si="3"/>
        <v>338.25</v>
      </c>
      <c r="G121" s="11">
        <f t="shared" si="4"/>
        <v>4.125</v>
      </c>
      <c r="H121" s="1">
        <v>82.0</v>
      </c>
      <c r="I121" s="1">
        <v>15.0</v>
      </c>
      <c r="J121" s="1">
        <v>35.0</v>
      </c>
      <c r="K121" s="1">
        <v>50.0</v>
      </c>
      <c r="L121" s="1">
        <v>135.0</v>
      </c>
      <c r="M121" s="1">
        <v>7.0</v>
      </c>
      <c r="N121" s="1">
        <v>13.0</v>
      </c>
      <c r="O121" s="1">
        <v>0.0</v>
      </c>
      <c r="P121" s="1">
        <v>0.0</v>
      </c>
      <c r="Q121" s="1">
        <v>109.0</v>
      </c>
      <c r="R121" s="1">
        <v>142.0</v>
      </c>
    </row>
    <row r="122">
      <c r="A122" s="1">
        <f t="shared" si="1"/>
        <v>120</v>
      </c>
      <c r="B122" s="1" t="s">
        <v>1174</v>
      </c>
      <c r="C122" s="1">
        <f t="shared" si="2"/>
        <v>120</v>
      </c>
      <c r="D122" s="1" t="s">
        <v>1175</v>
      </c>
      <c r="E122" s="1" t="s">
        <v>28</v>
      </c>
      <c r="F122" s="11">
        <f t="shared" si="3"/>
        <v>337.5</v>
      </c>
      <c r="G122" s="11">
        <f t="shared" si="4"/>
        <v>4.115853659</v>
      </c>
      <c r="H122" s="1">
        <v>82.0</v>
      </c>
      <c r="I122" s="1">
        <v>24.0</v>
      </c>
      <c r="J122" s="1">
        <v>20.0</v>
      </c>
      <c r="K122" s="1">
        <v>44.0</v>
      </c>
      <c r="L122" s="1">
        <v>204.0</v>
      </c>
      <c r="M122" s="1">
        <v>6.0</v>
      </c>
      <c r="N122" s="1">
        <v>10.0</v>
      </c>
      <c r="O122" s="1">
        <v>1.0</v>
      </c>
      <c r="P122" s="1">
        <v>0.0</v>
      </c>
      <c r="Q122" s="1">
        <v>120.0</v>
      </c>
      <c r="R122" s="1">
        <v>71.0</v>
      </c>
    </row>
    <row r="123">
      <c r="A123" s="1">
        <f t="shared" si="1"/>
        <v>121</v>
      </c>
      <c r="B123" s="1" t="s">
        <v>1187</v>
      </c>
      <c r="C123" s="1">
        <f t="shared" si="2"/>
        <v>121</v>
      </c>
      <c r="D123" s="1" t="s">
        <v>1116</v>
      </c>
      <c r="E123" s="1" t="s">
        <v>31</v>
      </c>
      <c r="F123" s="11">
        <f t="shared" si="3"/>
        <v>334.75</v>
      </c>
      <c r="G123" s="11">
        <f t="shared" si="4"/>
        <v>4.03313253</v>
      </c>
      <c r="H123" s="1">
        <v>83.0</v>
      </c>
      <c r="I123" s="1">
        <v>26.0</v>
      </c>
      <c r="J123" s="1">
        <v>33.0</v>
      </c>
      <c r="K123" s="1">
        <v>59.0</v>
      </c>
      <c r="L123" s="1">
        <v>171.0</v>
      </c>
      <c r="M123" s="1">
        <v>9.0</v>
      </c>
      <c r="N123" s="1">
        <v>12.0</v>
      </c>
      <c r="O123" s="1">
        <v>2.0</v>
      </c>
      <c r="P123" s="1">
        <v>0.0</v>
      </c>
      <c r="Q123" s="1">
        <v>29.0</v>
      </c>
      <c r="R123" s="1">
        <v>44.0</v>
      </c>
    </row>
    <row r="124">
      <c r="A124" s="1">
        <f t="shared" si="1"/>
        <v>122</v>
      </c>
      <c r="B124" s="1" t="s">
        <v>1183</v>
      </c>
      <c r="C124" s="1">
        <f t="shared" si="2"/>
        <v>122</v>
      </c>
      <c r="D124" s="1" t="s">
        <v>1036</v>
      </c>
      <c r="E124" s="1" t="s">
        <v>31</v>
      </c>
      <c r="F124" s="11">
        <f t="shared" si="3"/>
        <v>332.75</v>
      </c>
      <c r="G124" s="11">
        <f t="shared" si="4"/>
        <v>4.057926829</v>
      </c>
      <c r="H124" s="1">
        <v>82.0</v>
      </c>
      <c r="I124" s="1">
        <v>24.0</v>
      </c>
      <c r="J124" s="1">
        <v>27.0</v>
      </c>
      <c r="K124" s="1">
        <v>51.0</v>
      </c>
      <c r="L124" s="1">
        <v>140.0</v>
      </c>
      <c r="M124" s="1">
        <v>5.0</v>
      </c>
      <c r="N124" s="1">
        <v>5.0</v>
      </c>
      <c r="O124" s="1">
        <v>2.0</v>
      </c>
      <c r="P124" s="1">
        <v>3.0</v>
      </c>
      <c r="Q124" s="1">
        <v>99.0</v>
      </c>
      <c r="R124" s="1">
        <v>78.0</v>
      </c>
    </row>
    <row r="125">
      <c r="A125" s="1">
        <f t="shared" si="1"/>
        <v>123</v>
      </c>
      <c r="B125" s="1" t="s">
        <v>1177</v>
      </c>
      <c r="C125" s="1">
        <f t="shared" si="2"/>
        <v>123</v>
      </c>
      <c r="D125" s="1" t="s">
        <v>1036</v>
      </c>
      <c r="E125" s="1" t="s">
        <v>66</v>
      </c>
      <c r="F125" s="11">
        <f t="shared" si="3"/>
        <v>331.5</v>
      </c>
      <c r="G125" s="11">
        <f t="shared" si="4"/>
        <v>4.092592593</v>
      </c>
      <c r="H125" s="1">
        <v>81.0</v>
      </c>
      <c r="I125" s="1">
        <v>10.0</v>
      </c>
      <c r="J125" s="1">
        <v>22.0</v>
      </c>
      <c r="K125" s="1">
        <v>32.0</v>
      </c>
      <c r="L125" s="1">
        <v>181.0</v>
      </c>
      <c r="M125" s="1">
        <v>1.0</v>
      </c>
      <c r="N125" s="1">
        <v>4.0</v>
      </c>
      <c r="O125" s="1">
        <v>1.0</v>
      </c>
      <c r="P125" s="1">
        <v>0.0</v>
      </c>
      <c r="Q125" s="1">
        <v>168.0</v>
      </c>
      <c r="R125" s="1">
        <v>172.0</v>
      </c>
    </row>
    <row r="126">
      <c r="A126" s="1">
        <f t="shared" si="1"/>
        <v>124</v>
      </c>
      <c r="B126" s="1" t="s">
        <v>1185</v>
      </c>
      <c r="C126" s="1">
        <f t="shared" si="2"/>
        <v>124</v>
      </c>
      <c r="D126" s="1" t="s">
        <v>1146</v>
      </c>
      <c r="E126" s="1" t="s">
        <v>36</v>
      </c>
      <c r="F126" s="11">
        <f t="shared" si="3"/>
        <v>331.25</v>
      </c>
      <c r="G126" s="11">
        <f t="shared" si="4"/>
        <v>4.039634146</v>
      </c>
      <c r="H126" s="1">
        <v>82.0</v>
      </c>
      <c r="I126" s="1">
        <v>20.0</v>
      </c>
      <c r="J126" s="1">
        <v>39.0</v>
      </c>
      <c r="K126" s="1">
        <v>59.0</v>
      </c>
      <c r="L126" s="1">
        <v>186.0</v>
      </c>
      <c r="M126" s="1">
        <v>8.0</v>
      </c>
      <c r="N126" s="1">
        <v>17.0</v>
      </c>
      <c r="O126" s="1">
        <v>0.0</v>
      </c>
      <c r="P126" s="1">
        <v>0.0</v>
      </c>
      <c r="Q126" s="1">
        <v>67.0</v>
      </c>
      <c r="R126" s="1">
        <v>29.0</v>
      </c>
    </row>
    <row r="127">
      <c r="A127" s="1">
        <f t="shared" si="1"/>
        <v>125</v>
      </c>
      <c r="B127" s="1" t="s">
        <v>1182</v>
      </c>
      <c r="C127" s="1">
        <f t="shared" si="2"/>
        <v>125</v>
      </c>
      <c r="D127" s="1" t="s">
        <v>1097</v>
      </c>
      <c r="E127" s="1" t="s">
        <v>28</v>
      </c>
      <c r="F127" s="11">
        <f t="shared" si="3"/>
        <v>329.5</v>
      </c>
      <c r="G127" s="11">
        <f t="shared" si="4"/>
        <v>4.018292683</v>
      </c>
      <c r="H127" s="1">
        <v>82.0</v>
      </c>
      <c r="I127" s="1">
        <v>20.0</v>
      </c>
      <c r="J127" s="1">
        <v>30.0</v>
      </c>
      <c r="K127" s="1">
        <v>50.0</v>
      </c>
      <c r="L127" s="1">
        <v>152.0</v>
      </c>
      <c r="M127" s="1">
        <v>6.0</v>
      </c>
      <c r="N127" s="1">
        <v>8.0</v>
      </c>
      <c r="O127" s="1">
        <v>0.0</v>
      </c>
      <c r="P127" s="1">
        <v>0.0</v>
      </c>
      <c r="Q127" s="1">
        <v>152.0</v>
      </c>
      <c r="R127" s="1">
        <v>71.0</v>
      </c>
    </row>
    <row r="128">
      <c r="A128" s="1">
        <f t="shared" si="1"/>
        <v>126</v>
      </c>
      <c r="B128" s="1" t="s">
        <v>1198</v>
      </c>
      <c r="C128" s="1">
        <f t="shared" si="2"/>
        <v>126</v>
      </c>
      <c r="D128" s="1" t="s">
        <v>1087</v>
      </c>
      <c r="E128" s="1" t="s">
        <v>5</v>
      </c>
      <c r="F128" s="11">
        <f t="shared" si="3"/>
        <v>327</v>
      </c>
      <c r="G128" s="11">
        <f t="shared" si="4"/>
        <v>5.839285714</v>
      </c>
      <c r="H128" s="1">
        <v>56.0</v>
      </c>
      <c r="S128" s="1">
        <v>25.0</v>
      </c>
      <c r="T128" s="1">
        <v>167.0</v>
      </c>
      <c r="U128" s="12">
        <v>1655.0</v>
      </c>
      <c r="V128" s="1">
        <v>2.0</v>
      </c>
    </row>
    <row r="129">
      <c r="A129" s="1">
        <f t="shared" si="1"/>
        <v>127</v>
      </c>
      <c r="B129" s="1" t="s">
        <v>1189</v>
      </c>
      <c r="C129" s="1">
        <f t="shared" si="2"/>
        <v>127</v>
      </c>
      <c r="D129" s="1" t="s">
        <v>1038</v>
      </c>
      <c r="E129" s="1" t="s">
        <v>31</v>
      </c>
      <c r="F129" s="11">
        <f t="shared" si="3"/>
        <v>325.75</v>
      </c>
      <c r="G129" s="11">
        <f t="shared" si="4"/>
        <v>4.176282051</v>
      </c>
      <c r="H129" s="1">
        <v>78.0</v>
      </c>
      <c r="I129" s="1">
        <v>21.0</v>
      </c>
      <c r="J129" s="1">
        <v>38.0</v>
      </c>
      <c r="K129" s="1">
        <v>59.0</v>
      </c>
      <c r="L129" s="1">
        <v>148.0</v>
      </c>
      <c r="M129" s="1">
        <v>6.0</v>
      </c>
      <c r="N129" s="1">
        <v>9.0</v>
      </c>
      <c r="O129" s="1">
        <v>0.0</v>
      </c>
      <c r="P129" s="1">
        <v>0.0</v>
      </c>
      <c r="Q129" s="1">
        <v>105.0</v>
      </c>
      <c r="R129" s="1">
        <v>34.0</v>
      </c>
    </row>
    <row r="130">
      <c r="A130" s="1">
        <f t="shared" si="1"/>
        <v>127</v>
      </c>
      <c r="B130" s="1" t="s">
        <v>1191</v>
      </c>
      <c r="C130" s="1">
        <f t="shared" si="2"/>
        <v>127</v>
      </c>
      <c r="D130" s="1" t="s">
        <v>1091</v>
      </c>
      <c r="E130" s="1" t="s">
        <v>66</v>
      </c>
      <c r="F130" s="11">
        <f t="shared" si="3"/>
        <v>325.75</v>
      </c>
      <c r="G130" s="11">
        <f t="shared" si="4"/>
        <v>4.021604938</v>
      </c>
      <c r="H130" s="1">
        <v>81.0</v>
      </c>
      <c r="I130" s="1">
        <v>10.0</v>
      </c>
      <c r="J130" s="1">
        <v>34.0</v>
      </c>
      <c r="K130" s="1">
        <v>44.0</v>
      </c>
      <c r="L130" s="1">
        <v>146.0</v>
      </c>
      <c r="M130" s="1">
        <v>0.0</v>
      </c>
      <c r="N130" s="1">
        <v>5.0</v>
      </c>
      <c r="O130" s="1">
        <v>1.0</v>
      </c>
      <c r="P130" s="1">
        <v>3.0</v>
      </c>
      <c r="Q130" s="1">
        <v>93.0</v>
      </c>
      <c r="R130" s="1">
        <v>149.0</v>
      </c>
    </row>
    <row r="131">
      <c r="A131" s="1">
        <f t="shared" si="1"/>
        <v>129</v>
      </c>
      <c r="B131" s="1" t="s">
        <v>1197</v>
      </c>
      <c r="C131" s="1">
        <f t="shared" si="2"/>
        <v>129</v>
      </c>
      <c r="D131" s="1" t="s">
        <v>1054</v>
      </c>
      <c r="E131" s="1" t="s">
        <v>36</v>
      </c>
      <c r="F131" s="11">
        <f t="shared" si="3"/>
        <v>325</v>
      </c>
      <c r="G131" s="11">
        <f t="shared" si="4"/>
        <v>4.710144928</v>
      </c>
      <c r="H131" s="1">
        <v>69.0</v>
      </c>
      <c r="I131" s="1">
        <v>12.0</v>
      </c>
      <c r="J131" s="1">
        <v>51.0</v>
      </c>
      <c r="K131" s="1">
        <v>63.0</v>
      </c>
      <c r="L131" s="1">
        <v>173.0</v>
      </c>
      <c r="M131" s="1">
        <v>5.0</v>
      </c>
      <c r="N131" s="1">
        <v>28.0</v>
      </c>
      <c r="O131" s="1">
        <v>0.0</v>
      </c>
      <c r="P131" s="1">
        <v>0.0</v>
      </c>
      <c r="Q131" s="1">
        <v>26.0</v>
      </c>
      <c r="R131" s="1">
        <v>50.0</v>
      </c>
    </row>
    <row r="132">
      <c r="A132" s="1">
        <f t="shared" si="1"/>
        <v>130</v>
      </c>
      <c r="B132" s="1" t="s">
        <v>1193</v>
      </c>
      <c r="C132" s="1">
        <f t="shared" si="2"/>
        <v>130</v>
      </c>
      <c r="D132" s="1" t="s">
        <v>1030</v>
      </c>
      <c r="E132" s="1" t="s">
        <v>66</v>
      </c>
      <c r="F132" s="11">
        <f t="shared" si="3"/>
        <v>324.75</v>
      </c>
      <c r="G132" s="11">
        <f t="shared" si="4"/>
        <v>3.960365854</v>
      </c>
      <c r="H132" s="1">
        <v>82.0</v>
      </c>
      <c r="I132" s="1">
        <v>12.0</v>
      </c>
      <c r="J132" s="1">
        <v>38.0</v>
      </c>
      <c r="K132" s="1">
        <v>50.0</v>
      </c>
      <c r="L132" s="1">
        <v>159.0</v>
      </c>
      <c r="M132" s="1">
        <v>0.0</v>
      </c>
      <c r="N132" s="1">
        <v>5.0</v>
      </c>
      <c r="O132" s="1">
        <v>0.0</v>
      </c>
      <c r="P132" s="1">
        <v>2.0</v>
      </c>
      <c r="Q132" s="1">
        <v>73.0</v>
      </c>
      <c r="R132" s="1">
        <v>110.0</v>
      </c>
    </row>
    <row r="133">
      <c r="A133" s="1">
        <f t="shared" si="1"/>
        <v>131</v>
      </c>
      <c r="B133" s="1" t="s">
        <v>1194</v>
      </c>
      <c r="C133" s="1">
        <f t="shared" si="2"/>
        <v>131</v>
      </c>
      <c r="D133" s="1" t="s">
        <v>1073</v>
      </c>
      <c r="E133" s="1" t="s">
        <v>66</v>
      </c>
      <c r="F133" s="11">
        <f t="shared" si="3"/>
        <v>323.25</v>
      </c>
      <c r="G133" s="11">
        <f t="shared" si="4"/>
        <v>4.040625</v>
      </c>
      <c r="H133" s="1">
        <v>80.0</v>
      </c>
      <c r="I133" s="1">
        <v>13.0</v>
      </c>
      <c r="J133" s="1">
        <v>34.0</v>
      </c>
      <c r="K133" s="1">
        <v>47.0</v>
      </c>
      <c r="L133" s="1">
        <v>185.0</v>
      </c>
      <c r="M133" s="1">
        <v>1.0</v>
      </c>
      <c r="N133" s="1">
        <v>11.0</v>
      </c>
      <c r="O133" s="1">
        <v>1.0</v>
      </c>
      <c r="P133" s="1">
        <v>3.0</v>
      </c>
      <c r="Q133" s="1">
        <v>69.0</v>
      </c>
      <c r="R133" s="1">
        <v>90.0</v>
      </c>
    </row>
    <row r="134">
      <c r="A134" s="1">
        <f t="shared" si="1"/>
        <v>132</v>
      </c>
      <c r="B134" s="1" t="s">
        <v>1190</v>
      </c>
      <c r="C134" s="1">
        <f t="shared" si="2"/>
        <v>132</v>
      </c>
      <c r="D134" s="1" t="s">
        <v>1036</v>
      </c>
      <c r="E134" s="1" t="s">
        <v>66</v>
      </c>
      <c r="F134" s="11">
        <f t="shared" si="3"/>
        <v>322.5</v>
      </c>
      <c r="G134" s="11">
        <f t="shared" si="4"/>
        <v>4.082278481</v>
      </c>
      <c r="H134" s="1">
        <v>79.0</v>
      </c>
      <c r="I134" s="1">
        <v>11.0</v>
      </c>
      <c r="J134" s="1">
        <v>34.0</v>
      </c>
      <c r="K134" s="1">
        <v>45.0</v>
      </c>
      <c r="L134" s="1">
        <v>177.0</v>
      </c>
      <c r="M134" s="1">
        <v>2.0</v>
      </c>
      <c r="N134" s="1">
        <v>1.0</v>
      </c>
      <c r="O134" s="1">
        <v>1.0</v>
      </c>
      <c r="P134" s="1">
        <v>0.0</v>
      </c>
      <c r="Q134" s="1">
        <v>136.0</v>
      </c>
      <c r="R134" s="1">
        <v>93.0</v>
      </c>
    </row>
    <row r="135">
      <c r="A135" s="1">
        <f t="shared" si="1"/>
        <v>132</v>
      </c>
      <c r="B135" s="1" t="s">
        <v>1195</v>
      </c>
      <c r="C135" s="1">
        <f t="shared" si="2"/>
        <v>132</v>
      </c>
      <c r="D135" s="1" t="s">
        <v>1080</v>
      </c>
      <c r="E135" s="1" t="s">
        <v>66</v>
      </c>
      <c r="F135" s="11">
        <f t="shared" si="3"/>
        <v>322.5</v>
      </c>
      <c r="G135" s="11">
        <f t="shared" si="4"/>
        <v>4.03125</v>
      </c>
      <c r="H135" s="1">
        <v>80.0</v>
      </c>
      <c r="I135" s="1">
        <v>13.0</v>
      </c>
      <c r="J135" s="1">
        <v>34.0</v>
      </c>
      <c r="K135" s="1">
        <v>47.0</v>
      </c>
      <c r="L135" s="1">
        <v>164.0</v>
      </c>
      <c r="M135" s="1">
        <v>5.0</v>
      </c>
      <c r="N135" s="1">
        <v>8.0</v>
      </c>
      <c r="O135" s="1">
        <v>0.0</v>
      </c>
      <c r="P135" s="1">
        <v>2.0</v>
      </c>
      <c r="Q135" s="1">
        <v>62.0</v>
      </c>
      <c r="R135" s="1">
        <v>121.0</v>
      </c>
    </row>
    <row r="136">
      <c r="A136" s="1">
        <f t="shared" si="1"/>
        <v>132</v>
      </c>
      <c r="B136" s="1" t="s">
        <v>1184</v>
      </c>
      <c r="C136" s="1">
        <f t="shared" si="2"/>
        <v>132</v>
      </c>
      <c r="D136" s="1" t="s">
        <v>1106</v>
      </c>
      <c r="E136" s="1" t="s">
        <v>31</v>
      </c>
      <c r="F136" s="11">
        <f t="shared" si="3"/>
        <v>322.5</v>
      </c>
      <c r="G136" s="11">
        <f t="shared" si="4"/>
        <v>3.932926829</v>
      </c>
      <c r="H136" s="1">
        <v>82.0</v>
      </c>
      <c r="I136" s="1">
        <v>20.0</v>
      </c>
      <c r="J136" s="1">
        <v>26.0</v>
      </c>
      <c r="K136" s="1">
        <v>46.0</v>
      </c>
      <c r="L136" s="1">
        <v>170.0</v>
      </c>
      <c r="M136" s="1">
        <v>4.0</v>
      </c>
      <c r="N136" s="1">
        <v>8.0</v>
      </c>
      <c r="O136" s="1">
        <v>1.0</v>
      </c>
      <c r="P136" s="1">
        <v>0.0</v>
      </c>
      <c r="Q136" s="1">
        <v>168.0</v>
      </c>
      <c r="R136" s="1">
        <v>51.0</v>
      </c>
    </row>
    <row r="137">
      <c r="A137" s="1">
        <f t="shared" si="1"/>
        <v>135</v>
      </c>
      <c r="B137" s="1" t="s">
        <v>1196</v>
      </c>
      <c r="C137" s="1">
        <f t="shared" si="2"/>
        <v>135</v>
      </c>
      <c r="D137" s="1" t="s">
        <v>1085</v>
      </c>
      <c r="E137" s="1" t="s">
        <v>66</v>
      </c>
      <c r="F137" s="11">
        <f t="shared" si="3"/>
        <v>321.75</v>
      </c>
      <c r="G137" s="11">
        <f t="shared" si="4"/>
        <v>4.07278481</v>
      </c>
      <c r="H137" s="1">
        <v>79.0</v>
      </c>
      <c r="I137" s="1">
        <v>15.0</v>
      </c>
      <c r="J137" s="1">
        <v>32.0</v>
      </c>
      <c r="K137" s="1">
        <v>47.0</v>
      </c>
      <c r="L137" s="1">
        <v>144.0</v>
      </c>
      <c r="M137" s="1">
        <v>1.0</v>
      </c>
      <c r="N137" s="1">
        <v>8.0</v>
      </c>
      <c r="O137" s="1">
        <v>1.0</v>
      </c>
      <c r="P137" s="1">
        <v>0.0</v>
      </c>
      <c r="Q137" s="1">
        <v>67.0</v>
      </c>
      <c r="R137" s="1">
        <v>135.0</v>
      </c>
    </row>
    <row r="138">
      <c r="A138" s="1">
        <f t="shared" si="1"/>
        <v>136</v>
      </c>
      <c r="B138" s="1" t="s">
        <v>1208</v>
      </c>
      <c r="C138" s="1">
        <f t="shared" si="2"/>
        <v>136</v>
      </c>
      <c r="D138" s="1" t="s">
        <v>1030</v>
      </c>
      <c r="E138" s="1" t="s">
        <v>5</v>
      </c>
      <c r="F138" s="11">
        <f t="shared" si="3"/>
        <v>321.6</v>
      </c>
      <c r="G138" s="11">
        <f t="shared" si="4"/>
        <v>5.104761905</v>
      </c>
      <c r="H138" s="1">
        <v>63.0</v>
      </c>
      <c r="S138" s="1">
        <v>38.0</v>
      </c>
      <c r="T138" s="1">
        <v>183.0</v>
      </c>
      <c r="U138" s="12">
        <v>1587.0</v>
      </c>
      <c r="V138" s="1">
        <v>2.0</v>
      </c>
    </row>
    <row r="139">
      <c r="A139" s="1">
        <f t="shared" si="1"/>
        <v>137</v>
      </c>
      <c r="B139" s="1" t="s">
        <v>1203</v>
      </c>
      <c r="C139" s="1">
        <f t="shared" si="2"/>
        <v>137</v>
      </c>
      <c r="D139" s="1" t="s">
        <v>1111</v>
      </c>
      <c r="E139" s="1" t="s">
        <v>36</v>
      </c>
      <c r="F139" s="11">
        <f t="shared" si="3"/>
        <v>321.5</v>
      </c>
      <c r="G139" s="11">
        <f t="shared" si="4"/>
        <v>4.069620253</v>
      </c>
      <c r="H139" s="1">
        <v>79.0</v>
      </c>
      <c r="I139" s="1">
        <v>22.0</v>
      </c>
      <c r="J139" s="1">
        <v>39.0</v>
      </c>
      <c r="K139" s="1">
        <v>61.0</v>
      </c>
      <c r="L139" s="1">
        <v>158.0</v>
      </c>
      <c r="M139" s="1">
        <v>10.0</v>
      </c>
      <c r="N139" s="1">
        <v>11.0</v>
      </c>
      <c r="O139" s="1">
        <v>1.0</v>
      </c>
      <c r="P139" s="1">
        <v>0.0</v>
      </c>
      <c r="Q139" s="1">
        <v>16.0</v>
      </c>
      <c r="R139" s="1">
        <v>41.0</v>
      </c>
    </row>
    <row r="140">
      <c r="A140" s="1">
        <f t="shared" si="1"/>
        <v>138</v>
      </c>
      <c r="B140" s="1" t="s">
        <v>1202</v>
      </c>
      <c r="C140" s="1">
        <f t="shared" si="2"/>
        <v>138</v>
      </c>
      <c r="D140" s="1" t="s">
        <v>1067</v>
      </c>
      <c r="E140" s="1" t="s">
        <v>36</v>
      </c>
      <c r="F140" s="11">
        <f t="shared" si="3"/>
        <v>320.75</v>
      </c>
      <c r="G140" s="11">
        <f t="shared" si="4"/>
        <v>3.911585366</v>
      </c>
      <c r="H140" s="1">
        <v>82.0</v>
      </c>
      <c r="I140" s="1">
        <v>28.0</v>
      </c>
      <c r="J140" s="1">
        <v>22.0</v>
      </c>
      <c r="K140" s="1">
        <v>50.0</v>
      </c>
      <c r="L140" s="1">
        <v>226.0</v>
      </c>
      <c r="M140" s="1">
        <v>3.0</v>
      </c>
      <c r="N140" s="1">
        <v>4.0</v>
      </c>
      <c r="O140" s="1">
        <v>0.0</v>
      </c>
      <c r="P140" s="1">
        <v>0.0</v>
      </c>
      <c r="Q140" s="1">
        <v>27.0</v>
      </c>
      <c r="R140" s="1">
        <v>18.0</v>
      </c>
    </row>
    <row r="141">
      <c r="A141" s="1">
        <f t="shared" si="1"/>
        <v>139</v>
      </c>
      <c r="B141" s="1" t="s">
        <v>1186</v>
      </c>
      <c r="C141" s="1">
        <f t="shared" si="2"/>
        <v>139</v>
      </c>
      <c r="D141" s="1" t="s">
        <v>1111</v>
      </c>
      <c r="E141" s="1" t="s">
        <v>28</v>
      </c>
      <c r="F141" s="11">
        <f t="shared" si="3"/>
        <v>320.25</v>
      </c>
      <c r="G141" s="11">
        <f t="shared" si="4"/>
        <v>3.953703704</v>
      </c>
      <c r="H141" s="1">
        <v>81.0</v>
      </c>
      <c r="I141" s="1">
        <v>23.0</v>
      </c>
      <c r="J141" s="1">
        <v>19.0</v>
      </c>
      <c r="K141" s="1">
        <v>42.0</v>
      </c>
      <c r="L141" s="1">
        <v>171.0</v>
      </c>
      <c r="M141" s="1">
        <v>7.0</v>
      </c>
      <c r="N141" s="1">
        <v>3.0</v>
      </c>
      <c r="O141" s="1">
        <v>0.0</v>
      </c>
      <c r="P141" s="1">
        <v>1.0</v>
      </c>
      <c r="Q141" s="1">
        <v>175.0</v>
      </c>
      <c r="R141" s="1">
        <v>57.0</v>
      </c>
    </row>
    <row r="142">
      <c r="A142" s="1">
        <f t="shared" si="1"/>
        <v>140</v>
      </c>
      <c r="B142" s="1" t="s">
        <v>1201</v>
      </c>
      <c r="C142" s="1">
        <f t="shared" si="2"/>
        <v>140</v>
      </c>
      <c r="D142" s="1" t="s">
        <v>1085</v>
      </c>
      <c r="E142" s="1" t="s">
        <v>66</v>
      </c>
      <c r="F142" s="11">
        <f t="shared" si="3"/>
        <v>318.75</v>
      </c>
      <c r="G142" s="11">
        <f t="shared" si="4"/>
        <v>4.48943662</v>
      </c>
      <c r="H142" s="1">
        <v>71.0</v>
      </c>
      <c r="I142" s="1">
        <v>9.0</v>
      </c>
      <c r="J142" s="1">
        <v>45.0</v>
      </c>
      <c r="K142" s="1">
        <v>54.0</v>
      </c>
      <c r="L142" s="1">
        <v>162.0</v>
      </c>
      <c r="M142" s="1">
        <v>2.0</v>
      </c>
      <c r="N142" s="1">
        <v>19.0</v>
      </c>
      <c r="O142" s="1">
        <v>0.0</v>
      </c>
      <c r="P142" s="1">
        <v>0.0</v>
      </c>
      <c r="Q142" s="1">
        <v>55.0</v>
      </c>
      <c r="R142" s="1">
        <v>97.0</v>
      </c>
    </row>
    <row r="143">
      <c r="A143" s="1">
        <f t="shared" si="1"/>
        <v>141</v>
      </c>
      <c r="B143" s="1" t="s">
        <v>1199</v>
      </c>
      <c r="C143" s="1">
        <f t="shared" si="2"/>
        <v>141</v>
      </c>
      <c r="D143" s="1" t="s">
        <v>1048</v>
      </c>
      <c r="E143" s="1" t="s">
        <v>36</v>
      </c>
      <c r="F143" s="11">
        <f t="shared" si="3"/>
        <v>317.75</v>
      </c>
      <c r="G143" s="11">
        <f t="shared" si="4"/>
        <v>4.180921053</v>
      </c>
      <c r="H143" s="1">
        <v>76.0</v>
      </c>
      <c r="I143" s="1">
        <v>23.0</v>
      </c>
      <c r="J143" s="1">
        <v>32.0</v>
      </c>
      <c r="K143" s="1">
        <v>55.0</v>
      </c>
      <c r="L143" s="1">
        <v>155.0</v>
      </c>
      <c r="M143" s="1">
        <v>3.0</v>
      </c>
      <c r="N143" s="1">
        <v>6.0</v>
      </c>
      <c r="O143" s="1">
        <v>0.0</v>
      </c>
      <c r="P143" s="1">
        <v>0.0</v>
      </c>
      <c r="Q143" s="1">
        <v>85.0</v>
      </c>
      <c r="R143" s="1">
        <v>39.0</v>
      </c>
    </row>
    <row r="144">
      <c r="A144" s="1">
        <f t="shared" si="1"/>
        <v>142</v>
      </c>
      <c r="B144" s="1" t="s">
        <v>1205</v>
      </c>
      <c r="C144" s="1">
        <f t="shared" si="2"/>
        <v>142</v>
      </c>
      <c r="D144" s="1" t="s">
        <v>1091</v>
      </c>
      <c r="E144" s="1" t="s">
        <v>28</v>
      </c>
      <c r="F144" s="11">
        <f t="shared" si="3"/>
        <v>315.75</v>
      </c>
      <c r="G144" s="11">
        <f t="shared" si="4"/>
        <v>3.850609756</v>
      </c>
      <c r="H144" s="1">
        <v>82.0</v>
      </c>
      <c r="I144" s="1">
        <v>22.0</v>
      </c>
      <c r="J144" s="1">
        <v>28.0</v>
      </c>
      <c r="K144" s="1">
        <v>50.0</v>
      </c>
      <c r="L144" s="1">
        <v>182.0</v>
      </c>
      <c r="M144" s="1">
        <v>2.0</v>
      </c>
      <c r="N144" s="1">
        <v>5.0</v>
      </c>
      <c r="O144" s="1">
        <v>0.0</v>
      </c>
      <c r="P144" s="1">
        <v>0.0</v>
      </c>
      <c r="Q144" s="1">
        <v>67.0</v>
      </c>
      <c r="R144" s="1">
        <v>50.0</v>
      </c>
    </row>
    <row r="145">
      <c r="A145" s="1">
        <f t="shared" si="1"/>
        <v>143</v>
      </c>
      <c r="B145" s="1" t="s">
        <v>1218</v>
      </c>
      <c r="C145" s="1">
        <f t="shared" si="2"/>
        <v>143</v>
      </c>
      <c r="D145" s="1" t="s">
        <v>1036</v>
      </c>
      <c r="E145" s="1" t="s">
        <v>5</v>
      </c>
      <c r="F145" s="11">
        <f t="shared" si="3"/>
        <v>315.3</v>
      </c>
      <c r="G145" s="11">
        <f t="shared" si="4"/>
        <v>5.344067797</v>
      </c>
      <c r="H145" s="1">
        <v>59.0</v>
      </c>
      <c r="S145" s="1">
        <v>36.0</v>
      </c>
      <c r="T145" s="1">
        <v>147.0</v>
      </c>
      <c r="U145" s="12">
        <v>1406.0</v>
      </c>
      <c r="V145" s="1">
        <v>2.0</v>
      </c>
    </row>
    <row r="146">
      <c r="A146" s="1">
        <f t="shared" si="1"/>
        <v>144</v>
      </c>
      <c r="B146" s="1" t="s">
        <v>1211</v>
      </c>
      <c r="C146" s="1">
        <f t="shared" si="2"/>
        <v>144</v>
      </c>
      <c r="D146" s="1" t="s">
        <v>1069</v>
      </c>
      <c r="E146" s="1" t="s">
        <v>66</v>
      </c>
      <c r="F146" s="11">
        <f t="shared" si="3"/>
        <v>315.25</v>
      </c>
      <c r="G146" s="11">
        <f t="shared" si="4"/>
        <v>4.041666667</v>
      </c>
      <c r="H146" s="1">
        <v>78.0</v>
      </c>
      <c r="I146" s="1">
        <v>9.0</v>
      </c>
      <c r="J146" s="1">
        <v>30.0</v>
      </c>
      <c r="K146" s="1">
        <v>39.0</v>
      </c>
      <c r="L146" s="1">
        <v>159.0</v>
      </c>
      <c r="M146" s="1">
        <v>0.0</v>
      </c>
      <c r="N146" s="1">
        <v>8.0</v>
      </c>
      <c r="O146" s="1">
        <v>1.0</v>
      </c>
      <c r="P146" s="1">
        <v>0.0</v>
      </c>
      <c r="Q146" s="1">
        <v>41.0</v>
      </c>
      <c r="R146" s="1">
        <v>186.0</v>
      </c>
    </row>
    <row r="147">
      <c r="A147" s="1">
        <f t="shared" si="1"/>
        <v>145</v>
      </c>
      <c r="B147" s="1" t="s">
        <v>1207</v>
      </c>
      <c r="C147" s="1">
        <f t="shared" si="2"/>
        <v>145</v>
      </c>
      <c r="D147" s="1" t="s">
        <v>1030</v>
      </c>
      <c r="E147" s="1" t="s">
        <v>28</v>
      </c>
      <c r="F147" s="11">
        <f t="shared" si="3"/>
        <v>314.5</v>
      </c>
      <c r="G147" s="11">
        <f t="shared" si="4"/>
        <v>5.824074074</v>
      </c>
      <c r="H147" s="1">
        <v>54.0</v>
      </c>
      <c r="I147" s="1">
        <v>28.0</v>
      </c>
      <c r="J147" s="1">
        <v>25.0</v>
      </c>
      <c r="K147" s="1">
        <v>53.0</v>
      </c>
      <c r="L147" s="1">
        <v>158.0</v>
      </c>
      <c r="M147" s="1">
        <v>16.0</v>
      </c>
      <c r="N147" s="1">
        <v>5.0</v>
      </c>
      <c r="O147" s="1">
        <v>0.0</v>
      </c>
      <c r="P147" s="1">
        <v>2.0</v>
      </c>
      <c r="Q147" s="1">
        <v>74.0</v>
      </c>
      <c r="R147" s="1">
        <v>24.0</v>
      </c>
    </row>
    <row r="148">
      <c r="A148" s="1">
        <f t="shared" si="1"/>
        <v>145</v>
      </c>
      <c r="B148" s="1" t="s">
        <v>1188</v>
      </c>
      <c r="C148" s="1">
        <f t="shared" si="2"/>
        <v>145</v>
      </c>
      <c r="D148" s="1" t="s">
        <v>1082</v>
      </c>
      <c r="E148" s="1" t="s">
        <v>36</v>
      </c>
      <c r="F148" s="11">
        <f t="shared" si="3"/>
        <v>314.5</v>
      </c>
      <c r="G148" s="11">
        <f t="shared" si="4"/>
        <v>4.25</v>
      </c>
      <c r="H148" s="1">
        <v>74.0</v>
      </c>
      <c r="I148" s="1">
        <v>18.0</v>
      </c>
      <c r="J148" s="1">
        <v>17.0</v>
      </c>
      <c r="K148" s="1">
        <v>35.0</v>
      </c>
      <c r="L148" s="1">
        <v>169.0</v>
      </c>
      <c r="M148" s="1">
        <v>5.0</v>
      </c>
      <c r="N148" s="1">
        <v>5.0</v>
      </c>
      <c r="O148" s="1">
        <v>2.0</v>
      </c>
      <c r="P148" s="1">
        <v>0.0</v>
      </c>
      <c r="Q148" s="1">
        <v>228.0</v>
      </c>
      <c r="R148" s="1">
        <v>74.0</v>
      </c>
    </row>
    <row r="149">
      <c r="A149" s="1">
        <f t="shared" si="1"/>
        <v>147</v>
      </c>
      <c r="B149" s="1" t="s">
        <v>1200</v>
      </c>
      <c r="C149" s="1">
        <f t="shared" si="2"/>
        <v>147</v>
      </c>
      <c r="D149" s="1" t="s">
        <v>1067</v>
      </c>
      <c r="E149" s="1" t="s">
        <v>31</v>
      </c>
      <c r="F149" s="11">
        <f t="shared" si="3"/>
        <v>314.25</v>
      </c>
      <c r="G149" s="11">
        <f t="shared" si="4"/>
        <v>3.977848101</v>
      </c>
      <c r="H149" s="1">
        <v>79.0</v>
      </c>
      <c r="I149" s="1">
        <v>18.0</v>
      </c>
      <c r="J149" s="1">
        <v>29.0</v>
      </c>
      <c r="K149" s="1">
        <v>47.0</v>
      </c>
      <c r="L149" s="1">
        <v>200.0</v>
      </c>
      <c r="M149" s="1">
        <v>2.0</v>
      </c>
      <c r="N149" s="1">
        <v>8.0</v>
      </c>
      <c r="O149" s="1">
        <v>3.0</v>
      </c>
      <c r="P149" s="1">
        <v>0.0</v>
      </c>
      <c r="Q149" s="1">
        <v>107.0</v>
      </c>
      <c r="R149" s="1">
        <v>27.0</v>
      </c>
    </row>
    <row r="150">
      <c r="A150" s="1">
        <f t="shared" si="1"/>
        <v>148</v>
      </c>
      <c r="B150" s="1" t="s">
        <v>1192</v>
      </c>
      <c r="C150" s="1">
        <f t="shared" si="2"/>
        <v>148</v>
      </c>
      <c r="D150" s="1" t="s">
        <v>1146</v>
      </c>
      <c r="E150" s="1" t="s">
        <v>28</v>
      </c>
      <c r="F150" s="11">
        <f t="shared" si="3"/>
        <v>313.5</v>
      </c>
      <c r="G150" s="11">
        <f t="shared" si="4"/>
        <v>3.87037037</v>
      </c>
      <c r="H150" s="1">
        <v>81.0</v>
      </c>
      <c r="I150" s="1">
        <v>16.0</v>
      </c>
      <c r="J150" s="1">
        <v>25.0</v>
      </c>
      <c r="K150" s="1">
        <v>41.0</v>
      </c>
      <c r="L150" s="1">
        <v>153.0</v>
      </c>
      <c r="M150" s="1">
        <v>1.0</v>
      </c>
      <c r="N150" s="1">
        <v>9.0</v>
      </c>
      <c r="O150" s="1">
        <v>0.0</v>
      </c>
      <c r="P150" s="1">
        <v>0.0</v>
      </c>
      <c r="Q150" s="1">
        <v>210.0</v>
      </c>
      <c r="R150" s="1">
        <v>75.0</v>
      </c>
    </row>
    <row r="151">
      <c r="A151" s="1">
        <f t="shared" si="1"/>
        <v>149</v>
      </c>
      <c r="B151" s="1" t="s">
        <v>1212</v>
      </c>
      <c r="C151" s="1">
        <f t="shared" si="2"/>
        <v>149</v>
      </c>
      <c r="D151" s="1" t="s">
        <v>1054</v>
      </c>
      <c r="E151" s="1" t="s">
        <v>66</v>
      </c>
      <c r="F151" s="11">
        <f t="shared" si="3"/>
        <v>312.25</v>
      </c>
      <c r="G151" s="11">
        <f t="shared" si="4"/>
        <v>3.807926829</v>
      </c>
      <c r="H151" s="1">
        <v>82.0</v>
      </c>
      <c r="I151" s="1">
        <v>8.0</v>
      </c>
      <c r="J151" s="1">
        <v>39.0</v>
      </c>
      <c r="K151" s="1">
        <v>47.0</v>
      </c>
      <c r="L151" s="1">
        <v>136.0</v>
      </c>
      <c r="M151" s="1">
        <v>3.0</v>
      </c>
      <c r="N151" s="1">
        <v>13.0</v>
      </c>
      <c r="O151" s="1">
        <v>0.0</v>
      </c>
      <c r="P151" s="1">
        <v>0.0</v>
      </c>
      <c r="Q151" s="1">
        <v>65.0</v>
      </c>
      <c r="R151" s="1">
        <v>150.0</v>
      </c>
    </row>
    <row r="152">
      <c r="A152" s="1">
        <f t="shared" si="1"/>
        <v>150</v>
      </c>
      <c r="B152" s="1" t="s">
        <v>1204</v>
      </c>
      <c r="C152" s="1">
        <f t="shared" si="2"/>
        <v>150</v>
      </c>
      <c r="D152" s="1" t="s">
        <v>1106</v>
      </c>
      <c r="E152" s="1" t="s">
        <v>66</v>
      </c>
      <c r="F152" s="11">
        <f t="shared" si="3"/>
        <v>311.25</v>
      </c>
      <c r="G152" s="11">
        <f t="shared" si="4"/>
        <v>3.795731707</v>
      </c>
      <c r="H152" s="1">
        <v>82.0</v>
      </c>
      <c r="I152" s="1">
        <v>10.0</v>
      </c>
      <c r="J152" s="1">
        <v>16.0</v>
      </c>
      <c r="K152" s="1">
        <v>26.0</v>
      </c>
      <c r="L152" s="1">
        <v>154.0</v>
      </c>
      <c r="M152" s="1">
        <v>0.0</v>
      </c>
      <c r="N152" s="1">
        <v>1.0</v>
      </c>
      <c r="O152" s="1">
        <v>1.0</v>
      </c>
      <c r="P152" s="1">
        <v>1.0</v>
      </c>
      <c r="Q152" s="1">
        <v>113.0</v>
      </c>
      <c r="R152" s="1">
        <v>218.0</v>
      </c>
    </row>
    <row r="153">
      <c r="A153" s="1">
        <f t="shared" si="1"/>
        <v>151</v>
      </c>
      <c r="B153" s="1" t="s">
        <v>1209</v>
      </c>
      <c r="C153" s="1">
        <f t="shared" si="2"/>
        <v>151</v>
      </c>
      <c r="D153" s="1" t="s">
        <v>1085</v>
      </c>
      <c r="E153" s="1" t="s">
        <v>28</v>
      </c>
      <c r="F153" s="11">
        <f t="shared" si="3"/>
        <v>310.75</v>
      </c>
      <c r="G153" s="11">
        <f t="shared" si="4"/>
        <v>3.836419753</v>
      </c>
      <c r="H153" s="1">
        <v>81.0</v>
      </c>
      <c r="I153" s="1">
        <v>22.0</v>
      </c>
      <c r="J153" s="1">
        <v>31.0</v>
      </c>
      <c r="K153" s="1">
        <v>53.0</v>
      </c>
      <c r="L153" s="1">
        <v>150.0</v>
      </c>
      <c r="M153" s="1">
        <v>6.0</v>
      </c>
      <c r="N153" s="1">
        <v>5.0</v>
      </c>
      <c r="O153" s="1">
        <v>0.0</v>
      </c>
      <c r="P153" s="1">
        <v>0.0</v>
      </c>
      <c r="Q153" s="1">
        <v>107.0</v>
      </c>
      <c r="R153" s="1">
        <v>34.0</v>
      </c>
    </row>
    <row r="154">
      <c r="A154" s="1">
        <f t="shared" si="1"/>
        <v>152</v>
      </c>
      <c r="B154" s="1" t="s">
        <v>1216</v>
      </c>
      <c r="C154" s="1">
        <f t="shared" si="2"/>
        <v>152</v>
      </c>
      <c r="D154" s="1" t="s">
        <v>1175</v>
      </c>
      <c r="E154" s="1" t="s">
        <v>31</v>
      </c>
      <c r="F154" s="11">
        <f t="shared" si="3"/>
        <v>310</v>
      </c>
      <c r="G154" s="11">
        <f t="shared" si="4"/>
        <v>4.492753623</v>
      </c>
      <c r="H154" s="1">
        <v>69.0</v>
      </c>
      <c r="I154" s="1">
        <v>12.0</v>
      </c>
      <c r="J154" s="1">
        <v>48.0</v>
      </c>
      <c r="K154" s="1">
        <v>60.0</v>
      </c>
      <c r="L154" s="1">
        <v>134.0</v>
      </c>
      <c r="M154" s="1">
        <v>1.0</v>
      </c>
      <c r="N154" s="1">
        <v>22.0</v>
      </c>
      <c r="O154" s="1">
        <v>0.0</v>
      </c>
      <c r="P154" s="1">
        <v>1.0</v>
      </c>
      <c r="Q154" s="1">
        <v>62.0</v>
      </c>
      <c r="R154" s="1">
        <v>55.0</v>
      </c>
    </row>
    <row r="155">
      <c r="A155" s="1">
        <f t="shared" si="1"/>
        <v>153</v>
      </c>
      <c r="B155" s="1" t="s">
        <v>1214</v>
      </c>
      <c r="C155" s="1">
        <f t="shared" si="2"/>
        <v>153</v>
      </c>
      <c r="D155" s="1" t="s">
        <v>1111</v>
      </c>
      <c r="E155" s="1" t="s">
        <v>31</v>
      </c>
      <c r="F155" s="11">
        <f t="shared" si="3"/>
        <v>306</v>
      </c>
      <c r="G155" s="11">
        <f t="shared" si="4"/>
        <v>4.026315789</v>
      </c>
      <c r="H155" s="1">
        <v>76.0</v>
      </c>
      <c r="I155" s="1">
        <v>22.0</v>
      </c>
      <c r="J155" s="1">
        <v>23.0</v>
      </c>
      <c r="K155" s="1">
        <v>45.0</v>
      </c>
      <c r="L155" s="1">
        <v>165.0</v>
      </c>
      <c r="M155" s="1">
        <v>2.0</v>
      </c>
      <c r="N155" s="1">
        <v>4.0</v>
      </c>
      <c r="O155" s="1">
        <v>1.0</v>
      </c>
      <c r="P155" s="1">
        <v>0.0</v>
      </c>
      <c r="Q155" s="1">
        <v>118.0</v>
      </c>
      <c r="R155" s="1">
        <v>48.0</v>
      </c>
    </row>
    <row r="156">
      <c r="A156" s="1">
        <f t="shared" si="1"/>
        <v>154</v>
      </c>
      <c r="B156" s="1" t="s">
        <v>1231</v>
      </c>
      <c r="C156" s="1">
        <f t="shared" si="2"/>
        <v>154</v>
      </c>
      <c r="D156" s="1" t="s">
        <v>1085</v>
      </c>
      <c r="E156" s="1" t="s">
        <v>5</v>
      </c>
      <c r="F156" s="11">
        <f t="shared" si="3"/>
        <v>304.8</v>
      </c>
      <c r="G156" s="11">
        <f t="shared" si="4"/>
        <v>5.644444444</v>
      </c>
      <c r="H156" s="1">
        <v>54.0</v>
      </c>
      <c r="S156" s="1">
        <v>35.0</v>
      </c>
      <c r="T156" s="1">
        <v>140.0</v>
      </c>
      <c r="U156" s="12">
        <v>1336.0</v>
      </c>
      <c r="V156" s="1">
        <v>3.0</v>
      </c>
    </row>
    <row r="157">
      <c r="A157" s="1">
        <f t="shared" si="1"/>
        <v>155</v>
      </c>
      <c r="B157" s="1" t="s">
        <v>1206</v>
      </c>
      <c r="C157" s="1">
        <f t="shared" si="2"/>
        <v>155</v>
      </c>
      <c r="D157" s="1" t="s">
        <v>1087</v>
      </c>
      <c r="E157" s="1" t="s">
        <v>31</v>
      </c>
      <c r="F157" s="11">
        <f t="shared" si="3"/>
        <v>304.5</v>
      </c>
      <c r="G157" s="11">
        <f t="shared" si="4"/>
        <v>3.759259259</v>
      </c>
      <c r="H157" s="1">
        <v>81.0</v>
      </c>
      <c r="I157" s="1">
        <v>20.0</v>
      </c>
      <c r="J157" s="1">
        <v>17.0</v>
      </c>
      <c r="K157" s="1">
        <v>37.0</v>
      </c>
      <c r="L157" s="1">
        <v>185.0</v>
      </c>
      <c r="M157" s="1">
        <v>5.0</v>
      </c>
      <c r="N157" s="1">
        <v>0.0</v>
      </c>
      <c r="O157" s="1">
        <v>0.0</v>
      </c>
      <c r="P157" s="1">
        <v>0.0</v>
      </c>
      <c r="Q157" s="1">
        <v>176.0</v>
      </c>
      <c r="R157" s="1">
        <v>54.0</v>
      </c>
    </row>
    <row r="158">
      <c r="A158" s="1">
        <f t="shared" si="1"/>
        <v>156</v>
      </c>
      <c r="B158" s="1" t="s">
        <v>1219</v>
      </c>
      <c r="C158" s="1">
        <f t="shared" si="2"/>
        <v>156</v>
      </c>
      <c r="D158" s="1" t="s">
        <v>1054</v>
      </c>
      <c r="E158" s="1" t="s">
        <v>36</v>
      </c>
      <c r="F158" s="11">
        <f t="shared" si="3"/>
        <v>304.25</v>
      </c>
      <c r="G158" s="11">
        <f t="shared" si="4"/>
        <v>4.111486486</v>
      </c>
      <c r="H158" s="1">
        <v>74.0</v>
      </c>
      <c r="I158" s="1">
        <v>21.0</v>
      </c>
      <c r="J158" s="1">
        <v>24.0</v>
      </c>
      <c r="K158" s="1">
        <v>45.0</v>
      </c>
      <c r="L158" s="1">
        <v>173.0</v>
      </c>
      <c r="M158" s="1">
        <v>5.0</v>
      </c>
      <c r="N158" s="1">
        <v>5.0</v>
      </c>
      <c r="O158" s="1">
        <v>0.0</v>
      </c>
      <c r="P158" s="1">
        <v>0.0</v>
      </c>
      <c r="Q158" s="1">
        <v>75.0</v>
      </c>
      <c r="R158" s="1">
        <v>65.0</v>
      </c>
    </row>
    <row r="159">
      <c r="A159" s="1">
        <f t="shared" si="1"/>
        <v>157</v>
      </c>
      <c r="B159" s="1" t="s">
        <v>1234</v>
      </c>
      <c r="C159" s="1">
        <f t="shared" si="2"/>
        <v>157</v>
      </c>
      <c r="D159" s="1" t="s">
        <v>1078</v>
      </c>
      <c r="E159" s="1" t="s">
        <v>5</v>
      </c>
      <c r="F159" s="11">
        <f t="shared" si="3"/>
        <v>303</v>
      </c>
      <c r="G159" s="11">
        <f t="shared" si="4"/>
        <v>5.611111111</v>
      </c>
      <c r="H159" s="1">
        <v>54.0</v>
      </c>
      <c r="S159" s="1">
        <v>27.0</v>
      </c>
      <c r="T159" s="1">
        <v>130.0</v>
      </c>
      <c r="U159" s="12">
        <v>1360.0</v>
      </c>
      <c r="V159" s="1">
        <v>3.0</v>
      </c>
    </row>
    <row r="160">
      <c r="A160" s="1">
        <f t="shared" si="1"/>
        <v>157</v>
      </c>
      <c r="B160" s="1" t="s">
        <v>1215</v>
      </c>
      <c r="C160" s="1">
        <f t="shared" si="2"/>
        <v>157</v>
      </c>
      <c r="D160" s="1" t="s">
        <v>1073</v>
      </c>
      <c r="E160" s="1" t="s">
        <v>36</v>
      </c>
      <c r="F160" s="11">
        <f t="shared" si="3"/>
        <v>303</v>
      </c>
      <c r="G160" s="11">
        <f t="shared" si="4"/>
        <v>5.13559322</v>
      </c>
      <c r="H160" s="1">
        <v>59.0</v>
      </c>
      <c r="I160" s="1">
        <v>19.0</v>
      </c>
      <c r="J160" s="1">
        <v>33.0</v>
      </c>
      <c r="K160" s="1">
        <v>52.0</v>
      </c>
      <c r="L160" s="1">
        <v>144.0</v>
      </c>
      <c r="M160" s="1">
        <v>5.0</v>
      </c>
      <c r="N160" s="1">
        <v>12.0</v>
      </c>
      <c r="O160" s="1">
        <v>0.0</v>
      </c>
      <c r="P160" s="1">
        <v>0.0</v>
      </c>
      <c r="Q160" s="1">
        <v>142.0</v>
      </c>
      <c r="R160" s="1">
        <v>22.0</v>
      </c>
    </row>
    <row r="161">
      <c r="A161" s="1">
        <f t="shared" si="1"/>
        <v>159</v>
      </c>
      <c r="B161" s="1" t="s">
        <v>1213</v>
      </c>
      <c r="C161" s="1">
        <f t="shared" si="2"/>
        <v>159</v>
      </c>
      <c r="D161" s="1" t="s">
        <v>1091</v>
      </c>
      <c r="E161" s="1" t="s">
        <v>31</v>
      </c>
      <c r="F161" s="11">
        <f t="shared" si="3"/>
        <v>302.75</v>
      </c>
      <c r="G161" s="11">
        <f t="shared" si="4"/>
        <v>3.692073171</v>
      </c>
      <c r="H161" s="1">
        <v>82.0</v>
      </c>
      <c r="I161" s="1">
        <v>13.0</v>
      </c>
      <c r="J161" s="1">
        <v>26.0</v>
      </c>
      <c r="K161" s="1">
        <v>39.0</v>
      </c>
      <c r="L161" s="1">
        <v>167.0</v>
      </c>
      <c r="M161" s="1">
        <v>1.0</v>
      </c>
      <c r="N161" s="1">
        <v>4.0</v>
      </c>
      <c r="O161" s="1">
        <v>2.0</v>
      </c>
      <c r="P161" s="1">
        <v>6.0</v>
      </c>
      <c r="Q161" s="1">
        <v>155.0</v>
      </c>
      <c r="R161" s="1">
        <v>56.0</v>
      </c>
    </row>
    <row r="162">
      <c r="A162" s="1">
        <f t="shared" si="1"/>
        <v>160</v>
      </c>
      <c r="B162" s="1" t="s">
        <v>1210</v>
      </c>
      <c r="C162" s="1">
        <f t="shared" si="2"/>
        <v>160</v>
      </c>
      <c r="D162" s="1" t="s">
        <v>1048</v>
      </c>
      <c r="E162" s="1" t="s">
        <v>28</v>
      </c>
      <c r="F162" s="11">
        <f t="shared" si="3"/>
        <v>302.5</v>
      </c>
      <c r="G162" s="11">
        <f t="shared" si="4"/>
        <v>4.384057971</v>
      </c>
      <c r="H162" s="1">
        <v>69.0</v>
      </c>
      <c r="I162" s="1">
        <v>20.0</v>
      </c>
      <c r="J162" s="1">
        <v>21.0</v>
      </c>
      <c r="K162" s="1">
        <v>41.0</v>
      </c>
      <c r="L162" s="1">
        <v>171.0</v>
      </c>
      <c r="M162" s="1">
        <v>5.0</v>
      </c>
      <c r="N162" s="1">
        <v>7.0</v>
      </c>
      <c r="O162" s="1">
        <v>0.0</v>
      </c>
      <c r="P162" s="1">
        <v>0.0</v>
      </c>
      <c r="Q162" s="1">
        <v>170.0</v>
      </c>
      <c r="R162" s="1">
        <v>43.0</v>
      </c>
    </row>
    <row r="163">
      <c r="A163" s="1">
        <f t="shared" si="1"/>
        <v>161</v>
      </c>
      <c r="B163" s="1" t="s">
        <v>1221</v>
      </c>
      <c r="C163" s="1">
        <f t="shared" si="2"/>
        <v>161</v>
      </c>
      <c r="D163" s="1" t="s">
        <v>1078</v>
      </c>
      <c r="E163" s="1" t="s">
        <v>31</v>
      </c>
      <c r="F163" s="11">
        <f t="shared" si="3"/>
        <v>301.5</v>
      </c>
      <c r="G163" s="11">
        <f t="shared" si="4"/>
        <v>3.76875</v>
      </c>
      <c r="H163" s="1">
        <v>80.0</v>
      </c>
      <c r="I163" s="1">
        <v>20.0</v>
      </c>
      <c r="J163" s="1">
        <v>35.0</v>
      </c>
      <c r="K163" s="1">
        <v>55.0</v>
      </c>
      <c r="L163" s="1">
        <v>161.0</v>
      </c>
      <c r="M163" s="1">
        <v>6.0</v>
      </c>
      <c r="N163" s="1">
        <v>8.0</v>
      </c>
      <c r="O163" s="1">
        <v>0.0</v>
      </c>
      <c r="P163" s="1">
        <v>0.0</v>
      </c>
      <c r="Q163" s="1">
        <v>66.0</v>
      </c>
      <c r="R163" s="1">
        <v>19.0</v>
      </c>
    </row>
    <row r="164">
      <c r="A164" s="1">
        <f t="shared" si="1"/>
        <v>162</v>
      </c>
      <c r="B164" s="1" t="s">
        <v>1226</v>
      </c>
      <c r="C164" s="1">
        <f t="shared" si="2"/>
        <v>162</v>
      </c>
      <c r="D164" s="1" t="s">
        <v>1046</v>
      </c>
      <c r="E164" s="1" t="s">
        <v>36</v>
      </c>
      <c r="F164" s="11">
        <f t="shared" si="3"/>
        <v>301.25</v>
      </c>
      <c r="G164" s="11">
        <f t="shared" si="4"/>
        <v>3.673780488</v>
      </c>
      <c r="H164" s="1">
        <v>82.0</v>
      </c>
      <c r="I164" s="1">
        <v>20.0</v>
      </c>
      <c r="J164" s="1">
        <v>27.0</v>
      </c>
      <c r="K164" s="1">
        <v>47.0</v>
      </c>
      <c r="L164" s="1">
        <v>200.0</v>
      </c>
      <c r="M164" s="1">
        <v>1.0</v>
      </c>
      <c r="N164" s="1">
        <v>4.0</v>
      </c>
      <c r="O164" s="1">
        <v>0.0</v>
      </c>
      <c r="P164" s="1">
        <v>0.0</v>
      </c>
      <c r="Q164" s="1">
        <v>53.0</v>
      </c>
      <c r="R164" s="1">
        <v>34.0</v>
      </c>
    </row>
    <row r="165">
      <c r="A165" s="1">
        <f t="shared" si="1"/>
        <v>163</v>
      </c>
      <c r="B165" s="1" t="s">
        <v>1225</v>
      </c>
      <c r="C165" s="1">
        <f t="shared" si="2"/>
        <v>163</v>
      </c>
      <c r="D165" s="1" t="s">
        <v>1085</v>
      </c>
      <c r="E165" s="1" t="s">
        <v>31</v>
      </c>
      <c r="F165" s="11">
        <f t="shared" si="3"/>
        <v>300.75</v>
      </c>
      <c r="G165" s="11">
        <f t="shared" si="4"/>
        <v>4.422794118</v>
      </c>
      <c r="H165" s="1">
        <v>68.0</v>
      </c>
      <c r="I165" s="1">
        <v>25.0</v>
      </c>
      <c r="J165" s="1">
        <v>27.0</v>
      </c>
      <c r="K165" s="1">
        <v>52.0</v>
      </c>
      <c r="L165" s="1">
        <v>154.0</v>
      </c>
      <c r="M165" s="1">
        <v>3.0</v>
      </c>
      <c r="N165" s="1">
        <v>5.0</v>
      </c>
      <c r="O165" s="1">
        <v>0.0</v>
      </c>
      <c r="P165" s="1">
        <v>2.0</v>
      </c>
      <c r="Q165" s="1">
        <v>61.0</v>
      </c>
      <c r="R165" s="1">
        <v>22.0</v>
      </c>
    </row>
    <row r="166">
      <c r="A166" s="1">
        <f t="shared" si="1"/>
        <v>164</v>
      </c>
      <c r="B166" s="1" t="s">
        <v>1230</v>
      </c>
      <c r="C166" s="1">
        <f t="shared" si="2"/>
        <v>164</v>
      </c>
      <c r="D166" s="1" t="s">
        <v>1052</v>
      </c>
      <c r="E166" s="1" t="s">
        <v>28</v>
      </c>
      <c r="F166" s="11">
        <f t="shared" si="3"/>
        <v>300.25</v>
      </c>
      <c r="G166" s="11">
        <f t="shared" si="4"/>
        <v>3.706790123</v>
      </c>
      <c r="H166" s="1">
        <v>81.0</v>
      </c>
      <c r="I166" s="1">
        <v>19.0</v>
      </c>
      <c r="J166" s="1">
        <v>36.0</v>
      </c>
      <c r="K166" s="1">
        <v>55.0</v>
      </c>
      <c r="L166" s="1">
        <v>168.0</v>
      </c>
      <c r="M166" s="1">
        <v>7.0</v>
      </c>
      <c r="N166" s="1">
        <v>14.0</v>
      </c>
      <c r="O166" s="1">
        <v>0.0</v>
      </c>
      <c r="P166" s="1">
        <v>0.0</v>
      </c>
      <c r="Q166" s="1">
        <v>49.0</v>
      </c>
      <c r="R166" s="1">
        <v>21.0</v>
      </c>
    </row>
    <row r="167">
      <c r="A167" s="1">
        <f t="shared" si="1"/>
        <v>165</v>
      </c>
      <c r="B167" s="1" t="s">
        <v>1222</v>
      </c>
      <c r="C167" s="1">
        <f t="shared" si="2"/>
        <v>165</v>
      </c>
      <c r="D167" s="1" t="s">
        <v>1078</v>
      </c>
      <c r="E167" s="1" t="s">
        <v>31</v>
      </c>
      <c r="F167" s="11">
        <f t="shared" si="3"/>
        <v>300</v>
      </c>
      <c r="G167" s="11">
        <f t="shared" si="4"/>
        <v>3.846153846</v>
      </c>
      <c r="H167" s="1">
        <v>78.0</v>
      </c>
      <c r="I167" s="1">
        <v>17.0</v>
      </c>
      <c r="J167" s="1">
        <v>30.0</v>
      </c>
      <c r="K167" s="1">
        <v>47.0</v>
      </c>
      <c r="L167" s="1">
        <v>159.0</v>
      </c>
      <c r="M167" s="1">
        <v>3.0</v>
      </c>
      <c r="N167" s="1">
        <v>6.0</v>
      </c>
      <c r="O167" s="1">
        <v>0.0</v>
      </c>
      <c r="P167" s="1">
        <v>2.0</v>
      </c>
      <c r="Q167" s="1">
        <v>80.0</v>
      </c>
      <c r="R167" s="1">
        <v>60.0</v>
      </c>
    </row>
    <row r="168">
      <c r="A168" s="1">
        <f t="shared" si="1"/>
        <v>166</v>
      </c>
      <c r="B168" s="1" t="s">
        <v>1238</v>
      </c>
      <c r="C168" s="1">
        <f t="shared" si="2"/>
        <v>166</v>
      </c>
      <c r="D168" s="1" t="s">
        <v>1067</v>
      </c>
      <c r="E168" s="1" t="s">
        <v>5</v>
      </c>
      <c r="F168" s="11">
        <f t="shared" si="3"/>
        <v>299.4</v>
      </c>
      <c r="G168" s="11">
        <f t="shared" si="4"/>
        <v>5.544444444</v>
      </c>
      <c r="H168" s="1">
        <v>54.0</v>
      </c>
      <c r="S168" s="1">
        <v>27.0</v>
      </c>
      <c r="T168" s="1">
        <v>132.0</v>
      </c>
      <c r="U168" s="12">
        <v>1338.0</v>
      </c>
      <c r="V168" s="1">
        <v>5.0</v>
      </c>
    </row>
    <row r="169">
      <c r="A169" s="1">
        <f t="shared" si="1"/>
        <v>167</v>
      </c>
      <c r="B169" s="1" t="s">
        <v>1223</v>
      </c>
      <c r="C169" s="1">
        <f t="shared" si="2"/>
        <v>167</v>
      </c>
      <c r="D169" s="1" t="s">
        <v>1046</v>
      </c>
      <c r="E169" s="1" t="s">
        <v>31</v>
      </c>
      <c r="F169" s="11">
        <f t="shared" si="3"/>
        <v>299.25</v>
      </c>
      <c r="G169" s="11">
        <f t="shared" si="4"/>
        <v>3.99</v>
      </c>
      <c r="H169" s="1">
        <v>75.0</v>
      </c>
      <c r="I169" s="1">
        <v>15.0</v>
      </c>
      <c r="J169" s="1">
        <v>29.0</v>
      </c>
      <c r="K169" s="1">
        <v>44.0</v>
      </c>
      <c r="L169" s="1">
        <v>173.0</v>
      </c>
      <c r="M169" s="1">
        <v>6.0</v>
      </c>
      <c r="N169" s="1">
        <v>6.0</v>
      </c>
      <c r="O169" s="1">
        <v>1.0</v>
      </c>
      <c r="P169" s="1">
        <v>2.0</v>
      </c>
      <c r="Q169" s="1">
        <v>87.0</v>
      </c>
      <c r="R169" s="1">
        <v>61.0</v>
      </c>
    </row>
    <row r="170">
      <c r="A170" s="1">
        <f t="shared" si="1"/>
        <v>168</v>
      </c>
      <c r="B170" s="1" t="s">
        <v>1235</v>
      </c>
      <c r="C170" s="1">
        <f t="shared" si="2"/>
        <v>168</v>
      </c>
      <c r="D170" s="1" t="s">
        <v>1111</v>
      </c>
      <c r="E170" s="1" t="s">
        <v>66</v>
      </c>
      <c r="F170" s="11">
        <f t="shared" si="3"/>
        <v>298.5</v>
      </c>
      <c r="G170" s="11">
        <f t="shared" si="4"/>
        <v>3.927631579</v>
      </c>
      <c r="H170" s="1">
        <v>76.0</v>
      </c>
      <c r="I170" s="1">
        <v>9.0</v>
      </c>
      <c r="J170" s="1">
        <v>32.0</v>
      </c>
      <c r="K170" s="1">
        <v>41.0</v>
      </c>
      <c r="L170" s="1">
        <v>142.0</v>
      </c>
      <c r="M170" s="1">
        <v>3.0</v>
      </c>
      <c r="N170" s="1">
        <v>13.0</v>
      </c>
      <c r="O170" s="1">
        <v>0.0</v>
      </c>
      <c r="P170" s="1">
        <v>0.0</v>
      </c>
      <c r="Q170" s="1">
        <v>44.0</v>
      </c>
      <c r="R170" s="1">
        <v>160.0</v>
      </c>
    </row>
    <row r="171">
      <c r="A171" s="1">
        <f t="shared" si="1"/>
        <v>169</v>
      </c>
      <c r="B171" s="1" t="s">
        <v>1224</v>
      </c>
      <c r="C171" s="1">
        <f t="shared" si="2"/>
        <v>169</v>
      </c>
      <c r="D171" s="1" t="s">
        <v>1034</v>
      </c>
      <c r="E171" s="1" t="s">
        <v>28</v>
      </c>
      <c r="F171" s="11">
        <f t="shared" si="3"/>
        <v>297.5</v>
      </c>
      <c r="G171" s="11">
        <f t="shared" si="4"/>
        <v>3.62804878</v>
      </c>
      <c r="H171" s="1">
        <v>82.0</v>
      </c>
      <c r="I171" s="1">
        <v>24.0</v>
      </c>
      <c r="J171" s="1">
        <v>22.0</v>
      </c>
      <c r="K171" s="1">
        <v>46.0</v>
      </c>
      <c r="L171" s="1">
        <v>153.0</v>
      </c>
      <c r="M171" s="1">
        <v>9.0</v>
      </c>
      <c r="N171" s="1">
        <v>5.0</v>
      </c>
      <c r="O171" s="1">
        <v>0.0</v>
      </c>
      <c r="P171" s="1">
        <v>0.0</v>
      </c>
      <c r="Q171" s="1">
        <v>104.0</v>
      </c>
      <c r="R171" s="1">
        <v>42.0</v>
      </c>
    </row>
    <row r="172">
      <c r="A172" s="1">
        <f t="shared" si="1"/>
        <v>170</v>
      </c>
      <c r="B172" s="1" t="s">
        <v>1239</v>
      </c>
      <c r="C172" s="1">
        <f t="shared" si="2"/>
        <v>170</v>
      </c>
      <c r="D172" s="1" t="s">
        <v>1065</v>
      </c>
      <c r="E172" s="1" t="s">
        <v>36</v>
      </c>
      <c r="F172" s="11">
        <f t="shared" si="3"/>
        <v>297.25</v>
      </c>
      <c r="G172" s="11">
        <f t="shared" si="4"/>
        <v>3.911184211</v>
      </c>
      <c r="H172" s="1">
        <v>76.0</v>
      </c>
      <c r="I172" s="1">
        <v>20.0</v>
      </c>
      <c r="J172" s="1">
        <v>34.0</v>
      </c>
      <c r="K172" s="1">
        <v>54.0</v>
      </c>
      <c r="L172" s="1">
        <v>172.0</v>
      </c>
      <c r="M172" s="1">
        <v>4.0</v>
      </c>
      <c r="N172" s="1">
        <v>9.0</v>
      </c>
      <c r="O172" s="1">
        <v>0.0</v>
      </c>
      <c r="P172" s="1">
        <v>0.0</v>
      </c>
      <c r="Q172" s="1">
        <v>17.0</v>
      </c>
      <c r="R172" s="1">
        <v>30.0</v>
      </c>
    </row>
    <row r="173">
      <c r="A173" s="1">
        <f t="shared" si="1"/>
        <v>170</v>
      </c>
      <c r="B173" s="1" t="s">
        <v>1237</v>
      </c>
      <c r="C173" s="1">
        <f t="shared" si="2"/>
        <v>170</v>
      </c>
      <c r="D173" s="1" t="s">
        <v>1120</v>
      </c>
      <c r="E173" s="1" t="s">
        <v>66</v>
      </c>
      <c r="F173" s="11">
        <f t="shared" si="3"/>
        <v>297.25</v>
      </c>
      <c r="G173" s="11">
        <f t="shared" si="4"/>
        <v>3.669753086</v>
      </c>
      <c r="H173" s="1">
        <v>81.0</v>
      </c>
      <c r="I173" s="1">
        <v>10.0</v>
      </c>
      <c r="J173" s="1">
        <v>46.0</v>
      </c>
      <c r="K173" s="1">
        <v>56.0</v>
      </c>
      <c r="L173" s="1">
        <v>139.0</v>
      </c>
      <c r="M173" s="1">
        <v>2.0</v>
      </c>
      <c r="N173" s="1">
        <v>27.0</v>
      </c>
      <c r="O173" s="1">
        <v>0.0</v>
      </c>
      <c r="P173" s="1">
        <v>0.0</v>
      </c>
      <c r="Q173" s="1">
        <v>29.0</v>
      </c>
      <c r="R173" s="1">
        <v>75.0</v>
      </c>
    </row>
    <row r="174">
      <c r="A174" s="1">
        <f t="shared" si="1"/>
        <v>172</v>
      </c>
      <c r="B174" s="1" t="s">
        <v>1233</v>
      </c>
      <c r="C174" s="1">
        <f t="shared" si="2"/>
        <v>172</v>
      </c>
      <c r="D174" s="1" t="s">
        <v>1036</v>
      </c>
      <c r="E174" s="1" t="s">
        <v>28</v>
      </c>
      <c r="F174" s="11">
        <f t="shared" si="3"/>
        <v>295.75</v>
      </c>
      <c r="G174" s="11">
        <f t="shared" si="4"/>
        <v>3.606707317</v>
      </c>
      <c r="H174" s="1">
        <v>82.0</v>
      </c>
      <c r="I174" s="1">
        <v>20.0</v>
      </c>
      <c r="J174" s="1">
        <v>21.0</v>
      </c>
      <c r="K174" s="1">
        <v>41.0</v>
      </c>
      <c r="L174" s="1">
        <v>201.0</v>
      </c>
      <c r="M174" s="1">
        <v>1.0</v>
      </c>
      <c r="N174" s="1">
        <v>0.0</v>
      </c>
      <c r="O174" s="1">
        <v>1.0</v>
      </c>
      <c r="P174" s="1">
        <v>1.0</v>
      </c>
      <c r="Q174" s="1">
        <v>89.0</v>
      </c>
      <c r="R174" s="1">
        <v>32.0</v>
      </c>
    </row>
    <row r="175">
      <c r="A175" s="1">
        <f t="shared" si="1"/>
        <v>173</v>
      </c>
      <c r="B175" s="1" t="s">
        <v>1229</v>
      </c>
      <c r="C175" s="1">
        <f t="shared" si="2"/>
        <v>173</v>
      </c>
      <c r="D175" s="1" t="s">
        <v>1046</v>
      </c>
      <c r="E175" s="1" t="s">
        <v>66</v>
      </c>
      <c r="F175" s="11">
        <f t="shared" si="3"/>
        <v>295</v>
      </c>
      <c r="G175" s="11">
        <f t="shared" si="4"/>
        <v>3.641975309</v>
      </c>
      <c r="H175" s="1">
        <v>81.0</v>
      </c>
      <c r="I175" s="1">
        <v>5.0</v>
      </c>
      <c r="J175" s="1">
        <v>43.0</v>
      </c>
      <c r="K175" s="1">
        <v>48.0</v>
      </c>
      <c r="L175" s="1">
        <v>148.0</v>
      </c>
      <c r="M175" s="1">
        <v>2.0</v>
      </c>
      <c r="N175" s="1">
        <v>9.0</v>
      </c>
      <c r="O175" s="1">
        <v>0.0</v>
      </c>
      <c r="P175" s="1">
        <v>0.0</v>
      </c>
      <c r="Q175" s="1">
        <v>104.0</v>
      </c>
      <c r="R175" s="1">
        <v>87.0</v>
      </c>
    </row>
    <row r="176">
      <c r="A176" s="1">
        <f t="shared" si="1"/>
        <v>174</v>
      </c>
      <c r="B176" s="1" t="s">
        <v>1232</v>
      </c>
      <c r="C176" s="1">
        <f t="shared" si="2"/>
        <v>174</v>
      </c>
      <c r="D176" s="1" t="s">
        <v>1038</v>
      </c>
      <c r="E176" s="1" t="s">
        <v>28</v>
      </c>
      <c r="F176" s="11">
        <f t="shared" si="3"/>
        <v>294.25</v>
      </c>
      <c r="G176" s="11">
        <f t="shared" si="4"/>
        <v>3.678125</v>
      </c>
      <c r="H176" s="1">
        <v>80.0</v>
      </c>
      <c r="I176" s="1">
        <v>19.0</v>
      </c>
      <c r="J176" s="1">
        <v>21.0</v>
      </c>
      <c r="K176" s="1">
        <v>40.0</v>
      </c>
      <c r="L176" s="1">
        <v>183.0</v>
      </c>
      <c r="M176" s="1">
        <v>2.0</v>
      </c>
      <c r="N176" s="1">
        <v>8.0</v>
      </c>
      <c r="O176" s="1">
        <v>2.0</v>
      </c>
      <c r="P176" s="1">
        <v>0.0</v>
      </c>
      <c r="Q176" s="1">
        <v>105.0</v>
      </c>
      <c r="R176" s="1">
        <v>48.0</v>
      </c>
    </row>
    <row r="177">
      <c r="A177" s="1">
        <f t="shared" si="1"/>
        <v>175</v>
      </c>
      <c r="B177" s="1" t="s">
        <v>1251</v>
      </c>
      <c r="C177" s="1">
        <f t="shared" si="2"/>
        <v>175</v>
      </c>
      <c r="D177" s="1" t="s">
        <v>1082</v>
      </c>
      <c r="E177" s="1" t="s">
        <v>5</v>
      </c>
      <c r="F177" s="11">
        <f t="shared" si="3"/>
        <v>293.7</v>
      </c>
      <c r="G177" s="11">
        <f t="shared" si="4"/>
        <v>5.874</v>
      </c>
      <c r="H177" s="1">
        <v>50.0</v>
      </c>
      <c r="S177" s="1">
        <v>25.0</v>
      </c>
      <c r="T177" s="1">
        <v>127.0</v>
      </c>
      <c r="U177" s="12">
        <v>1304.0</v>
      </c>
      <c r="V177" s="1">
        <v>6.0</v>
      </c>
    </row>
    <row r="178">
      <c r="A178" s="1">
        <f t="shared" si="1"/>
        <v>176</v>
      </c>
      <c r="B178" s="1" t="s">
        <v>1217</v>
      </c>
      <c r="C178" s="1">
        <f t="shared" si="2"/>
        <v>176</v>
      </c>
      <c r="D178" s="1" t="s">
        <v>1116</v>
      </c>
      <c r="E178" s="1" t="s">
        <v>66</v>
      </c>
      <c r="F178" s="11">
        <f t="shared" si="3"/>
        <v>293.5</v>
      </c>
      <c r="G178" s="11">
        <f t="shared" si="4"/>
        <v>3.579268293</v>
      </c>
      <c r="H178" s="1">
        <v>82.0</v>
      </c>
      <c r="I178" s="1">
        <v>5.0</v>
      </c>
      <c r="J178" s="1">
        <v>28.0</v>
      </c>
      <c r="K178" s="1">
        <v>33.0</v>
      </c>
      <c r="L178" s="1">
        <v>146.0</v>
      </c>
      <c r="M178" s="1">
        <v>1.0</v>
      </c>
      <c r="N178" s="1">
        <v>7.0</v>
      </c>
      <c r="O178" s="1">
        <v>0.0</v>
      </c>
      <c r="P178" s="1">
        <v>0.0</v>
      </c>
      <c r="Q178" s="1">
        <v>220.0</v>
      </c>
      <c r="R178" s="1">
        <v>118.0</v>
      </c>
    </row>
    <row r="179">
      <c r="A179" s="1">
        <f t="shared" si="1"/>
        <v>177</v>
      </c>
      <c r="B179" s="1" t="s">
        <v>1246</v>
      </c>
      <c r="C179" s="1">
        <f t="shared" si="2"/>
        <v>177</v>
      </c>
      <c r="D179" s="1" t="s">
        <v>1067</v>
      </c>
      <c r="E179" s="1" t="s">
        <v>28</v>
      </c>
      <c r="F179" s="11">
        <f t="shared" si="3"/>
        <v>292.5</v>
      </c>
      <c r="G179" s="11">
        <f t="shared" si="4"/>
        <v>3.952702703</v>
      </c>
      <c r="H179" s="1">
        <v>74.0</v>
      </c>
      <c r="I179" s="1">
        <v>24.0</v>
      </c>
      <c r="J179" s="1">
        <v>22.0</v>
      </c>
      <c r="K179" s="1">
        <v>46.0</v>
      </c>
      <c r="L179" s="1">
        <v>211.0</v>
      </c>
      <c r="M179" s="1">
        <v>8.0</v>
      </c>
      <c r="N179" s="1">
        <v>4.0</v>
      </c>
      <c r="O179" s="1">
        <v>0.0</v>
      </c>
      <c r="P179" s="1">
        <v>0.0</v>
      </c>
      <c r="Q179" s="1">
        <v>26.0</v>
      </c>
      <c r="R179" s="1">
        <v>13.0</v>
      </c>
    </row>
    <row r="180">
      <c r="A180" s="1">
        <f t="shared" si="1"/>
        <v>177</v>
      </c>
      <c r="B180" s="1" t="s">
        <v>1249</v>
      </c>
      <c r="C180" s="1">
        <f t="shared" si="2"/>
        <v>177</v>
      </c>
      <c r="D180" s="1" t="s">
        <v>1073</v>
      </c>
      <c r="E180" s="1" t="s">
        <v>31</v>
      </c>
      <c r="F180" s="11">
        <f t="shared" si="3"/>
        <v>292.5</v>
      </c>
      <c r="G180" s="11">
        <f t="shared" si="4"/>
        <v>3.848684211</v>
      </c>
      <c r="H180" s="1">
        <v>76.0</v>
      </c>
      <c r="I180" s="1">
        <v>25.0</v>
      </c>
      <c r="J180" s="1">
        <v>28.0</v>
      </c>
      <c r="K180" s="1">
        <v>53.0</v>
      </c>
      <c r="L180" s="1">
        <v>142.0</v>
      </c>
      <c r="M180" s="1">
        <v>9.0</v>
      </c>
      <c r="N180" s="1">
        <v>8.0</v>
      </c>
      <c r="O180" s="1">
        <v>1.0</v>
      </c>
      <c r="P180" s="1">
        <v>3.0</v>
      </c>
      <c r="Q180" s="1">
        <v>16.0</v>
      </c>
      <c r="R180" s="1">
        <v>26.0</v>
      </c>
    </row>
    <row r="181">
      <c r="A181" s="1">
        <f t="shared" si="1"/>
        <v>179</v>
      </c>
      <c r="B181" s="1" t="s">
        <v>1243</v>
      </c>
      <c r="C181" s="1">
        <f t="shared" si="2"/>
        <v>179</v>
      </c>
      <c r="D181" s="1" t="s">
        <v>1073</v>
      </c>
      <c r="E181" s="1" t="s">
        <v>66</v>
      </c>
      <c r="F181" s="11">
        <f t="shared" si="3"/>
        <v>292.25</v>
      </c>
      <c r="G181" s="11">
        <f t="shared" si="4"/>
        <v>3.56402439</v>
      </c>
      <c r="H181" s="1">
        <v>82.0</v>
      </c>
      <c r="I181" s="1">
        <v>10.0</v>
      </c>
      <c r="J181" s="1">
        <v>33.0</v>
      </c>
      <c r="K181" s="1">
        <v>43.0</v>
      </c>
      <c r="L181" s="1">
        <v>185.0</v>
      </c>
      <c r="M181" s="1">
        <v>4.0</v>
      </c>
      <c r="N181" s="1">
        <v>16.0</v>
      </c>
      <c r="O181" s="1">
        <v>1.0</v>
      </c>
      <c r="P181" s="1">
        <v>0.0</v>
      </c>
      <c r="Q181" s="1">
        <v>41.0</v>
      </c>
      <c r="R181" s="1">
        <v>87.0</v>
      </c>
    </row>
    <row r="182">
      <c r="A182" s="1">
        <f t="shared" si="1"/>
        <v>180</v>
      </c>
      <c r="B182" s="1" t="s">
        <v>1220</v>
      </c>
      <c r="C182" s="1">
        <f t="shared" si="2"/>
        <v>180</v>
      </c>
      <c r="D182" s="1" t="s">
        <v>1080</v>
      </c>
      <c r="E182" s="1" t="s">
        <v>28</v>
      </c>
      <c r="F182" s="11">
        <f t="shared" si="3"/>
        <v>291.5</v>
      </c>
      <c r="G182" s="11">
        <f t="shared" si="4"/>
        <v>3.554878049</v>
      </c>
      <c r="H182" s="1">
        <v>82.0</v>
      </c>
      <c r="I182" s="1">
        <v>19.0</v>
      </c>
      <c r="J182" s="1">
        <v>26.0</v>
      </c>
      <c r="K182" s="1">
        <v>45.0</v>
      </c>
      <c r="L182" s="1">
        <v>122.0</v>
      </c>
      <c r="M182" s="1">
        <v>3.0</v>
      </c>
      <c r="N182" s="1">
        <v>2.0</v>
      </c>
      <c r="O182" s="1">
        <v>0.0</v>
      </c>
      <c r="P182" s="1">
        <v>0.0</v>
      </c>
      <c r="Q182" s="1">
        <v>180.0</v>
      </c>
      <c r="R182" s="1">
        <v>44.0</v>
      </c>
    </row>
    <row r="183">
      <c r="A183" s="1">
        <f t="shared" si="1"/>
        <v>181</v>
      </c>
      <c r="B183" s="1" t="s">
        <v>1236</v>
      </c>
      <c r="C183" s="1">
        <f t="shared" si="2"/>
        <v>181</v>
      </c>
      <c r="D183" s="1" t="s">
        <v>1048</v>
      </c>
      <c r="E183" s="1" t="s">
        <v>66</v>
      </c>
      <c r="F183" s="11">
        <f t="shared" si="3"/>
        <v>290.75</v>
      </c>
      <c r="G183" s="11">
        <f t="shared" si="4"/>
        <v>3.680379747</v>
      </c>
      <c r="H183" s="1">
        <v>79.0</v>
      </c>
      <c r="I183" s="1">
        <v>10.0</v>
      </c>
      <c r="J183" s="1">
        <v>29.0</v>
      </c>
      <c r="K183" s="1">
        <v>39.0</v>
      </c>
      <c r="L183" s="1">
        <v>160.0</v>
      </c>
      <c r="M183" s="1">
        <v>1.0</v>
      </c>
      <c r="N183" s="1">
        <v>1.0</v>
      </c>
      <c r="O183" s="1">
        <v>0.0</v>
      </c>
      <c r="P183" s="1">
        <v>0.0</v>
      </c>
      <c r="Q183" s="1">
        <v>111.0</v>
      </c>
      <c r="R183" s="1">
        <v>102.0</v>
      </c>
    </row>
    <row r="184">
      <c r="A184" s="1">
        <f t="shared" si="1"/>
        <v>182</v>
      </c>
      <c r="B184" s="1" t="s">
        <v>1228</v>
      </c>
      <c r="C184" s="1">
        <f t="shared" si="2"/>
        <v>182</v>
      </c>
      <c r="D184" s="1" t="s">
        <v>1078</v>
      </c>
      <c r="E184" s="1" t="s">
        <v>66</v>
      </c>
      <c r="F184" s="11">
        <f t="shared" si="3"/>
        <v>290.5</v>
      </c>
      <c r="G184" s="11">
        <f t="shared" si="4"/>
        <v>3.586419753</v>
      </c>
      <c r="H184" s="1">
        <v>81.0</v>
      </c>
      <c r="I184" s="1">
        <v>5.0</v>
      </c>
      <c r="J184" s="1">
        <v>20.0</v>
      </c>
      <c r="K184" s="1">
        <v>25.0</v>
      </c>
      <c r="L184" s="1">
        <v>135.0</v>
      </c>
      <c r="M184" s="1">
        <v>0.0</v>
      </c>
      <c r="N184" s="1">
        <v>1.0</v>
      </c>
      <c r="O184" s="1">
        <v>0.0</v>
      </c>
      <c r="P184" s="1">
        <v>2.0</v>
      </c>
      <c r="Q184" s="1">
        <v>152.0</v>
      </c>
      <c r="R184" s="1">
        <v>197.0</v>
      </c>
    </row>
    <row r="185">
      <c r="A185" s="1">
        <f t="shared" si="1"/>
        <v>183</v>
      </c>
      <c r="B185" s="1" t="s">
        <v>1245</v>
      </c>
      <c r="C185" s="1">
        <f t="shared" si="2"/>
        <v>183</v>
      </c>
      <c r="D185" s="1" t="s">
        <v>1156</v>
      </c>
      <c r="E185" s="1" t="s">
        <v>28</v>
      </c>
      <c r="F185" s="11">
        <f t="shared" si="3"/>
        <v>290.25</v>
      </c>
      <c r="G185" s="11">
        <f t="shared" si="4"/>
        <v>3.721153846</v>
      </c>
      <c r="H185" s="1">
        <v>78.0</v>
      </c>
      <c r="I185" s="1">
        <v>23.0</v>
      </c>
      <c r="J185" s="1">
        <v>19.0</v>
      </c>
      <c r="K185" s="1">
        <v>42.0</v>
      </c>
      <c r="L185" s="1">
        <v>193.0</v>
      </c>
      <c r="M185" s="1">
        <v>9.0</v>
      </c>
      <c r="N185" s="1">
        <v>4.0</v>
      </c>
      <c r="O185" s="1">
        <v>0.0</v>
      </c>
      <c r="P185" s="1">
        <v>0.0</v>
      </c>
      <c r="Q185" s="1">
        <v>55.0</v>
      </c>
      <c r="R185" s="1">
        <v>39.0</v>
      </c>
    </row>
    <row r="186">
      <c r="A186" s="1">
        <f t="shared" si="1"/>
        <v>184</v>
      </c>
      <c r="B186" s="1" t="s">
        <v>1257</v>
      </c>
      <c r="C186" s="1">
        <f t="shared" si="2"/>
        <v>184</v>
      </c>
      <c r="D186" s="1" t="s">
        <v>1156</v>
      </c>
      <c r="E186" s="1" t="s">
        <v>28</v>
      </c>
      <c r="F186" s="11">
        <f t="shared" si="3"/>
        <v>290</v>
      </c>
      <c r="G186" s="11">
        <f t="shared" si="4"/>
        <v>3.580246914</v>
      </c>
      <c r="H186" s="1">
        <v>81.0</v>
      </c>
      <c r="I186" s="1">
        <v>12.0</v>
      </c>
      <c r="J186" s="1">
        <v>48.0</v>
      </c>
      <c r="K186" s="1">
        <v>60.0</v>
      </c>
      <c r="L186" s="1">
        <v>160.0</v>
      </c>
      <c r="M186" s="1">
        <v>1.0</v>
      </c>
      <c r="N186" s="1">
        <v>17.0</v>
      </c>
      <c r="O186" s="1">
        <v>0.0</v>
      </c>
      <c r="P186" s="1">
        <v>0.0</v>
      </c>
      <c r="Q186" s="1">
        <v>2.0</v>
      </c>
      <c r="R186" s="1">
        <v>23.0</v>
      </c>
    </row>
    <row r="187">
      <c r="A187" s="1">
        <f t="shared" si="1"/>
        <v>185</v>
      </c>
      <c r="B187" s="1" t="s">
        <v>1248</v>
      </c>
      <c r="C187" s="1">
        <f t="shared" si="2"/>
        <v>185</v>
      </c>
      <c r="D187" s="1" t="s">
        <v>1044</v>
      </c>
      <c r="E187" s="1" t="s">
        <v>66</v>
      </c>
      <c r="F187" s="11">
        <f t="shared" si="3"/>
        <v>289.75</v>
      </c>
      <c r="G187" s="11">
        <f t="shared" si="4"/>
        <v>3.667721519</v>
      </c>
      <c r="H187" s="1">
        <v>79.0</v>
      </c>
      <c r="I187" s="1">
        <v>10.0</v>
      </c>
      <c r="J187" s="1">
        <v>28.0</v>
      </c>
      <c r="K187" s="1">
        <v>38.0</v>
      </c>
      <c r="L187" s="1">
        <v>158.0</v>
      </c>
      <c r="M187" s="1">
        <v>3.0</v>
      </c>
      <c r="N187" s="1">
        <v>11.0</v>
      </c>
      <c r="O187" s="1">
        <v>0.0</v>
      </c>
      <c r="P187" s="1">
        <v>0.0</v>
      </c>
      <c r="Q187" s="1">
        <v>49.0</v>
      </c>
      <c r="R187" s="1">
        <v>139.0</v>
      </c>
    </row>
    <row r="188">
      <c r="A188" s="1">
        <f t="shared" si="1"/>
        <v>186</v>
      </c>
      <c r="B188" s="1" t="s">
        <v>1254</v>
      </c>
      <c r="C188" s="1">
        <f t="shared" si="2"/>
        <v>186</v>
      </c>
      <c r="D188" s="1" t="s">
        <v>1111</v>
      </c>
      <c r="E188" s="1" t="s">
        <v>28</v>
      </c>
      <c r="F188" s="11">
        <f t="shared" si="3"/>
        <v>289.25</v>
      </c>
      <c r="G188" s="11">
        <f t="shared" si="4"/>
        <v>3.527439024</v>
      </c>
      <c r="H188" s="1">
        <v>82.0</v>
      </c>
      <c r="I188" s="1">
        <v>17.0</v>
      </c>
      <c r="J188" s="1">
        <v>40.0</v>
      </c>
      <c r="K188" s="1">
        <v>57.0</v>
      </c>
      <c r="L188" s="1">
        <v>149.0</v>
      </c>
      <c r="M188" s="1">
        <v>2.0</v>
      </c>
      <c r="N188" s="1">
        <v>10.0</v>
      </c>
      <c r="O188" s="1">
        <v>0.0</v>
      </c>
      <c r="P188" s="1">
        <v>1.0</v>
      </c>
      <c r="Q188" s="1">
        <v>25.0</v>
      </c>
      <c r="R188" s="1">
        <v>20.0</v>
      </c>
    </row>
    <row r="189">
      <c r="A189" s="1">
        <f t="shared" si="1"/>
        <v>187</v>
      </c>
      <c r="B189" s="1" t="s">
        <v>1252</v>
      </c>
      <c r="C189" s="1">
        <f t="shared" si="2"/>
        <v>187</v>
      </c>
      <c r="D189" s="1" t="s">
        <v>1034</v>
      </c>
      <c r="E189" s="1" t="s">
        <v>31</v>
      </c>
      <c r="F189" s="11">
        <f t="shared" si="3"/>
        <v>287</v>
      </c>
      <c r="G189" s="11">
        <f t="shared" si="4"/>
        <v>3.632911392</v>
      </c>
      <c r="H189" s="1">
        <v>79.0</v>
      </c>
      <c r="I189" s="1">
        <v>20.0</v>
      </c>
      <c r="J189" s="1">
        <v>25.0</v>
      </c>
      <c r="K189" s="1">
        <v>45.0</v>
      </c>
      <c r="L189" s="1">
        <v>129.0</v>
      </c>
      <c r="M189" s="1">
        <v>3.0</v>
      </c>
      <c r="N189" s="1">
        <v>4.0</v>
      </c>
      <c r="O189" s="1">
        <v>2.0</v>
      </c>
      <c r="P189" s="1">
        <v>0.0</v>
      </c>
      <c r="Q189" s="1">
        <v>64.0</v>
      </c>
      <c r="R189" s="1">
        <v>75.0</v>
      </c>
    </row>
    <row r="190">
      <c r="A190" s="1">
        <f t="shared" si="1"/>
        <v>187</v>
      </c>
      <c r="B190" s="1" t="s">
        <v>1242</v>
      </c>
      <c r="C190" s="1">
        <f t="shared" si="2"/>
        <v>187</v>
      </c>
      <c r="D190" s="1" t="s">
        <v>1032</v>
      </c>
      <c r="E190" s="1" t="s">
        <v>28</v>
      </c>
      <c r="F190" s="11">
        <f t="shared" si="3"/>
        <v>287</v>
      </c>
      <c r="G190" s="11">
        <f t="shared" si="4"/>
        <v>3.5875</v>
      </c>
      <c r="H190" s="1">
        <v>80.0</v>
      </c>
      <c r="I190" s="1">
        <v>21.0</v>
      </c>
      <c r="J190" s="1">
        <v>22.0</v>
      </c>
      <c r="K190" s="1">
        <v>43.0</v>
      </c>
      <c r="L190" s="1">
        <v>160.0</v>
      </c>
      <c r="M190" s="1">
        <v>5.0</v>
      </c>
      <c r="N190" s="1">
        <v>1.0</v>
      </c>
      <c r="O190" s="1">
        <v>0.0</v>
      </c>
      <c r="P190" s="1">
        <v>0.0</v>
      </c>
      <c r="Q190" s="1">
        <v>98.0</v>
      </c>
      <c r="R190" s="1">
        <v>44.0</v>
      </c>
    </row>
    <row r="191">
      <c r="A191" s="1">
        <f t="shared" si="1"/>
        <v>189</v>
      </c>
      <c r="B191" s="1" t="s">
        <v>1256</v>
      </c>
      <c r="C191" s="1">
        <f t="shared" si="2"/>
        <v>189</v>
      </c>
      <c r="D191" s="1" t="s">
        <v>1030</v>
      </c>
      <c r="E191" s="1" t="s">
        <v>31</v>
      </c>
      <c r="F191" s="11">
        <f t="shared" si="3"/>
        <v>286.5</v>
      </c>
      <c r="G191" s="11">
        <f t="shared" si="4"/>
        <v>3.626582278</v>
      </c>
      <c r="H191" s="1">
        <v>79.0</v>
      </c>
      <c r="I191" s="1">
        <v>19.0</v>
      </c>
      <c r="J191" s="1">
        <v>37.0</v>
      </c>
      <c r="K191" s="1">
        <v>56.0</v>
      </c>
      <c r="L191" s="1">
        <v>127.0</v>
      </c>
      <c r="M191" s="1">
        <v>5.0</v>
      </c>
      <c r="N191" s="1">
        <v>14.0</v>
      </c>
      <c r="O191" s="1">
        <v>0.0</v>
      </c>
      <c r="P191" s="1">
        <v>0.0</v>
      </c>
      <c r="Q191" s="1">
        <v>40.0</v>
      </c>
      <c r="R191" s="1">
        <v>33.0</v>
      </c>
    </row>
    <row r="192">
      <c r="A192" s="1">
        <f t="shared" si="1"/>
        <v>190</v>
      </c>
      <c r="B192" s="1" t="s">
        <v>1264</v>
      </c>
      <c r="C192" s="1">
        <f t="shared" si="2"/>
        <v>190</v>
      </c>
      <c r="D192" s="1" t="s">
        <v>1172</v>
      </c>
      <c r="E192" s="1" t="s">
        <v>5</v>
      </c>
      <c r="F192" s="11">
        <f t="shared" si="3"/>
        <v>286.2</v>
      </c>
      <c r="G192" s="11">
        <f t="shared" si="4"/>
        <v>5.110714286</v>
      </c>
      <c r="H192" s="1">
        <v>56.0</v>
      </c>
      <c r="S192" s="1">
        <v>18.0</v>
      </c>
      <c r="T192" s="1">
        <v>160.0</v>
      </c>
      <c r="U192" s="12">
        <v>1564.0</v>
      </c>
      <c r="V192" s="1">
        <v>1.0</v>
      </c>
    </row>
    <row r="193">
      <c r="A193" s="1">
        <f t="shared" si="1"/>
        <v>191</v>
      </c>
      <c r="B193" s="1" t="s">
        <v>1227</v>
      </c>
      <c r="C193" s="1">
        <f t="shared" si="2"/>
        <v>191</v>
      </c>
      <c r="D193" s="1" t="s">
        <v>1038</v>
      </c>
      <c r="E193" s="1" t="s">
        <v>31</v>
      </c>
      <c r="F193" s="11">
        <f t="shared" si="3"/>
        <v>285.5</v>
      </c>
      <c r="G193" s="11">
        <f t="shared" si="4"/>
        <v>3.481707317</v>
      </c>
      <c r="H193" s="1">
        <v>82.0</v>
      </c>
      <c r="I193" s="1">
        <v>18.0</v>
      </c>
      <c r="J193" s="1">
        <v>22.0</v>
      </c>
      <c r="K193" s="1">
        <v>40.0</v>
      </c>
      <c r="L193" s="1">
        <v>123.0</v>
      </c>
      <c r="M193" s="1">
        <v>2.0</v>
      </c>
      <c r="N193" s="1">
        <v>0.0</v>
      </c>
      <c r="O193" s="1">
        <v>0.0</v>
      </c>
      <c r="P193" s="1">
        <v>0.0</v>
      </c>
      <c r="Q193" s="1">
        <v>204.0</v>
      </c>
      <c r="R193" s="1">
        <v>52.0</v>
      </c>
    </row>
    <row r="194">
      <c r="A194" s="1">
        <f t="shared" si="1"/>
        <v>192</v>
      </c>
      <c r="B194" s="1" t="s">
        <v>1244</v>
      </c>
      <c r="C194" s="1">
        <f t="shared" si="2"/>
        <v>192</v>
      </c>
      <c r="D194" s="1" t="s">
        <v>1156</v>
      </c>
      <c r="E194" s="1" t="s">
        <v>28</v>
      </c>
      <c r="F194" s="11">
        <f t="shared" si="3"/>
        <v>284.25</v>
      </c>
      <c r="G194" s="11">
        <f t="shared" si="4"/>
        <v>4.900862069</v>
      </c>
      <c r="H194" s="1">
        <v>58.0</v>
      </c>
      <c r="I194" s="1">
        <v>22.0</v>
      </c>
      <c r="J194" s="1">
        <v>13.0</v>
      </c>
      <c r="K194" s="1">
        <v>35.0</v>
      </c>
      <c r="L194" s="1">
        <v>155.0</v>
      </c>
      <c r="M194" s="1">
        <v>5.0</v>
      </c>
      <c r="N194" s="1">
        <v>3.0</v>
      </c>
      <c r="O194" s="1">
        <v>1.0</v>
      </c>
      <c r="P194" s="1">
        <v>0.0</v>
      </c>
      <c r="Q194" s="1">
        <v>119.0</v>
      </c>
      <c r="R194" s="1">
        <v>74.0</v>
      </c>
    </row>
    <row r="195">
      <c r="A195" s="1">
        <f t="shared" si="1"/>
        <v>193</v>
      </c>
      <c r="B195" s="1" t="s">
        <v>1241</v>
      </c>
      <c r="C195" s="1">
        <f t="shared" si="2"/>
        <v>193</v>
      </c>
      <c r="D195" s="1" t="s">
        <v>1106</v>
      </c>
      <c r="E195" s="1" t="s">
        <v>28</v>
      </c>
      <c r="F195" s="11">
        <f t="shared" si="3"/>
        <v>284</v>
      </c>
      <c r="G195" s="11">
        <f t="shared" si="4"/>
        <v>3.688311688</v>
      </c>
      <c r="H195" s="1">
        <v>77.0</v>
      </c>
      <c r="I195" s="1">
        <v>27.0</v>
      </c>
      <c r="J195" s="1">
        <v>11.0</v>
      </c>
      <c r="K195" s="1">
        <v>38.0</v>
      </c>
      <c r="L195" s="1">
        <v>145.0</v>
      </c>
      <c r="M195" s="1">
        <v>8.0</v>
      </c>
      <c r="N195" s="1">
        <v>6.0</v>
      </c>
      <c r="O195" s="1">
        <v>0.0</v>
      </c>
      <c r="P195" s="1">
        <v>0.0</v>
      </c>
      <c r="Q195" s="1">
        <v>138.0</v>
      </c>
      <c r="R195" s="1">
        <v>45.0</v>
      </c>
    </row>
    <row r="196">
      <c r="A196" s="1">
        <f t="shared" si="1"/>
        <v>194</v>
      </c>
      <c r="B196" s="1" t="s">
        <v>1263</v>
      </c>
      <c r="C196" s="1">
        <f t="shared" si="2"/>
        <v>194</v>
      </c>
      <c r="D196" s="1" t="s">
        <v>1172</v>
      </c>
      <c r="E196" s="1" t="s">
        <v>28</v>
      </c>
      <c r="F196" s="11">
        <f t="shared" si="3"/>
        <v>283.75</v>
      </c>
      <c r="G196" s="11">
        <f t="shared" si="4"/>
        <v>3.783333333</v>
      </c>
      <c r="H196" s="1">
        <v>75.0</v>
      </c>
      <c r="I196" s="1">
        <v>18.0</v>
      </c>
      <c r="J196" s="1">
        <v>36.0</v>
      </c>
      <c r="K196" s="1">
        <v>54.0</v>
      </c>
      <c r="L196" s="1">
        <v>128.0</v>
      </c>
      <c r="M196" s="1">
        <v>6.0</v>
      </c>
      <c r="N196" s="1">
        <v>13.0</v>
      </c>
      <c r="O196" s="1">
        <v>0.0</v>
      </c>
      <c r="P196" s="1">
        <v>0.0</v>
      </c>
      <c r="Q196" s="1">
        <v>27.0</v>
      </c>
      <c r="R196" s="1">
        <v>48.0</v>
      </c>
    </row>
    <row r="197">
      <c r="A197" s="1">
        <f t="shared" si="1"/>
        <v>195</v>
      </c>
      <c r="B197" s="1" t="s">
        <v>1250</v>
      </c>
      <c r="C197" s="1">
        <f t="shared" si="2"/>
        <v>195</v>
      </c>
      <c r="D197" s="1" t="s">
        <v>1120</v>
      </c>
      <c r="E197" s="1" t="s">
        <v>36</v>
      </c>
      <c r="F197" s="11">
        <f t="shared" si="3"/>
        <v>283</v>
      </c>
      <c r="G197" s="11">
        <f t="shared" si="4"/>
        <v>3.723684211</v>
      </c>
      <c r="H197" s="1">
        <v>76.0</v>
      </c>
      <c r="I197" s="1">
        <v>17.0</v>
      </c>
      <c r="J197" s="1">
        <v>30.0</v>
      </c>
      <c r="K197" s="1">
        <v>47.0</v>
      </c>
      <c r="L197" s="1">
        <v>151.0</v>
      </c>
      <c r="M197" s="1">
        <v>7.0</v>
      </c>
      <c r="N197" s="1">
        <v>10.0</v>
      </c>
      <c r="O197" s="1">
        <v>0.0</v>
      </c>
      <c r="P197" s="1">
        <v>0.0</v>
      </c>
      <c r="Q197" s="1">
        <v>110.0</v>
      </c>
      <c r="R197" s="1">
        <v>27.0</v>
      </c>
    </row>
    <row r="198">
      <c r="A198" s="1">
        <f t="shared" si="1"/>
        <v>195</v>
      </c>
      <c r="B198" s="1" t="s">
        <v>1265</v>
      </c>
      <c r="C198" s="1">
        <f t="shared" si="2"/>
        <v>195</v>
      </c>
      <c r="D198" s="1" t="s">
        <v>1030</v>
      </c>
      <c r="E198" s="1" t="s">
        <v>31</v>
      </c>
      <c r="F198" s="11">
        <f t="shared" si="3"/>
        <v>283</v>
      </c>
      <c r="G198" s="11">
        <f t="shared" si="4"/>
        <v>3.5375</v>
      </c>
      <c r="H198" s="1">
        <v>80.0</v>
      </c>
      <c r="I198" s="1">
        <v>18.0</v>
      </c>
      <c r="J198" s="1">
        <v>39.0</v>
      </c>
      <c r="K198" s="1">
        <v>57.0</v>
      </c>
      <c r="L198" s="1">
        <v>127.0</v>
      </c>
      <c r="M198" s="1">
        <v>3.0</v>
      </c>
      <c r="N198" s="1">
        <v>6.0</v>
      </c>
      <c r="O198" s="1">
        <v>0.0</v>
      </c>
      <c r="P198" s="1">
        <v>0.0</v>
      </c>
      <c r="Q198" s="1">
        <v>24.0</v>
      </c>
      <c r="R198" s="1">
        <v>31.0</v>
      </c>
    </row>
    <row r="199">
      <c r="A199" s="1">
        <f t="shared" si="1"/>
        <v>197</v>
      </c>
      <c r="B199" s="1" t="s">
        <v>1258</v>
      </c>
      <c r="C199" s="1">
        <f t="shared" si="2"/>
        <v>197</v>
      </c>
      <c r="D199" s="1" t="s">
        <v>1091</v>
      </c>
      <c r="E199" s="1" t="s">
        <v>66</v>
      </c>
      <c r="F199" s="11">
        <f t="shared" si="3"/>
        <v>282</v>
      </c>
      <c r="G199" s="11">
        <f t="shared" si="4"/>
        <v>3.43902439</v>
      </c>
      <c r="H199" s="1">
        <v>82.0</v>
      </c>
      <c r="I199" s="1">
        <v>10.0</v>
      </c>
      <c r="J199" s="1">
        <v>20.0</v>
      </c>
      <c r="K199" s="1">
        <v>30.0</v>
      </c>
      <c r="L199" s="1">
        <v>134.0</v>
      </c>
      <c r="M199" s="1">
        <v>0.0</v>
      </c>
      <c r="N199" s="1">
        <v>6.0</v>
      </c>
      <c r="O199" s="1">
        <v>0.0</v>
      </c>
      <c r="P199" s="1">
        <v>2.0</v>
      </c>
      <c r="Q199" s="1">
        <v>76.0</v>
      </c>
      <c r="R199" s="1">
        <v>174.0</v>
      </c>
    </row>
    <row r="200">
      <c r="A200" s="1">
        <f t="shared" si="1"/>
        <v>198</v>
      </c>
      <c r="B200" s="1" t="s">
        <v>1259</v>
      </c>
      <c r="C200" s="1">
        <f t="shared" si="2"/>
        <v>198</v>
      </c>
      <c r="D200" s="1" t="s">
        <v>1069</v>
      </c>
      <c r="E200" s="1" t="s">
        <v>31</v>
      </c>
      <c r="F200" s="11">
        <f t="shared" si="3"/>
        <v>281.5</v>
      </c>
      <c r="G200" s="11">
        <f t="shared" si="4"/>
        <v>3.432926829</v>
      </c>
      <c r="H200" s="1">
        <v>82.0</v>
      </c>
      <c r="I200" s="1">
        <v>15.0</v>
      </c>
      <c r="J200" s="1">
        <v>24.0</v>
      </c>
      <c r="K200" s="1">
        <v>39.0</v>
      </c>
      <c r="L200" s="1">
        <v>209.0</v>
      </c>
      <c r="M200" s="1">
        <v>2.0</v>
      </c>
      <c r="N200" s="1">
        <v>1.0</v>
      </c>
      <c r="O200" s="1">
        <v>1.0</v>
      </c>
      <c r="P200" s="1">
        <v>1.0</v>
      </c>
      <c r="Q200" s="1">
        <v>68.0</v>
      </c>
      <c r="R200" s="1">
        <v>33.0</v>
      </c>
    </row>
    <row r="201">
      <c r="A201" s="1">
        <f t="shared" si="1"/>
        <v>199</v>
      </c>
      <c r="B201" s="1" t="s">
        <v>1274</v>
      </c>
      <c r="C201" s="1">
        <f t="shared" si="2"/>
        <v>199</v>
      </c>
      <c r="D201" s="1" t="s">
        <v>1111</v>
      </c>
      <c r="E201" s="1" t="s">
        <v>5</v>
      </c>
      <c r="F201" s="11">
        <f t="shared" si="3"/>
        <v>280.5</v>
      </c>
      <c r="G201" s="11">
        <f t="shared" si="4"/>
        <v>5.61</v>
      </c>
      <c r="H201" s="1">
        <v>50.0</v>
      </c>
      <c r="S201" s="1">
        <v>23.0</v>
      </c>
      <c r="T201" s="1">
        <v>136.0</v>
      </c>
      <c r="U201" s="12">
        <v>1325.0</v>
      </c>
      <c r="V201" s="1">
        <v>6.0</v>
      </c>
    </row>
    <row r="202">
      <c r="A202" s="1">
        <f t="shared" si="1"/>
        <v>200</v>
      </c>
      <c r="B202" s="1" t="s">
        <v>1240</v>
      </c>
      <c r="C202" s="1">
        <f t="shared" si="2"/>
        <v>200</v>
      </c>
      <c r="D202" s="1" t="s">
        <v>1172</v>
      </c>
      <c r="E202" s="1" t="s">
        <v>28</v>
      </c>
      <c r="F202" s="11">
        <f t="shared" si="3"/>
        <v>279</v>
      </c>
      <c r="G202" s="11">
        <f t="shared" si="4"/>
        <v>3.77027027</v>
      </c>
      <c r="H202" s="1">
        <v>74.0</v>
      </c>
      <c r="I202" s="1">
        <v>17.0</v>
      </c>
      <c r="J202" s="1">
        <v>20.0</v>
      </c>
      <c r="K202" s="1">
        <v>37.0</v>
      </c>
      <c r="L202" s="1">
        <v>146.0</v>
      </c>
      <c r="M202" s="1">
        <v>8.0</v>
      </c>
      <c r="N202" s="1">
        <v>8.0</v>
      </c>
      <c r="O202" s="1">
        <v>1.0</v>
      </c>
      <c r="P202" s="1">
        <v>0.0</v>
      </c>
      <c r="Q202" s="1">
        <v>192.0</v>
      </c>
      <c r="R202" s="1">
        <v>39.0</v>
      </c>
    </row>
    <row r="203">
      <c r="A203" s="1">
        <f t="shared" si="1"/>
        <v>200</v>
      </c>
      <c r="B203" s="1" t="s">
        <v>1266</v>
      </c>
      <c r="C203" s="1">
        <f t="shared" si="2"/>
        <v>200</v>
      </c>
      <c r="D203" s="1" t="s">
        <v>1069</v>
      </c>
      <c r="E203" s="1" t="s">
        <v>28</v>
      </c>
      <c r="F203" s="11">
        <f t="shared" si="3"/>
        <v>279</v>
      </c>
      <c r="G203" s="11">
        <f t="shared" si="4"/>
        <v>3.444444444</v>
      </c>
      <c r="H203" s="1">
        <v>81.0</v>
      </c>
      <c r="I203" s="1">
        <v>12.0</v>
      </c>
      <c r="J203" s="1">
        <v>40.0</v>
      </c>
      <c r="K203" s="1">
        <v>52.0</v>
      </c>
      <c r="L203" s="1">
        <v>143.0</v>
      </c>
      <c r="M203" s="1">
        <v>4.0</v>
      </c>
      <c r="N203" s="1">
        <v>15.0</v>
      </c>
      <c r="O203" s="1">
        <v>0.0</v>
      </c>
      <c r="P203" s="1">
        <v>0.0</v>
      </c>
      <c r="Q203" s="1">
        <v>60.0</v>
      </c>
      <c r="R203" s="1">
        <v>37.0</v>
      </c>
    </row>
    <row r="204">
      <c r="A204" s="1">
        <f t="shared" si="1"/>
        <v>202</v>
      </c>
      <c r="B204" s="1" t="s">
        <v>1271</v>
      </c>
      <c r="C204" s="1">
        <f t="shared" si="2"/>
        <v>202</v>
      </c>
      <c r="D204" s="1" t="s">
        <v>1080</v>
      </c>
      <c r="E204" s="1" t="s">
        <v>36</v>
      </c>
      <c r="F204" s="11">
        <f t="shared" si="3"/>
        <v>277.75</v>
      </c>
      <c r="G204" s="11">
        <f t="shared" si="4"/>
        <v>4.959821429</v>
      </c>
      <c r="H204" s="1">
        <v>56.0</v>
      </c>
      <c r="I204" s="1">
        <v>16.0</v>
      </c>
      <c r="J204" s="1">
        <v>37.0</v>
      </c>
      <c r="K204" s="1">
        <v>53.0</v>
      </c>
      <c r="L204" s="1">
        <v>117.0</v>
      </c>
      <c r="M204" s="1">
        <v>4.0</v>
      </c>
      <c r="N204" s="1">
        <v>10.0</v>
      </c>
      <c r="O204" s="1">
        <v>2.0</v>
      </c>
      <c r="P204" s="1">
        <v>2.0</v>
      </c>
      <c r="Q204" s="1">
        <v>33.0</v>
      </c>
      <c r="R204" s="1">
        <v>40.0</v>
      </c>
    </row>
    <row r="205">
      <c r="A205" s="1">
        <f t="shared" si="1"/>
        <v>203</v>
      </c>
      <c r="B205" s="1" t="s">
        <v>1255</v>
      </c>
      <c r="C205" s="1">
        <f t="shared" si="2"/>
        <v>203</v>
      </c>
      <c r="D205" s="1" t="s">
        <v>1030</v>
      </c>
      <c r="E205" s="1" t="s">
        <v>28</v>
      </c>
      <c r="F205" s="11">
        <f t="shared" si="3"/>
        <v>276.75</v>
      </c>
      <c r="G205" s="11">
        <f t="shared" si="4"/>
        <v>3.459375</v>
      </c>
      <c r="H205" s="1">
        <v>80.0</v>
      </c>
      <c r="I205" s="1">
        <v>17.0</v>
      </c>
      <c r="J205" s="1">
        <v>23.0</v>
      </c>
      <c r="K205" s="1">
        <v>40.0</v>
      </c>
      <c r="L205" s="1">
        <v>146.0</v>
      </c>
      <c r="M205" s="1">
        <v>3.0</v>
      </c>
      <c r="N205" s="1">
        <v>2.0</v>
      </c>
      <c r="O205" s="1">
        <v>0.0</v>
      </c>
      <c r="P205" s="1">
        <v>0.0</v>
      </c>
      <c r="Q205" s="1">
        <v>141.0</v>
      </c>
      <c r="R205" s="1">
        <v>46.0</v>
      </c>
    </row>
    <row r="206">
      <c r="A206" s="1">
        <f t="shared" si="1"/>
        <v>204</v>
      </c>
      <c r="B206" s="1" t="s">
        <v>1247</v>
      </c>
      <c r="C206" s="1">
        <f t="shared" si="2"/>
        <v>204</v>
      </c>
      <c r="D206" s="1" t="s">
        <v>1040</v>
      </c>
      <c r="E206" s="1" t="s">
        <v>66</v>
      </c>
      <c r="F206" s="11">
        <f t="shared" si="3"/>
        <v>276</v>
      </c>
      <c r="G206" s="11">
        <f t="shared" si="4"/>
        <v>4</v>
      </c>
      <c r="H206" s="1">
        <v>69.0</v>
      </c>
      <c r="I206" s="1">
        <v>3.0</v>
      </c>
      <c r="J206" s="1">
        <v>19.0</v>
      </c>
      <c r="K206" s="1">
        <v>22.0</v>
      </c>
      <c r="L206" s="1">
        <v>129.0</v>
      </c>
      <c r="M206" s="1">
        <v>0.0</v>
      </c>
      <c r="N206" s="1">
        <v>1.0</v>
      </c>
      <c r="O206" s="1">
        <v>0.0</v>
      </c>
      <c r="P206" s="1">
        <v>1.0</v>
      </c>
      <c r="Q206" s="1">
        <v>190.0</v>
      </c>
      <c r="R206" s="1">
        <v>183.0</v>
      </c>
    </row>
    <row r="207">
      <c r="A207" s="1">
        <f t="shared" si="1"/>
        <v>204</v>
      </c>
      <c r="B207" s="1" t="s">
        <v>1260</v>
      </c>
      <c r="C207" s="1">
        <f t="shared" si="2"/>
        <v>204</v>
      </c>
      <c r="D207" s="1" t="s">
        <v>1030</v>
      </c>
      <c r="E207" s="1" t="s">
        <v>66</v>
      </c>
      <c r="F207" s="11">
        <f t="shared" si="3"/>
        <v>276</v>
      </c>
      <c r="G207" s="11">
        <f t="shared" si="4"/>
        <v>3.407407407</v>
      </c>
      <c r="H207" s="1">
        <v>81.0</v>
      </c>
      <c r="I207" s="1">
        <v>10.0</v>
      </c>
      <c r="J207" s="1">
        <v>19.0</v>
      </c>
      <c r="K207" s="1">
        <v>29.0</v>
      </c>
      <c r="L207" s="1">
        <v>150.0</v>
      </c>
      <c r="M207" s="1">
        <v>0.0</v>
      </c>
      <c r="N207" s="1">
        <v>1.0</v>
      </c>
      <c r="O207" s="1">
        <v>2.0</v>
      </c>
      <c r="P207" s="1">
        <v>1.0</v>
      </c>
      <c r="Q207" s="1">
        <v>118.0</v>
      </c>
      <c r="R207" s="1">
        <v>127.0</v>
      </c>
    </row>
    <row r="208">
      <c r="A208" s="1">
        <f t="shared" si="1"/>
        <v>206</v>
      </c>
      <c r="B208" s="1" t="s">
        <v>1268</v>
      </c>
      <c r="C208" s="1">
        <f t="shared" si="2"/>
        <v>206</v>
      </c>
      <c r="D208" s="1" t="s">
        <v>1172</v>
      </c>
      <c r="E208" s="1" t="s">
        <v>66</v>
      </c>
      <c r="F208" s="11">
        <f t="shared" si="3"/>
        <v>275.75</v>
      </c>
      <c r="G208" s="11">
        <f t="shared" si="4"/>
        <v>4.115671642</v>
      </c>
      <c r="H208" s="1">
        <v>67.0</v>
      </c>
      <c r="I208" s="1">
        <v>8.0</v>
      </c>
      <c r="J208" s="1">
        <v>23.0</v>
      </c>
      <c r="K208" s="1">
        <v>31.0</v>
      </c>
      <c r="L208" s="1">
        <v>172.0</v>
      </c>
      <c r="M208" s="1">
        <v>3.0</v>
      </c>
      <c r="N208" s="1">
        <v>6.0</v>
      </c>
      <c r="O208" s="1">
        <v>0.0</v>
      </c>
      <c r="P208" s="1">
        <v>0.0</v>
      </c>
      <c r="Q208" s="1">
        <v>77.0</v>
      </c>
      <c r="R208" s="1">
        <v>131.0</v>
      </c>
    </row>
    <row r="209">
      <c r="A209" s="1">
        <f t="shared" si="1"/>
        <v>207</v>
      </c>
      <c r="B209" s="1" t="s">
        <v>1280</v>
      </c>
      <c r="C209" s="1">
        <f t="shared" si="2"/>
        <v>207</v>
      </c>
      <c r="D209" s="1" t="s">
        <v>1038</v>
      </c>
      <c r="E209" s="1" t="s">
        <v>5</v>
      </c>
      <c r="F209" s="11">
        <f t="shared" si="3"/>
        <v>275.7</v>
      </c>
      <c r="G209" s="11">
        <f t="shared" si="4"/>
        <v>6.265909091</v>
      </c>
      <c r="H209" s="1">
        <v>44.0</v>
      </c>
      <c r="S209" s="1">
        <v>25.0</v>
      </c>
      <c r="T209" s="1">
        <v>108.0</v>
      </c>
      <c r="U209" s="12">
        <v>1179.0</v>
      </c>
      <c r="V209" s="1">
        <v>3.0</v>
      </c>
    </row>
    <row r="210">
      <c r="A210" s="1">
        <f t="shared" si="1"/>
        <v>208</v>
      </c>
      <c r="B210" s="1" t="s">
        <v>1270</v>
      </c>
      <c r="C210" s="1">
        <f t="shared" si="2"/>
        <v>208</v>
      </c>
      <c r="D210" s="1" t="s">
        <v>1106</v>
      </c>
      <c r="E210" s="1" t="s">
        <v>66</v>
      </c>
      <c r="F210" s="11">
        <f t="shared" si="3"/>
        <v>275.5</v>
      </c>
      <c r="G210" s="11">
        <f t="shared" si="4"/>
        <v>3.577922078</v>
      </c>
      <c r="H210" s="1">
        <v>77.0</v>
      </c>
      <c r="I210" s="1">
        <v>4.0</v>
      </c>
      <c r="J210" s="1">
        <v>35.0</v>
      </c>
      <c r="K210" s="1">
        <v>39.0</v>
      </c>
      <c r="L210" s="1">
        <v>162.0</v>
      </c>
      <c r="M210" s="1">
        <v>0.0</v>
      </c>
      <c r="N210" s="1">
        <v>13.0</v>
      </c>
      <c r="O210" s="1">
        <v>0.0</v>
      </c>
      <c r="P210" s="1">
        <v>0.0</v>
      </c>
      <c r="Q210" s="1">
        <v>64.0</v>
      </c>
      <c r="R210" s="1">
        <v>111.0</v>
      </c>
    </row>
    <row r="211">
      <c r="A211" s="1">
        <f t="shared" si="1"/>
        <v>209</v>
      </c>
      <c r="B211" s="1" t="s">
        <v>1273</v>
      </c>
      <c r="C211" s="1">
        <f t="shared" si="2"/>
        <v>209</v>
      </c>
      <c r="D211" s="1" t="s">
        <v>1073</v>
      </c>
      <c r="E211" s="1" t="s">
        <v>66</v>
      </c>
      <c r="F211" s="11">
        <f t="shared" si="3"/>
        <v>275.25</v>
      </c>
      <c r="G211" s="11">
        <f t="shared" si="4"/>
        <v>3.398148148</v>
      </c>
      <c r="H211" s="1">
        <v>81.0</v>
      </c>
      <c r="I211" s="1">
        <v>6.0</v>
      </c>
      <c r="J211" s="1">
        <v>31.0</v>
      </c>
      <c r="K211" s="1">
        <v>37.0</v>
      </c>
      <c r="L211" s="1">
        <v>151.0</v>
      </c>
      <c r="M211" s="1">
        <v>0.0</v>
      </c>
      <c r="N211" s="1">
        <v>0.0</v>
      </c>
      <c r="O211" s="1">
        <v>2.0</v>
      </c>
      <c r="P211" s="1">
        <v>1.0</v>
      </c>
      <c r="Q211" s="1">
        <v>55.0</v>
      </c>
      <c r="R211" s="1">
        <v>120.0</v>
      </c>
    </row>
    <row r="212">
      <c r="A212" s="1">
        <f t="shared" si="1"/>
        <v>210</v>
      </c>
      <c r="B212" s="1" t="s">
        <v>1261</v>
      </c>
      <c r="C212" s="1">
        <f t="shared" si="2"/>
        <v>210</v>
      </c>
      <c r="D212" s="1" t="s">
        <v>1172</v>
      </c>
      <c r="E212" s="1" t="s">
        <v>31</v>
      </c>
      <c r="F212" s="11">
        <f t="shared" si="3"/>
        <v>273</v>
      </c>
      <c r="G212" s="11">
        <f t="shared" si="4"/>
        <v>3.329268293</v>
      </c>
      <c r="H212" s="1">
        <v>82.0</v>
      </c>
      <c r="I212" s="1">
        <v>22.0</v>
      </c>
      <c r="J212" s="1">
        <v>13.0</v>
      </c>
      <c r="K212" s="1">
        <v>35.0</v>
      </c>
      <c r="L212" s="1">
        <v>126.0</v>
      </c>
      <c r="M212" s="1">
        <v>2.0</v>
      </c>
      <c r="N212" s="1">
        <v>0.0</v>
      </c>
      <c r="O212" s="1">
        <v>0.0</v>
      </c>
      <c r="P212" s="1">
        <v>0.0</v>
      </c>
      <c r="Q212" s="1">
        <v>142.0</v>
      </c>
      <c r="R212" s="1">
        <v>73.0</v>
      </c>
    </row>
    <row r="213">
      <c r="A213" s="1">
        <f t="shared" si="1"/>
        <v>211</v>
      </c>
      <c r="B213" s="1" t="s">
        <v>1278</v>
      </c>
      <c r="C213" s="1">
        <f t="shared" si="2"/>
        <v>211</v>
      </c>
      <c r="D213" s="1" t="s">
        <v>1120</v>
      </c>
      <c r="E213" s="1" t="s">
        <v>31</v>
      </c>
      <c r="F213" s="11">
        <f t="shared" si="3"/>
        <v>272.75</v>
      </c>
      <c r="G213" s="11">
        <f t="shared" si="4"/>
        <v>3.542207792</v>
      </c>
      <c r="H213" s="1">
        <v>77.0</v>
      </c>
      <c r="I213" s="1">
        <v>19.0</v>
      </c>
      <c r="J213" s="1">
        <v>29.0</v>
      </c>
      <c r="K213" s="1">
        <v>48.0</v>
      </c>
      <c r="L213" s="1">
        <v>108.0</v>
      </c>
      <c r="M213" s="1">
        <v>5.0</v>
      </c>
      <c r="N213" s="1">
        <v>5.0</v>
      </c>
      <c r="O213" s="1">
        <v>2.0</v>
      </c>
      <c r="P213" s="1">
        <v>0.0</v>
      </c>
      <c r="Q213" s="1">
        <v>51.0</v>
      </c>
      <c r="R213" s="1">
        <v>59.0</v>
      </c>
    </row>
    <row r="214">
      <c r="A214" s="1">
        <f t="shared" si="1"/>
        <v>212</v>
      </c>
      <c r="B214" s="1" t="s">
        <v>1290</v>
      </c>
      <c r="C214" s="1">
        <f t="shared" si="2"/>
        <v>212</v>
      </c>
      <c r="D214" s="1" t="s">
        <v>1034</v>
      </c>
      <c r="E214" s="1" t="s">
        <v>5</v>
      </c>
      <c r="F214" s="11">
        <f t="shared" si="3"/>
        <v>272.7</v>
      </c>
      <c r="G214" s="11">
        <f t="shared" si="4"/>
        <v>5.244230769</v>
      </c>
      <c r="H214" s="1">
        <v>52.0</v>
      </c>
      <c r="S214" s="1">
        <v>30.0</v>
      </c>
      <c r="T214" s="1">
        <v>148.0</v>
      </c>
      <c r="U214" s="12">
        <v>1329.0</v>
      </c>
      <c r="V214" s="1">
        <v>2.0</v>
      </c>
    </row>
    <row r="215">
      <c r="A215" s="1">
        <f t="shared" si="1"/>
        <v>213</v>
      </c>
      <c r="B215" s="1" t="s">
        <v>1287</v>
      </c>
      <c r="C215" s="1">
        <f t="shared" si="2"/>
        <v>213</v>
      </c>
      <c r="D215" s="1" t="s">
        <v>1175</v>
      </c>
      <c r="E215" s="1" t="s">
        <v>28</v>
      </c>
      <c r="F215" s="11">
        <f t="shared" si="3"/>
        <v>270.75</v>
      </c>
      <c r="G215" s="11">
        <f t="shared" si="4"/>
        <v>3.384375</v>
      </c>
      <c r="H215" s="1">
        <v>80.0</v>
      </c>
      <c r="I215" s="1">
        <v>16.0</v>
      </c>
      <c r="J215" s="1">
        <v>29.0</v>
      </c>
      <c r="K215" s="1">
        <v>45.0</v>
      </c>
      <c r="L215" s="1">
        <v>128.0</v>
      </c>
      <c r="M215" s="1">
        <v>8.0</v>
      </c>
      <c r="N215" s="1">
        <v>8.0</v>
      </c>
      <c r="O215" s="1">
        <v>0.0</v>
      </c>
      <c r="P215" s="1">
        <v>1.0</v>
      </c>
      <c r="Q215" s="1">
        <v>39.0</v>
      </c>
      <c r="R215" s="1">
        <v>72.0</v>
      </c>
    </row>
    <row r="216">
      <c r="A216" s="1">
        <f t="shared" si="1"/>
        <v>214</v>
      </c>
      <c r="B216" s="1" t="s">
        <v>1267</v>
      </c>
      <c r="C216" s="1">
        <f t="shared" si="2"/>
        <v>214</v>
      </c>
      <c r="D216" s="1" t="s">
        <v>1080</v>
      </c>
      <c r="E216" s="1" t="s">
        <v>66</v>
      </c>
      <c r="F216" s="11">
        <f t="shared" si="3"/>
        <v>269.75</v>
      </c>
      <c r="G216" s="11">
        <f t="shared" si="4"/>
        <v>3.289634146</v>
      </c>
      <c r="H216" s="1">
        <v>82.0</v>
      </c>
      <c r="I216" s="1">
        <v>4.0</v>
      </c>
      <c r="J216" s="1">
        <v>22.0</v>
      </c>
      <c r="K216" s="1">
        <v>26.0</v>
      </c>
      <c r="L216" s="1">
        <v>86.0</v>
      </c>
      <c r="M216" s="1">
        <v>0.0</v>
      </c>
      <c r="N216" s="1">
        <v>1.0</v>
      </c>
      <c r="O216" s="1">
        <v>0.0</v>
      </c>
      <c r="P216" s="1">
        <v>1.0</v>
      </c>
      <c r="Q216" s="1">
        <v>149.0</v>
      </c>
      <c r="R216" s="1">
        <v>207.0</v>
      </c>
    </row>
    <row r="217">
      <c r="A217" s="1">
        <f t="shared" si="1"/>
        <v>215</v>
      </c>
      <c r="B217" s="1" t="s">
        <v>1295</v>
      </c>
      <c r="C217" s="1">
        <f t="shared" si="2"/>
        <v>215</v>
      </c>
      <c r="D217" s="1" t="s">
        <v>1146</v>
      </c>
      <c r="E217" s="1" t="s">
        <v>5</v>
      </c>
      <c r="F217" s="11">
        <f t="shared" si="3"/>
        <v>269.4</v>
      </c>
      <c r="G217" s="11">
        <f t="shared" si="4"/>
        <v>5.388</v>
      </c>
      <c r="H217" s="1">
        <v>50.0</v>
      </c>
      <c r="S217" s="1">
        <v>19.0</v>
      </c>
      <c r="T217" s="1">
        <v>116.0</v>
      </c>
      <c r="U217" s="12">
        <v>1258.0</v>
      </c>
      <c r="V217" s="1">
        <v>3.0</v>
      </c>
    </row>
    <row r="218">
      <c r="A218" s="1">
        <f t="shared" si="1"/>
        <v>216</v>
      </c>
      <c r="B218" s="1" t="s">
        <v>1289</v>
      </c>
      <c r="C218" s="1">
        <f t="shared" si="2"/>
        <v>216</v>
      </c>
      <c r="D218" s="1" t="s">
        <v>1080</v>
      </c>
      <c r="E218" s="1" t="s">
        <v>66</v>
      </c>
      <c r="F218" s="11">
        <f t="shared" si="3"/>
        <v>269</v>
      </c>
      <c r="G218" s="11">
        <f t="shared" si="4"/>
        <v>4.203125</v>
      </c>
      <c r="H218" s="1">
        <v>64.0</v>
      </c>
      <c r="I218" s="1">
        <v>4.0</v>
      </c>
      <c r="J218" s="1">
        <v>29.0</v>
      </c>
      <c r="K218" s="1">
        <v>33.0</v>
      </c>
      <c r="L218" s="1">
        <v>141.0</v>
      </c>
      <c r="M218" s="1">
        <v>0.0</v>
      </c>
      <c r="N218" s="1">
        <v>9.0</v>
      </c>
      <c r="O218" s="1">
        <v>0.0</v>
      </c>
      <c r="P218" s="1">
        <v>1.0</v>
      </c>
      <c r="Q218" s="1">
        <v>46.0</v>
      </c>
      <c r="R218" s="1">
        <v>160.0</v>
      </c>
    </row>
    <row r="219">
      <c r="A219" s="1">
        <f t="shared" si="1"/>
        <v>217</v>
      </c>
      <c r="B219" s="1" t="s">
        <v>1282</v>
      </c>
      <c r="C219" s="1">
        <f t="shared" si="2"/>
        <v>217</v>
      </c>
      <c r="D219" s="1" t="s">
        <v>1111</v>
      </c>
      <c r="E219" s="1" t="s">
        <v>31</v>
      </c>
      <c r="F219" s="11">
        <f t="shared" si="3"/>
        <v>268.25</v>
      </c>
      <c r="G219" s="11">
        <f t="shared" si="4"/>
        <v>3.271341463</v>
      </c>
      <c r="H219" s="1">
        <v>82.0</v>
      </c>
      <c r="I219" s="1">
        <v>13.0</v>
      </c>
      <c r="J219" s="1">
        <v>32.0</v>
      </c>
      <c r="K219" s="1">
        <v>45.0</v>
      </c>
      <c r="L219" s="1">
        <v>103.0</v>
      </c>
      <c r="M219" s="1">
        <v>2.0</v>
      </c>
      <c r="N219" s="1">
        <v>10.0</v>
      </c>
      <c r="O219" s="1">
        <v>2.0</v>
      </c>
      <c r="P219" s="1">
        <v>1.0</v>
      </c>
      <c r="Q219" s="1">
        <v>73.0</v>
      </c>
      <c r="R219" s="1">
        <v>76.0</v>
      </c>
    </row>
    <row r="220">
      <c r="A220" s="1">
        <f t="shared" si="1"/>
        <v>218</v>
      </c>
      <c r="B220" s="1" t="s">
        <v>1277</v>
      </c>
      <c r="C220" s="1">
        <f t="shared" si="2"/>
        <v>218</v>
      </c>
      <c r="D220" s="1" t="s">
        <v>1048</v>
      </c>
      <c r="E220" s="1" t="s">
        <v>31</v>
      </c>
      <c r="F220" s="11">
        <f t="shared" si="3"/>
        <v>268</v>
      </c>
      <c r="G220" s="11">
        <f t="shared" si="4"/>
        <v>3.35</v>
      </c>
      <c r="H220" s="1">
        <v>80.0</v>
      </c>
      <c r="I220" s="1">
        <v>12.0</v>
      </c>
      <c r="J220" s="1">
        <v>27.0</v>
      </c>
      <c r="K220" s="1">
        <v>39.0</v>
      </c>
      <c r="L220" s="1">
        <v>186.0</v>
      </c>
      <c r="M220" s="1">
        <v>3.0</v>
      </c>
      <c r="N220" s="1">
        <v>7.0</v>
      </c>
      <c r="O220" s="1">
        <v>0.0</v>
      </c>
      <c r="P220" s="1">
        <v>0.0</v>
      </c>
      <c r="Q220" s="1">
        <v>104.0</v>
      </c>
      <c r="R220" s="1">
        <v>28.0</v>
      </c>
    </row>
    <row r="221">
      <c r="A221" s="1">
        <f t="shared" si="1"/>
        <v>219</v>
      </c>
      <c r="B221" s="1" t="s">
        <v>1262</v>
      </c>
      <c r="C221" s="1">
        <f t="shared" si="2"/>
        <v>219</v>
      </c>
      <c r="D221" s="1" t="s">
        <v>1087</v>
      </c>
      <c r="E221" s="1" t="s">
        <v>31</v>
      </c>
      <c r="F221" s="11">
        <f t="shared" si="3"/>
        <v>267.5</v>
      </c>
      <c r="G221" s="11">
        <f t="shared" si="4"/>
        <v>3.262195122</v>
      </c>
      <c r="H221" s="1">
        <v>82.0</v>
      </c>
      <c r="I221" s="1">
        <v>11.0</v>
      </c>
      <c r="J221" s="1">
        <v>22.0</v>
      </c>
      <c r="K221" s="1">
        <v>33.0</v>
      </c>
      <c r="L221" s="1">
        <v>101.0</v>
      </c>
      <c r="M221" s="1">
        <v>1.0</v>
      </c>
      <c r="N221" s="1">
        <v>1.0</v>
      </c>
      <c r="O221" s="1">
        <v>1.0</v>
      </c>
      <c r="P221" s="1">
        <v>5.0</v>
      </c>
      <c r="Q221" s="1">
        <v>196.0</v>
      </c>
      <c r="R221" s="1">
        <v>81.0</v>
      </c>
    </row>
    <row r="222">
      <c r="A222" s="1">
        <f t="shared" si="1"/>
        <v>220</v>
      </c>
      <c r="B222" s="1" t="s">
        <v>1275</v>
      </c>
      <c r="C222" s="1">
        <f t="shared" si="2"/>
        <v>220</v>
      </c>
      <c r="D222" s="1" t="s">
        <v>1038</v>
      </c>
      <c r="E222" s="1" t="s">
        <v>31</v>
      </c>
      <c r="F222" s="11">
        <f t="shared" si="3"/>
        <v>266.75</v>
      </c>
      <c r="G222" s="11">
        <f t="shared" si="4"/>
        <v>3.509868421</v>
      </c>
      <c r="H222" s="1">
        <v>76.0</v>
      </c>
      <c r="I222" s="1">
        <v>17.0</v>
      </c>
      <c r="J222" s="1">
        <v>22.0</v>
      </c>
      <c r="K222" s="1">
        <v>39.0</v>
      </c>
      <c r="L222" s="1">
        <v>130.0</v>
      </c>
      <c r="M222" s="1">
        <v>4.0</v>
      </c>
      <c r="N222" s="1">
        <v>8.0</v>
      </c>
      <c r="O222" s="1">
        <v>0.0</v>
      </c>
      <c r="P222" s="1">
        <v>0.0</v>
      </c>
      <c r="Q222" s="1">
        <v>137.0</v>
      </c>
      <c r="R222" s="1">
        <v>50.0</v>
      </c>
    </row>
    <row r="223">
      <c r="A223" s="1">
        <f t="shared" si="1"/>
        <v>221</v>
      </c>
      <c r="B223" s="1" t="s">
        <v>1291</v>
      </c>
      <c r="C223" s="1">
        <f t="shared" si="2"/>
        <v>221</v>
      </c>
      <c r="D223" s="1" t="s">
        <v>1091</v>
      </c>
      <c r="E223" s="1" t="s">
        <v>31</v>
      </c>
      <c r="F223" s="11">
        <f t="shared" si="3"/>
        <v>265.75</v>
      </c>
      <c r="G223" s="11">
        <f t="shared" si="4"/>
        <v>3.591216216</v>
      </c>
      <c r="H223" s="1">
        <v>74.0</v>
      </c>
      <c r="I223" s="1">
        <v>11.0</v>
      </c>
      <c r="J223" s="1">
        <v>27.0</v>
      </c>
      <c r="K223" s="1">
        <v>38.0</v>
      </c>
      <c r="L223" s="1">
        <v>192.0</v>
      </c>
      <c r="M223" s="1">
        <v>3.0</v>
      </c>
      <c r="N223" s="1">
        <v>4.0</v>
      </c>
      <c r="O223" s="1">
        <v>0.0</v>
      </c>
      <c r="P223" s="1">
        <v>2.0</v>
      </c>
      <c r="Q223" s="1">
        <v>59.0</v>
      </c>
      <c r="R223" s="1">
        <v>41.0</v>
      </c>
    </row>
    <row r="224">
      <c r="A224" s="1">
        <f t="shared" si="1"/>
        <v>222</v>
      </c>
      <c r="B224" s="1" t="s">
        <v>1294</v>
      </c>
      <c r="C224" s="1">
        <f t="shared" si="2"/>
        <v>222</v>
      </c>
      <c r="D224" s="1" t="s">
        <v>1111</v>
      </c>
      <c r="E224" s="1" t="s">
        <v>31</v>
      </c>
      <c r="F224" s="11">
        <f t="shared" si="3"/>
        <v>265.25</v>
      </c>
      <c r="G224" s="11">
        <f t="shared" si="4"/>
        <v>3.234756098</v>
      </c>
      <c r="H224" s="1">
        <v>82.0</v>
      </c>
      <c r="I224" s="1">
        <v>20.0</v>
      </c>
      <c r="J224" s="1">
        <v>24.0</v>
      </c>
      <c r="K224" s="1">
        <v>44.0</v>
      </c>
      <c r="L224" s="1">
        <v>151.0</v>
      </c>
      <c r="M224" s="1">
        <v>3.0</v>
      </c>
      <c r="N224" s="1">
        <v>10.0</v>
      </c>
      <c r="O224" s="1">
        <v>1.0</v>
      </c>
      <c r="P224" s="1">
        <v>0.0</v>
      </c>
      <c r="Q224" s="1">
        <v>49.0</v>
      </c>
      <c r="R224" s="1">
        <v>27.0</v>
      </c>
    </row>
    <row r="225">
      <c r="A225" s="1">
        <f t="shared" si="1"/>
        <v>223</v>
      </c>
      <c r="B225" s="1" t="s">
        <v>1286</v>
      </c>
      <c r="C225" s="1">
        <f t="shared" si="2"/>
        <v>223</v>
      </c>
      <c r="D225" s="1" t="s">
        <v>1091</v>
      </c>
      <c r="E225" s="1" t="s">
        <v>36</v>
      </c>
      <c r="F225" s="11">
        <f t="shared" si="3"/>
        <v>264.5</v>
      </c>
      <c r="G225" s="11">
        <f t="shared" si="4"/>
        <v>3.435064935</v>
      </c>
      <c r="H225" s="1">
        <v>77.0</v>
      </c>
      <c r="I225" s="1">
        <v>20.0</v>
      </c>
      <c r="J225" s="1">
        <v>13.0</v>
      </c>
      <c r="K225" s="1">
        <v>33.0</v>
      </c>
      <c r="L225" s="1">
        <v>167.0</v>
      </c>
      <c r="M225" s="1">
        <v>4.0</v>
      </c>
      <c r="N225" s="1">
        <v>4.0</v>
      </c>
      <c r="O225" s="1">
        <v>1.0</v>
      </c>
      <c r="P225" s="1">
        <v>0.0</v>
      </c>
      <c r="Q225" s="1">
        <v>102.0</v>
      </c>
      <c r="R225" s="1">
        <v>49.0</v>
      </c>
    </row>
    <row r="226">
      <c r="A226" s="1">
        <f t="shared" si="1"/>
        <v>223</v>
      </c>
      <c r="B226" s="1" t="s">
        <v>1276</v>
      </c>
      <c r="C226" s="1">
        <f t="shared" si="2"/>
        <v>223</v>
      </c>
      <c r="D226" s="1" t="s">
        <v>1146</v>
      </c>
      <c r="E226" s="1" t="s">
        <v>28</v>
      </c>
      <c r="F226" s="11">
        <f t="shared" si="3"/>
        <v>264.5</v>
      </c>
      <c r="G226" s="11">
        <f t="shared" si="4"/>
        <v>3.30625</v>
      </c>
      <c r="H226" s="1">
        <v>80.0</v>
      </c>
      <c r="I226" s="1">
        <v>11.0</v>
      </c>
      <c r="J226" s="1">
        <v>22.0</v>
      </c>
      <c r="K226" s="1">
        <v>33.0</v>
      </c>
      <c r="L226" s="1">
        <v>156.0</v>
      </c>
      <c r="M226" s="1">
        <v>0.0</v>
      </c>
      <c r="N226" s="1">
        <v>2.0</v>
      </c>
      <c r="O226" s="1">
        <v>2.0</v>
      </c>
      <c r="P226" s="1">
        <v>1.0</v>
      </c>
      <c r="Q226" s="1">
        <v>156.0</v>
      </c>
      <c r="R226" s="1">
        <v>52.0</v>
      </c>
    </row>
    <row r="227">
      <c r="A227" s="1">
        <f t="shared" si="1"/>
        <v>225</v>
      </c>
      <c r="B227" s="1" t="s">
        <v>1269</v>
      </c>
      <c r="C227" s="1">
        <f t="shared" si="2"/>
        <v>225</v>
      </c>
      <c r="D227" s="1" t="s">
        <v>1116</v>
      </c>
      <c r="E227" s="1" t="s">
        <v>28</v>
      </c>
      <c r="F227" s="11">
        <f t="shared" si="3"/>
        <v>264.25</v>
      </c>
      <c r="G227" s="11">
        <f t="shared" si="4"/>
        <v>3.262345679</v>
      </c>
      <c r="H227" s="1">
        <v>81.0</v>
      </c>
      <c r="I227" s="1">
        <v>12.0</v>
      </c>
      <c r="J227" s="1">
        <v>23.0</v>
      </c>
      <c r="K227" s="1">
        <v>35.0</v>
      </c>
      <c r="L227" s="1">
        <v>119.0</v>
      </c>
      <c r="M227" s="1">
        <v>0.0</v>
      </c>
      <c r="N227" s="1">
        <v>2.0</v>
      </c>
      <c r="O227" s="1">
        <v>1.0</v>
      </c>
      <c r="P227" s="1">
        <v>1.0</v>
      </c>
      <c r="Q227" s="1">
        <v>181.0</v>
      </c>
      <c r="R227" s="1">
        <v>65.0</v>
      </c>
    </row>
    <row r="228">
      <c r="A228" s="1">
        <f t="shared" si="1"/>
        <v>226</v>
      </c>
      <c r="B228" s="1" t="s">
        <v>1284</v>
      </c>
      <c r="C228" s="1">
        <f t="shared" si="2"/>
        <v>226</v>
      </c>
      <c r="D228" s="1" t="s">
        <v>1052</v>
      </c>
      <c r="E228" s="1" t="s">
        <v>31</v>
      </c>
      <c r="F228" s="11">
        <f t="shared" si="3"/>
        <v>264</v>
      </c>
      <c r="G228" s="11">
        <f t="shared" si="4"/>
        <v>3.771428571</v>
      </c>
      <c r="H228" s="1">
        <v>70.0</v>
      </c>
      <c r="I228" s="1">
        <v>15.0</v>
      </c>
      <c r="J228" s="1">
        <v>22.0</v>
      </c>
      <c r="K228" s="1">
        <v>37.0</v>
      </c>
      <c r="L228" s="1">
        <v>165.0</v>
      </c>
      <c r="M228" s="1">
        <v>4.0</v>
      </c>
      <c r="N228" s="1">
        <v>2.0</v>
      </c>
      <c r="O228" s="1">
        <v>0.0</v>
      </c>
      <c r="P228" s="1">
        <v>0.0</v>
      </c>
      <c r="Q228" s="1">
        <v>112.0</v>
      </c>
      <c r="R228" s="1">
        <v>40.0</v>
      </c>
    </row>
    <row r="229">
      <c r="A229" s="1">
        <f t="shared" si="1"/>
        <v>227</v>
      </c>
      <c r="B229" s="1" t="s">
        <v>1279</v>
      </c>
      <c r="C229" s="1">
        <f t="shared" si="2"/>
        <v>227</v>
      </c>
      <c r="D229" s="1" t="s">
        <v>1042</v>
      </c>
      <c r="E229" s="1" t="s">
        <v>36</v>
      </c>
      <c r="F229" s="11">
        <f t="shared" si="3"/>
        <v>263.75</v>
      </c>
      <c r="G229" s="11">
        <f t="shared" si="4"/>
        <v>3.25617284</v>
      </c>
      <c r="H229" s="1">
        <v>81.0</v>
      </c>
      <c r="I229" s="1">
        <v>15.0</v>
      </c>
      <c r="J229" s="1">
        <v>20.0</v>
      </c>
      <c r="K229" s="1">
        <v>35.0</v>
      </c>
      <c r="L229" s="1">
        <v>131.0</v>
      </c>
      <c r="M229" s="1">
        <v>3.0</v>
      </c>
      <c r="N229" s="1">
        <v>4.0</v>
      </c>
      <c r="O229" s="1">
        <v>3.0</v>
      </c>
      <c r="P229" s="1">
        <v>1.0</v>
      </c>
      <c r="Q229" s="1">
        <v>137.0</v>
      </c>
      <c r="R229" s="1">
        <v>57.0</v>
      </c>
    </row>
    <row r="230">
      <c r="A230" s="1">
        <f t="shared" si="1"/>
        <v>228</v>
      </c>
      <c r="B230" s="1" t="s">
        <v>1285</v>
      </c>
      <c r="C230" s="1">
        <f t="shared" si="2"/>
        <v>228</v>
      </c>
      <c r="D230" s="1" t="s">
        <v>1116</v>
      </c>
      <c r="E230" s="1" t="s">
        <v>36</v>
      </c>
      <c r="F230" s="11">
        <f t="shared" si="3"/>
        <v>263.5</v>
      </c>
      <c r="G230" s="11">
        <f t="shared" si="4"/>
        <v>3.422077922</v>
      </c>
      <c r="H230" s="1">
        <v>77.0</v>
      </c>
      <c r="I230" s="1">
        <v>18.0</v>
      </c>
      <c r="J230" s="1">
        <v>16.0</v>
      </c>
      <c r="K230" s="1">
        <v>34.0</v>
      </c>
      <c r="L230" s="1">
        <v>170.0</v>
      </c>
      <c r="M230" s="1">
        <v>3.0</v>
      </c>
      <c r="N230" s="1">
        <v>1.0</v>
      </c>
      <c r="O230" s="1">
        <v>0.0</v>
      </c>
      <c r="P230" s="1">
        <v>0.0</v>
      </c>
      <c r="Q230" s="1">
        <v>114.0</v>
      </c>
      <c r="R230" s="1">
        <v>42.0</v>
      </c>
    </row>
    <row r="231">
      <c r="A231" s="1">
        <f t="shared" si="1"/>
        <v>229</v>
      </c>
      <c r="B231" s="1" t="s">
        <v>1288</v>
      </c>
      <c r="C231" s="1">
        <f t="shared" si="2"/>
        <v>229</v>
      </c>
      <c r="D231" s="1" t="s">
        <v>1156</v>
      </c>
      <c r="E231" s="1" t="s">
        <v>31</v>
      </c>
      <c r="F231" s="11">
        <f t="shared" si="3"/>
        <v>262.75</v>
      </c>
      <c r="G231" s="11">
        <f t="shared" si="4"/>
        <v>3.412337662</v>
      </c>
      <c r="H231" s="1">
        <v>77.0</v>
      </c>
      <c r="I231" s="1">
        <v>13.0</v>
      </c>
      <c r="J231" s="1">
        <v>19.0</v>
      </c>
      <c r="K231" s="1">
        <v>32.0</v>
      </c>
      <c r="L231" s="1">
        <v>157.0</v>
      </c>
      <c r="M231" s="1">
        <v>1.0</v>
      </c>
      <c r="N231" s="1">
        <v>0.0</v>
      </c>
      <c r="O231" s="1">
        <v>0.0</v>
      </c>
      <c r="P231" s="1">
        <v>1.0</v>
      </c>
      <c r="Q231" s="1">
        <v>119.0</v>
      </c>
      <c r="R231" s="1">
        <v>74.0</v>
      </c>
    </row>
    <row r="232">
      <c r="A232" s="1">
        <f t="shared" si="1"/>
        <v>230</v>
      </c>
      <c r="B232" s="1" t="s">
        <v>1302</v>
      </c>
      <c r="C232" s="1">
        <f t="shared" si="2"/>
        <v>230</v>
      </c>
      <c r="D232" s="1" t="s">
        <v>1080</v>
      </c>
      <c r="E232" s="1" t="s">
        <v>31</v>
      </c>
      <c r="F232" s="11">
        <f t="shared" si="3"/>
        <v>262.25</v>
      </c>
      <c r="G232" s="11">
        <f t="shared" si="4"/>
        <v>3.496666667</v>
      </c>
      <c r="H232" s="1">
        <v>75.0</v>
      </c>
      <c r="I232" s="1">
        <v>16.0</v>
      </c>
      <c r="J232" s="1">
        <v>35.0</v>
      </c>
      <c r="K232" s="1">
        <v>51.0</v>
      </c>
      <c r="L232" s="1">
        <v>97.0</v>
      </c>
      <c r="M232" s="1">
        <v>4.0</v>
      </c>
      <c r="N232" s="1">
        <v>9.0</v>
      </c>
      <c r="O232" s="1">
        <v>2.0</v>
      </c>
      <c r="P232" s="1">
        <v>1.0</v>
      </c>
      <c r="Q232" s="1">
        <v>43.0</v>
      </c>
      <c r="R232" s="1">
        <v>40.0</v>
      </c>
    </row>
    <row r="233">
      <c r="A233" s="1">
        <f t="shared" si="1"/>
        <v>231</v>
      </c>
      <c r="B233" s="1" t="s">
        <v>1303</v>
      </c>
      <c r="C233" s="1">
        <f t="shared" si="2"/>
        <v>231</v>
      </c>
      <c r="D233" s="1" t="s">
        <v>1054</v>
      </c>
      <c r="E233" s="1" t="s">
        <v>31</v>
      </c>
      <c r="F233" s="11">
        <f t="shared" si="3"/>
        <v>262</v>
      </c>
      <c r="G233" s="11">
        <f t="shared" si="4"/>
        <v>3.195121951</v>
      </c>
      <c r="H233" s="1">
        <v>82.0</v>
      </c>
      <c r="I233" s="1">
        <v>21.0</v>
      </c>
      <c r="J233" s="1">
        <v>19.0</v>
      </c>
      <c r="K233" s="1">
        <v>40.0</v>
      </c>
      <c r="L233" s="1">
        <v>167.0</v>
      </c>
      <c r="M233" s="1">
        <v>2.0</v>
      </c>
      <c r="N233" s="1">
        <v>4.0</v>
      </c>
      <c r="O233" s="1">
        <v>0.0</v>
      </c>
      <c r="P233" s="1">
        <v>0.0</v>
      </c>
      <c r="Q233" s="1">
        <v>34.0</v>
      </c>
      <c r="R233" s="1">
        <v>37.0</v>
      </c>
    </row>
    <row r="234">
      <c r="A234" s="1">
        <f t="shared" si="1"/>
        <v>232</v>
      </c>
      <c r="B234" s="1" t="s">
        <v>1305</v>
      </c>
      <c r="C234" s="1">
        <f t="shared" si="2"/>
        <v>232</v>
      </c>
      <c r="D234" s="1" t="s">
        <v>1146</v>
      </c>
      <c r="E234" s="1" t="s">
        <v>36</v>
      </c>
      <c r="F234" s="11">
        <f t="shared" si="3"/>
        <v>260.5</v>
      </c>
      <c r="G234" s="11">
        <f t="shared" si="4"/>
        <v>3.33974359</v>
      </c>
      <c r="H234" s="1">
        <v>78.0</v>
      </c>
      <c r="I234" s="1">
        <v>17.0</v>
      </c>
      <c r="J234" s="1">
        <v>27.0</v>
      </c>
      <c r="K234" s="1">
        <v>44.0</v>
      </c>
      <c r="L234" s="1">
        <v>168.0</v>
      </c>
      <c r="M234" s="1">
        <v>6.0</v>
      </c>
      <c r="N234" s="1">
        <v>6.0</v>
      </c>
      <c r="O234" s="1">
        <v>0.0</v>
      </c>
      <c r="P234" s="1">
        <v>0.0</v>
      </c>
      <c r="Q234" s="1">
        <v>30.0</v>
      </c>
      <c r="R234" s="1">
        <v>23.0</v>
      </c>
    </row>
    <row r="235">
      <c r="A235" s="1">
        <f t="shared" si="1"/>
        <v>233</v>
      </c>
      <c r="B235" s="1" t="s">
        <v>1272</v>
      </c>
      <c r="C235" s="1">
        <f t="shared" si="2"/>
        <v>233</v>
      </c>
      <c r="D235" s="1" t="s">
        <v>1030</v>
      </c>
      <c r="E235" s="1" t="s">
        <v>66</v>
      </c>
      <c r="F235" s="11">
        <f t="shared" si="3"/>
        <v>259.75</v>
      </c>
      <c r="G235" s="11">
        <f t="shared" si="4"/>
        <v>3.417763158</v>
      </c>
      <c r="H235" s="1">
        <v>76.0</v>
      </c>
      <c r="I235" s="1">
        <v>8.0</v>
      </c>
      <c r="J235" s="1">
        <v>17.0</v>
      </c>
      <c r="K235" s="1">
        <v>25.0</v>
      </c>
      <c r="L235" s="1">
        <v>123.0</v>
      </c>
      <c r="M235" s="1">
        <v>0.0</v>
      </c>
      <c r="N235" s="1">
        <v>0.0</v>
      </c>
      <c r="O235" s="1">
        <v>1.0</v>
      </c>
      <c r="P235" s="1">
        <v>1.0</v>
      </c>
      <c r="Q235" s="1">
        <v>211.0</v>
      </c>
      <c r="R235" s="1">
        <v>109.0</v>
      </c>
    </row>
    <row r="236">
      <c r="A236" s="1">
        <f t="shared" si="1"/>
        <v>233</v>
      </c>
      <c r="B236" s="1" t="s">
        <v>1283</v>
      </c>
      <c r="C236" s="1">
        <f t="shared" si="2"/>
        <v>233</v>
      </c>
      <c r="D236" s="1" t="s">
        <v>1087</v>
      </c>
      <c r="E236" s="1" t="s">
        <v>66</v>
      </c>
      <c r="F236" s="11">
        <f t="shared" si="3"/>
        <v>259.75</v>
      </c>
      <c r="G236" s="11">
        <f t="shared" si="4"/>
        <v>3.206790123</v>
      </c>
      <c r="H236" s="1">
        <v>81.0</v>
      </c>
      <c r="I236" s="1">
        <v>7.0</v>
      </c>
      <c r="J236" s="1">
        <v>15.0</v>
      </c>
      <c r="K236" s="1">
        <v>22.0</v>
      </c>
      <c r="L236" s="1">
        <v>117.0</v>
      </c>
      <c r="M236" s="1">
        <v>0.0</v>
      </c>
      <c r="N236" s="1">
        <v>0.0</v>
      </c>
      <c r="O236" s="1">
        <v>0.0</v>
      </c>
      <c r="P236" s="1">
        <v>0.0</v>
      </c>
      <c r="Q236" s="1">
        <v>157.0</v>
      </c>
      <c r="R236" s="1">
        <v>171.0</v>
      </c>
    </row>
    <row r="237">
      <c r="A237" s="1">
        <f t="shared" si="1"/>
        <v>235</v>
      </c>
      <c r="B237" s="1" t="s">
        <v>1298</v>
      </c>
      <c r="C237" s="1">
        <f t="shared" si="2"/>
        <v>235</v>
      </c>
      <c r="D237" s="1" t="s">
        <v>1078</v>
      </c>
      <c r="E237" s="1" t="s">
        <v>31</v>
      </c>
      <c r="F237" s="11">
        <f t="shared" si="3"/>
        <v>259.5</v>
      </c>
      <c r="G237" s="11">
        <f t="shared" si="4"/>
        <v>3.164634146</v>
      </c>
      <c r="H237" s="1">
        <v>82.0</v>
      </c>
      <c r="I237" s="1">
        <v>16.0</v>
      </c>
      <c r="J237" s="1">
        <v>24.0</v>
      </c>
      <c r="K237" s="1">
        <v>40.0</v>
      </c>
      <c r="L237" s="1">
        <v>146.0</v>
      </c>
      <c r="M237" s="1">
        <v>7.0</v>
      </c>
      <c r="N237" s="1">
        <v>1.0</v>
      </c>
      <c r="O237" s="1">
        <v>0.0</v>
      </c>
      <c r="P237" s="1">
        <v>0.0</v>
      </c>
      <c r="Q237" s="1">
        <v>96.0</v>
      </c>
      <c r="R237" s="1">
        <v>37.0</v>
      </c>
    </row>
    <row r="238">
      <c r="A238" s="1">
        <f t="shared" si="1"/>
        <v>236</v>
      </c>
      <c r="B238" s="1" t="s">
        <v>1292</v>
      </c>
      <c r="C238" s="1">
        <f t="shared" si="2"/>
        <v>236</v>
      </c>
      <c r="D238" s="1" t="s">
        <v>1052</v>
      </c>
      <c r="E238" s="1" t="s">
        <v>66</v>
      </c>
      <c r="F238" s="11">
        <f t="shared" si="3"/>
        <v>258.75</v>
      </c>
      <c r="G238" s="11">
        <f t="shared" si="4"/>
        <v>3.155487805</v>
      </c>
      <c r="H238" s="1">
        <v>82.0</v>
      </c>
      <c r="I238" s="1">
        <v>4.0</v>
      </c>
      <c r="J238" s="1">
        <v>26.0</v>
      </c>
      <c r="K238" s="1">
        <v>30.0</v>
      </c>
      <c r="L238" s="1">
        <v>106.0</v>
      </c>
      <c r="M238" s="1">
        <v>0.0</v>
      </c>
      <c r="N238" s="1">
        <v>0.0</v>
      </c>
      <c r="O238" s="1">
        <v>0.0</v>
      </c>
      <c r="P238" s="1">
        <v>0.0</v>
      </c>
      <c r="Q238" s="1">
        <v>121.0</v>
      </c>
      <c r="R238" s="1">
        <v>159.0</v>
      </c>
    </row>
    <row r="239">
      <c r="A239" s="1">
        <f t="shared" si="1"/>
        <v>237</v>
      </c>
      <c r="B239" s="1" t="s">
        <v>1309</v>
      </c>
      <c r="C239" s="1">
        <f t="shared" si="2"/>
        <v>237</v>
      </c>
      <c r="D239" s="1" t="s">
        <v>1146</v>
      </c>
      <c r="E239" s="1" t="s">
        <v>66</v>
      </c>
      <c r="F239" s="11">
        <f t="shared" si="3"/>
        <v>258.25</v>
      </c>
      <c r="G239" s="11">
        <f t="shared" si="4"/>
        <v>4.377118644</v>
      </c>
      <c r="H239" s="1">
        <v>59.0</v>
      </c>
      <c r="I239" s="1">
        <v>11.0</v>
      </c>
      <c r="J239" s="1">
        <v>35.0</v>
      </c>
      <c r="K239" s="1">
        <v>46.0</v>
      </c>
      <c r="L239" s="1">
        <v>120.0</v>
      </c>
      <c r="M239" s="1">
        <v>4.0</v>
      </c>
      <c r="N239" s="1">
        <v>12.0</v>
      </c>
      <c r="O239" s="1">
        <v>0.0</v>
      </c>
      <c r="P239" s="1">
        <v>1.0</v>
      </c>
      <c r="Q239" s="1">
        <v>39.0</v>
      </c>
      <c r="R239" s="1">
        <v>64.0</v>
      </c>
    </row>
    <row r="240">
      <c r="A240" s="1">
        <f t="shared" si="1"/>
        <v>237</v>
      </c>
      <c r="B240" s="1" t="s">
        <v>1299</v>
      </c>
      <c r="C240" s="1">
        <f t="shared" si="2"/>
        <v>237</v>
      </c>
      <c r="D240" s="1" t="s">
        <v>1076</v>
      </c>
      <c r="E240" s="1" t="s">
        <v>31</v>
      </c>
      <c r="F240" s="11">
        <f t="shared" si="3"/>
        <v>258.25</v>
      </c>
      <c r="G240" s="11">
        <f t="shared" si="4"/>
        <v>3.398026316</v>
      </c>
      <c r="H240" s="1">
        <v>76.0</v>
      </c>
      <c r="I240" s="1">
        <v>16.0</v>
      </c>
      <c r="J240" s="1">
        <v>19.0</v>
      </c>
      <c r="K240" s="1">
        <v>35.0</v>
      </c>
      <c r="L240" s="1">
        <v>155.0</v>
      </c>
      <c r="M240" s="1">
        <v>1.0</v>
      </c>
      <c r="N240" s="1">
        <v>2.0</v>
      </c>
      <c r="O240" s="1">
        <v>1.0</v>
      </c>
      <c r="P240" s="1">
        <v>1.0</v>
      </c>
      <c r="Q240" s="1">
        <v>93.0</v>
      </c>
      <c r="R240" s="1">
        <v>49.0</v>
      </c>
    </row>
    <row r="241">
      <c r="A241" s="1">
        <f t="shared" si="1"/>
        <v>239</v>
      </c>
      <c r="B241" s="1" t="s">
        <v>1293</v>
      </c>
      <c r="C241" s="1">
        <f t="shared" si="2"/>
        <v>239</v>
      </c>
      <c r="D241" s="1" t="s">
        <v>1175</v>
      </c>
      <c r="E241" s="1" t="s">
        <v>66</v>
      </c>
      <c r="F241" s="11">
        <f t="shared" si="3"/>
        <v>258</v>
      </c>
      <c r="G241" s="11">
        <f t="shared" si="4"/>
        <v>3.307692308</v>
      </c>
      <c r="H241" s="1">
        <v>78.0</v>
      </c>
      <c r="I241" s="1">
        <v>3.0</v>
      </c>
      <c r="J241" s="1">
        <v>18.0</v>
      </c>
      <c r="K241" s="1">
        <v>21.0</v>
      </c>
      <c r="L241" s="1">
        <v>124.0</v>
      </c>
      <c r="M241" s="1">
        <v>0.0</v>
      </c>
      <c r="N241" s="1">
        <v>0.0</v>
      </c>
      <c r="O241" s="1">
        <v>0.0</v>
      </c>
      <c r="P241" s="1">
        <v>0.0</v>
      </c>
      <c r="Q241" s="1">
        <v>124.0</v>
      </c>
      <c r="R241" s="1">
        <v>195.0</v>
      </c>
    </row>
    <row r="242">
      <c r="A242" s="1">
        <f t="shared" si="1"/>
        <v>240</v>
      </c>
      <c r="B242" s="1" t="s">
        <v>1306</v>
      </c>
      <c r="C242" s="1">
        <f t="shared" si="2"/>
        <v>240</v>
      </c>
      <c r="D242" s="1" t="s">
        <v>1065</v>
      </c>
      <c r="E242" s="1" t="s">
        <v>31</v>
      </c>
      <c r="F242" s="11">
        <f t="shared" si="3"/>
        <v>256.75</v>
      </c>
      <c r="G242" s="11">
        <f t="shared" si="4"/>
        <v>4.01171875</v>
      </c>
      <c r="H242" s="1">
        <v>64.0</v>
      </c>
      <c r="I242" s="1">
        <v>19.0</v>
      </c>
      <c r="J242" s="1">
        <v>23.0</v>
      </c>
      <c r="K242" s="1">
        <v>42.0</v>
      </c>
      <c r="L242" s="1">
        <v>130.0</v>
      </c>
      <c r="M242" s="1">
        <v>4.0</v>
      </c>
      <c r="N242" s="1">
        <v>4.0</v>
      </c>
      <c r="O242" s="1">
        <v>1.0</v>
      </c>
      <c r="P242" s="1">
        <v>1.0</v>
      </c>
      <c r="Q242" s="1">
        <v>67.0</v>
      </c>
      <c r="R242" s="1">
        <v>33.0</v>
      </c>
    </row>
    <row r="243">
      <c r="A243" s="1">
        <f t="shared" si="1"/>
        <v>241</v>
      </c>
      <c r="B243" s="1" t="s">
        <v>1310</v>
      </c>
      <c r="C243" s="1">
        <f t="shared" si="2"/>
        <v>241</v>
      </c>
      <c r="D243" s="1" t="s">
        <v>1034</v>
      </c>
      <c r="E243" s="1" t="s">
        <v>28</v>
      </c>
      <c r="F243" s="11">
        <f t="shared" si="3"/>
        <v>256.25</v>
      </c>
      <c r="G243" s="11">
        <f t="shared" si="4"/>
        <v>3.510273973</v>
      </c>
      <c r="H243" s="1">
        <v>73.0</v>
      </c>
      <c r="I243" s="1">
        <v>24.0</v>
      </c>
      <c r="J243" s="1">
        <v>18.0</v>
      </c>
      <c r="K243" s="1">
        <v>42.0</v>
      </c>
      <c r="L243" s="1">
        <v>129.0</v>
      </c>
      <c r="M243" s="1">
        <v>5.0</v>
      </c>
      <c r="N243" s="1">
        <v>7.0</v>
      </c>
      <c r="O243" s="1">
        <v>0.0</v>
      </c>
      <c r="P243" s="1">
        <v>0.0</v>
      </c>
      <c r="Q243" s="1">
        <v>49.0</v>
      </c>
      <c r="R243" s="1">
        <v>35.0</v>
      </c>
    </row>
    <row r="244">
      <c r="A244" s="1">
        <f t="shared" si="1"/>
        <v>242</v>
      </c>
      <c r="B244" s="1" t="s">
        <v>1315</v>
      </c>
      <c r="C244" s="1">
        <f t="shared" si="2"/>
        <v>242</v>
      </c>
      <c r="D244" s="1" t="s">
        <v>1076</v>
      </c>
      <c r="E244" s="1" t="s">
        <v>66</v>
      </c>
      <c r="F244" s="11">
        <f t="shared" si="3"/>
        <v>255.5</v>
      </c>
      <c r="G244" s="11">
        <f t="shared" si="4"/>
        <v>3.115853659</v>
      </c>
      <c r="H244" s="1">
        <v>82.0</v>
      </c>
      <c r="I244" s="1">
        <v>9.0</v>
      </c>
      <c r="J244" s="1">
        <v>38.0</v>
      </c>
      <c r="K244" s="1">
        <v>47.0</v>
      </c>
      <c r="L244" s="1">
        <v>135.0</v>
      </c>
      <c r="M244" s="1">
        <v>4.0</v>
      </c>
      <c r="N244" s="1">
        <v>21.0</v>
      </c>
      <c r="O244" s="1">
        <v>0.0</v>
      </c>
      <c r="P244" s="1">
        <v>0.0</v>
      </c>
      <c r="Q244" s="1">
        <v>24.0</v>
      </c>
      <c r="R244" s="1">
        <v>55.0</v>
      </c>
    </row>
    <row r="245">
      <c r="A245" s="1">
        <f t="shared" si="1"/>
        <v>243</v>
      </c>
      <c r="B245" s="1" t="s">
        <v>1319</v>
      </c>
      <c r="C245" s="1">
        <f t="shared" si="2"/>
        <v>243</v>
      </c>
      <c r="D245" s="1" t="s">
        <v>1120</v>
      </c>
      <c r="E245" s="1" t="s">
        <v>36</v>
      </c>
      <c r="F245" s="11">
        <f t="shared" si="3"/>
        <v>254.5</v>
      </c>
      <c r="G245" s="11">
        <f t="shared" si="4"/>
        <v>5.09</v>
      </c>
      <c r="H245" s="1">
        <v>50.0</v>
      </c>
      <c r="I245" s="1">
        <v>20.0</v>
      </c>
      <c r="J245" s="1">
        <v>27.0</v>
      </c>
      <c r="K245" s="1">
        <v>47.0</v>
      </c>
      <c r="L245" s="1">
        <v>147.0</v>
      </c>
      <c r="M245" s="1">
        <v>2.0</v>
      </c>
      <c r="N245" s="1">
        <v>13.0</v>
      </c>
      <c r="O245" s="1">
        <v>0.0</v>
      </c>
      <c r="P245" s="1">
        <v>0.0</v>
      </c>
      <c r="Q245" s="1">
        <v>14.0</v>
      </c>
      <c r="R245" s="1">
        <v>13.0</v>
      </c>
    </row>
    <row r="246">
      <c r="A246" s="1">
        <f t="shared" si="1"/>
        <v>243</v>
      </c>
      <c r="B246" s="1" t="s">
        <v>1253</v>
      </c>
      <c r="C246" s="1">
        <f t="shared" si="2"/>
        <v>243</v>
      </c>
      <c r="D246" s="1" t="s">
        <v>1042</v>
      </c>
      <c r="E246" s="1" t="s">
        <v>66</v>
      </c>
      <c r="F246" s="11">
        <f t="shared" si="3"/>
        <v>254.5</v>
      </c>
      <c r="G246" s="11">
        <f t="shared" si="4"/>
        <v>3.221518987</v>
      </c>
      <c r="H246" s="1">
        <v>79.0</v>
      </c>
      <c r="I246" s="1">
        <v>6.0</v>
      </c>
      <c r="J246" s="1">
        <v>8.0</v>
      </c>
      <c r="K246" s="1">
        <v>14.0</v>
      </c>
      <c r="L246" s="1">
        <v>103.0</v>
      </c>
      <c r="M246" s="1">
        <v>0.0</v>
      </c>
      <c r="N246" s="1">
        <v>0.0</v>
      </c>
      <c r="O246" s="1">
        <v>0.0</v>
      </c>
      <c r="P246" s="1">
        <v>0.0</v>
      </c>
      <c r="Q246" s="1">
        <v>386.0</v>
      </c>
      <c r="R246" s="1">
        <v>111.0</v>
      </c>
    </row>
    <row r="247">
      <c r="A247" s="1">
        <f t="shared" si="1"/>
        <v>245</v>
      </c>
      <c r="B247" s="1" t="s">
        <v>1304</v>
      </c>
      <c r="C247" s="1">
        <f t="shared" si="2"/>
        <v>245</v>
      </c>
      <c r="D247" s="1" t="s">
        <v>1048</v>
      </c>
      <c r="E247" s="1" t="s">
        <v>66</v>
      </c>
      <c r="F247" s="11">
        <f t="shared" si="3"/>
        <v>254.25</v>
      </c>
      <c r="G247" s="11">
        <f t="shared" si="4"/>
        <v>3.852272727</v>
      </c>
      <c r="H247" s="1">
        <v>66.0</v>
      </c>
      <c r="I247" s="1">
        <v>8.0</v>
      </c>
      <c r="J247" s="1">
        <v>25.0</v>
      </c>
      <c r="K247" s="1">
        <v>33.0</v>
      </c>
      <c r="L247" s="1">
        <v>168.0</v>
      </c>
      <c r="M247" s="1">
        <v>1.0</v>
      </c>
      <c r="N247" s="1">
        <v>16.0</v>
      </c>
      <c r="O247" s="1">
        <v>0.0</v>
      </c>
      <c r="P247" s="1">
        <v>0.0</v>
      </c>
      <c r="Q247" s="1">
        <v>103.0</v>
      </c>
      <c r="R247" s="1">
        <v>67.0</v>
      </c>
    </row>
    <row r="248">
      <c r="A248" s="1">
        <f t="shared" si="1"/>
        <v>246</v>
      </c>
      <c r="B248" s="1" t="s">
        <v>1281</v>
      </c>
      <c r="C248" s="1">
        <f t="shared" si="2"/>
        <v>246</v>
      </c>
      <c r="D248" s="1" t="s">
        <v>1032</v>
      </c>
      <c r="E248" s="1" t="s">
        <v>66</v>
      </c>
      <c r="F248" s="11">
        <f t="shared" si="3"/>
        <v>253.75</v>
      </c>
      <c r="G248" s="11">
        <f t="shared" si="4"/>
        <v>3.476027397</v>
      </c>
      <c r="H248" s="1">
        <v>73.0</v>
      </c>
      <c r="I248" s="1">
        <v>8.0</v>
      </c>
      <c r="J248" s="1">
        <v>20.0</v>
      </c>
      <c r="K248" s="1">
        <v>28.0</v>
      </c>
      <c r="L248" s="1">
        <v>73.0</v>
      </c>
      <c r="M248" s="1">
        <v>1.0</v>
      </c>
      <c r="N248" s="1">
        <v>1.0</v>
      </c>
      <c r="O248" s="1">
        <v>0.0</v>
      </c>
      <c r="P248" s="1">
        <v>1.0</v>
      </c>
      <c r="Q248" s="1">
        <v>219.0</v>
      </c>
      <c r="R248" s="1">
        <v>129.0</v>
      </c>
    </row>
    <row r="249">
      <c r="A249" s="1">
        <f t="shared" si="1"/>
        <v>247</v>
      </c>
      <c r="B249" s="1" t="s">
        <v>1324</v>
      </c>
      <c r="C249" s="1">
        <f t="shared" si="2"/>
        <v>247</v>
      </c>
      <c r="D249" s="1" t="s">
        <v>1080</v>
      </c>
      <c r="E249" s="1" t="s">
        <v>5</v>
      </c>
      <c r="F249" s="11">
        <f t="shared" si="3"/>
        <v>253.2</v>
      </c>
      <c r="G249" s="11">
        <f t="shared" si="4"/>
        <v>5.504347826</v>
      </c>
      <c r="H249" s="1">
        <v>46.0</v>
      </c>
      <c r="S249" s="1">
        <v>25.0</v>
      </c>
      <c r="T249" s="1">
        <v>119.0</v>
      </c>
      <c r="U249" s="12">
        <v>1179.0</v>
      </c>
      <c r="V249" s="1">
        <v>1.0</v>
      </c>
    </row>
    <row r="250">
      <c r="A250" s="1">
        <f t="shared" si="1"/>
        <v>248</v>
      </c>
      <c r="B250" s="1" t="s">
        <v>1327</v>
      </c>
      <c r="C250" s="1">
        <f t="shared" si="2"/>
        <v>248</v>
      </c>
      <c r="D250" s="1" t="s">
        <v>1069</v>
      </c>
      <c r="E250" s="1" t="s">
        <v>5</v>
      </c>
      <c r="F250" s="11">
        <f t="shared" si="3"/>
        <v>252.9</v>
      </c>
      <c r="G250" s="11">
        <f t="shared" si="4"/>
        <v>5.26875</v>
      </c>
      <c r="H250" s="1">
        <v>48.0</v>
      </c>
      <c r="S250" s="1">
        <v>23.0</v>
      </c>
      <c r="T250" s="1">
        <v>131.0</v>
      </c>
      <c r="U250" s="12">
        <v>1248.0</v>
      </c>
      <c r="V250" s="1">
        <v>2.0</v>
      </c>
    </row>
    <row r="251">
      <c r="A251" s="1">
        <f t="shared" si="1"/>
        <v>249</v>
      </c>
      <c r="B251" s="1" t="s">
        <v>1316</v>
      </c>
      <c r="C251" s="1">
        <f t="shared" si="2"/>
        <v>249</v>
      </c>
      <c r="D251" s="1" t="s">
        <v>1080</v>
      </c>
      <c r="E251" s="1" t="s">
        <v>36</v>
      </c>
      <c r="F251" s="11">
        <f t="shared" si="3"/>
        <v>252.25</v>
      </c>
      <c r="G251" s="11">
        <f t="shared" si="4"/>
        <v>3.408783784</v>
      </c>
      <c r="H251" s="1">
        <v>74.0</v>
      </c>
      <c r="I251" s="1">
        <v>23.0</v>
      </c>
      <c r="J251" s="1">
        <v>21.0</v>
      </c>
      <c r="K251" s="1">
        <v>44.0</v>
      </c>
      <c r="L251" s="1">
        <v>113.0</v>
      </c>
      <c r="M251" s="1">
        <v>3.0</v>
      </c>
      <c r="N251" s="1">
        <v>5.0</v>
      </c>
      <c r="O251" s="1">
        <v>0.0</v>
      </c>
      <c r="P251" s="1">
        <v>0.0</v>
      </c>
      <c r="Q251" s="1">
        <v>55.0</v>
      </c>
      <c r="R251" s="1">
        <v>31.0</v>
      </c>
    </row>
    <row r="252">
      <c r="A252" s="1">
        <f t="shared" si="1"/>
        <v>250</v>
      </c>
      <c r="B252" s="1" t="s">
        <v>1318</v>
      </c>
      <c r="C252" s="1">
        <f t="shared" si="2"/>
        <v>250</v>
      </c>
      <c r="D252" s="1" t="s">
        <v>1091</v>
      </c>
      <c r="E252" s="1" t="s">
        <v>31</v>
      </c>
      <c r="F252" s="11">
        <f t="shared" si="3"/>
        <v>251.5</v>
      </c>
      <c r="G252" s="11">
        <f t="shared" si="4"/>
        <v>3.542253521</v>
      </c>
      <c r="H252" s="1">
        <v>71.0</v>
      </c>
      <c r="I252" s="1">
        <v>13.0</v>
      </c>
      <c r="J252" s="1">
        <v>28.0</v>
      </c>
      <c r="K252" s="1">
        <v>41.0</v>
      </c>
      <c r="L252" s="1">
        <v>135.0</v>
      </c>
      <c r="M252" s="1">
        <v>3.0</v>
      </c>
      <c r="N252" s="1">
        <v>8.0</v>
      </c>
      <c r="O252" s="1">
        <v>0.0</v>
      </c>
      <c r="P252" s="1">
        <v>0.0</v>
      </c>
      <c r="Q252" s="1">
        <v>56.0</v>
      </c>
      <c r="R252" s="1">
        <v>55.0</v>
      </c>
    </row>
    <row r="253">
      <c r="A253" s="1">
        <f t="shared" si="1"/>
        <v>251</v>
      </c>
      <c r="B253" s="1" t="s">
        <v>1322</v>
      </c>
      <c r="C253" s="1">
        <f t="shared" si="2"/>
        <v>251</v>
      </c>
      <c r="D253" s="1" t="s">
        <v>1120</v>
      </c>
      <c r="E253" s="1" t="s">
        <v>36</v>
      </c>
      <c r="F253" s="11">
        <f t="shared" si="3"/>
        <v>251.25</v>
      </c>
      <c r="G253" s="11">
        <f t="shared" si="4"/>
        <v>3.305921053</v>
      </c>
      <c r="H253" s="1">
        <v>76.0</v>
      </c>
      <c r="I253" s="1">
        <v>18.0</v>
      </c>
      <c r="J253" s="1">
        <v>25.0</v>
      </c>
      <c r="K253" s="1">
        <v>43.0</v>
      </c>
      <c r="L253" s="1">
        <v>160.0</v>
      </c>
      <c r="M253" s="1">
        <v>3.0</v>
      </c>
      <c r="N253" s="1">
        <v>9.0</v>
      </c>
      <c r="O253" s="1">
        <v>0.0</v>
      </c>
      <c r="P253" s="1">
        <v>0.0</v>
      </c>
      <c r="Q253" s="1">
        <v>31.0</v>
      </c>
      <c r="R253" s="1">
        <v>15.0</v>
      </c>
    </row>
    <row r="254">
      <c r="A254" s="1">
        <f t="shared" si="1"/>
        <v>252</v>
      </c>
      <c r="B254" s="1" t="s">
        <v>1317</v>
      </c>
      <c r="C254" s="1">
        <f t="shared" si="2"/>
        <v>252</v>
      </c>
      <c r="D254" s="1" t="s">
        <v>1156</v>
      </c>
      <c r="E254" s="1" t="s">
        <v>66</v>
      </c>
      <c r="F254" s="11">
        <f t="shared" si="3"/>
        <v>251</v>
      </c>
      <c r="G254" s="11">
        <f t="shared" si="4"/>
        <v>3.06097561</v>
      </c>
      <c r="H254" s="1">
        <v>82.0</v>
      </c>
      <c r="I254" s="1">
        <v>5.0</v>
      </c>
      <c r="J254" s="1">
        <v>27.0</v>
      </c>
      <c r="K254" s="1">
        <v>32.0</v>
      </c>
      <c r="L254" s="1">
        <v>107.0</v>
      </c>
      <c r="M254" s="1">
        <v>0.0</v>
      </c>
      <c r="N254" s="1">
        <v>7.0</v>
      </c>
      <c r="O254" s="1">
        <v>0.0</v>
      </c>
      <c r="P254" s="1">
        <v>0.0</v>
      </c>
      <c r="Q254" s="1">
        <v>66.0</v>
      </c>
      <c r="R254" s="1">
        <v>155.0</v>
      </c>
    </row>
    <row r="255">
      <c r="A255" s="1">
        <f t="shared" si="1"/>
        <v>253</v>
      </c>
      <c r="B255" s="1" t="s">
        <v>1320</v>
      </c>
      <c r="C255" s="1">
        <f t="shared" si="2"/>
        <v>253</v>
      </c>
      <c r="D255" s="1" t="s">
        <v>1065</v>
      </c>
      <c r="E255" s="1" t="s">
        <v>66</v>
      </c>
      <c r="F255" s="11">
        <f t="shared" si="3"/>
        <v>250.75</v>
      </c>
      <c r="G255" s="11">
        <f t="shared" si="4"/>
        <v>3.095679012</v>
      </c>
      <c r="H255" s="1">
        <v>81.0</v>
      </c>
      <c r="I255" s="1">
        <v>5.0</v>
      </c>
      <c r="J255" s="1">
        <v>34.0</v>
      </c>
      <c r="K255" s="1">
        <v>39.0</v>
      </c>
      <c r="L255" s="1">
        <v>109.0</v>
      </c>
      <c r="M255" s="1">
        <v>2.0</v>
      </c>
      <c r="N255" s="1">
        <v>16.0</v>
      </c>
      <c r="O255" s="1">
        <v>0.0</v>
      </c>
      <c r="P255" s="1">
        <v>1.0</v>
      </c>
      <c r="Q255" s="1">
        <v>41.0</v>
      </c>
      <c r="R255" s="1">
        <v>119.0</v>
      </c>
    </row>
    <row r="256">
      <c r="A256" s="1">
        <f t="shared" si="1"/>
        <v>254</v>
      </c>
      <c r="B256" s="1" t="s">
        <v>1301</v>
      </c>
      <c r="C256" s="1">
        <f t="shared" si="2"/>
        <v>254</v>
      </c>
      <c r="D256" s="1" t="s">
        <v>1116</v>
      </c>
      <c r="E256" s="1" t="s">
        <v>66</v>
      </c>
      <c r="F256" s="11">
        <f t="shared" si="3"/>
        <v>250.25</v>
      </c>
      <c r="G256" s="11">
        <f t="shared" si="4"/>
        <v>3.051829268</v>
      </c>
      <c r="H256" s="1">
        <v>82.0</v>
      </c>
      <c r="I256" s="1">
        <v>3.0</v>
      </c>
      <c r="J256" s="1">
        <v>28.0</v>
      </c>
      <c r="K256" s="1">
        <v>31.0</v>
      </c>
      <c r="L256" s="1">
        <v>83.0</v>
      </c>
      <c r="M256" s="1">
        <v>0.0</v>
      </c>
      <c r="N256" s="1">
        <v>1.0</v>
      </c>
      <c r="O256" s="1">
        <v>0.0</v>
      </c>
      <c r="P256" s="1">
        <v>0.0</v>
      </c>
      <c r="Q256" s="1">
        <v>167.0</v>
      </c>
      <c r="R256" s="1">
        <v>139.0</v>
      </c>
    </row>
    <row r="257">
      <c r="A257" s="1">
        <f t="shared" si="1"/>
        <v>255</v>
      </c>
      <c r="B257" s="1" t="s">
        <v>1321</v>
      </c>
      <c r="C257" s="1">
        <f t="shared" si="2"/>
        <v>255</v>
      </c>
      <c r="D257" s="1" t="s">
        <v>1052</v>
      </c>
      <c r="E257" s="1" t="s">
        <v>31</v>
      </c>
      <c r="F257" s="11">
        <f t="shared" si="3"/>
        <v>249.25</v>
      </c>
      <c r="G257" s="11">
        <f t="shared" si="4"/>
        <v>3.155063291</v>
      </c>
      <c r="H257" s="1">
        <v>79.0</v>
      </c>
      <c r="I257" s="1">
        <v>16.0</v>
      </c>
      <c r="J257" s="1">
        <v>17.0</v>
      </c>
      <c r="K257" s="1">
        <v>33.0</v>
      </c>
      <c r="L257" s="1">
        <v>160.0</v>
      </c>
      <c r="M257" s="1">
        <v>0.0</v>
      </c>
      <c r="N257" s="1">
        <v>0.0</v>
      </c>
      <c r="O257" s="1">
        <v>1.0</v>
      </c>
      <c r="P257" s="1">
        <v>1.0</v>
      </c>
      <c r="Q257" s="1">
        <v>53.0</v>
      </c>
      <c r="R257" s="1">
        <v>58.0</v>
      </c>
    </row>
    <row r="258">
      <c r="A258" s="1">
        <f t="shared" si="1"/>
        <v>255</v>
      </c>
      <c r="B258" s="1" t="s">
        <v>1336</v>
      </c>
      <c r="C258" s="1">
        <f t="shared" si="2"/>
        <v>255</v>
      </c>
      <c r="D258" s="1" t="s">
        <v>1106</v>
      </c>
      <c r="E258" s="1" t="s">
        <v>28</v>
      </c>
      <c r="F258" s="11">
        <f t="shared" si="3"/>
        <v>249.25</v>
      </c>
      <c r="G258" s="11">
        <f t="shared" si="4"/>
        <v>3.039634146</v>
      </c>
      <c r="H258" s="1">
        <v>82.0</v>
      </c>
      <c r="I258" s="1">
        <v>26.0</v>
      </c>
      <c r="J258" s="1">
        <v>16.0</v>
      </c>
      <c r="K258" s="1">
        <v>42.0</v>
      </c>
      <c r="L258" s="1">
        <v>144.0</v>
      </c>
      <c r="M258" s="1">
        <v>5.0</v>
      </c>
      <c r="N258" s="1">
        <v>0.0</v>
      </c>
      <c r="O258" s="1">
        <v>0.0</v>
      </c>
      <c r="P258" s="1">
        <v>0.0</v>
      </c>
      <c r="Q258" s="1">
        <v>17.0</v>
      </c>
      <c r="R258" s="1">
        <v>16.0</v>
      </c>
    </row>
    <row r="259">
      <c r="A259" s="1">
        <f t="shared" si="1"/>
        <v>257</v>
      </c>
      <c r="B259" s="1" t="s">
        <v>1340</v>
      </c>
      <c r="C259" s="1">
        <f t="shared" si="2"/>
        <v>257</v>
      </c>
      <c r="D259" s="1" t="s">
        <v>1038</v>
      </c>
      <c r="E259" s="1" t="s">
        <v>5</v>
      </c>
      <c r="F259" s="11">
        <f t="shared" si="3"/>
        <v>248.7</v>
      </c>
      <c r="G259" s="11">
        <f t="shared" si="4"/>
        <v>6.2175</v>
      </c>
      <c r="H259" s="1">
        <v>40.0</v>
      </c>
      <c r="S259" s="1">
        <v>22.0</v>
      </c>
      <c r="T259" s="1">
        <v>103.0</v>
      </c>
      <c r="U259" s="12">
        <v>1104.0</v>
      </c>
      <c r="V259" s="1">
        <v>2.0</v>
      </c>
    </row>
    <row r="260">
      <c r="A260" s="1">
        <f t="shared" si="1"/>
        <v>258</v>
      </c>
      <c r="B260" s="1" t="s">
        <v>1307</v>
      </c>
      <c r="C260" s="1">
        <f t="shared" si="2"/>
        <v>258</v>
      </c>
      <c r="D260" s="1" t="s">
        <v>1040</v>
      </c>
      <c r="E260" s="1" t="s">
        <v>66</v>
      </c>
      <c r="F260" s="11">
        <f t="shared" si="3"/>
        <v>247.5</v>
      </c>
      <c r="G260" s="11">
        <f t="shared" si="4"/>
        <v>3.09375</v>
      </c>
      <c r="H260" s="1">
        <v>80.0</v>
      </c>
      <c r="I260" s="1">
        <v>8.0</v>
      </c>
      <c r="J260" s="1">
        <v>22.0</v>
      </c>
      <c r="K260" s="1">
        <v>30.0</v>
      </c>
      <c r="L260" s="1">
        <v>96.0</v>
      </c>
      <c r="M260" s="1">
        <v>0.0</v>
      </c>
      <c r="N260" s="1">
        <v>1.0</v>
      </c>
      <c r="O260" s="1">
        <v>0.0</v>
      </c>
      <c r="P260" s="1">
        <v>1.0</v>
      </c>
      <c r="Q260" s="1">
        <v>148.0</v>
      </c>
      <c r="R260" s="1">
        <v>117.0</v>
      </c>
    </row>
    <row r="261">
      <c r="A261" s="1">
        <f t="shared" si="1"/>
        <v>258</v>
      </c>
      <c r="B261" s="1" t="s">
        <v>1308</v>
      </c>
      <c r="C261" s="1">
        <f t="shared" si="2"/>
        <v>258</v>
      </c>
      <c r="D261" s="1" t="s">
        <v>1054</v>
      </c>
      <c r="E261" s="1" t="s">
        <v>66</v>
      </c>
      <c r="F261" s="11">
        <f t="shared" si="3"/>
        <v>247.5</v>
      </c>
      <c r="G261" s="11">
        <f t="shared" si="4"/>
        <v>3.09375</v>
      </c>
      <c r="H261" s="1">
        <v>80.0</v>
      </c>
      <c r="I261" s="1">
        <v>7.0</v>
      </c>
      <c r="J261" s="1">
        <v>18.0</v>
      </c>
      <c r="K261" s="1">
        <v>25.0</v>
      </c>
      <c r="L261" s="1">
        <v>85.0</v>
      </c>
      <c r="M261" s="1">
        <v>0.0</v>
      </c>
      <c r="N261" s="1">
        <v>0.0</v>
      </c>
      <c r="O261" s="1">
        <v>0.0</v>
      </c>
      <c r="P261" s="1">
        <v>1.0</v>
      </c>
      <c r="Q261" s="1">
        <v>148.0</v>
      </c>
      <c r="R261" s="1">
        <v>161.0</v>
      </c>
    </row>
    <row r="262">
      <c r="A262" s="1">
        <f t="shared" si="1"/>
        <v>260</v>
      </c>
      <c r="B262" s="1" t="s">
        <v>1328</v>
      </c>
      <c r="C262" s="1">
        <f t="shared" si="2"/>
        <v>260</v>
      </c>
      <c r="D262" s="1" t="s">
        <v>1032</v>
      </c>
      <c r="E262" s="1" t="s">
        <v>31</v>
      </c>
      <c r="F262" s="11">
        <f t="shared" si="3"/>
        <v>247.25</v>
      </c>
      <c r="G262" s="11">
        <f t="shared" si="4"/>
        <v>3.090625</v>
      </c>
      <c r="H262" s="1">
        <v>80.0</v>
      </c>
      <c r="I262" s="1">
        <v>9.0</v>
      </c>
      <c r="J262" s="1">
        <v>38.0</v>
      </c>
      <c r="K262" s="1">
        <v>47.0</v>
      </c>
      <c r="L262" s="1">
        <v>137.0</v>
      </c>
      <c r="M262" s="1">
        <v>1.0</v>
      </c>
      <c r="N262" s="1">
        <v>1.0</v>
      </c>
      <c r="O262" s="1">
        <v>0.0</v>
      </c>
      <c r="P262" s="1">
        <v>0.0</v>
      </c>
      <c r="Q262" s="1">
        <v>53.0</v>
      </c>
      <c r="R262" s="1">
        <v>22.0</v>
      </c>
    </row>
    <row r="263">
      <c r="A263" s="1">
        <f t="shared" si="1"/>
        <v>261</v>
      </c>
      <c r="B263" s="1" t="s">
        <v>1346</v>
      </c>
      <c r="C263" s="1">
        <f t="shared" si="2"/>
        <v>261</v>
      </c>
      <c r="D263" s="1" t="s">
        <v>1052</v>
      </c>
      <c r="E263" s="1" t="s">
        <v>5</v>
      </c>
      <c r="F263" s="11">
        <f t="shared" si="3"/>
        <v>246.3</v>
      </c>
      <c r="G263" s="11">
        <f t="shared" si="4"/>
        <v>4.829411765</v>
      </c>
      <c r="H263" s="1">
        <v>51.0</v>
      </c>
      <c r="S263" s="1">
        <v>19.0</v>
      </c>
      <c r="T263" s="1">
        <v>133.0</v>
      </c>
      <c r="U263" s="12">
        <v>1236.0</v>
      </c>
      <c r="V263" s="1">
        <v>6.0</v>
      </c>
    </row>
    <row r="264">
      <c r="A264" s="1">
        <f t="shared" si="1"/>
        <v>262</v>
      </c>
      <c r="B264" s="1" t="s">
        <v>1338</v>
      </c>
      <c r="C264" s="1">
        <f t="shared" si="2"/>
        <v>262</v>
      </c>
      <c r="D264" s="1" t="s">
        <v>1042</v>
      </c>
      <c r="E264" s="1" t="s">
        <v>36</v>
      </c>
      <c r="F264" s="11">
        <f t="shared" si="3"/>
        <v>246</v>
      </c>
      <c r="G264" s="11">
        <f t="shared" si="4"/>
        <v>3.075</v>
      </c>
      <c r="H264" s="1">
        <v>80.0</v>
      </c>
      <c r="I264" s="1">
        <v>16.0</v>
      </c>
      <c r="J264" s="1">
        <v>23.0</v>
      </c>
      <c r="K264" s="1">
        <v>39.0</v>
      </c>
      <c r="L264" s="1">
        <v>172.0</v>
      </c>
      <c r="M264" s="1">
        <v>3.0</v>
      </c>
      <c r="N264" s="1">
        <v>7.0</v>
      </c>
      <c r="O264" s="1">
        <v>0.0</v>
      </c>
      <c r="P264" s="1">
        <v>0.0</v>
      </c>
      <c r="Q264" s="1">
        <v>30.0</v>
      </c>
      <c r="R264" s="1">
        <v>23.0</v>
      </c>
    </row>
    <row r="265">
      <c r="A265" s="1">
        <f t="shared" si="1"/>
        <v>263</v>
      </c>
      <c r="B265" s="1" t="s">
        <v>1314</v>
      </c>
      <c r="C265" s="1">
        <f t="shared" si="2"/>
        <v>263</v>
      </c>
      <c r="D265" s="1" t="s">
        <v>1120</v>
      </c>
      <c r="E265" s="1" t="s">
        <v>31</v>
      </c>
      <c r="F265" s="11">
        <f t="shared" si="3"/>
        <v>245.75</v>
      </c>
      <c r="G265" s="11">
        <f t="shared" si="4"/>
        <v>3.276666667</v>
      </c>
      <c r="H265" s="1">
        <v>75.0</v>
      </c>
      <c r="I265" s="1">
        <v>13.0</v>
      </c>
      <c r="J265" s="1">
        <v>20.0</v>
      </c>
      <c r="K265" s="1">
        <v>33.0</v>
      </c>
      <c r="L265" s="1">
        <v>101.0</v>
      </c>
      <c r="M265" s="1">
        <v>0.0</v>
      </c>
      <c r="N265" s="1">
        <v>0.0</v>
      </c>
      <c r="O265" s="1">
        <v>1.0</v>
      </c>
      <c r="P265" s="1">
        <v>3.0</v>
      </c>
      <c r="Q265" s="1">
        <v>123.0</v>
      </c>
      <c r="R265" s="1">
        <v>76.0</v>
      </c>
    </row>
    <row r="266">
      <c r="A266" s="1">
        <f t="shared" si="1"/>
        <v>264</v>
      </c>
      <c r="B266" s="1" t="s">
        <v>1296</v>
      </c>
      <c r="C266" s="1">
        <f t="shared" si="2"/>
        <v>264</v>
      </c>
      <c r="D266" s="1" t="s">
        <v>1046</v>
      </c>
      <c r="E266" s="1" t="s">
        <v>28</v>
      </c>
      <c r="F266" s="11">
        <f t="shared" si="3"/>
        <v>245.25</v>
      </c>
      <c r="G266" s="11">
        <f t="shared" si="4"/>
        <v>3.892857143</v>
      </c>
      <c r="H266" s="1">
        <v>63.0</v>
      </c>
      <c r="I266" s="1">
        <v>18.0</v>
      </c>
      <c r="J266" s="1">
        <v>14.0</v>
      </c>
      <c r="K266" s="1">
        <v>32.0</v>
      </c>
      <c r="L266" s="1">
        <v>84.0</v>
      </c>
      <c r="M266" s="1">
        <v>1.0</v>
      </c>
      <c r="N266" s="1">
        <v>0.0</v>
      </c>
      <c r="O266" s="1">
        <v>0.0</v>
      </c>
      <c r="P266" s="1">
        <v>0.0</v>
      </c>
      <c r="Q266" s="1">
        <v>241.0</v>
      </c>
      <c r="R266" s="1">
        <v>40.0</v>
      </c>
    </row>
    <row r="267">
      <c r="A267" s="1">
        <f t="shared" si="1"/>
        <v>265</v>
      </c>
      <c r="B267" s="1" t="s">
        <v>1326</v>
      </c>
      <c r="C267" s="1">
        <f t="shared" si="2"/>
        <v>265</v>
      </c>
      <c r="D267" s="1" t="s">
        <v>1156</v>
      </c>
      <c r="E267" s="1" t="s">
        <v>31</v>
      </c>
      <c r="F267" s="11">
        <f t="shared" si="3"/>
        <v>244.75</v>
      </c>
      <c r="G267" s="11">
        <f t="shared" si="4"/>
        <v>3.263333333</v>
      </c>
      <c r="H267" s="1">
        <v>75.0</v>
      </c>
      <c r="I267" s="1">
        <v>18.0</v>
      </c>
      <c r="J267" s="1">
        <v>16.0</v>
      </c>
      <c r="K267" s="1">
        <v>34.0</v>
      </c>
      <c r="L267" s="1">
        <v>142.0</v>
      </c>
      <c r="M267" s="1">
        <v>6.0</v>
      </c>
      <c r="N267" s="1">
        <v>2.0</v>
      </c>
      <c r="O267" s="1">
        <v>0.0</v>
      </c>
      <c r="P267" s="1">
        <v>0.0</v>
      </c>
      <c r="Q267" s="1">
        <v>83.0</v>
      </c>
      <c r="R267" s="1">
        <v>48.0</v>
      </c>
    </row>
    <row r="268">
      <c r="A268" s="1">
        <f t="shared" si="1"/>
        <v>265</v>
      </c>
      <c r="B268" s="1" t="s">
        <v>1337</v>
      </c>
      <c r="C268" s="1">
        <f t="shared" si="2"/>
        <v>265</v>
      </c>
      <c r="D268" s="1" t="s">
        <v>1048</v>
      </c>
      <c r="E268" s="1" t="s">
        <v>31</v>
      </c>
      <c r="F268" s="11">
        <f t="shared" si="3"/>
        <v>244.75</v>
      </c>
      <c r="G268" s="11">
        <f t="shared" si="4"/>
        <v>3.137820513</v>
      </c>
      <c r="H268" s="1">
        <v>78.0</v>
      </c>
      <c r="I268" s="1">
        <v>13.0</v>
      </c>
      <c r="J268" s="1">
        <v>22.0</v>
      </c>
      <c r="K268" s="1">
        <v>35.0</v>
      </c>
      <c r="L268" s="1">
        <v>166.0</v>
      </c>
      <c r="M268" s="1">
        <v>1.0</v>
      </c>
      <c r="N268" s="1">
        <v>4.0</v>
      </c>
      <c r="O268" s="1">
        <v>0.0</v>
      </c>
      <c r="P268" s="1">
        <v>1.0</v>
      </c>
      <c r="Q268" s="1">
        <v>61.0</v>
      </c>
      <c r="R268" s="1">
        <v>40.0</v>
      </c>
    </row>
    <row r="269">
      <c r="A269" s="1">
        <f t="shared" si="1"/>
        <v>267</v>
      </c>
      <c r="B269" s="1" t="s">
        <v>1311</v>
      </c>
      <c r="C269" s="1">
        <f t="shared" si="2"/>
        <v>267</v>
      </c>
      <c r="D269" s="1" t="s">
        <v>1120</v>
      </c>
      <c r="E269" s="1" t="s">
        <v>66</v>
      </c>
      <c r="F269" s="11">
        <f t="shared" si="3"/>
        <v>244.5</v>
      </c>
      <c r="G269" s="11">
        <f t="shared" si="4"/>
        <v>3.175324675</v>
      </c>
      <c r="H269" s="1">
        <v>77.0</v>
      </c>
      <c r="I269" s="1">
        <v>5.0</v>
      </c>
      <c r="J269" s="1">
        <v>15.0</v>
      </c>
      <c r="K269" s="1">
        <v>20.0</v>
      </c>
      <c r="L269" s="1">
        <v>107.0</v>
      </c>
      <c r="M269" s="1">
        <v>0.0</v>
      </c>
      <c r="N269" s="1">
        <v>0.0</v>
      </c>
      <c r="O269" s="1">
        <v>0.0</v>
      </c>
      <c r="P269" s="1">
        <v>0.0</v>
      </c>
      <c r="Q269" s="1">
        <v>160.0</v>
      </c>
      <c r="R269" s="1">
        <v>167.0</v>
      </c>
    </row>
    <row r="270">
      <c r="A270" s="1">
        <f t="shared" si="1"/>
        <v>268</v>
      </c>
      <c r="B270" s="1" t="s">
        <v>1300</v>
      </c>
      <c r="C270" s="1">
        <f t="shared" si="2"/>
        <v>268</v>
      </c>
      <c r="D270" s="1" t="s">
        <v>1065</v>
      </c>
      <c r="E270" s="1" t="s">
        <v>66</v>
      </c>
      <c r="F270" s="11">
        <f t="shared" si="3"/>
        <v>244</v>
      </c>
      <c r="G270" s="11">
        <f t="shared" si="4"/>
        <v>3.696969697</v>
      </c>
      <c r="H270" s="1">
        <v>66.0</v>
      </c>
      <c r="I270" s="1">
        <v>6.0</v>
      </c>
      <c r="J270" s="1">
        <v>12.0</v>
      </c>
      <c r="K270" s="1">
        <v>18.0</v>
      </c>
      <c r="L270" s="1">
        <v>88.0</v>
      </c>
      <c r="M270" s="1">
        <v>0.0</v>
      </c>
      <c r="N270" s="1">
        <v>0.0</v>
      </c>
      <c r="O270" s="1">
        <v>0.0</v>
      </c>
      <c r="P270" s="1">
        <v>1.0</v>
      </c>
      <c r="Q270" s="1">
        <v>232.0</v>
      </c>
      <c r="R270" s="1">
        <v>154.0</v>
      </c>
    </row>
    <row r="271">
      <c r="A271" s="1">
        <f t="shared" si="1"/>
        <v>268</v>
      </c>
      <c r="B271" s="1" t="s">
        <v>1334</v>
      </c>
      <c r="C271" s="1">
        <f t="shared" si="2"/>
        <v>268</v>
      </c>
      <c r="D271" s="1" t="s">
        <v>1085</v>
      </c>
      <c r="E271" s="1" t="s">
        <v>66</v>
      </c>
      <c r="F271" s="11">
        <f t="shared" si="3"/>
        <v>244</v>
      </c>
      <c r="G271" s="11">
        <f t="shared" si="4"/>
        <v>2.975609756</v>
      </c>
      <c r="H271" s="1">
        <v>82.0</v>
      </c>
      <c r="I271" s="1">
        <v>5.0</v>
      </c>
      <c r="J271" s="1">
        <v>21.0</v>
      </c>
      <c r="K271" s="1">
        <v>26.0</v>
      </c>
      <c r="L271" s="1">
        <v>114.0</v>
      </c>
      <c r="M271" s="1">
        <v>0.0</v>
      </c>
      <c r="N271" s="1">
        <v>0.0</v>
      </c>
      <c r="O271" s="1">
        <v>0.0</v>
      </c>
      <c r="P271" s="1">
        <v>1.0</v>
      </c>
      <c r="Q271" s="1">
        <v>74.0</v>
      </c>
      <c r="R271" s="1">
        <v>162.0</v>
      </c>
    </row>
    <row r="272">
      <c r="A272" s="1">
        <f t="shared" si="1"/>
        <v>270</v>
      </c>
      <c r="B272" s="1" t="s">
        <v>1349</v>
      </c>
      <c r="C272" s="1">
        <f t="shared" si="2"/>
        <v>270</v>
      </c>
      <c r="D272" s="1" t="s">
        <v>1069</v>
      </c>
      <c r="E272" s="1" t="s">
        <v>28</v>
      </c>
      <c r="F272" s="11">
        <f t="shared" si="3"/>
        <v>243.5</v>
      </c>
      <c r="G272" s="11">
        <f t="shared" si="4"/>
        <v>3.381944444</v>
      </c>
      <c r="H272" s="1">
        <v>72.0</v>
      </c>
      <c r="I272" s="1">
        <v>22.0</v>
      </c>
      <c r="J272" s="1">
        <v>24.0</v>
      </c>
      <c r="K272" s="1">
        <v>46.0</v>
      </c>
      <c r="L272" s="1">
        <v>121.0</v>
      </c>
      <c r="M272" s="1">
        <v>8.0</v>
      </c>
      <c r="N272" s="1">
        <v>11.0</v>
      </c>
      <c r="O272" s="1">
        <v>0.0</v>
      </c>
      <c r="P272" s="1">
        <v>0.0</v>
      </c>
      <c r="Q272" s="1">
        <v>14.0</v>
      </c>
      <c r="R272" s="1">
        <v>17.0</v>
      </c>
    </row>
    <row r="273">
      <c r="A273" s="1">
        <f t="shared" si="1"/>
        <v>271</v>
      </c>
      <c r="B273" s="1" t="s">
        <v>1343</v>
      </c>
      <c r="C273" s="1">
        <f t="shared" si="2"/>
        <v>271</v>
      </c>
      <c r="D273" s="1" t="s">
        <v>1052</v>
      </c>
      <c r="E273" s="1" t="s">
        <v>36</v>
      </c>
      <c r="F273" s="11">
        <f t="shared" si="3"/>
        <v>243</v>
      </c>
      <c r="G273" s="11">
        <f t="shared" si="4"/>
        <v>3.197368421</v>
      </c>
      <c r="H273" s="1">
        <v>76.0</v>
      </c>
      <c r="I273" s="1">
        <v>13.0</v>
      </c>
      <c r="J273" s="1">
        <v>27.0</v>
      </c>
      <c r="K273" s="1">
        <v>40.0</v>
      </c>
      <c r="L273" s="1">
        <v>152.0</v>
      </c>
      <c r="M273" s="1">
        <v>1.0</v>
      </c>
      <c r="N273" s="1">
        <v>7.0</v>
      </c>
      <c r="O273" s="1">
        <v>0.0</v>
      </c>
      <c r="P273" s="1">
        <v>0.0</v>
      </c>
      <c r="Q273" s="1">
        <v>54.0</v>
      </c>
      <c r="R273" s="1">
        <v>28.0</v>
      </c>
    </row>
    <row r="274">
      <c r="A274" s="1">
        <f t="shared" si="1"/>
        <v>271</v>
      </c>
      <c r="B274" s="1" t="s">
        <v>1312</v>
      </c>
      <c r="C274" s="1">
        <f t="shared" si="2"/>
        <v>271</v>
      </c>
      <c r="D274" s="1" t="s">
        <v>1146</v>
      </c>
      <c r="E274" s="1" t="s">
        <v>66</v>
      </c>
      <c r="F274" s="11">
        <f t="shared" si="3"/>
        <v>243</v>
      </c>
      <c r="G274" s="11">
        <f t="shared" si="4"/>
        <v>3</v>
      </c>
      <c r="H274" s="1">
        <v>81.0</v>
      </c>
      <c r="I274" s="1">
        <v>4.0</v>
      </c>
      <c r="J274" s="1">
        <v>14.0</v>
      </c>
      <c r="K274" s="1">
        <v>18.0</v>
      </c>
      <c r="L274" s="1">
        <v>130.0</v>
      </c>
      <c r="M274" s="1">
        <v>0.0</v>
      </c>
      <c r="N274" s="1">
        <v>0.0</v>
      </c>
      <c r="O274" s="1">
        <v>0.0</v>
      </c>
      <c r="P274" s="1">
        <v>1.0</v>
      </c>
      <c r="Q274" s="1">
        <v>162.0</v>
      </c>
      <c r="R274" s="1">
        <v>151.0</v>
      </c>
    </row>
    <row r="275">
      <c r="A275" s="1">
        <f t="shared" si="1"/>
        <v>273</v>
      </c>
      <c r="B275" s="1" t="s">
        <v>1341</v>
      </c>
      <c r="C275" s="1">
        <f t="shared" si="2"/>
        <v>273</v>
      </c>
      <c r="D275" s="1" t="s">
        <v>1080</v>
      </c>
      <c r="E275" s="1" t="s">
        <v>31</v>
      </c>
      <c r="F275" s="11">
        <f t="shared" si="3"/>
        <v>242.75</v>
      </c>
      <c r="G275" s="11">
        <f t="shared" si="4"/>
        <v>4.49537037</v>
      </c>
      <c r="H275" s="1">
        <v>54.0</v>
      </c>
      <c r="I275" s="1">
        <v>17.0</v>
      </c>
      <c r="J275" s="1">
        <v>21.0</v>
      </c>
      <c r="K275" s="1">
        <v>38.0</v>
      </c>
      <c r="L275" s="1">
        <v>124.0</v>
      </c>
      <c r="M275" s="1">
        <v>6.0</v>
      </c>
      <c r="N275" s="1">
        <v>5.0</v>
      </c>
      <c r="O275" s="1">
        <v>1.0</v>
      </c>
      <c r="P275" s="1">
        <v>0.0</v>
      </c>
      <c r="Q275" s="1">
        <v>59.0</v>
      </c>
      <c r="R275" s="1">
        <v>49.0</v>
      </c>
    </row>
    <row r="276">
      <c r="A276" s="1">
        <f t="shared" si="1"/>
        <v>273</v>
      </c>
      <c r="B276" s="1" t="s">
        <v>1332</v>
      </c>
      <c r="C276" s="1">
        <f t="shared" si="2"/>
        <v>273</v>
      </c>
      <c r="D276" s="1" t="s">
        <v>1069</v>
      </c>
      <c r="E276" s="1" t="s">
        <v>28</v>
      </c>
      <c r="F276" s="11">
        <f t="shared" si="3"/>
        <v>242.75</v>
      </c>
      <c r="G276" s="11">
        <f t="shared" si="4"/>
        <v>3.236666667</v>
      </c>
      <c r="H276" s="1">
        <v>75.0</v>
      </c>
      <c r="I276" s="1">
        <v>14.0</v>
      </c>
      <c r="J276" s="1">
        <v>26.0</v>
      </c>
      <c r="K276" s="1">
        <v>40.0</v>
      </c>
      <c r="L276" s="1">
        <v>122.0</v>
      </c>
      <c r="M276" s="1">
        <v>2.0</v>
      </c>
      <c r="N276" s="1">
        <v>1.0</v>
      </c>
      <c r="O276" s="1">
        <v>1.0</v>
      </c>
      <c r="P276" s="1">
        <v>0.0</v>
      </c>
      <c r="Q276" s="1">
        <v>89.0</v>
      </c>
      <c r="R276" s="1">
        <v>33.0</v>
      </c>
    </row>
    <row r="277">
      <c r="A277" s="1">
        <f t="shared" si="1"/>
        <v>275</v>
      </c>
      <c r="B277" s="1" t="s">
        <v>1331</v>
      </c>
      <c r="C277" s="1">
        <f t="shared" si="2"/>
        <v>275</v>
      </c>
      <c r="D277" s="1" t="s">
        <v>1156</v>
      </c>
      <c r="E277" s="1" t="s">
        <v>66</v>
      </c>
      <c r="F277" s="11">
        <f t="shared" si="3"/>
        <v>242.5</v>
      </c>
      <c r="G277" s="11">
        <f t="shared" si="4"/>
        <v>3.108974359</v>
      </c>
      <c r="H277" s="1">
        <v>78.0</v>
      </c>
      <c r="I277" s="1">
        <v>6.0</v>
      </c>
      <c r="J277" s="1">
        <v>20.0</v>
      </c>
      <c r="K277" s="1">
        <v>26.0</v>
      </c>
      <c r="L277" s="1">
        <v>91.0</v>
      </c>
      <c r="M277" s="1">
        <v>0.0</v>
      </c>
      <c r="N277" s="1">
        <v>0.0</v>
      </c>
      <c r="O277" s="1">
        <v>0.0</v>
      </c>
      <c r="P277" s="1">
        <v>1.0</v>
      </c>
      <c r="Q277" s="1">
        <v>92.0</v>
      </c>
      <c r="R277" s="1">
        <v>170.0</v>
      </c>
    </row>
    <row r="278">
      <c r="A278" s="1">
        <f t="shared" si="1"/>
        <v>275</v>
      </c>
      <c r="B278" s="1" t="s">
        <v>1325</v>
      </c>
      <c r="C278" s="1">
        <f t="shared" si="2"/>
        <v>275</v>
      </c>
      <c r="D278" s="1" t="s">
        <v>1116</v>
      </c>
      <c r="E278" s="1" t="s">
        <v>31</v>
      </c>
      <c r="F278" s="11">
        <f t="shared" si="3"/>
        <v>242.5</v>
      </c>
      <c r="G278" s="11">
        <f t="shared" si="4"/>
        <v>2.957317073</v>
      </c>
      <c r="H278" s="1">
        <v>82.0</v>
      </c>
      <c r="I278" s="1">
        <v>14.0</v>
      </c>
      <c r="J278" s="1">
        <v>22.0</v>
      </c>
      <c r="K278" s="1">
        <v>36.0</v>
      </c>
      <c r="L278" s="1">
        <v>122.0</v>
      </c>
      <c r="M278" s="1">
        <v>2.0</v>
      </c>
      <c r="N278" s="1">
        <v>0.0</v>
      </c>
      <c r="O278" s="1">
        <v>1.0</v>
      </c>
      <c r="P278" s="1">
        <v>1.0</v>
      </c>
      <c r="Q278" s="1">
        <v>106.0</v>
      </c>
      <c r="R278" s="1">
        <v>44.0</v>
      </c>
    </row>
    <row r="279">
      <c r="A279" s="1">
        <f t="shared" si="1"/>
        <v>277</v>
      </c>
      <c r="B279" s="1" t="s">
        <v>1313</v>
      </c>
      <c r="C279" s="1">
        <f t="shared" si="2"/>
        <v>277</v>
      </c>
      <c r="D279" s="1" t="s">
        <v>1032</v>
      </c>
      <c r="E279" s="1" t="s">
        <v>28</v>
      </c>
      <c r="F279" s="11">
        <f t="shared" si="3"/>
        <v>242.25</v>
      </c>
      <c r="G279" s="11">
        <f t="shared" si="4"/>
        <v>3.028125</v>
      </c>
      <c r="H279" s="1">
        <v>80.0</v>
      </c>
      <c r="I279" s="1">
        <v>15.0</v>
      </c>
      <c r="J279" s="1">
        <v>20.0</v>
      </c>
      <c r="K279" s="1">
        <v>35.0</v>
      </c>
      <c r="L279" s="1">
        <v>115.0</v>
      </c>
      <c r="M279" s="1">
        <v>0.0</v>
      </c>
      <c r="N279" s="1">
        <v>2.0</v>
      </c>
      <c r="O279" s="1">
        <v>0.0</v>
      </c>
      <c r="P279" s="1">
        <v>0.0</v>
      </c>
      <c r="Q279" s="1">
        <v>169.0</v>
      </c>
      <c r="R279" s="1">
        <v>30.0</v>
      </c>
    </row>
    <row r="280">
      <c r="A280" s="1">
        <f t="shared" si="1"/>
        <v>278</v>
      </c>
      <c r="B280" s="1" t="s">
        <v>1329</v>
      </c>
      <c r="C280" s="1">
        <f t="shared" si="2"/>
        <v>278</v>
      </c>
      <c r="D280" s="1" t="s">
        <v>1097</v>
      </c>
      <c r="E280" s="1" t="s">
        <v>66</v>
      </c>
      <c r="F280" s="11">
        <f t="shared" si="3"/>
        <v>240.5</v>
      </c>
      <c r="G280" s="11">
        <f t="shared" si="4"/>
        <v>3.435714286</v>
      </c>
      <c r="H280" s="1">
        <v>70.0</v>
      </c>
      <c r="I280" s="1">
        <v>6.0</v>
      </c>
      <c r="J280" s="1">
        <v>16.0</v>
      </c>
      <c r="K280" s="1">
        <v>22.0</v>
      </c>
      <c r="L280" s="1">
        <v>95.0</v>
      </c>
      <c r="M280" s="1">
        <v>0.0</v>
      </c>
      <c r="N280" s="1">
        <v>0.0</v>
      </c>
      <c r="O280" s="1">
        <v>0.0</v>
      </c>
      <c r="P280" s="1">
        <v>0.0</v>
      </c>
      <c r="Q280" s="1">
        <v>116.0</v>
      </c>
      <c r="R280" s="1">
        <v>178.0</v>
      </c>
    </row>
    <row r="281">
      <c r="A281" s="1">
        <f t="shared" si="1"/>
        <v>278</v>
      </c>
      <c r="B281" s="1" t="s">
        <v>1333</v>
      </c>
      <c r="C281" s="1">
        <f t="shared" si="2"/>
        <v>278</v>
      </c>
      <c r="D281" s="1" t="s">
        <v>1046</v>
      </c>
      <c r="E281" s="1" t="s">
        <v>66</v>
      </c>
      <c r="F281" s="11">
        <f t="shared" si="3"/>
        <v>240.5</v>
      </c>
      <c r="G281" s="11">
        <f t="shared" si="4"/>
        <v>3.123376623</v>
      </c>
      <c r="H281" s="1">
        <v>77.0</v>
      </c>
      <c r="I281" s="1">
        <v>5.0</v>
      </c>
      <c r="J281" s="1">
        <v>24.0</v>
      </c>
      <c r="K281" s="1">
        <v>29.0</v>
      </c>
      <c r="L281" s="1">
        <v>93.0</v>
      </c>
      <c r="M281" s="1">
        <v>0.0</v>
      </c>
      <c r="N281" s="1">
        <v>0.0</v>
      </c>
      <c r="O281" s="1">
        <v>2.0</v>
      </c>
      <c r="P281" s="1">
        <v>0.0</v>
      </c>
      <c r="Q281" s="1">
        <v>110.0</v>
      </c>
      <c r="R281" s="1">
        <v>136.0</v>
      </c>
    </row>
    <row r="282">
      <c r="A282" s="1">
        <f t="shared" si="1"/>
        <v>280</v>
      </c>
      <c r="B282" s="1" t="s">
        <v>1345</v>
      </c>
      <c r="C282" s="1">
        <f t="shared" si="2"/>
        <v>280</v>
      </c>
      <c r="D282" s="1" t="s">
        <v>1038</v>
      </c>
      <c r="E282" s="1" t="s">
        <v>28</v>
      </c>
      <c r="F282" s="11">
        <f t="shared" si="3"/>
        <v>238.5</v>
      </c>
      <c r="G282" s="11">
        <f t="shared" si="4"/>
        <v>3.222972973</v>
      </c>
      <c r="H282" s="1">
        <v>74.0</v>
      </c>
      <c r="I282" s="1">
        <v>17.0</v>
      </c>
      <c r="J282" s="1">
        <v>19.0</v>
      </c>
      <c r="K282" s="1">
        <v>36.0</v>
      </c>
      <c r="L282" s="1">
        <v>119.0</v>
      </c>
      <c r="M282" s="1">
        <v>1.0</v>
      </c>
      <c r="N282" s="1">
        <v>0.0</v>
      </c>
      <c r="O282" s="1">
        <v>1.0</v>
      </c>
      <c r="P282" s="1">
        <v>0.0</v>
      </c>
      <c r="Q282" s="1">
        <v>82.0</v>
      </c>
      <c r="R282" s="1">
        <v>46.0</v>
      </c>
    </row>
    <row r="283">
      <c r="A283" s="1">
        <f t="shared" si="1"/>
        <v>280</v>
      </c>
      <c r="B283" s="1" t="s">
        <v>1342</v>
      </c>
      <c r="C283" s="1">
        <f t="shared" si="2"/>
        <v>280</v>
      </c>
      <c r="D283" s="1" t="s">
        <v>1046</v>
      </c>
      <c r="E283" s="1" t="s">
        <v>28</v>
      </c>
      <c r="F283" s="11">
        <f t="shared" si="3"/>
        <v>238.5</v>
      </c>
      <c r="G283" s="11">
        <f t="shared" si="4"/>
        <v>2.98125</v>
      </c>
      <c r="H283" s="1">
        <v>80.0</v>
      </c>
      <c r="I283" s="1">
        <v>24.0</v>
      </c>
      <c r="J283" s="1">
        <v>12.0</v>
      </c>
      <c r="K283" s="1">
        <v>36.0</v>
      </c>
      <c r="L283" s="1">
        <v>120.0</v>
      </c>
      <c r="M283" s="1">
        <v>0.0</v>
      </c>
      <c r="N283" s="1">
        <v>0.0</v>
      </c>
      <c r="O283" s="1">
        <v>0.0</v>
      </c>
      <c r="P283" s="1">
        <v>0.0</v>
      </c>
      <c r="Q283" s="1">
        <v>100.0</v>
      </c>
      <c r="R283" s="1">
        <v>19.0</v>
      </c>
    </row>
    <row r="284">
      <c r="A284" s="1">
        <f t="shared" si="1"/>
        <v>282</v>
      </c>
      <c r="B284" s="1" t="s">
        <v>1339</v>
      </c>
      <c r="C284" s="1">
        <f t="shared" si="2"/>
        <v>282</v>
      </c>
      <c r="D284" s="1" t="s">
        <v>1044</v>
      </c>
      <c r="E284" s="1" t="s">
        <v>36</v>
      </c>
      <c r="F284" s="11">
        <f t="shared" si="3"/>
        <v>238.25</v>
      </c>
      <c r="G284" s="11">
        <f t="shared" si="4"/>
        <v>3.309027778</v>
      </c>
      <c r="H284" s="1">
        <v>72.0</v>
      </c>
      <c r="I284" s="1">
        <v>11.0</v>
      </c>
      <c r="J284" s="1">
        <v>24.0</v>
      </c>
      <c r="K284" s="1">
        <v>35.0</v>
      </c>
      <c r="L284" s="1">
        <v>124.0</v>
      </c>
      <c r="M284" s="1">
        <v>0.0</v>
      </c>
      <c r="N284" s="1">
        <v>0.0</v>
      </c>
      <c r="O284" s="1">
        <v>1.0</v>
      </c>
      <c r="P284" s="1">
        <v>1.0</v>
      </c>
      <c r="Q284" s="1">
        <v>105.0</v>
      </c>
      <c r="R284" s="1">
        <v>49.0</v>
      </c>
    </row>
    <row r="285">
      <c r="A285" s="1">
        <f t="shared" si="1"/>
        <v>282</v>
      </c>
      <c r="B285" s="1" t="s">
        <v>1351</v>
      </c>
      <c r="C285" s="1">
        <f t="shared" si="2"/>
        <v>282</v>
      </c>
      <c r="D285" s="1" t="s">
        <v>1052</v>
      </c>
      <c r="E285" s="1" t="s">
        <v>31</v>
      </c>
      <c r="F285" s="11">
        <f t="shared" si="3"/>
        <v>238.25</v>
      </c>
      <c r="G285" s="11">
        <f t="shared" si="4"/>
        <v>2.905487805</v>
      </c>
      <c r="H285" s="1">
        <v>82.0</v>
      </c>
      <c r="I285" s="1">
        <v>15.0</v>
      </c>
      <c r="J285" s="1">
        <v>16.0</v>
      </c>
      <c r="K285" s="1">
        <v>31.0</v>
      </c>
      <c r="L285" s="1">
        <v>154.0</v>
      </c>
      <c r="M285" s="1">
        <v>4.0</v>
      </c>
      <c r="N285" s="1">
        <v>1.0</v>
      </c>
      <c r="O285" s="1">
        <v>1.0</v>
      </c>
      <c r="P285" s="1">
        <v>1.0</v>
      </c>
      <c r="Q285" s="1">
        <v>55.0</v>
      </c>
      <c r="R285" s="1">
        <v>56.0</v>
      </c>
    </row>
    <row r="286">
      <c r="A286" s="1">
        <f t="shared" si="1"/>
        <v>284</v>
      </c>
      <c r="B286" s="1" t="s">
        <v>1347</v>
      </c>
      <c r="C286" s="1">
        <f t="shared" si="2"/>
        <v>284</v>
      </c>
      <c r="D286" s="1" t="s">
        <v>1065</v>
      </c>
      <c r="E286" s="1" t="s">
        <v>31</v>
      </c>
      <c r="F286" s="11">
        <f t="shared" si="3"/>
        <v>238</v>
      </c>
      <c r="G286" s="11">
        <f t="shared" si="4"/>
        <v>3.777777778</v>
      </c>
      <c r="H286" s="1">
        <v>63.0</v>
      </c>
      <c r="I286" s="1">
        <v>18.0</v>
      </c>
      <c r="J286" s="1">
        <v>18.0</v>
      </c>
      <c r="K286" s="1">
        <v>36.0</v>
      </c>
      <c r="L286" s="1">
        <v>145.0</v>
      </c>
      <c r="M286" s="1">
        <v>5.0</v>
      </c>
      <c r="N286" s="1">
        <v>2.0</v>
      </c>
      <c r="O286" s="1">
        <v>0.0</v>
      </c>
      <c r="P286" s="1">
        <v>0.0</v>
      </c>
      <c r="Q286" s="1">
        <v>72.0</v>
      </c>
      <c r="R286" s="1">
        <v>25.0</v>
      </c>
    </row>
    <row r="287">
      <c r="A287" s="1">
        <f t="shared" si="1"/>
        <v>285</v>
      </c>
      <c r="B287" s="1" t="s">
        <v>1362</v>
      </c>
      <c r="C287" s="1">
        <f t="shared" si="2"/>
        <v>285</v>
      </c>
      <c r="D287" s="1" t="s">
        <v>1120</v>
      </c>
      <c r="E287" s="1" t="s">
        <v>5</v>
      </c>
      <c r="F287" s="11">
        <f t="shared" si="3"/>
        <v>237.9</v>
      </c>
      <c r="G287" s="11">
        <f t="shared" si="4"/>
        <v>5.406818182</v>
      </c>
      <c r="H287" s="1">
        <v>44.0</v>
      </c>
      <c r="S287" s="1">
        <v>21.0</v>
      </c>
      <c r="T287" s="1">
        <v>127.0</v>
      </c>
      <c r="U287" s="12">
        <v>1198.0</v>
      </c>
      <c r="V287" s="1">
        <v>2.0</v>
      </c>
    </row>
    <row r="288">
      <c r="A288" s="1">
        <f t="shared" si="1"/>
        <v>286</v>
      </c>
      <c r="B288" s="1" t="s">
        <v>1348</v>
      </c>
      <c r="C288" s="1">
        <f t="shared" si="2"/>
        <v>286</v>
      </c>
      <c r="D288" s="1" t="s">
        <v>1080</v>
      </c>
      <c r="E288" s="1" t="s">
        <v>31</v>
      </c>
      <c r="F288" s="11">
        <f t="shared" si="3"/>
        <v>237.25</v>
      </c>
      <c r="G288" s="11">
        <f t="shared" si="4"/>
        <v>3.389285714</v>
      </c>
      <c r="H288" s="1">
        <v>70.0</v>
      </c>
      <c r="I288" s="1">
        <v>13.0</v>
      </c>
      <c r="J288" s="1">
        <v>28.0</v>
      </c>
      <c r="K288" s="1">
        <v>41.0</v>
      </c>
      <c r="L288" s="1">
        <v>112.0</v>
      </c>
      <c r="M288" s="1">
        <v>1.0</v>
      </c>
      <c r="N288" s="1">
        <v>6.0</v>
      </c>
      <c r="O288" s="1">
        <v>1.0</v>
      </c>
      <c r="P288" s="1">
        <v>0.0</v>
      </c>
      <c r="Q288" s="1">
        <v>77.0</v>
      </c>
      <c r="R288" s="1">
        <v>35.0</v>
      </c>
    </row>
    <row r="289">
      <c r="A289" s="1">
        <f t="shared" si="1"/>
        <v>287</v>
      </c>
      <c r="B289" s="1" t="s">
        <v>1297</v>
      </c>
      <c r="C289" s="1">
        <f t="shared" si="2"/>
        <v>287</v>
      </c>
      <c r="D289" s="1" t="s">
        <v>1091</v>
      </c>
      <c r="E289" s="1" t="s">
        <v>36</v>
      </c>
      <c r="F289" s="11">
        <f t="shared" si="3"/>
        <v>236.75</v>
      </c>
      <c r="G289" s="11">
        <f t="shared" si="4"/>
        <v>2.887195122</v>
      </c>
      <c r="H289" s="1">
        <v>82.0</v>
      </c>
      <c r="I289" s="1">
        <v>7.0</v>
      </c>
      <c r="J289" s="1">
        <v>10.0</v>
      </c>
      <c r="K289" s="1">
        <v>17.0</v>
      </c>
      <c r="L289" s="1">
        <v>103.0</v>
      </c>
      <c r="M289" s="1">
        <v>0.0</v>
      </c>
      <c r="N289" s="1">
        <v>0.0</v>
      </c>
      <c r="O289" s="1">
        <v>1.0</v>
      </c>
      <c r="P289" s="1">
        <v>2.0</v>
      </c>
      <c r="Q289" s="1">
        <v>325.0</v>
      </c>
      <c r="R289" s="1">
        <v>73.0</v>
      </c>
    </row>
    <row r="290">
      <c r="A290" s="1">
        <f t="shared" si="1"/>
        <v>288</v>
      </c>
      <c r="B290" s="1" t="s">
        <v>1369</v>
      </c>
      <c r="C290" s="1">
        <f t="shared" si="2"/>
        <v>288</v>
      </c>
      <c r="D290" s="1" t="s">
        <v>1042</v>
      </c>
      <c r="E290" s="1" t="s">
        <v>31</v>
      </c>
      <c r="F290" s="11">
        <f t="shared" si="3"/>
        <v>235.25</v>
      </c>
      <c r="G290" s="11">
        <f t="shared" si="4"/>
        <v>3.313380282</v>
      </c>
      <c r="H290" s="1">
        <v>71.0</v>
      </c>
      <c r="I290" s="1">
        <v>18.0</v>
      </c>
      <c r="J290" s="1">
        <v>27.0</v>
      </c>
      <c r="K290" s="1">
        <v>45.0</v>
      </c>
      <c r="L290" s="1">
        <v>113.0</v>
      </c>
      <c r="M290" s="1">
        <v>6.0</v>
      </c>
      <c r="N290" s="1">
        <v>6.0</v>
      </c>
      <c r="O290" s="1">
        <v>0.0</v>
      </c>
      <c r="P290" s="1">
        <v>0.0</v>
      </c>
      <c r="Q290" s="1">
        <v>5.0</v>
      </c>
      <c r="R290" s="1">
        <v>31.0</v>
      </c>
    </row>
    <row r="291">
      <c r="A291" s="1">
        <f t="shared" si="1"/>
        <v>289</v>
      </c>
      <c r="B291" s="1" t="s">
        <v>1358</v>
      </c>
      <c r="C291" s="1">
        <f t="shared" si="2"/>
        <v>289</v>
      </c>
      <c r="D291" s="1" t="s">
        <v>1146</v>
      </c>
      <c r="E291" s="1" t="s">
        <v>31</v>
      </c>
      <c r="F291" s="11">
        <f t="shared" si="3"/>
        <v>235</v>
      </c>
      <c r="G291" s="11">
        <f t="shared" si="4"/>
        <v>3.051948052</v>
      </c>
      <c r="H291" s="1">
        <v>77.0</v>
      </c>
      <c r="I291" s="1">
        <v>15.0</v>
      </c>
      <c r="J291" s="1">
        <v>22.0</v>
      </c>
      <c r="K291" s="1">
        <v>37.0</v>
      </c>
      <c r="L291" s="1">
        <v>133.0</v>
      </c>
      <c r="M291" s="1">
        <v>6.0</v>
      </c>
      <c r="N291" s="1">
        <v>7.0</v>
      </c>
      <c r="O291" s="1">
        <v>0.0</v>
      </c>
      <c r="P291" s="1">
        <v>0.0</v>
      </c>
      <c r="Q291" s="1">
        <v>52.0</v>
      </c>
      <c r="R291" s="1">
        <v>44.0</v>
      </c>
    </row>
    <row r="292">
      <c r="A292" s="1">
        <f t="shared" si="1"/>
        <v>290</v>
      </c>
      <c r="B292" s="1" t="s">
        <v>1344</v>
      </c>
      <c r="C292" s="1">
        <f t="shared" si="2"/>
        <v>290</v>
      </c>
      <c r="D292" s="1" t="s">
        <v>1091</v>
      </c>
      <c r="E292" s="1" t="s">
        <v>66</v>
      </c>
      <c r="F292" s="11">
        <f t="shared" si="3"/>
        <v>234</v>
      </c>
      <c r="G292" s="11">
        <f t="shared" si="4"/>
        <v>3.295774648</v>
      </c>
      <c r="H292" s="1">
        <v>71.0</v>
      </c>
      <c r="I292" s="1">
        <v>1.0</v>
      </c>
      <c r="J292" s="1">
        <v>12.0</v>
      </c>
      <c r="K292" s="1">
        <v>13.0</v>
      </c>
      <c r="L292" s="1">
        <v>100.0</v>
      </c>
      <c r="M292" s="1">
        <v>0.0</v>
      </c>
      <c r="N292" s="1">
        <v>0.0</v>
      </c>
      <c r="O292" s="1">
        <v>0.0</v>
      </c>
      <c r="P292" s="1">
        <v>4.0</v>
      </c>
      <c r="Q292" s="1">
        <v>132.0</v>
      </c>
      <c r="R292" s="1">
        <v>205.0</v>
      </c>
    </row>
    <row r="293">
      <c r="A293" s="1">
        <f t="shared" si="1"/>
        <v>291</v>
      </c>
      <c r="B293" s="1" t="s">
        <v>1353</v>
      </c>
      <c r="C293" s="1">
        <f t="shared" si="2"/>
        <v>291</v>
      </c>
      <c r="D293" s="1" t="s">
        <v>1106</v>
      </c>
      <c r="E293" s="1" t="s">
        <v>66</v>
      </c>
      <c r="F293" s="11">
        <f t="shared" si="3"/>
        <v>233.75</v>
      </c>
      <c r="G293" s="11">
        <f t="shared" si="4"/>
        <v>3.895833333</v>
      </c>
      <c r="H293" s="1">
        <v>60.0</v>
      </c>
      <c r="I293" s="1">
        <v>2.0</v>
      </c>
      <c r="J293" s="1">
        <v>28.0</v>
      </c>
      <c r="K293" s="1">
        <v>30.0</v>
      </c>
      <c r="L293" s="1">
        <v>132.0</v>
      </c>
      <c r="M293" s="1">
        <v>1.0</v>
      </c>
      <c r="N293" s="1">
        <v>6.0</v>
      </c>
      <c r="O293" s="1">
        <v>0.0</v>
      </c>
      <c r="P293" s="1">
        <v>1.0</v>
      </c>
      <c r="Q293" s="1">
        <v>83.0</v>
      </c>
      <c r="R293" s="1">
        <v>104.0</v>
      </c>
    </row>
    <row r="294">
      <c r="A294" s="1">
        <f t="shared" si="1"/>
        <v>292</v>
      </c>
      <c r="B294" s="1" t="s">
        <v>1363</v>
      </c>
      <c r="C294" s="1">
        <f t="shared" si="2"/>
        <v>292</v>
      </c>
      <c r="D294" s="1" t="s">
        <v>1067</v>
      </c>
      <c r="E294" s="1" t="s">
        <v>66</v>
      </c>
      <c r="F294" s="11">
        <f t="shared" si="3"/>
        <v>232.75</v>
      </c>
      <c r="G294" s="11">
        <f t="shared" si="4"/>
        <v>3.0625</v>
      </c>
      <c r="H294" s="1">
        <v>76.0</v>
      </c>
      <c r="I294" s="1">
        <v>6.0</v>
      </c>
      <c r="J294" s="1">
        <v>27.0</v>
      </c>
      <c r="K294" s="1">
        <v>33.0</v>
      </c>
      <c r="L294" s="1">
        <v>108.0</v>
      </c>
      <c r="M294" s="1">
        <v>0.0</v>
      </c>
      <c r="N294" s="1">
        <v>6.0</v>
      </c>
      <c r="O294" s="1">
        <v>0.0</v>
      </c>
      <c r="P294" s="1">
        <v>1.0</v>
      </c>
      <c r="Q294" s="1">
        <v>45.0</v>
      </c>
      <c r="R294" s="1">
        <v>115.0</v>
      </c>
    </row>
    <row r="295">
      <c r="A295" s="1">
        <f t="shared" si="1"/>
        <v>293</v>
      </c>
      <c r="B295" s="1" t="s">
        <v>1330</v>
      </c>
      <c r="C295" s="1">
        <f t="shared" si="2"/>
        <v>293</v>
      </c>
      <c r="D295" s="1" t="s">
        <v>1146</v>
      </c>
      <c r="E295" s="1" t="s">
        <v>66</v>
      </c>
      <c r="F295" s="11">
        <f t="shared" si="3"/>
        <v>232.25</v>
      </c>
      <c r="G295" s="11">
        <f t="shared" si="4"/>
        <v>2.832317073</v>
      </c>
      <c r="H295" s="1">
        <v>82.0</v>
      </c>
      <c r="I295" s="1">
        <v>3.0</v>
      </c>
      <c r="J295" s="1">
        <v>22.0</v>
      </c>
      <c r="K295" s="1">
        <v>25.0</v>
      </c>
      <c r="L295" s="1">
        <v>97.0</v>
      </c>
      <c r="M295" s="1">
        <v>0.0</v>
      </c>
      <c r="N295" s="1">
        <v>0.0</v>
      </c>
      <c r="O295" s="1">
        <v>0.0</v>
      </c>
      <c r="P295" s="1">
        <v>0.0</v>
      </c>
      <c r="Q295" s="1">
        <v>195.0</v>
      </c>
      <c r="R295" s="1">
        <v>111.0</v>
      </c>
    </row>
    <row r="296">
      <c r="A296" s="1">
        <f t="shared" si="1"/>
        <v>294</v>
      </c>
      <c r="B296" s="1" t="s">
        <v>1354</v>
      </c>
      <c r="C296" s="1">
        <f t="shared" si="2"/>
        <v>294</v>
      </c>
      <c r="D296" s="1" t="s">
        <v>1048</v>
      </c>
      <c r="E296" s="1" t="s">
        <v>66</v>
      </c>
      <c r="F296" s="11">
        <f t="shared" si="3"/>
        <v>231.75</v>
      </c>
      <c r="G296" s="11">
        <f t="shared" si="4"/>
        <v>2.896875</v>
      </c>
      <c r="H296" s="1">
        <v>80.0</v>
      </c>
      <c r="I296" s="1">
        <v>9.0</v>
      </c>
      <c r="J296" s="1">
        <v>23.0</v>
      </c>
      <c r="K296" s="1">
        <v>32.0</v>
      </c>
      <c r="L296" s="1">
        <v>123.0</v>
      </c>
      <c r="M296" s="1">
        <v>1.0</v>
      </c>
      <c r="N296" s="1">
        <v>10.0</v>
      </c>
      <c r="O296" s="1">
        <v>0.0</v>
      </c>
      <c r="P296" s="1">
        <v>0.0</v>
      </c>
      <c r="Q296" s="1">
        <v>103.0</v>
      </c>
      <c r="R296" s="1">
        <v>70.0</v>
      </c>
    </row>
    <row r="297">
      <c r="A297" s="1">
        <f t="shared" si="1"/>
        <v>295</v>
      </c>
      <c r="B297" s="1" t="s">
        <v>1372</v>
      </c>
      <c r="C297" s="1">
        <f t="shared" si="2"/>
        <v>295</v>
      </c>
      <c r="D297" s="1" t="s">
        <v>1116</v>
      </c>
      <c r="E297" s="1" t="s">
        <v>28</v>
      </c>
      <c r="F297" s="11">
        <f t="shared" si="3"/>
        <v>231.5</v>
      </c>
      <c r="G297" s="11">
        <f t="shared" si="4"/>
        <v>3.26056338</v>
      </c>
      <c r="H297" s="1">
        <v>71.0</v>
      </c>
      <c r="I297" s="1">
        <v>19.0</v>
      </c>
      <c r="J297" s="1">
        <v>19.0</v>
      </c>
      <c r="K297" s="1">
        <v>38.0</v>
      </c>
      <c r="L297" s="1">
        <v>142.0</v>
      </c>
      <c r="M297" s="1">
        <v>5.0</v>
      </c>
      <c r="N297" s="1">
        <v>6.0</v>
      </c>
      <c r="O297" s="1">
        <v>0.0</v>
      </c>
      <c r="P297" s="1">
        <v>0.0</v>
      </c>
      <c r="Q297" s="1">
        <v>26.0</v>
      </c>
      <c r="R297" s="1">
        <v>23.0</v>
      </c>
    </row>
    <row r="298">
      <c r="A298" s="1">
        <f t="shared" si="1"/>
        <v>295</v>
      </c>
      <c r="B298" s="1" t="s">
        <v>1361</v>
      </c>
      <c r="C298" s="1">
        <f t="shared" si="2"/>
        <v>295</v>
      </c>
      <c r="D298" s="1" t="s">
        <v>1065</v>
      </c>
      <c r="E298" s="1" t="s">
        <v>31</v>
      </c>
      <c r="F298" s="11">
        <f t="shared" si="3"/>
        <v>231.5</v>
      </c>
      <c r="G298" s="11">
        <f t="shared" si="4"/>
        <v>2.930379747</v>
      </c>
      <c r="H298" s="1">
        <v>79.0</v>
      </c>
      <c r="I298" s="1">
        <v>11.0</v>
      </c>
      <c r="J298" s="1">
        <v>30.0</v>
      </c>
      <c r="K298" s="1">
        <v>41.0</v>
      </c>
      <c r="L298" s="1">
        <v>131.0</v>
      </c>
      <c r="M298" s="1">
        <v>2.0</v>
      </c>
      <c r="N298" s="1">
        <v>13.0</v>
      </c>
      <c r="O298" s="1">
        <v>0.0</v>
      </c>
      <c r="P298" s="1">
        <v>0.0</v>
      </c>
      <c r="Q298" s="1">
        <v>64.0</v>
      </c>
      <c r="R298" s="1">
        <v>21.0</v>
      </c>
    </row>
    <row r="299">
      <c r="A299" s="1">
        <f t="shared" si="1"/>
        <v>297</v>
      </c>
      <c r="B299" s="1" t="s">
        <v>1350</v>
      </c>
      <c r="C299" s="1">
        <f t="shared" si="2"/>
        <v>297</v>
      </c>
      <c r="D299" s="1" t="s">
        <v>1073</v>
      </c>
      <c r="E299" s="1" t="s">
        <v>31</v>
      </c>
      <c r="F299" s="11">
        <f t="shared" si="3"/>
        <v>230.5</v>
      </c>
      <c r="G299" s="11">
        <f t="shared" si="4"/>
        <v>2.88125</v>
      </c>
      <c r="H299" s="1">
        <v>80.0</v>
      </c>
      <c r="I299" s="1">
        <v>10.0</v>
      </c>
      <c r="J299" s="1">
        <v>20.0</v>
      </c>
      <c r="K299" s="1">
        <v>30.0</v>
      </c>
      <c r="L299" s="1">
        <v>123.0</v>
      </c>
      <c r="M299" s="1">
        <v>0.0</v>
      </c>
      <c r="N299" s="1">
        <v>1.0</v>
      </c>
      <c r="O299" s="1">
        <v>1.0</v>
      </c>
      <c r="P299" s="1">
        <v>3.0</v>
      </c>
      <c r="Q299" s="1">
        <v>142.0</v>
      </c>
      <c r="R299" s="1">
        <v>41.0</v>
      </c>
    </row>
    <row r="300">
      <c r="A300" s="1">
        <f t="shared" si="1"/>
        <v>298</v>
      </c>
      <c r="B300" s="1" t="s">
        <v>1368</v>
      </c>
      <c r="C300" s="1">
        <f t="shared" si="2"/>
        <v>298</v>
      </c>
      <c r="D300" s="1" t="s">
        <v>1091</v>
      </c>
      <c r="E300" s="1" t="s">
        <v>31</v>
      </c>
      <c r="F300" s="11">
        <f t="shared" si="3"/>
        <v>229.75</v>
      </c>
      <c r="G300" s="11">
        <f t="shared" si="4"/>
        <v>2.983766234</v>
      </c>
      <c r="H300" s="1">
        <v>77.0</v>
      </c>
      <c r="I300" s="1">
        <v>11.0</v>
      </c>
      <c r="J300" s="1">
        <v>17.0</v>
      </c>
      <c r="K300" s="1">
        <v>28.0</v>
      </c>
      <c r="L300" s="1">
        <v>111.0</v>
      </c>
      <c r="M300" s="1">
        <v>1.0</v>
      </c>
      <c r="N300" s="1">
        <v>1.0</v>
      </c>
      <c r="O300" s="1">
        <v>3.0</v>
      </c>
      <c r="P300" s="1">
        <v>1.0</v>
      </c>
      <c r="Q300" s="1">
        <v>61.0</v>
      </c>
      <c r="R300" s="1">
        <v>101.0</v>
      </c>
    </row>
    <row r="301">
      <c r="A301" s="1">
        <f t="shared" si="1"/>
        <v>298</v>
      </c>
      <c r="B301" s="1" t="s">
        <v>1364</v>
      </c>
      <c r="C301" s="1">
        <f t="shared" si="2"/>
        <v>298</v>
      </c>
      <c r="D301" s="1" t="s">
        <v>1034</v>
      </c>
      <c r="E301" s="1" t="s">
        <v>66</v>
      </c>
      <c r="F301" s="11">
        <f t="shared" si="3"/>
        <v>229.75</v>
      </c>
      <c r="G301" s="11">
        <f t="shared" si="4"/>
        <v>2.801829268</v>
      </c>
      <c r="H301" s="1">
        <v>82.0</v>
      </c>
      <c r="I301" s="1">
        <v>6.0</v>
      </c>
      <c r="J301" s="1">
        <v>27.0</v>
      </c>
      <c r="K301" s="1">
        <v>33.0</v>
      </c>
      <c r="L301" s="1">
        <v>101.0</v>
      </c>
      <c r="M301" s="1">
        <v>1.0</v>
      </c>
      <c r="N301" s="1">
        <v>6.0</v>
      </c>
      <c r="O301" s="1">
        <v>0.0</v>
      </c>
      <c r="P301" s="1">
        <v>0.0</v>
      </c>
      <c r="Q301" s="1">
        <v>75.0</v>
      </c>
      <c r="R301" s="1">
        <v>105.0</v>
      </c>
    </row>
    <row r="302">
      <c r="A302" s="1">
        <f t="shared" si="1"/>
        <v>300</v>
      </c>
      <c r="B302" s="1" t="s">
        <v>1357</v>
      </c>
      <c r="C302" s="1">
        <f t="shared" si="2"/>
        <v>300</v>
      </c>
      <c r="D302" s="1" t="s">
        <v>1073</v>
      </c>
      <c r="E302" s="1" t="s">
        <v>31</v>
      </c>
      <c r="F302" s="11">
        <f t="shared" si="3"/>
        <v>229.5</v>
      </c>
      <c r="G302" s="11">
        <f t="shared" si="4"/>
        <v>2.833333333</v>
      </c>
      <c r="H302" s="1">
        <v>81.0</v>
      </c>
      <c r="I302" s="1">
        <v>14.0</v>
      </c>
      <c r="J302" s="1">
        <v>23.0</v>
      </c>
      <c r="K302" s="1">
        <v>37.0</v>
      </c>
      <c r="L302" s="1">
        <v>111.0</v>
      </c>
      <c r="M302" s="1">
        <v>3.0</v>
      </c>
      <c r="N302" s="1">
        <v>8.0</v>
      </c>
      <c r="O302" s="1">
        <v>0.0</v>
      </c>
      <c r="P302" s="1">
        <v>0.0</v>
      </c>
      <c r="Q302" s="1">
        <v>118.0</v>
      </c>
      <c r="R302" s="1">
        <v>25.0</v>
      </c>
    </row>
    <row r="303">
      <c r="A303" s="1">
        <f t="shared" si="1"/>
        <v>300</v>
      </c>
      <c r="B303" s="1" t="s">
        <v>1323</v>
      </c>
      <c r="C303" s="1">
        <f t="shared" si="2"/>
        <v>300</v>
      </c>
      <c r="D303" s="1" t="s">
        <v>1082</v>
      </c>
      <c r="E303" s="1" t="s">
        <v>31</v>
      </c>
      <c r="F303" s="11">
        <f t="shared" si="3"/>
        <v>229.5</v>
      </c>
      <c r="G303" s="11">
        <f t="shared" si="4"/>
        <v>2.833333333</v>
      </c>
      <c r="H303" s="1">
        <v>81.0</v>
      </c>
      <c r="I303" s="1">
        <v>6.0</v>
      </c>
      <c r="J303" s="1">
        <v>15.0</v>
      </c>
      <c r="K303" s="1">
        <v>21.0</v>
      </c>
      <c r="L303" s="1">
        <v>98.0</v>
      </c>
      <c r="M303" s="1">
        <v>0.0</v>
      </c>
      <c r="N303" s="1">
        <v>0.0</v>
      </c>
      <c r="O303" s="1">
        <v>0.0</v>
      </c>
      <c r="P303" s="1">
        <v>1.0</v>
      </c>
      <c r="Q303" s="1">
        <v>240.0</v>
      </c>
      <c r="R303" s="1">
        <v>93.0</v>
      </c>
    </row>
    <row r="304">
      <c r="A304" s="1">
        <f t="shared" si="1"/>
        <v>302</v>
      </c>
      <c r="B304" s="1" t="s">
        <v>1376</v>
      </c>
      <c r="C304" s="1">
        <f t="shared" si="2"/>
        <v>302</v>
      </c>
      <c r="D304" s="1" t="s">
        <v>1082</v>
      </c>
      <c r="E304" s="1" t="s">
        <v>31</v>
      </c>
      <c r="F304" s="11">
        <f t="shared" si="3"/>
        <v>228.25</v>
      </c>
      <c r="G304" s="11">
        <f t="shared" si="4"/>
        <v>2.853125</v>
      </c>
      <c r="H304" s="1">
        <v>80.0</v>
      </c>
      <c r="I304" s="1">
        <v>18.0</v>
      </c>
      <c r="J304" s="1">
        <v>15.0</v>
      </c>
      <c r="K304" s="1">
        <v>33.0</v>
      </c>
      <c r="L304" s="1">
        <v>135.0</v>
      </c>
      <c r="M304" s="1">
        <v>2.0</v>
      </c>
      <c r="N304" s="1">
        <v>4.0</v>
      </c>
      <c r="O304" s="1">
        <v>1.0</v>
      </c>
      <c r="P304" s="1">
        <v>1.0</v>
      </c>
      <c r="Q304" s="1">
        <v>45.0</v>
      </c>
      <c r="R304" s="1">
        <v>39.0</v>
      </c>
    </row>
    <row r="305">
      <c r="A305" s="1">
        <f t="shared" si="1"/>
        <v>303</v>
      </c>
      <c r="B305" s="1" t="s">
        <v>1387</v>
      </c>
      <c r="C305" s="1">
        <f t="shared" si="2"/>
        <v>303</v>
      </c>
      <c r="D305" s="1" t="s">
        <v>1080</v>
      </c>
      <c r="E305" s="1" t="s">
        <v>66</v>
      </c>
      <c r="F305" s="11">
        <f t="shared" si="3"/>
        <v>227.25</v>
      </c>
      <c r="G305" s="11">
        <f t="shared" si="4"/>
        <v>4.835106383</v>
      </c>
      <c r="H305" s="1">
        <v>47.0</v>
      </c>
      <c r="I305" s="1">
        <v>5.0</v>
      </c>
      <c r="J305" s="1">
        <v>37.0</v>
      </c>
      <c r="K305" s="1">
        <v>42.0</v>
      </c>
      <c r="L305" s="1">
        <v>105.0</v>
      </c>
      <c r="M305" s="1">
        <v>2.0</v>
      </c>
      <c r="N305" s="1">
        <v>13.0</v>
      </c>
      <c r="O305" s="1">
        <v>0.0</v>
      </c>
      <c r="P305" s="1">
        <v>0.0</v>
      </c>
      <c r="Q305" s="1">
        <v>9.0</v>
      </c>
      <c r="R305" s="1">
        <v>78.0</v>
      </c>
    </row>
    <row r="306">
      <c r="A306" s="1">
        <f t="shared" si="1"/>
        <v>303</v>
      </c>
      <c r="B306" s="1" t="s">
        <v>1374</v>
      </c>
      <c r="C306" s="1">
        <f t="shared" si="2"/>
        <v>303</v>
      </c>
      <c r="D306" s="1" t="s">
        <v>1097</v>
      </c>
      <c r="E306" s="1" t="s">
        <v>36</v>
      </c>
      <c r="F306" s="11">
        <f t="shared" si="3"/>
        <v>227.25</v>
      </c>
      <c r="G306" s="11">
        <f t="shared" si="4"/>
        <v>2.951298701</v>
      </c>
      <c r="H306" s="1">
        <v>77.0</v>
      </c>
      <c r="I306" s="1">
        <v>16.0</v>
      </c>
      <c r="J306" s="1">
        <v>15.0</v>
      </c>
      <c r="K306" s="1">
        <v>31.0</v>
      </c>
      <c r="L306" s="1">
        <v>154.0</v>
      </c>
      <c r="M306" s="1">
        <v>1.0</v>
      </c>
      <c r="N306" s="1">
        <v>3.0</v>
      </c>
      <c r="O306" s="1">
        <v>0.0</v>
      </c>
      <c r="P306" s="1">
        <v>0.0</v>
      </c>
      <c r="Q306" s="1">
        <v>63.0</v>
      </c>
      <c r="R306" s="1">
        <v>35.0</v>
      </c>
    </row>
    <row r="307">
      <c r="A307" s="1">
        <f t="shared" si="1"/>
        <v>305</v>
      </c>
      <c r="B307" s="1" t="s">
        <v>1335</v>
      </c>
      <c r="C307" s="1">
        <f t="shared" si="2"/>
        <v>305</v>
      </c>
      <c r="D307" s="1" t="s">
        <v>1116</v>
      </c>
      <c r="E307" s="1" t="s">
        <v>66</v>
      </c>
      <c r="F307" s="11">
        <f t="shared" si="3"/>
        <v>227</v>
      </c>
      <c r="G307" s="11">
        <f t="shared" si="4"/>
        <v>2.948051948</v>
      </c>
      <c r="H307" s="1">
        <v>77.0</v>
      </c>
      <c r="I307" s="1">
        <v>8.0</v>
      </c>
      <c r="J307" s="1">
        <v>12.0</v>
      </c>
      <c r="K307" s="1">
        <v>20.0</v>
      </c>
      <c r="L307" s="1">
        <v>79.0</v>
      </c>
      <c r="M307" s="1">
        <v>0.0</v>
      </c>
      <c r="N307" s="1">
        <v>0.0</v>
      </c>
      <c r="O307" s="1">
        <v>0.0</v>
      </c>
      <c r="P307" s="1">
        <v>0.0</v>
      </c>
      <c r="Q307" s="1">
        <v>240.0</v>
      </c>
      <c r="R307" s="1">
        <v>111.0</v>
      </c>
    </row>
    <row r="308">
      <c r="A308" s="1">
        <f t="shared" si="1"/>
        <v>306</v>
      </c>
      <c r="B308" s="1" t="s">
        <v>1386</v>
      </c>
      <c r="C308" s="1">
        <f t="shared" si="2"/>
        <v>306</v>
      </c>
      <c r="D308" s="1" t="s">
        <v>1054</v>
      </c>
      <c r="E308" s="1" t="s">
        <v>66</v>
      </c>
      <c r="F308" s="11">
        <f t="shared" si="3"/>
        <v>226.25</v>
      </c>
      <c r="G308" s="11">
        <f t="shared" si="4"/>
        <v>3.649193548</v>
      </c>
      <c r="H308" s="1">
        <v>62.0</v>
      </c>
      <c r="I308" s="1">
        <v>7.0</v>
      </c>
      <c r="J308" s="1">
        <v>20.0</v>
      </c>
      <c r="K308" s="1">
        <v>27.0</v>
      </c>
      <c r="L308" s="1">
        <v>117.0</v>
      </c>
      <c r="M308" s="1">
        <v>0.0</v>
      </c>
      <c r="N308" s="1">
        <v>1.0</v>
      </c>
      <c r="O308" s="1">
        <v>0.0</v>
      </c>
      <c r="P308" s="1">
        <v>0.0</v>
      </c>
      <c r="Q308" s="1">
        <v>21.0</v>
      </c>
      <c r="R308" s="1">
        <v>142.0</v>
      </c>
    </row>
    <row r="309">
      <c r="A309" s="1">
        <f t="shared" si="1"/>
        <v>306</v>
      </c>
      <c r="B309" s="1" t="s">
        <v>1377</v>
      </c>
      <c r="C309" s="1">
        <f t="shared" si="2"/>
        <v>306</v>
      </c>
      <c r="D309" s="1" t="s">
        <v>1073</v>
      </c>
      <c r="E309" s="1" t="s">
        <v>28</v>
      </c>
      <c r="F309" s="11">
        <f t="shared" si="3"/>
        <v>226.25</v>
      </c>
      <c r="G309" s="11">
        <f t="shared" si="4"/>
        <v>2.759146341</v>
      </c>
      <c r="H309" s="1">
        <v>82.0</v>
      </c>
      <c r="I309" s="1">
        <v>14.0</v>
      </c>
      <c r="J309" s="1">
        <v>18.0</v>
      </c>
      <c r="K309" s="1">
        <v>32.0</v>
      </c>
      <c r="L309" s="1">
        <v>148.0</v>
      </c>
      <c r="M309" s="1">
        <v>0.0</v>
      </c>
      <c r="N309" s="1">
        <v>0.0</v>
      </c>
      <c r="O309" s="1">
        <v>1.0</v>
      </c>
      <c r="P309" s="1">
        <v>0.0</v>
      </c>
      <c r="Q309" s="1">
        <v>61.0</v>
      </c>
      <c r="R309" s="1">
        <v>36.0</v>
      </c>
    </row>
    <row r="310">
      <c r="A310" s="1">
        <f t="shared" si="1"/>
        <v>308</v>
      </c>
      <c r="B310" s="1" t="s">
        <v>1370</v>
      </c>
      <c r="C310" s="1">
        <f t="shared" si="2"/>
        <v>308</v>
      </c>
      <c r="D310" s="1" t="s">
        <v>1042</v>
      </c>
      <c r="E310" s="1" t="s">
        <v>28</v>
      </c>
      <c r="F310" s="11">
        <f t="shared" si="3"/>
        <v>225.5</v>
      </c>
      <c r="G310" s="11">
        <f t="shared" si="4"/>
        <v>3.268115942</v>
      </c>
      <c r="H310" s="1">
        <v>69.0</v>
      </c>
      <c r="I310" s="1">
        <v>14.0</v>
      </c>
      <c r="J310" s="1">
        <v>18.0</v>
      </c>
      <c r="K310" s="1">
        <v>32.0</v>
      </c>
      <c r="L310" s="1">
        <v>150.0</v>
      </c>
      <c r="M310" s="1">
        <v>5.0</v>
      </c>
      <c r="N310" s="1">
        <v>5.0</v>
      </c>
      <c r="O310" s="1">
        <v>0.0</v>
      </c>
      <c r="P310" s="1">
        <v>0.0</v>
      </c>
      <c r="Q310" s="1">
        <v>98.0</v>
      </c>
      <c r="R310" s="1">
        <v>18.0</v>
      </c>
    </row>
    <row r="311">
      <c r="A311" s="1">
        <f t="shared" si="1"/>
        <v>309</v>
      </c>
      <c r="B311" s="1" t="s">
        <v>1384</v>
      </c>
      <c r="C311" s="1">
        <f t="shared" si="2"/>
        <v>309</v>
      </c>
      <c r="D311" s="1" t="s">
        <v>1034</v>
      </c>
      <c r="E311" s="1" t="s">
        <v>66</v>
      </c>
      <c r="F311" s="11">
        <f t="shared" si="3"/>
        <v>225</v>
      </c>
      <c r="G311" s="11">
        <f t="shared" si="4"/>
        <v>3.040540541</v>
      </c>
      <c r="H311" s="1">
        <v>74.0</v>
      </c>
      <c r="I311" s="1">
        <v>3.0</v>
      </c>
      <c r="J311" s="1">
        <v>29.0</v>
      </c>
      <c r="K311" s="1">
        <v>32.0</v>
      </c>
      <c r="L311" s="1">
        <v>91.0</v>
      </c>
      <c r="M311" s="1">
        <v>0.0</v>
      </c>
      <c r="N311" s="1">
        <v>4.0</v>
      </c>
      <c r="O311" s="1">
        <v>0.0</v>
      </c>
      <c r="P311" s="1">
        <v>0.0</v>
      </c>
      <c r="Q311" s="1">
        <v>38.0</v>
      </c>
      <c r="R311" s="1">
        <v>139.0</v>
      </c>
    </row>
    <row r="312">
      <c r="A312" s="1">
        <f t="shared" si="1"/>
        <v>309</v>
      </c>
      <c r="B312" s="1" t="s">
        <v>1389</v>
      </c>
      <c r="C312" s="1">
        <f t="shared" si="2"/>
        <v>309</v>
      </c>
      <c r="D312" s="1" t="s">
        <v>1076</v>
      </c>
      <c r="E312" s="1" t="s">
        <v>31</v>
      </c>
      <c r="F312" s="11">
        <f t="shared" si="3"/>
        <v>225</v>
      </c>
      <c r="G312" s="11">
        <f t="shared" si="4"/>
        <v>2.743902439</v>
      </c>
      <c r="H312" s="1">
        <v>82.0</v>
      </c>
      <c r="I312" s="1">
        <v>20.0</v>
      </c>
      <c r="J312" s="1">
        <v>13.0</v>
      </c>
      <c r="K312" s="1">
        <v>33.0</v>
      </c>
      <c r="L312" s="1">
        <v>134.0</v>
      </c>
      <c r="M312" s="1">
        <v>4.0</v>
      </c>
      <c r="N312" s="1">
        <v>1.0</v>
      </c>
      <c r="O312" s="1">
        <v>0.0</v>
      </c>
      <c r="P312" s="1">
        <v>0.0</v>
      </c>
      <c r="Q312" s="1">
        <v>30.0</v>
      </c>
      <c r="R312" s="1">
        <v>43.0</v>
      </c>
    </row>
    <row r="313">
      <c r="A313" s="1">
        <f t="shared" si="1"/>
        <v>311</v>
      </c>
      <c r="B313" s="1" t="s">
        <v>1359</v>
      </c>
      <c r="C313" s="1">
        <f t="shared" si="2"/>
        <v>311</v>
      </c>
      <c r="D313" s="1" t="s">
        <v>1120</v>
      </c>
      <c r="E313" s="1" t="s">
        <v>66</v>
      </c>
      <c r="F313" s="11">
        <f t="shared" si="3"/>
        <v>224.75</v>
      </c>
      <c r="G313" s="11">
        <f t="shared" si="4"/>
        <v>3.078767123</v>
      </c>
      <c r="H313" s="1">
        <v>73.0</v>
      </c>
      <c r="I313" s="1">
        <v>3.0</v>
      </c>
      <c r="J313" s="1">
        <v>21.0</v>
      </c>
      <c r="K313" s="1">
        <v>24.0</v>
      </c>
      <c r="L313" s="1">
        <v>84.0</v>
      </c>
      <c r="M313" s="1">
        <v>0.0</v>
      </c>
      <c r="N313" s="1">
        <v>0.0</v>
      </c>
      <c r="O313" s="1">
        <v>0.0</v>
      </c>
      <c r="P313" s="1">
        <v>1.0</v>
      </c>
      <c r="Q313" s="1">
        <v>149.0</v>
      </c>
      <c r="R313" s="1">
        <v>134.0</v>
      </c>
    </row>
    <row r="314">
      <c r="A314" s="1">
        <f t="shared" si="1"/>
        <v>312</v>
      </c>
      <c r="B314" s="1" t="s">
        <v>1392</v>
      </c>
      <c r="C314" s="1">
        <f t="shared" si="2"/>
        <v>312</v>
      </c>
      <c r="D314" s="1" t="s">
        <v>1073</v>
      </c>
      <c r="E314" s="1" t="s">
        <v>5</v>
      </c>
      <c r="F314" s="11">
        <f t="shared" si="3"/>
        <v>224.7</v>
      </c>
      <c r="G314" s="11">
        <f t="shared" si="4"/>
        <v>5.35</v>
      </c>
      <c r="H314" s="1">
        <v>42.0</v>
      </c>
      <c r="S314" s="1">
        <v>23.0</v>
      </c>
      <c r="T314" s="1">
        <v>92.0</v>
      </c>
      <c r="U314" s="1">
        <v>939.0</v>
      </c>
      <c r="V314" s="1">
        <v>4.0</v>
      </c>
    </row>
    <row r="315">
      <c r="A315" s="1">
        <f t="shared" si="1"/>
        <v>313</v>
      </c>
      <c r="B315" s="1" t="s">
        <v>1390</v>
      </c>
      <c r="C315" s="1">
        <f t="shared" si="2"/>
        <v>313</v>
      </c>
      <c r="D315" s="1" t="s">
        <v>1120</v>
      </c>
      <c r="E315" s="1" t="s">
        <v>66</v>
      </c>
      <c r="F315" s="11">
        <f t="shared" si="3"/>
        <v>222.75</v>
      </c>
      <c r="G315" s="11">
        <f t="shared" si="4"/>
        <v>3.535714286</v>
      </c>
      <c r="H315" s="1">
        <v>63.0</v>
      </c>
      <c r="I315" s="1">
        <v>12.0</v>
      </c>
      <c r="J315" s="1">
        <v>9.0</v>
      </c>
      <c r="K315" s="1">
        <v>21.0</v>
      </c>
      <c r="L315" s="1">
        <v>108.0</v>
      </c>
      <c r="M315" s="1">
        <v>1.0</v>
      </c>
      <c r="N315" s="1">
        <v>3.0</v>
      </c>
      <c r="O315" s="1">
        <v>0.0</v>
      </c>
      <c r="P315" s="1">
        <v>1.0</v>
      </c>
      <c r="Q315" s="1">
        <v>41.0</v>
      </c>
      <c r="R315" s="1">
        <v>151.0</v>
      </c>
    </row>
    <row r="316">
      <c r="A316" s="1">
        <f t="shared" si="1"/>
        <v>313</v>
      </c>
      <c r="B316" s="1" t="s">
        <v>1391</v>
      </c>
      <c r="C316" s="1">
        <f t="shared" si="2"/>
        <v>313</v>
      </c>
      <c r="D316" s="1" t="s">
        <v>1091</v>
      </c>
      <c r="E316" s="1" t="s">
        <v>36</v>
      </c>
      <c r="F316" s="11">
        <f t="shared" si="3"/>
        <v>222.75</v>
      </c>
      <c r="G316" s="11">
        <f t="shared" si="4"/>
        <v>3.182142857</v>
      </c>
      <c r="H316" s="1">
        <v>70.0</v>
      </c>
      <c r="I316" s="1">
        <v>13.0</v>
      </c>
      <c r="J316" s="1">
        <v>15.0</v>
      </c>
      <c r="K316" s="1">
        <v>28.0</v>
      </c>
      <c r="L316" s="1">
        <v>175.0</v>
      </c>
      <c r="M316" s="1">
        <v>2.0</v>
      </c>
      <c r="N316" s="1">
        <v>4.0</v>
      </c>
      <c r="O316" s="1">
        <v>0.0</v>
      </c>
      <c r="P316" s="1">
        <v>0.0</v>
      </c>
      <c r="Q316" s="1">
        <v>35.0</v>
      </c>
      <c r="R316" s="1">
        <v>46.0</v>
      </c>
    </row>
    <row r="317">
      <c r="A317" s="1">
        <f t="shared" si="1"/>
        <v>315</v>
      </c>
      <c r="B317" s="1" t="s">
        <v>1379</v>
      </c>
      <c r="C317" s="1">
        <f t="shared" si="2"/>
        <v>315</v>
      </c>
      <c r="D317" s="1" t="s">
        <v>1116</v>
      </c>
      <c r="E317" s="1" t="s">
        <v>31</v>
      </c>
      <c r="F317" s="11">
        <f t="shared" si="3"/>
        <v>222.5</v>
      </c>
      <c r="G317" s="11">
        <f t="shared" si="4"/>
        <v>2.852564103</v>
      </c>
      <c r="H317" s="1">
        <v>78.0</v>
      </c>
      <c r="I317" s="1">
        <v>11.0</v>
      </c>
      <c r="J317" s="1">
        <v>26.0</v>
      </c>
      <c r="K317" s="1">
        <v>37.0</v>
      </c>
      <c r="L317" s="1">
        <v>95.0</v>
      </c>
      <c r="M317" s="1">
        <v>3.0</v>
      </c>
      <c r="N317" s="1">
        <v>2.0</v>
      </c>
      <c r="O317" s="1">
        <v>1.0</v>
      </c>
      <c r="P317" s="1">
        <v>0.0</v>
      </c>
      <c r="Q317" s="1">
        <v>92.0</v>
      </c>
      <c r="R317" s="1">
        <v>45.0</v>
      </c>
    </row>
    <row r="318">
      <c r="A318" s="1">
        <f t="shared" si="1"/>
        <v>316</v>
      </c>
      <c r="B318" s="1" t="s">
        <v>1366</v>
      </c>
      <c r="C318" s="1">
        <f t="shared" si="2"/>
        <v>316</v>
      </c>
      <c r="D318" s="1" t="s">
        <v>1067</v>
      </c>
      <c r="E318" s="1" t="s">
        <v>28</v>
      </c>
      <c r="F318" s="11">
        <f t="shared" si="3"/>
        <v>222.25</v>
      </c>
      <c r="G318" s="11">
        <f t="shared" si="4"/>
        <v>3.317164179</v>
      </c>
      <c r="H318" s="1">
        <v>67.0</v>
      </c>
      <c r="I318" s="1">
        <v>10.0</v>
      </c>
      <c r="J318" s="1">
        <v>18.0</v>
      </c>
      <c r="K318" s="1">
        <v>28.0</v>
      </c>
      <c r="L318" s="1">
        <v>107.0</v>
      </c>
      <c r="M318" s="1">
        <v>1.0</v>
      </c>
      <c r="N318" s="1">
        <v>2.0</v>
      </c>
      <c r="O318" s="1">
        <v>0.0</v>
      </c>
      <c r="P318" s="1">
        <v>1.0</v>
      </c>
      <c r="Q318" s="1">
        <v>141.0</v>
      </c>
      <c r="R318" s="1">
        <v>65.0</v>
      </c>
    </row>
    <row r="319">
      <c r="A319" s="1">
        <f t="shared" si="1"/>
        <v>316</v>
      </c>
      <c r="B319" s="1" t="s">
        <v>1367</v>
      </c>
      <c r="C319" s="1">
        <f t="shared" si="2"/>
        <v>316</v>
      </c>
      <c r="D319" s="1" t="s">
        <v>1044</v>
      </c>
      <c r="E319" s="1" t="s">
        <v>66</v>
      </c>
      <c r="F319" s="11">
        <f t="shared" si="3"/>
        <v>222.25</v>
      </c>
      <c r="G319" s="11">
        <f t="shared" si="4"/>
        <v>3.221014493</v>
      </c>
      <c r="H319" s="1">
        <v>69.0</v>
      </c>
      <c r="I319" s="1">
        <v>5.0</v>
      </c>
      <c r="J319" s="1">
        <v>20.0</v>
      </c>
      <c r="K319" s="1">
        <v>25.0</v>
      </c>
      <c r="L319" s="1">
        <v>85.0</v>
      </c>
      <c r="M319" s="1">
        <v>0.0</v>
      </c>
      <c r="N319" s="1">
        <v>0.0</v>
      </c>
      <c r="O319" s="1">
        <v>1.0</v>
      </c>
      <c r="P319" s="1">
        <v>0.0</v>
      </c>
      <c r="Q319" s="1">
        <v>137.0</v>
      </c>
      <c r="R319" s="1">
        <v>122.0</v>
      </c>
    </row>
    <row r="320">
      <c r="A320" s="1">
        <f t="shared" si="1"/>
        <v>316</v>
      </c>
      <c r="B320" s="1" t="s">
        <v>1360</v>
      </c>
      <c r="C320" s="1">
        <f t="shared" si="2"/>
        <v>316</v>
      </c>
      <c r="D320" s="1" t="s">
        <v>1040</v>
      </c>
      <c r="E320" s="1" t="s">
        <v>66</v>
      </c>
      <c r="F320" s="11">
        <f t="shared" si="3"/>
        <v>222.25</v>
      </c>
      <c r="G320" s="11">
        <f t="shared" si="4"/>
        <v>2.710365854</v>
      </c>
      <c r="H320" s="1">
        <v>82.0</v>
      </c>
      <c r="I320" s="1">
        <v>5.0</v>
      </c>
      <c r="J320" s="1">
        <v>14.0</v>
      </c>
      <c r="K320" s="1">
        <v>19.0</v>
      </c>
      <c r="L320" s="1">
        <v>95.0</v>
      </c>
      <c r="M320" s="1">
        <v>0.0</v>
      </c>
      <c r="N320" s="1">
        <v>0.0</v>
      </c>
      <c r="O320" s="1">
        <v>1.0</v>
      </c>
      <c r="P320" s="1">
        <v>0.0</v>
      </c>
      <c r="Q320" s="1">
        <v>167.0</v>
      </c>
      <c r="R320" s="1">
        <v>133.0</v>
      </c>
    </row>
    <row r="321">
      <c r="A321" s="1">
        <f t="shared" si="1"/>
        <v>319</v>
      </c>
      <c r="B321" s="1" t="s">
        <v>1375</v>
      </c>
      <c r="C321" s="1">
        <f t="shared" si="2"/>
        <v>319</v>
      </c>
      <c r="D321" s="1" t="s">
        <v>1146</v>
      </c>
      <c r="E321" s="1" t="s">
        <v>66</v>
      </c>
      <c r="F321" s="11">
        <f t="shared" si="3"/>
        <v>222</v>
      </c>
      <c r="G321" s="11">
        <f t="shared" si="4"/>
        <v>2.707317073</v>
      </c>
      <c r="H321" s="1">
        <v>82.0</v>
      </c>
      <c r="I321" s="1">
        <v>2.0</v>
      </c>
      <c r="J321" s="1">
        <v>13.0</v>
      </c>
      <c r="K321" s="1">
        <v>15.0</v>
      </c>
      <c r="L321" s="1">
        <v>108.0</v>
      </c>
      <c r="M321" s="1">
        <v>0.0</v>
      </c>
      <c r="N321" s="1">
        <v>0.0</v>
      </c>
      <c r="O321" s="1">
        <v>0.0</v>
      </c>
      <c r="P321" s="1">
        <v>2.0</v>
      </c>
      <c r="Q321" s="1">
        <v>110.0</v>
      </c>
      <c r="R321" s="1">
        <v>177.0</v>
      </c>
    </row>
    <row r="322">
      <c r="A322" s="1">
        <f t="shared" si="1"/>
        <v>320</v>
      </c>
      <c r="B322" s="1" t="s">
        <v>1399</v>
      </c>
      <c r="C322" s="1">
        <f t="shared" si="2"/>
        <v>320</v>
      </c>
      <c r="D322" s="1" t="s">
        <v>1054</v>
      </c>
      <c r="E322" s="1" t="s">
        <v>5</v>
      </c>
      <c r="F322" s="11">
        <f t="shared" si="3"/>
        <v>221.7</v>
      </c>
      <c r="G322" s="11">
        <f t="shared" si="4"/>
        <v>4.926666667</v>
      </c>
      <c r="H322" s="1">
        <v>45.0</v>
      </c>
      <c r="S322" s="1">
        <v>20.0</v>
      </c>
      <c r="T322" s="1">
        <v>129.0</v>
      </c>
      <c r="U322" s="12">
        <v>1154.0</v>
      </c>
      <c r="V322" s="1">
        <v>3.0</v>
      </c>
    </row>
    <row r="323">
      <c r="A323" s="1">
        <f t="shared" si="1"/>
        <v>321</v>
      </c>
      <c r="B323" s="1" t="s">
        <v>1378</v>
      </c>
      <c r="C323" s="1">
        <f t="shared" si="2"/>
        <v>321</v>
      </c>
      <c r="D323" s="1" t="s">
        <v>1030</v>
      </c>
      <c r="E323" s="1" t="s">
        <v>28</v>
      </c>
      <c r="F323" s="11">
        <f t="shared" si="3"/>
        <v>221.25</v>
      </c>
      <c r="G323" s="11">
        <f t="shared" si="4"/>
        <v>2.989864865</v>
      </c>
      <c r="H323" s="1">
        <v>74.0</v>
      </c>
      <c r="I323" s="1">
        <v>9.0</v>
      </c>
      <c r="J323" s="1">
        <v>17.0</v>
      </c>
      <c r="K323" s="1">
        <v>26.0</v>
      </c>
      <c r="L323" s="1">
        <v>167.0</v>
      </c>
      <c r="M323" s="1">
        <v>0.0</v>
      </c>
      <c r="N323" s="1">
        <v>0.0</v>
      </c>
      <c r="O323" s="1">
        <v>1.0</v>
      </c>
      <c r="P323" s="1">
        <v>0.0</v>
      </c>
      <c r="Q323" s="1">
        <v>107.0</v>
      </c>
      <c r="R323" s="1">
        <v>35.0</v>
      </c>
    </row>
    <row r="324">
      <c r="A324" s="1">
        <f t="shared" si="1"/>
        <v>322</v>
      </c>
      <c r="B324" s="1" t="s">
        <v>1394</v>
      </c>
      <c r="C324" s="1">
        <f t="shared" si="2"/>
        <v>322</v>
      </c>
      <c r="D324" s="1" t="s">
        <v>1038</v>
      </c>
      <c r="E324" s="1" t="s">
        <v>28</v>
      </c>
      <c r="F324" s="11">
        <f t="shared" si="3"/>
        <v>221</v>
      </c>
      <c r="G324" s="11">
        <f t="shared" si="4"/>
        <v>3.112676056</v>
      </c>
      <c r="H324" s="1">
        <v>71.0</v>
      </c>
      <c r="I324" s="1">
        <v>11.0</v>
      </c>
      <c r="J324" s="1">
        <v>27.0</v>
      </c>
      <c r="K324" s="1">
        <v>38.0</v>
      </c>
      <c r="L324" s="1">
        <v>142.0</v>
      </c>
      <c r="M324" s="1">
        <v>6.0</v>
      </c>
      <c r="N324" s="1">
        <v>6.0</v>
      </c>
      <c r="O324" s="1">
        <v>0.0</v>
      </c>
      <c r="P324" s="1">
        <v>0.0</v>
      </c>
      <c r="Q324" s="1">
        <v>34.0</v>
      </c>
      <c r="R324" s="1">
        <v>22.0</v>
      </c>
    </row>
    <row r="325">
      <c r="A325" s="1">
        <f t="shared" si="1"/>
        <v>322</v>
      </c>
      <c r="B325" s="1" t="s">
        <v>1382</v>
      </c>
      <c r="C325" s="1">
        <f t="shared" si="2"/>
        <v>322</v>
      </c>
      <c r="D325" s="1" t="s">
        <v>1067</v>
      </c>
      <c r="E325" s="1" t="s">
        <v>66</v>
      </c>
      <c r="F325" s="11">
        <f t="shared" si="3"/>
        <v>221</v>
      </c>
      <c r="G325" s="11">
        <f t="shared" si="4"/>
        <v>3.02739726</v>
      </c>
      <c r="H325" s="1">
        <v>73.0</v>
      </c>
      <c r="I325" s="1">
        <v>11.0</v>
      </c>
      <c r="J325" s="1">
        <v>18.0</v>
      </c>
      <c r="K325" s="1">
        <v>29.0</v>
      </c>
      <c r="L325" s="1">
        <v>84.0</v>
      </c>
      <c r="M325" s="1">
        <v>0.0</v>
      </c>
      <c r="N325" s="1">
        <v>1.0</v>
      </c>
      <c r="O325" s="1">
        <v>0.0</v>
      </c>
      <c r="P325" s="1">
        <v>0.0</v>
      </c>
      <c r="Q325" s="1">
        <v>94.0</v>
      </c>
      <c r="R325" s="1">
        <v>104.0</v>
      </c>
    </row>
    <row r="326">
      <c r="A326" s="1">
        <f t="shared" si="1"/>
        <v>324</v>
      </c>
      <c r="B326" s="1" t="s">
        <v>1373</v>
      </c>
      <c r="C326" s="1">
        <f t="shared" si="2"/>
        <v>324</v>
      </c>
      <c r="D326" s="1" t="s">
        <v>1048</v>
      </c>
      <c r="E326" s="1" t="s">
        <v>28</v>
      </c>
      <c r="F326" s="11">
        <f t="shared" si="3"/>
        <v>220.75</v>
      </c>
      <c r="G326" s="11">
        <f t="shared" si="4"/>
        <v>2.692073171</v>
      </c>
      <c r="H326" s="1">
        <v>82.0</v>
      </c>
      <c r="I326" s="1">
        <v>12.0</v>
      </c>
      <c r="J326" s="1">
        <v>15.0</v>
      </c>
      <c r="K326" s="1">
        <v>27.0</v>
      </c>
      <c r="L326" s="1">
        <v>119.0</v>
      </c>
      <c r="M326" s="1">
        <v>2.0</v>
      </c>
      <c r="N326" s="1">
        <v>0.0</v>
      </c>
      <c r="O326" s="1">
        <v>0.0</v>
      </c>
      <c r="P326" s="1">
        <v>1.0</v>
      </c>
      <c r="Q326" s="1">
        <v>129.0</v>
      </c>
      <c r="R326" s="1">
        <v>56.0</v>
      </c>
    </row>
    <row r="327">
      <c r="A327" s="1">
        <f t="shared" si="1"/>
        <v>325</v>
      </c>
      <c r="B327" s="1" t="s">
        <v>1381</v>
      </c>
      <c r="C327" s="1">
        <f t="shared" si="2"/>
        <v>325</v>
      </c>
      <c r="D327" s="1" t="s">
        <v>1172</v>
      </c>
      <c r="E327" s="1" t="s">
        <v>31</v>
      </c>
      <c r="F327" s="11">
        <f t="shared" si="3"/>
        <v>220.5</v>
      </c>
      <c r="G327" s="11">
        <f t="shared" si="4"/>
        <v>2.826923077</v>
      </c>
      <c r="H327" s="1">
        <v>78.0</v>
      </c>
      <c r="I327" s="1">
        <v>12.0</v>
      </c>
      <c r="J327" s="1">
        <v>18.0</v>
      </c>
      <c r="K327" s="1">
        <v>30.0</v>
      </c>
      <c r="L327" s="1">
        <v>149.0</v>
      </c>
      <c r="M327" s="1">
        <v>1.0</v>
      </c>
      <c r="N327" s="1">
        <v>2.0</v>
      </c>
      <c r="O327" s="1">
        <v>0.0</v>
      </c>
      <c r="P327" s="1">
        <v>0.0</v>
      </c>
      <c r="Q327" s="1">
        <v>104.0</v>
      </c>
      <c r="R327" s="1">
        <v>24.0</v>
      </c>
    </row>
    <row r="328">
      <c r="A328" s="1">
        <f t="shared" si="1"/>
        <v>326</v>
      </c>
      <c r="B328" s="1" t="s">
        <v>1352</v>
      </c>
      <c r="C328" s="1">
        <f t="shared" si="2"/>
        <v>326</v>
      </c>
      <c r="D328" s="1" t="s">
        <v>1042</v>
      </c>
      <c r="E328" s="1" t="s">
        <v>28</v>
      </c>
      <c r="F328" s="11">
        <f t="shared" si="3"/>
        <v>220.25</v>
      </c>
      <c r="G328" s="11">
        <f t="shared" si="4"/>
        <v>3.238970588</v>
      </c>
      <c r="H328" s="1">
        <v>68.0</v>
      </c>
      <c r="I328" s="1">
        <v>10.0</v>
      </c>
      <c r="J328" s="1">
        <v>17.0</v>
      </c>
      <c r="K328" s="1">
        <v>27.0</v>
      </c>
      <c r="L328" s="1">
        <v>110.0</v>
      </c>
      <c r="M328" s="1">
        <v>0.0</v>
      </c>
      <c r="N328" s="1">
        <v>0.0</v>
      </c>
      <c r="O328" s="1">
        <v>0.0</v>
      </c>
      <c r="P328" s="1">
        <v>0.0</v>
      </c>
      <c r="Q328" s="1">
        <v>233.0</v>
      </c>
      <c r="R328" s="1">
        <v>22.0</v>
      </c>
    </row>
    <row r="329">
      <c r="A329" s="1">
        <f t="shared" si="1"/>
        <v>327</v>
      </c>
      <c r="B329" s="1" t="s">
        <v>1356</v>
      </c>
      <c r="C329" s="1">
        <f t="shared" si="2"/>
        <v>327</v>
      </c>
      <c r="D329" s="1" t="s">
        <v>1042</v>
      </c>
      <c r="E329" s="1" t="s">
        <v>28</v>
      </c>
      <c r="F329" s="11">
        <f t="shared" si="3"/>
        <v>218.5</v>
      </c>
      <c r="G329" s="11">
        <f t="shared" si="4"/>
        <v>2.73125</v>
      </c>
      <c r="H329" s="1">
        <v>80.0</v>
      </c>
      <c r="I329" s="1">
        <v>9.0</v>
      </c>
      <c r="J329" s="1">
        <v>14.0</v>
      </c>
      <c r="K329" s="1">
        <v>23.0</v>
      </c>
      <c r="L329" s="1">
        <v>112.0</v>
      </c>
      <c r="M329" s="1">
        <v>0.0</v>
      </c>
      <c r="N329" s="1">
        <v>0.0</v>
      </c>
      <c r="O329" s="1">
        <v>1.0</v>
      </c>
      <c r="P329" s="1">
        <v>2.0</v>
      </c>
      <c r="Q329" s="1">
        <v>232.0</v>
      </c>
      <c r="R329" s="1">
        <v>32.0</v>
      </c>
    </row>
    <row r="330">
      <c r="A330" s="1">
        <f t="shared" si="1"/>
        <v>328</v>
      </c>
      <c r="B330" s="1" t="s">
        <v>1398</v>
      </c>
      <c r="C330" s="1">
        <f t="shared" si="2"/>
        <v>328</v>
      </c>
      <c r="D330" s="1" t="s">
        <v>1044</v>
      </c>
      <c r="E330" s="1" t="s">
        <v>66</v>
      </c>
      <c r="F330" s="11">
        <f t="shared" si="3"/>
        <v>217.5</v>
      </c>
      <c r="G330" s="11">
        <f t="shared" si="4"/>
        <v>4.264705882</v>
      </c>
      <c r="H330" s="1">
        <v>51.0</v>
      </c>
      <c r="I330" s="1">
        <v>9.0</v>
      </c>
      <c r="J330" s="1">
        <v>21.0</v>
      </c>
      <c r="K330" s="1">
        <v>30.0</v>
      </c>
      <c r="L330" s="1">
        <v>118.0</v>
      </c>
      <c r="M330" s="1">
        <v>1.0</v>
      </c>
      <c r="N330" s="1">
        <v>6.0</v>
      </c>
      <c r="O330" s="1">
        <v>0.0</v>
      </c>
      <c r="P330" s="1">
        <v>0.0</v>
      </c>
      <c r="Q330" s="1">
        <v>44.0</v>
      </c>
      <c r="R330" s="1">
        <v>88.0</v>
      </c>
    </row>
    <row r="331">
      <c r="A331" s="1">
        <f t="shared" si="1"/>
        <v>329</v>
      </c>
      <c r="B331" s="1" t="s">
        <v>1409</v>
      </c>
      <c r="C331" s="1">
        <f t="shared" si="2"/>
        <v>329</v>
      </c>
      <c r="D331" s="1" t="s">
        <v>1044</v>
      </c>
      <c r="E331" s="1" t="s">
        <v>5</v>
      </c>
      <c r="F331" s="11">
        <f t="shared" si="3"/>
        <v>217.2</v>
      </c>
      <c r="G331" s="11">
        <f t="shared" si="4"/>
        <v>3.949090909</v>
      </c>
      <c r="H331" s="1">
        <v>55.0</v>
      </c>
      <c r="S331" s="1">
        <v>21.0</v>
      </c>
      <c r="T331" s="1">
        <v>168.0</v>
      </c>
      <c r="U331" s="12">
        <v>1354.0</v>
      </c>
      <c r="V331" s="1">
        <v>0.0</v>
      </c>
    </row>
    <row r="332">
      <c r="A332" s="1">
        <f t="shared" si="1"/>
        <v>330</v>
      </c>
      <c r="B332" s="1" t="s">
        <v>1355</v>
      </c>
      <c r="C332" s="1">
        <f t="shared" si="2"/>
        <v>330</v>
      </c>
      <c r="D332" s="1" t="s">
        <v>1040</v>
      </c>
      <c r="E332" s="1" t="s">
        <v>28</v>
      </c>
      <c r="F332" s="11">
        <f t="shared" si="3"/>
        <v>217</v>
      </c>
      <c r="G332" s="11">
        <f t="shared" si="4"/>
        <v>2.679012346</v>
      </c>
      <c r="H332" s="1">
        <v>81.0</v>
      </c>
      <c r="I332" s="1">
        <v>13.0</v>
      </c>
      <c r="J332" s="1">
        <v>8.0</v>
      </c>
      <c r="K332" s="1">
        <v>21.0</v>
      </c>
      <c r="L332" s="1">
        <v>119.0</v>
      </c>
      <c r="M332" s="1">
        <v>1.0</v>
      </c>
      <c r="N332" s="1">
        <v>1.0</v>
      </c>
      <c r="O332" s="1">
        <v>0.0</v>
      </c>
      <c r="P332" s="1">
        <v>0.0</v>
      </c>
      <c r="Q332" s="1">
        <v>248.0</v>
      </c>
      <c r="R332" s="1">
        <v>26.0</v>
      </c>
    </row>
    <row r="333">
      <c r="A333" s="1">
        <f t="shared" si="1"/>
        <v>331</v>
      </c>
      <c r="B333" s="1" t="s">
        <v>1402</v>
      </c>
      <c r="C333" s="1">
        <f t="shared" si="2"/>
        <v>331</v>
      </c>
      <c r="D333" s="1" t="s">
        <v>1111</v>
      </c>
      <c r="E333" s="1" t="s">
        <v>36</v>
      </c>
      <c r="F333" s="11">
        <f t="shared" si="3"/>
        <v>216.5</v>
      </c>
      <c r="G333" s="11">
        <f t="shared" si="4"/>
        <v>4.811111111</v>
      </c>
      <c r="H333" s="1">
        <v>45.0</v>
      </c>
      <c r="I333" s="1">
        <v>18.0</v>
      </c>
      <c r="J333" s="1">
        <v>17.0</v>
      </c>
      <c r="K333" s="1">
        <v>35.0</v>
      </c>
      <c r="L333" s="1">
        <v>121.0</v>
      </c>
      <c r="M333" s="1">
        <v>9.0</v>
      </c>
      <c r="N333" s="1">
        <v>4.0</v>
      </c>
      <c r="O333" s="1">
        <v>1.0</v>
      </c>
      <c r="P333" s="1">
        <v>1.0</v>
      </c>
      <c r="Q333" s="1">
        <v>32.0</v>
      </c>
      <c r="R333" s="1">
        <v>24.0</v>
      </c>
    </row>
    <row r="334">
      <c r="A334" s="1">
        <f t="shared" si="1"/>
        <v>332</v>
      </c>
      <c r="B334" s="1" t="s">
        <v>1410</v>
      </c>
      <c r="C334" s="1">
        <f t="shared" si="2"/>
        <v>332</v>
      </c>
      <c r="D334" s="1" t="s">
        <v>1116</v>
      </c>
      <c r="E334" s="1" t="s">
        <v>31</v>
      </c>
      <c r="F334" s="11">
        <f t="shared" si="3"/>
        <v>215</v>
      </c>
      <c r="G334" s="11">
        <f t="shared" si="4"/>
        <v>4.574468085</v>
      </c>
      <c r="H334" s="1">
        <v>47.0</v>
      </c>
      <c r="I334" s="1">
        <v>22.0</v>
      </c>
      <c r="J334" s="1">
        <v>14.0</v>
      </c>
      <c r="K334" s="1">
        <v>36.0</v>
      </c>
      <c r="L334" s="1">
        <v>117.0</v>
      </c>
      <c r="M334" s="1">
        <v>9.0</v>
      </c>
      <c r="N334" s="1">
        <v>5.0</v>
      </c>
      <c r="O334" s="1">
        <v>0.0</v>
      </c>
      <c r="P334" s="1">
        <v>0.0</v>
      </c>
      <c r="Q334" s="1">
        <v>14.0</v>
      </c>
      <c r="R334" s="1">
        <v>24.0</v>
      </c>
    </row>
    <row r="335">
      <c r="A335" s="1">
        <f t="shared" si="1"/>
        <v>332</v>
      </c>
      <c r="B335" s="1" t="s">
        <v>1385</v>
      </c>
      <c r="C335" s="1">
        <f t="shared" si="2"/>
        <v>332</v>
      </c>
      <c r="D335" s="1" t="s">
        <v>1034</v>
      </c>
      <c r="E335" s="1" t="s">
        <v>31</v>
      </c>
      <c r="F335" s="11">
        <f t="shared" si="3"/>
        <v>215</v>
      </c>
      <c r="G335" s="11">
        <f t="shared" si="4"/>
        <v>2.654320988</v>
      </c>
      <c r="H335" s="1">
        <v>81.0</v>
      </c>
      <c r="I335" s="1">
        <v>11.0</v>
      </c>
      <c r="J335" s="1">
        <v>14.0</v>
      </c>
      <c r="K335" s="1">
        <v>25.0</v>
      </c>
      <c r="L335" s="1">
        <v>149.0</v>
      </c>
      <c r="M335" s="1">
        <v>2.0</v>
      </c>
      <c r="N335" s="1">
        <v>2.0</v>
      </c>
      <c r="O335" s="1">
        <v>0.0</v>
      </c>
      <c r="P335" s="1">
        <v>0.0</v>
      </c>
      <c r="Q335" s="1">
        <v>134.0</v>
      </c>
      <c r="R335" s="1">
        <v>31.0</v>
      </c>
    </row>
    <row r="336">
      <c r="A336" s="1">
        <f t="shared" si="1"/>
        <v>332</v>
      </c>
      <c r="B336" s="1" t="s">
        <v>1371</v>
      </c>
      <c r="C336" s="1">
        <f t="shared" si="2"/>
        <v>332</v>
      </c>
      <c r="D336" s="1" t="s">
        <v>1048</v>
      </c>
      <c r="E336" s="1" t="s">
        <v>66</v>
      </c>
      <c r="F336" s="11">
        <f t="shared" si="3"/>
        <v>215</v>
      </c>
      <c r="G336" s="11">
        <f t="shared" si="4"/>
        <v>2.62195122</v>
      </c>
      <c r="H336" s="1">
        <v>82.0</v>
      </c>
      <c r="I336" s="1">
        <v>3.0</v>
      </c>
      <c r="J336" s="1">
        <v>14.0</v>
      </c>
      <c r="K336" s="1">
        <v>17.0</v>
      </c>
      <c r="L336" s="1">
        <v>93.0</v>
      </c>
      <c r="M336" s="1">
        <v>0.0</v>
      </c>
      <c r="N336" s="1">
        <v>0.0</v>
      </c>
      <c r="O336" s="1">
        <v>0.0</v>
      </c>
      <c r="P336" s="1">
        <v>1.0</v>
      </c>
      <c r="Q336" s="1">
        <v>196.0</v>
      </c>
      <c r="R336" s="1">
        <v>124.0</v>
      </c>
    </row>
    <row r="337">
      <c r="A337" s="1">
        <f t="shared" si="1"/>
        <v>335</v>
      </c>
      <c r="B337" s="1" t="s">
        <v>1383</v>
      </c>
      <c r="C337" s="1">
        <f t="shared" si="2"/>
        <v>335</v>
      </c>
      <c r="D337" s="1" t="s">
        <v>1106</v>
      </c>
      <c r="E337" s="1" t="s">
        <v>36</v>
      </c>
      <c r="F337" s="11">
        <f t="shared" si="3"/>
        <v>213.5</v>
      </c>
      <c r="G337" s="11">
        <f t="shared" si="4"/>
        <v>2.603658537</v>
      </c>
      <c r="H337" s="1">
        <v>82.0</v>
      </c>
      <c r="I337" s="1">
        <v>14.0</v>
      </c>
      <c r="J337" s="1">
        <v>7.0</v>
      </c>
      <c r="K337" s="1">
        <v>21.0</v>
      </c>
      <c r="L337" s="1">
        <v>114.0</v>
      </c>
      <c r="M337" s="1">
        <v>0.0</v>
      </c>
      <c r="N337" s="1">
        <v>0.0</v>
      </c>
      <c r="O337" s="1">
        <v>2.0</v>
      </c>
      <c r="P337" s="1">
        <v>0.0</v>
      </c>
      <c r="Q337" s="1">
        <v>164.0</v>
      </c>
      <c r="R337" s="1">
        <v>55.0</v>
      </c>
    </row>
    <row r="338">
      <c r="A338" s="1">
        <f t="shared" si="1"/>
        <v>336</v>
      </c>
      <c r="B338" s="1" t="s">
        <v>1365</v>
      </c>
      <c r="C338" s="1">
        <f t="shared" si="2"/>
        <v>336</v>
      </c>
      <c r="D338" s="1" t="s">
        <v>1069</v>
      </c>
      <c r="E338" s="1" t="s">
        <v>31</v>
      </c>
      <c r="F338" s="11">
        <f t="shared" si="3"/>
        <v>213</v>
      </c>
      <c r="G338" s="11">
        <f t="shared" si="4"/>
        <v>3.380952381</v>
      </c>
      <c r="H338" s="1">
        <v>63.0</v>
      </c>
      <c r="I338" s="1">
        <v>8.0</v>
      </c>
      <c r="J338" s="1">
        <v>16.0</v>
      </c>
      <c r="K338" s="1">
        <v>24.0</v>
      </c>
      <c r="L338" s="1">
        <v>117.0</v>
      </c>
      <c r="M338" s="1">
        <v>0.0</v>
      </c>
      <c r="N338" s="1">
        <v>0.0</v>
      </c>
      <c r="O338" s="1">
        <v>0.0</v>
      </c>
      <c r="P338" s="1">
        <v>0.0</v>
      </c>
      <c r="Q338" s="1">
        <v>238.0</v>
      </c>
      <c r="R338" s="1">
        <v>22.0</v>
      </c>
    </row>
    <row r="339">
      <c r="A339" s="1">
        <f t="shared" si="1"/>
        <v>337</v>
      </c>
      <c r="B339" s="1" t="s">
        <v>1411</v>
      </c>
      <c r="C339" s="1">
        <f t="shared" si="2"/>
        <v>337</v>
      </c>
      <c r="D339" s="1" t="s">
        <v>1120</v>
      </c>
      <c r="E339" s="1" t="s">
        <v>31</v>
      </c>
      <c r="F339" s="11">
        <f t="shared" si="3"/>
        <v>212.75</v>
      </c>
      <c r="G339" s="11">
        <f t="shared" si="4"/>
        <v>2.693037975</v>
      </c>
      <c r="H339" s="1">
        <v>79.0</v>
      </c>
      <c r="I339" s="1">
        <v>13.0</v>
      </c>
      <c r="J339" s="1">
        <v>20.0</v>
      </c>
      <c r="K339" s="1">
        <v>33.0</v>
      </c>
      <c r="L339" s="1">
        <v>109.0</v>
      </c>
      <c r="M339" s="1">
        <v>1.0</v>
      </c>
      <c r="N339" s="1">
        <v>2.0</v>
      </c>
      <c r="O339" s="1">
        <v>1.0</v>
      </c>
      <c r="P339" s="1">
        <v>2.0</v>
      </c>
      <c r="Q339" s="1">
        <v>33.0</v>
      </c>
      <c r="R339" s="1">
        <v>51.0</v>
      </c>
    </row>
    <row r="340">
      <c r="A340" s="1">
        <f t="shared" si="1"/>
        <v>338</v>
      </c>
      <c r="B340" s="1" t="s">
        <v>1395</v>
      </c>
      <c r="C340" s="1">
        <f t="shared" si="2"/>
        <v>338</v>
      </c>
      <c r="D340" s="1" t="s">
        <v>1073</v>
      </c>
      <c r="E340" s="1" t="s">
        <v>66</v>
      </c>
      <c r="F340" s="11">
        <f t="shared" si="3"/>
        <v>212.5</v>
      </c>
      <c r="G340" s="11">
        <f t="shared" si="4"/>
        <v>2.591463415</v>
      </c>
      <c r="H340" s="1">
        <v>82.0</v>
      </c>
      <c r="I340" s="1">
        <v>6.0</v>
      </c>
      <c r="J340" s="1">
        <v>20.0</v>
      </c>
      <c r="K340" s="1">
        <v>26.0</v>
      </c>
      <c r="L340" s="1">
        <v>129.0</v>
      </c>
      <c r="M340" s="1">
        <v>0.0</v>
      </c>
      <c r="N340" s="1">
        <v>5.0</v>
      </c>
      <c r="O340" s="1">
        <v>1.0</v>
      </c>
      <c r="P340" s="1">
        <v>0.0</v>
      </c>
      <c r="Q340" s="1">
        <v>116.0</v>
      </c>
      <c r="R340" s="1">
        <v>60.0</v>
      </c>
    </row>
    <row r="341">
      <c r="A341" s="1">
        <f t="shared" si="1"/>
        <v>339</v>
      </c>
      <c r="B341" s="1" t="s">
        <v>1423</v>
      </c>
      <c r="C341" s="1">
        <f t="shared" si="2"/>
        <v>339</v>
      </c>
      <c r="D341" s="1" t="s">
        <v>1097</v>
      </c>
      <c r="E341" s="1" t="s">
        <v>5</v>
      </c>
      <c r="F341" s="11">
        <f t="shared" si="3"/>
        <v>211.5</v>
      </c>
      <c r="G341" s="11">
        <f t="shared" si="4"/>
        <v>5.158536585</v>
      </c>
      <c r="H341" s="1">
        <v>41.0</v>
      </c>
      <c r="S341" s="1">
        <v>16.0</v>
      </c>
      <c r="T341" s="1">
        <v>127.0</v>
      </c>
      <c r="U341" s="12">
        <v>1180.0</v>
      </c>
      <c r="V341" s="1">
        <v>0.0</v>
      </c>
    </row>
    <row r="342">
      <c r="A342" s="1">
        <f t="shared" si="1"/>
        <v>340</v>
      </c>
      <c r="B342" s="1" t="s">
        <v>1400</v>
      </c>
      <c r="C342" s="1">
        <f t="shared" si="2"/>
        <v>340</v>
      </c>
      <c r="D342" s="1" t="s">
        <v>1076</v>
      </c>
      <c r="E342" s="1" t="s">
        <v>28</v>
      </c>
      <c r="F342" s="11">
        <f t="shared" si="3"/>
        <v>211</v>
      </c>
      <c r="G342" s="11">
        <f t="shared" si="4"/>
        <v>2.971830986</v>
      </c>
      <c r="H342" s="1">
        <v>71.0</v>
      </c>
      <c r="I342" s="1">
        <v>11.0</v>
      </c>
      <c r="J342" s="1">
        <v>20.0</v>
      </c>
      <c r="K342" s="1">
        <v>31.0</v>
      </c>
      <c r="L342" s="1">
        <v>108.0</v>
      </c>
      <c r="M342" s="1">
        <v>1.0</v>
      </c>
      <c r="N342" s="1">
        <v>4.0</v>
      </c>
      <c r="O342" s="1">
        <v>0.0</v>
      </c>
      <c r="P342" s="1">
        <v>0.0</v>
      </c>
      <c r="Q342" s="1">
        <v>92.0</v>
      </c>
      <c r="R342" s="1">
        <v>49.0</v>
      </c>
    </row>
    <row r="343">
      <c r="A343" s="1">
        <f t="shared" si="1"/>
        <v>341</v>
      </c>
      <c r="B343" s="1" t="s">
        <v>1406</v>
      </c>
      <c r="C343" s="1">
        <f t="shared" si="2"/>
        <v>341</v>
      </c>
      <c r="D343" s="1" t="s">
        <v>1044</v>
      </c>
      <c r="E343" s="1" t="s">
        <v>31</v>
      </c>
      <c r="F343" s="11">
        <f t="shared" si="3"/>
        <v>210</v>
      </c>
      <c r="G343" s="11">
        <f t="shared" si="4"/>
        <v>4.2</v>
      </c>
      <c r="H343" s="1">
        <v>50.0</v>
      </c>
      <c r="I343" s="1">
        <v>16.0</v>
      </c>
      <c r="J343" s="1">
        <v>14.0</v>
      </c>
      <c r="K343" s="1">
        <v>30.0</v>
      </c>
      <c r="L343" s="1">
        <v>115.0</v>
      </c>
      <c r="M343" s="1">
        <v>5.0</v>
      </c>
      <c r="N343" s="1">
        <v>7.0</v>
      </c>
      <c r="O343" s="1">
        <v>0.0</v>
      </c>
      <c r="P343" s="1">
        <v>1.0</v>
      </c>
      <c r="Q343" s="1">
        <v>86.0</v>
      </c>
      <c r="R343" s="1">
        <v>30.0</v>
      </c>
    </row>
    <row r="344">
      <c r="A344" s="1">
        <f t="shared" si="1"/>
        <v>342</v>
      </c>
      <c r="B344" s="1" t="s">
        <v>1413</v>
      </c>
      <c r="C344" s="1">
        <f t="shared" si="2"/>
        <v>342</v>
      </c>
      <c r="D344" s="1" t="s">
        <v>1106</v>
      </c>
      <c r="E344" s="1" t="s">
        <v>66</v>
      </c>
      <c r="F344" s="11">
        <f t="shared" si="3"/>
        <v>209.75</v>
      </c>
      <c r="G344" s="11">
        <f t="shared" si="4"/>
        <v>2.557926829</v>
      </c>
      <c r="H344" s="1">
        <v>82.0</v>
      </c>
      <c r="I344" s="1">
        <v>3.0</v>
      </c>
      <c r="J344" s="1">
        <v>25.0</v>
      </c>
      <c r="K344" s="1">
        <v>28.0</v>
      </c>
      <c r="L344" s="1">
        <v>82.0</v>
      </c>
      <c r="M344" s="1">
        <v>0.0</v>
      </c>
      <c r="N344" s="1">
        <v>1.0</v>
      </c>
      <c r="O344" s="1">
        <v>1.0</v>
      </c>
      <c r="P344" s="1">
        <v>1.0</v>
      </c>
      <c r="Q344" s="1">
        <v>51.0</v>
      </c>
      <c r="R344" s="1">
        <v>127.0</v>
      </c>
    </row>
    <row r="345">
      <c r="A345" s="1">
        <f t="shared" si="1"/>
        <v>343</v>
      </c>
      <c r="B345" s="1" t="s">
        <v>1404</v>
      </c>
      <c r="C345" s="1">
        <f t="shared" si="2"/>
        <v>343</v>
      </c>
      <c r="D345" s="1" t="s">
        <v>1087</v>
      </c>
      <c r="E345" s="1" t="s">
        <v>66</v>
      </c>
      <c r="F345" s="11">
        <f t="shared" si="3"/>
        <v>208.75</v>
      </c>
      <c r="G345" s="11">
        <f t="shared" si="4"/>
        <v>3.599137931</v>
      </c>
      <c r="H345" s="1">
        <v>58.0</v>
      </c>
      <c r="I345" s="1">
        <v>5.0</v>
      </c>
      <c r="J345" s="1">
        <v>14.0</v>
      </c>
      <c r="K345" s="1">
        <v>19.0</v>
      </c>
      <c r="L345" s="1">
        <v>90.0</v>
      </c>
      <c r="M345" s="1">
        <v>2.0</v>
      </c>
      <c r="N345" s="1">
        <v>4.0</v>
      </c>
      <c r="O345" s="1">
        <v>0.0</v>
      </c>
      <c r="P345" s="1">
        <v>0.0</v>
      </c>
      <c r="Q345" s="1">
        <v>99.0</v>
      </c>
      <c r="R345" s="1">
        <v>149.0</v>
      </c>
    </row>
    <row r="346">
      <c r="A346" s="1">
        <f t="shared" si="1"/>
        <v>343</v>
      </c>
      <c r="B346" s="1" t="s">
        <v>1408</v>
      </c>
      <c r="C346" s="1">
        <f t="shared" si="2"/>
        <v>343</v>
      </c>
      <c r="D346" s="1" t="s">
        <v>1036</v>
      </c>
      <c r="E346" s="1" t="s">
        <v>66</v>
      </c>
      <c r="F346" s="11">
        <f t="shared" si="3"/>
        <v>208.75</v>
      </c>
      <c r="G346" s="11">
        <f t="shared" si="4"/>
        <v>2.642405063</v>
      </c>
      <c r="H346" s="1">
        <v>79.0</v>
      </c>
      <c r="I346" s="1">
        <v>5.0</v>
      </c>
      <c r="J346" s="1">
        <v>20.0</v>
      </c>
      <c r="K346" s="1">
        <v>25.0</v>
      </c>
      <c r="L346" s="1">
        <v>97.0</v>
      </c>
      <c r="M346" s="1">
        <v>0.0</v>
      </c>
      <c r="N346" s="1">
        <v>0.0</v>
      </c>
      <c r="O346" s="1">
        <v>0.0</v>
      </c>
      <c r="P346" s="1">
        <v>1.0</v>
      </c>
      <c r="Q346" s="1">
        <v>91.0</v>
      </c>
      <c r="R346" s="1">
        <v>106.0</v>
      </c>
    </row>
    <row r="347">
      <c r="A347" s="1">
        <f t="shared" si="1"/>
        <v>343</v>
      </c>
      <c r="B347" s="1" t="s">
        <v>1405</v>
      </c>
      <c r="C347" s="1">
        <f t="shared" si="2"/>
        <v>343</v>
      </c>
      <c r="D347" s="1" t="s">
        <v>1111</v>
      </c>
      <c r="E347" s="1" t="s">
        <v>66</v>
      </c>
      <c r="F347" s="11">
        <f t="shared" si="3"/>
        <v>208.75</v>
      </c>
      <c r="G347" s="11">
        <f t="shared" si="4"/>
        <v>2.609375</v>
      </c>
      <c r="H347" s="1">
        <v>80.0</v>
      </c>
      <c r="I347" s="1">
        <v>5.0</v>
      </c>
      <c r="J347" s="1">
        <v>21.0</v>
      </c>
      <c r="K347" s="1">
        <v>26.0</v>
      </c>
      <c r="L347" s="1">
        <v>77.0</v>
      </c>
      <c r="M347" s="1">
        <v>0.0</v>
      </c>
      <c r="N347" s="1">
        <v>3.0</v>
      </c>
      <c r="O347" s="1">
        <v>0.0</v>
      </c>
      <c r="P347" s="1">
        <v>2.0</v>
      </c>
      <c r="Q347" s="1">
        <v>99.0</v>
      </c>
      <c r="R347" s="1">
        <v>112.0</v>
      </c>
    </row>
    <row r="348">
      <c r="A348" s="1">
        <f t="shared" si="1"/>
        <v>346</v>
      </c>
      <c r="B348" s="1" t="s">
        <v>1380</v>
      </c>
      <c r="C348" s="1">
        <f t="shared" si="2"/>
        <v>346</v>
      </c>
      <c r="D348" s="1" t="s">
        <v>1080</v>
      </c>
      <c r="E348" s="1" t="s">
        <v>31</v>
      </c>
      <c r="F348" s="11">
        <f t="shared" si="3"/>
        <v>208.25</v>
      </c>
      <c r="G348" s="11">
        <f t="shared" si="4"/>
        <v>2.740131579</v>
      </c>
      <c r="H348" s="1">
        <v>76.0</v>
      </c>
      <c r="I348" s="1">
        <v>7.0</v>
      </c>
      <c r="J348" s="1">
        <v>18.0</v>
      </c>
      <c r="K348" s="1">
        <v>25.0</v>
      </c>
      <c r="L348" s="1">
        <v>100.0</v>
      </c>
      <c r="M348" s="1">
        <v>2.0</v>
      </c>
      <c r="N348" s="1">
        <v>2.0</v>
      </c>
      <c r="O348" s="1">
        <v>0.0</v>
      </c>
      <c r="P348" s="1">
        <v>0.0</v>
      </c>
      <c r="Q348" s="1">
        <v>233.0</v>
      </c>
      <c r="R348" s="1">
        <v>29.0</v>
      </c>
    </row>
    <row r="349">
      <c r="A349" s="1">
        <f t="shared" si="1"/>
        <v>347</v>
      </c>
      <c r="B349" s="1" t="s">
        <v>1417</v>
      </c>
      <c r="C349" s="1">
        <f t="shared" si="2"/>
        <v>347</v>
      </c>
      <c r="D349" s="1" t="s">
        <v>1078</v>
      </c>
      <c r="E349" s="1" t="s">
        <v>66</v>
      </c>
      <c r="F349" s="11">
        <f t="shared" si="3"/>
        <v>207.75</v>
      </c>
      <c r="G349" s="11">
        <f t="shared" si="4"/>
        <v>2.698051948</v>
      </c>
      <c r="H349" s="1">
        <v>77.0</v>
      </c>
      <c r="I349" s="1">
        <v>6.0</v>
      </c>
      <c r="J349" s="1">
        <v>17.0</v>
      </c>
      <c r="K349" s="1">
        <v>23.0</v>
      </c>
      <c r="L349" s="1">
        <v>114.0</v>
      </c>
      <c r="M349" s="1">
        <v>0.0</v>
      </c>
      <c r="N349" s="1">
        <v>0.0</v>
      </c>
      <c r="O349" s="1">
        <v>0.0</v>
      </c>
      <c r="P349" s="1">
        <v>1.0</v>
      </c>
      <c r="Q349" s="1">
        <v>55.0</v>
      </c>
      <c r="R349" s="1">
        <v>114.0</v>
      </c>
    </row>
    <row r="350">
      <c r="A350" s="1">
        <f t="shared" si="1"/>
        <v>347</v>
      </c>
      <c r="B350" s="1" t="s">
        <v>1388</v>
      </c>
      <c r="C350" s="1">
        <f t="shared" si="2"/>
        <v>347</v>
      </c>
      <c r="D350" s="1" t="s">
        <v>1067</v>
      </c>
      <c r="E350" s="1" t="s">
        <v>66</v>
      </c>
      <c r="F350" s="11">
        <f t="shared" si="3"/>
        <v>207.75</v>
      </c>
      <c r="G350" s="11">
        <f t="shared" si="4"/>
        <v>2.629746835</v>
      </c>
      <c r="H350" s="1">
        <v>79.0</v>
      </c>
      <c r="I350" s="1">
        <v>4.0</v>
      </c>
      <c r="J350" s="1">
        <v>14.0</v>
      </c>
      <c r="K350" s="1">
        <v>18.0</v>
      </c>
      <c r="L350" s="1">
        <v>77.0</v>
      </c>
      <c r="M350" s="1">
        <v>0.0</v>
      </c>
      <c r="N350" s="1">
        <v>0.0</v>
      </c>
      <c r="O350" s="1">
        <v>0.0</v>
      </c>
      <c r="P350" s="1">
        <v>0.0</v>
      </c>
      <c r="Q350" s="1">
        <v>203.0</v>
      </c>
      <c r="R350" s="1">
        <v>117.0</v>
      </c>
    </row>
    <row r="351">
      <c r="A351" s="1">
        <f t="shared" si="1"/>
        <v>349</v>
      </c>
      <c r="B351" s="1" t="s">
        <v>1422</v>
      </c>
      <c r="C351" s="1">
        <f t="shared" si="2"/>
        <v>349</v>
      </c>
      <c r="D351" s="1" t="s">
        <v>1097</v>
      </c>
      <c r="E351" s="1" t="s">
        <v>36</v>
      </c>
      <c r="F351" s="11">
        <f t="shared" si="3"/>
        <v>206.75</v>
      </c>
      <c r="G351" s="11">
        <f t="shared" si="4"/>
        <v>3.132575758</v>
      </c>
      <c r="H351" s="1">
        <v>66.0</v>
      </c>
      <c r="I351" s="1">
        <v>17.0</v>
      </c>
      <c r="J351" s="1">
        <v>8.0</v>
      </c>
      <c r="K351" s="1">
        <v>25.0</v>
      </c>
      <c r="L351" s="1">
        <v>139.0</v>
      </c>
      <c r="M351" s="1">
        <v>0.0</v>
      </c>
      <c r="N351" s="1">
        <v>0.0</v>
      </c>
      <c r="O351" s="1">
        <v>2.0</v>
      </c>
      <c r="P351" s="1">
        <v>0.0</v>
      </c>
      <c r="Q351" s="1">
        <v>49.0</v>
      </c>
      <c r="R351" s="1">
        <v>41.0</v>
      </c>
    </row>
    <row r="352">
      <c r="A352" s="1">
        <f t="shared" si="1"/>
        <v>350</v>
      </c>
      <c r="B352" s="1" t="s">
        <v>1416</v>
      </c>
      <c r="C352" s="1">
        <f t="shared" si="2"/>
        <v>350</v>
      </c>
      <c r="D352" s="1" t="s">
        <v>1097</v>
      </c>
      <c r="E352" s="1" t="s">
        <v>66</v>
      </c>
      <c r="F352" s="11">
        <f t="shared" si="3"/>
        <v>206.5</v>
      </c>
      <c r="G352" s="11">
        <f t="shared" si="4"/>
        <v>3.441666667</v>
      </c>
      <c r="H352" s="1">
        <v>60.0</v>
      </c>
      <c r="I352" s="1">
        <v>6.0</v>
      </c>
      <c r="J352" s="1">
        <v>18.0</v>
      </c>
      <c r="K352" s="1">
        <v>24.0</v>
      </c>
      <c r="L352" s="1">
        <v>54.0</v>
      </c>
      <c r="M352" s="1">
        <v>0.0</v>
      </c>
      <c r="N352" s="1">
        <v>0.0</v>
      </c>
      <c r="O352" s="1">
        <v>0.0</v>
      </c>
      <c r="P352" s="1">
        <v>0.0</v>
      </c>
      <c r="Q352" s="1">
        <v>68.0</v>
      </c>
      <c r="R352" s="1">
        <v>163.0</v>
      </c>
    </row>
    <row r="353">
      <c r="A353" s="1">
        <f t="shared" si="1"/>
        <v>351</v>
      </c>
      <c r="B353" s="1" t="s">
        <v>1397</v>
      </c>
      <c r="C353" s="1">
        <f t="shared" si="2"/>
        <v>351</v>
      </c>
      <c r="D353" s="1" t="s">
        <v>1097</v>
      </c>
      <c r="E353" s="1" t="s">
        <v>36</v>
      </c>
      <c r="F353" s="11">
        <f t="shared" si="3"/>
        <v>206.25</v>
      </c>
      <c r="G353" s="11">
        <f t="shared" si="4"/>
        <v>2.644230769</v>
      </c>
      <c r="H353" s="1">
        <v>78.0</v>
      </c>
      <c r="I353" s="1">
        <v>9.0</v>
      </c>
      <c r="J353" s="1">
        <v>11.0</v>
      </c>
      <c r="K353" s="1">
        <v>20.0</v>
      </c>
      <c r="L353" s="1">
        <v>141.0</v>
      </c>
      <c r="M353" s="1">
        <v>0.0</v>
      </c>
      <c r="N353" s="1">
        <v>2.0</v>
      </c>
      <c r="O353" s="1">
        <v>0.0</v>
      </c>
      <c r="P353" s="1">
        <v>0.0</v>
      </c>
      <c r="Q353" s="1">
        <v>169.0</v>
      </c>
      <c r="R353" s="1">
        <v>40.0</v>
      </c>
    </row>
    <row r="354">
      <c r="A354" s="1">
        <f t="shared" si="1"/>
        <v>352</v>
      </c>
      <c r="B354" s="1" t="s">
        <v>1437</v>
      </c>
      <c r="C354" s="1">
        <f t="shared" si="2"/>
        <v>352</v>
      </c>
      <c r="D354" s="1" t="s">
        <v>1065</v>
      </c>
      <c r="E354" s="1" t="s">
        <v>5</v>
      </c>
      <c r="F354" s="11">
        <f t="shared" si="3"/>
        <v>205.8</v>
      </c>
      <c r="G354" s="11">
        <f t="shared" si="4"/>
        <v>4.677272727</v>
      </c>
      <c r="H354" s="1">
        <v>44.0</v>
      </c>
      <c r="S354" s="1">
        <v>14.0</v>
      </c>
      <c r="T354" s="1">
        <v>129.0</v>
      </c>
      <c r="U354" s="12">
        <v>1181.0</v>
      </c>
      <c r="V354" s="1">
        <v>1.0</v>
      </c>
    </row>
    <row r="355">
      <c r="A355" s="1">
        <f t="shared" si="1"/>
        <v>353</v>
      </c>
      <c r="B355" s="1" t="s">
        <v>1419</v>
      </c>
      <c r="C355" s="1">
        <f t="shared" si="2"/>
        <v>353</v>
      </c>
      <c r="D355" s="1" t="s">
        <v>1120</v>
      </c>
      <c r="E355" s="1" t="s">
        <v>28</v>
      </c>
      <c r="F355" s="11">
        <f t="shared" si="3"/>
        <v>205.25</v>
      </c>
      <c r="G355" s="11">
        <f t="shared" si="4"/>
        <v>3.018382353</v>
      </c>
      <c r="H355" s="1">
        <v>68.0</v>
      </c>
      <c r="I355" s="1">
        <v>18.0</v>
      </c>
      <c r="J355" s="1">
        <v>14.0</v>
      </c>
      <c r="K355" s="1">
        <v>32.0</v>
      </c>
      <c r="L355" s="1">
        <v>97.0</v>
      </c>
      <c r="M355" s="1">
        <v>5.0</v>
      </c>
      <c r="N355" s="1">
        <v>7.0</v>
      </c>
      <c r="O355" s="1">
        <v>0.0</v>
      </c>
      <c r="P355" s="1">
        <v>0.0</v>
      </c>
      <c r="Q355" s="1">
        <v>77.0</v>
      </c>
      <c r="R355" s="1">
        <v>29.0</v>
      </c>
    </row>
    <row r="356">
      <c r="A356" s="1">
        <f t="shared" si="1"/>
        <v>353</v>
      </c>
      <c r="B356" s="1" t="s">
        <v>1424</v>
      </c>
      <c r="C356" s="1">
        <f t="shared" si="2"/>
        <v>353</v>
      </c>
      <c r="D356" s="1" t="s">
        <v>1046</v>
      </c>
      <c r="E356" s="1" t="s">
        <v>36</v>
      </c>
      <c r="F356" s="11">
        <f t="shared" si="3"/>
        <v>205.25</v>
      </c>
      <c r="G356" s="11">
        <f t="shared" si="4"/>
        <v>2.631410256</v>
      </c>
      <c r="H356" s="1">
        <v>78.0</v>
      </c>
      <c r="I356" s="1">
        <v>11.0</v>
      </c>
      <c r="J356" s="1">
        <v>20.0</v>
      </c>
      <c r="K356" s="1">
        <v>31.0</v>
      </c>
      <c r="L356" s="1">
        <v>147.0</v>
      </c>
      <c r="M356" s="1">
        <v>0.0</v>
      </c>
      <c r="N356" s="1">
        <v>0.0</v>
      </c>
      <c r="O356" s="1">
        <v>0.0</v>
      </c>
      <c r="P356" s="1">
        <v>0.0</v>
      </c>
      <c r="Q356" s="1">
        <v>49.0</v>
      </c>
      <c r="R356" s="1">
        <v>20.0</v>
      </c>
    </row>
    <row r="357">
      <c r="A357" s="1">
        <f t="shared" si="1"/>
        <v>355</v>
      </c>
      <c r="B357" s="1" t="s">
        <v>1442</v>
      </c>
      <c r="C357" s="1">
        <f t="shared" si="2"/>
        <v>355</v>
      </c>
      <c r="D357" s="1" t="s">
        <v>1091</v>
      </c>
      <c r="E357" s="1" t="s">
        <v>5</v>
      </c>
      <c r="F357" s="11">
        <f t="shared" si="3"/>
        <v>204.6</v>
      </c>
      <c r="G357" s="11">
        <f t="shared" si="4"/>
        <v>4.011764706</v>
      </c>
      <c r="H357" s="1">
        <v>51.0</v>
      </c>
      <c r="S357" s="1">
        <v>23.0</v>
      </c>
      <c r="T357" s="1">
        <v>132.0</v>
      </c>
      <c r="U357" s="12">
        <v>1072.0</v>
      </c>
      <c r="V357" s="1">
        <v>4.0</v>
      </c>
    </row>
    <row r="358">
      <c r="A358" s="1">
        <f t="shared" si="1"/>
        <v>356</v>
      </c>
      <c r="B358" s="1" t="s">
        <v>1429</v>
      </c>
      <c r="C358" s="1">
        <f t="shared" si="2"/>
        <v>356</v>
      </c>
      <c r="D358" s="1" t="s">
        <v>1116</v>
      </c>
      <c r="E358" s="1" t="s">
        <v>31</v>
      </c>
      <c r="F358" s="11">
        <f t="shared" si="3"/>
        <v>203.75</v>
      </c>
      <c r="G358" s="11">
        <f t="shared" si="4"/>
        <v>2.484756098</v>
      </c>
      <c r="H358" s="1">
        <v>82.0</v>
      </c>
      <c r="I358" s="1">
        <v>11.0</v>
      </c>
      <c r="J358" s="1">
        <v>16.0</v>
      </c>
      <c r="K358" s="1">
        <v>27.0</v>
      </c>
      <c r="L358" s="1">
        <v>120.0</v>
      </c>
      <c r="M358" s="1">
        <v>2.0</v>
      </c>
      <c r="N358" s="1">
        <v>3.0</v>
      </c>
      <c r="O358" s="1">
        <v>0.0</v>
      </c>
      <c r="P358" s="1">
        <v>1.0</v>
      </c>
      <c r="Q358" s="1">
        <v>43.0</v>
      </c>
      <c r="R358" s="1">
        <v>67.0</v>
      </c>
    </row>
    <row r="359">
      <c r="A359" s="1">
        <f t="shared" si="1"/>
        <v>357</v>
      </c>
      <c r="B359" s="1" t="s">
        <v>1431</v>
      </c>
      <c r="C359" s="1">
        <f t="shared" si="2"/>
        <v>357</v>
      </c>
      <c r="D359" s="1" t="s">
        <v>1085</v>
      </c>
      <c r="E359" s="1" t="s">
        <v>66</v>
      </c>
      <c r="F359" s="11">
        <f t="shared" si="3"/>
        <v>202.75</v>
      </c>
      <c r="G359" s="11">
        <f t="shared" si="4"/>
        <v>2.703333333</v>
      </c>
      <c r="H359" s="1">
        <v>75.0</v>
      </c>
      <c r="I359" s="1">
        <v>2.0</v>
      </c>
      <c r="J359" s="1">
        <v>17.0</v>
      </c>
      <c r="K359" s="1">
        <v>19.0</v>
      </c>
      <c r="L359" s="1">
        <v>56.0</v>
      </c>
      <c r="M359" s="1">
        <v>0.0</v>
      </c>
      <c r="N359" s="1">
        <v>0.0</v>
      </c>
      <c r="O359" s="1">
        <v>0.0</v>
      </c>
      <c r="P359" s="1">
        <v>0.0</v>
      </c>
      <c r="Q359" s="1">
        <v>45.0</v>
      </c>
      <c r="R359" s="1">
        <v>207.0</v>
      </c>
    </row>
    <row r="360">
      <c r="A360" s="1">
        <f t="shared" si="1"/>
        <v>358</v>
      </c>
      <c r="B360" s="1" t="s">
        <v>1433</v>
      </c>
      <c r="C360" s="1">
        <f t="shared" si="2"/>
        <v>358</v>
      </c>
      <c r="D360" s="1" t="s">
        <v>1172</v>
      </c>
      <c r="E360" s="1" t="s">
        <v>31</v>
      </c>
      <c r="F360" s="11">
        <f t="shared" si="3"/>
        <v>202</v>
      </c>
      <c r="G360" s="11">
        <f t="shared" si="4"/>
        <v>3.014925373</v>
      </c>
      <c r="H360" s="1">
        <v>67.0</v>
      </c>
      <c r="I360" s="1">
        <v>17.0</v>
      </c>
      <c r="J360" s="1">
        <v>14.0</v>
      </c>
      <c r="K360" s="1">
        <v>31.0</v>
      </c>
      <c r="L360" s="1">
        <v>112.0</v>
      </c>
      <c r="M360" s="1">
        <v>8.0</v>
      </c>
      <c r="N360" s="1">
        <v>8.0</v>
      </c>
      <c r="O360" s="1">
        <v>0.0</v>
      </c>
      <c r="P360" s="1">
        <v>0.0</v>
      </c>
      <c r="Q360" s="1">
        <v>48.0</v>
      </c>
      <c r="R360" s="1">
        <v>31.0</v>
      </c>
    </row>
    <row r="361">
      <c r="A361" s="1">
        <f t="shared" si="1"/>
        <v>358</v>
      </c>
      <c r="B361" s="1" t="s">
        <v>1436</v>
      </c>
      <c r="C361" s="1">
        <f t="shared" si="2"/>
        <v>358</v>
      </c>
      <c r="D361" s="1" t="s">
        <v>1106</v>
      </c>
      <c r="E361" s="1" t="s">
        <v>31</v>
      </c>
      <c r="F361" s="11">
        <f t="shared" si="3"/>
        <v>202</v>
      </c>
      <c r="G361" s="11">
        <f t="shared" si="4"/>
        <v>2.556962025</v>
      </c>
      <c r="H361" s="1">
        <v>79.0</v>
      </c>
      <c r="I361" s="1">
        <v>13.0</v>
      </c>
      <c r="J361" s="1">
        <v>16.0</v>
      </c>
      <c r="K361" s="1">
        <v>29.0</v>
      </c>
      <c r="L361" s="1">
        <v>153.0</v>
      </c>
      <c r="M361" s="1">
        <v>0.0</v>
      </c>
      <c r="N361" s="1">
        <v>5.0</v>
      </c>
      <c r="O361" s="1">
        <v>0.0</v>
      </c>
      <c r="P361" s="1">
        <v>0.0</v>
      </c>
      <c r="Q361" s="1">
        <v>42.0</v>
      </c>
      <c r="R361" s="1">
        <v>17.0</v>
      </c>
    </row>
    <row r="362">
      <c r="A362" s="1">
        <f t="shared" si="1"/>
        <v>358</v>
      </c>
      <c r="B362" s="1" t="s">
        <v>1418</v>
      </c>
      <c r="C362" s="1">
        <f t="shared" si="2"/>
        <v>358</v>
      </c>
      <c r="D362" s="1" t="s">
        <v>1078</v>
      </c>
      <c r="E362" s="1" t="s">
        <v>36</v>
      </c>
      <c r="F362" s="11">
        <f t="shared" si="3"/>
        <v>202</v>
      </c>
      <c r="G362" s="11">
        <f t="shared" si="4"/>
        <v>2.49382716</v>
      </c>
      <c r="H362" s="1">
        <v>81.0</v>
      </c>
      <c r="I362" s="1">
        <v>12.0</v>
      </c>
      <c r="J362" s="1">
        <v>11.0</v>
      </c>
      <c r="K362" s="1">
        <v>23.0</v>
      </c>
      <c r="L362" s="1">
        <v>147.0</v>
      </c>
      <c r="M362" s="1">
        <v>0.0</v>
      </c>
      <c r="N362" s="1">
        <v>3.0</v>
      </c>
      <c r="O362" s="1">
        <v>0.0</v>
      </c>
      <c r="P362" s="1">
        <v>0.0</v>
      </c>
      <c r="Q362" s="1">
        <v>112.0</v>
      </c>
      <c r="R362" s="1">
        <v>27.0</v>
      </c>
    </row>
    <row r="363">
      <c r="A363" s="1">
        <f t="shared" si="1"/>
        <v>361</v>
      </c>
      <c r="B363" s="1" t="s">
        <v>1393</v>
      </c>
      <c r="C363" s="1">
        <f t="shared" si="2"/>
        <v>361</v>
      </c>
      <c r="D363" s="1" t="s">
        <v>1146</v>
      </c>
      <c r="E363" s="1" t="s">
        <v>31</v>
      </c>
      <c r="F363" s="11">
        <f t="shared" si="3"/>
        <v>201.75</v>
      </c>
      <c r="G363" s="11">
        <f t="shared" si="4"/>
        <v>2.62012987</v>
      </c>
      <c r="H363" s="1">
        <v>77.0</v>
      </c>
      <c r="I363" s="1">
        <v>11.0</v>
      </c>
      <c r="J363" s="1">
        <v>9.0</v>
      </c>
      <c r="K363" s="1">
        <v>20.0</v>
      </c>
      <c r="L363" s="1">
        <v>109.0</v>
      </c>
      <c r="M363" s="1">
        <v>0.0</v>
      </c>
      <c r="N363" s="1">
        <v>0.0</v>
      </c>
      <c r="O363" s="1">
        <v>0.0</v>
      </c>
      <c r="P363" s="1">
        <v>0.0</v>
      </c>
      <c r="Q363" s="1">
        <v>229.0</v>
      </c>
      <c r="R363" s="1">
        <v>27.0</v>
      </c>
    </row>
    <row r="364">
      <c r="A364" s="1">
        <f t="shared" si="1"/>
        <v>362</v>
      </c>
      <c r="B364" s="1" t="s">
        <v>1434</v>
      </c>
      <c r="C364" s="1">
        <f t="shared" si="2"/>
        <v>362</v>
      </c>
      <c r="D364" s="1" t="s">
        <v>1111</v>
      </c>
      <c r="E364" s="1" t="s">
        <v>31</v>
      </c>
      <c r="F364" s="11">
        <f t="shared" si="3"/>
        <v>201</v>
      </c>
      <c r="G364" s="11">
        <f t="shared" si="4"/>
        <v>2.716216216</v>
      </c>
      <c r="H364" s="1">
        <v>74.0</v>
      </c>
      <c r="I364" s="1">
        <v>21.0</v>
      </c>
      <c r="J364" s="1">
        <v>8.0</v>
      </c>
      <c r="K364" s="1">
        <v>29.0</v>
      </c>
      <c r="L364" s="1">
        <v>111.0</v>
      </c>
      <c r="M364" s="1">
        <v>1.0</v>
      </c>
      <c r="N364" s="1">
        <v>1.0</v>
      </c>
      <c r="O364" s="1">
        <v>1.0</v>
      </c>
      <c r="P364" s="1">
        <v>0.0</v>
      </c>
      <c r="Q364" s="1">
        <v>56.0</v>
      </c>
      <c r="R364" s="1">
        <v>22.0</v>
      </c>
    </row>
    <row r="365">
      <c r="A365" s="1">
        <f t="shared" si="1"/>
        <v>362</v>
      </c>
      <c r="B365" s="1" t="s">
        <v>1438</v>
      </c>
      <c r="C365" s="1">
        <f t="shared" si="2"/>
        <v>362</v>
      </c>
      <c r="D365" s="1" t="s">
        <v>1040</v>
      </c>
      <c r="E365" s="1" t="s">
        <v>31</v>
      </c>
      <c r="F365" s="11">
        <f t="shared" si="3"/>
        <v>201</v>
      </c>
      <c r="G365" s="11">
        <f t="shared" si="4"/>
        <v>2.544303797</v>
      </c>
      <c r="H365" s="1">
        <v>79.0</v>
      </c>
      <c r="I365" s="1">
        <v>10.0</v>
      </c>
      <c r="J365" s="1">
        <v>20.0</v>
      </c>
      <c r="K365" s="1">
        <v>30.0</v>
      </c>
      <c r="L365" s="1">
        <v>90.0</v>
      </c>
      <c r="M365" s="1">
        <v>3.0</v>
      </c>
      <c r="N365" s="1">
        <v>3.0</v>
      </c>
      <c r="O365" s="1">
        <v>1.0</v>
      </c>
      <c r="P365" s="1">
        <v>0.0</v>
      </c>
      <c r="Q365" s="1">
        <v>46.0</v>
      </c>
      <c r="R365" s="1">
        <v>75.0</v>
      </c>
    </row>
    <row r="366">
      <c r="A366" s="1">
        <f t="shared" si="1"/>
        <v>364</v>
      </c>
      <c r="B366" s="1" t="s">
        <v>1407</v>
      </c>
      <c r="C366" s="1">
        <f t="shared" si="2"/>
        <v>364</v>
      </c>
      <c r="D366" s="1" t="s">
        <v>1076</v>
      </c>
      <c r="E366" s="1" t="s">
        <v>31</v>
      </c>
      <c r="F366" s="11">
        <f t="shared" si="3"/>
        <v>200.75</v>
      </c>
      <c r="G366" s="11">
        <f t="shared" si="4"/>
        <v>2.827464789</v>
      </c>
      <c r="H366" s="1">
        <v>71.0</v>
      </c>
      <c r="I366" s="1">
        <v>7.0</v>
      </c>
      <c r="J366" s="1">
        <v>18.0</v>
      </c>
      <c r="K366" s="1">
        <v>25.0</v>
      </c>
      <c r="L366" s="1">
        <v>74.0</v>
      </c>
      <c r="M366" s="1">
        <v>0.0</v>
      </c>
      <c r="N366" s="1">
        <v>0.0</v>
      </c>
      <c r="O366" s="1">
        <v>1.0</v>
      </c>
      <c r="P366" s="1">
        <v>0.0</v>
      </c>
      <c r="Q366" s="1">
        <v>177.0</v>
      </c>
      <c r="R366" s="1">
        <v>64.0</v>
      </c>
    </row>
    <row r="367">
      <c r="A367" s="1">
        <f t="shared" si="1"/>
        <v>364</v>
      </c>
      <c r="B367" s="1" t="s">
        <v>1415</v>
      </c>
      <c r="C367" s="1">
        <f t="shared" si="2"/>
        <v>364</v>
      </c>
      <c r="D367" s="1" t="s">
        <v>1044</v>
      </c>
      <c r="E367" s="1" t="s">
        <v>31</v>
      </c>
      <c r="F367" s="11">
        <f t="shared" si="3"/>
        <v>200.75</v>
      </c>
      <c r="G367" s="11">
        <f t="shared" si="4"/>
        <v>2.788194444</v>
      </c>
      <c r="H367" s="1">
        <v>72.0</v>
      </c>
      <c r="I367" s="1">
        <v>13.0</v>
      </c>
      <c r="J367" s="1">
        <v>13.0</v>
      </c>
      <c r="K367" s="1">
        <v>26.0</v>
      </c>
      <c r="L367" s="1">
        <v>97.0</v>
      </c>
      <c r="M367" s="1">
        <v>2.0</v>
      </c>
      <c r="N367" s="1">
        <v>0.0</v>
      </c>
      <c r="O367" s="1">
        <v>1.0</v>
      </c>
      <c r="P367" s="1">
        <v>0.0</v>
      </c>
      <c r="Q367" s="1">
        <v>129.0</v>
      </c>
      <c r="R367" s="1">
        <v>41.0</v>
      </c>
    </row>
    <row r="368">
      <c r="A368" s="1">
        <f t="shared" si="1"/>
        <v>366</v>
      </c>
      <c r="B368" s="1" t="s">
        <v>1420</v>
      </c>
      <c r="C368" s="1">
        <f t="shared" si="2"/>
        <v>366</v>
      </c>
      <c r="D368" s="1" t="s">
        <v>1078</v>
      </c>
      <c r="E368" s="1" t="s">
        <v>66</v>
      </c>
      <c r="F368" s="11">
        <f t="shared" si="3"/>
        <v>200</v>
      </c>
      <c r="G368" s="11">
        <f t="shared" si="4"/>
        <v>2.702702703</v>
      </c>
      <c r="H368" s="1">
        <v>74.0</v>
      </c>
      <c r="I368" s="1">
        <v>2.0</v>
      </c>
      <c r="J368" s="1">
        <v>16.0</v>
      </c>
      <c r="K368" s="1">
        <v>18.0</v>
      </c>
      <c r="L368" s="1">
        <v>89.0</v>
      </c>
      <c r="M368" s="1">
        <v>0.0</v>
      </c>
      <c r="N368" s="1">
        <v>0.0</v>
      </c>
      <c r="O368" s="1">
        <v>0.0</v>
      </c>
      <c r="P368" s="1">
        <v>1.0</v>
      </c>
      <c r="Q368" s="1">
        <v>128.0</v>
      </c>
      <c r="R368" s="1">
        <v>129.0</v>
      </c>
    </row>
    <row r="369">
      <c r="A369" s="1">
        <f t="shared" si="1"/>
        <v>367</v>
      </c>
      <c r="B369" s="1" t="s">
        <v>1455</v>
      </c>
      <c r="C369" s="1">
        <f t="shared" si="2"/>
        <v>367</v>
      </c>
      <c r="D369" s="1" t="s">
        <v>1175</v>
      </c>
      <c r="E369" s="1" t="s">
        <v>5</v>
      </c>
      <c r="F369" s="11">
        <f t="shared" si="3"/>
        <v>198.9</v>
      </c>
      <c r="G369" s="11">
        <f t="shared" si="4"/>
        <v>4.520454545</v>
      </c>
      <c r="H369" s="1">
        <v>44.0</v>
      </c>
      <c r="S369" s="1">
        <v>10.0</v>
      </c>
      <c r="T369" s="1">
        <v>140.0</v>
      </c>
      <c r="U369" s="12">
        <v>1243.0</v>
      </c>
      <c r="V369" s="1">
        <v>2.0</v>
      </c>
    </row>
    <row r="370">
      <c r="A370" s="1">
        <f t="shared" si="1"/>
        <v>368</v>
      </c>
      <c r="B370" s="1" t="s">
        <v>1444</v>
      </c>
      <c r="C370" s="1">
        <f t="shared" si="2"/>
        <v>368</v>
      </c>
      <c r="D370" s="1" t="s">
        <v>1030</v>
      </c>
      <c r="E370" s="1" t="s">
        <v>28</v>
      </c>
      <c r="F370" s="11">
        <f t="shared" si="3"/>
        <v>198.75</v>
      </c>
      <c r="G370" s="11">
        <f t="shared" si="4"/>
        <v>4.416666667</v>
      </c>
      <c r="H370" s="1">
        <v>45.0</v>
      </c>
      <c r="I370" s="1">
        <v>16.0</v>
      </c>
      <c r="J370" s="1">
        <v>18.0</v>
      </c>
      <c r="K370" s="1">
        <v>34.0</v>
      </c>
      <c r="L370" s="1">
        <v>103.0</v>
      </c>
      <c r="M370" s="1">
        <v>7.0</v>
      </c>
      <c r="N370" s="1">
        <v>5.0</v>
      </c>
      <c r="O370" s="1">
        <v>0.0</v>
      </c>
      <c r="P370" s="1">
        <v>0.0</v>
      </c>
      <c r="Q370" s="1">
        <v>49.0</v>
      </c>
      <c r="R370" s="1">
        <v>18.0</v>
      </c>
    </row>
    <row r="371">
      <c r="A371" s="1">
        <f t="shared" si="1"/>
        <v>368</v>
      </c>
      <c r="B371" s="1" t="s">
        <v>1443</v>
      </c>
      <c r="C371" s="1">
        <f t="shared" si="2"/>
        <v>368</v>
      </c>
      <c r="D371" s="1" t="s">
        <v>1156</v>
      </c>
      <c r="E371" s="1" t="s">
        <v>31</v>
      </c>
      <c r="F371" s="11">
        <f t="shared" si="3"/>
        <v>198.75</v>
      </c>
      <c r="G371" s="11">
        <f t="shared" si="4"/>
        <v>2.548076923</v>
      </c>
      <c r="H371" s="1">
        <v>78.0</v>
      </c>
      <c r="I371" s="1">
        <v>12.0</v>
      </c>
      <c r="J371" s="1">
        <v>18.0</v>
      </c>
      <c r="K371" s="1">
        <v>30.0</v>
      </c>
      <c r="L371" s="1">
        <v>109.0</v>
      </c>
      <c r="M371" s="1">
        <v>0.0</v>
      </c>
      <c r="N371" s="1">
        <v>2.0</v>
      </c>
      <c r="O371" s="1">
        <v>2.0</v>
      </c>
      <c r="P371" s="1">
        <v>0.0</v>
      </c>
      <c r="Q371" s="1">
        <v>57.0</v>
      </c>
      <c r="R371" s="1">
        <v>36.0</v>
      </c>
    </row>
    <row r="372">
      <c r="A372" s="1">
        <f t="shared" si="1"/>
        <v>370</v>
      </c>
      <c r="B372" s="1" t="s">
        <v>1403</v>
      </c>
      <c r="C372" s="1">
        <f t="shared" si="2"/>
        <v>370</v>
      </c>
      <c r="D372" s="1" t="s">
        <v>1030</v>
      </c>
      <c r="E372" s="1" t="s">
        <v>31</v>
      </c>
      <c r="F372" s="11">
        <f t="shared" si="3"/>
        <v>198.5</v>
      </c>
      <c r="G372" s="11">
        <f t="shared" si="4"/>
        <v>2.611842105</v>
      </c>
      <c r="H372" s="1">
        <v>76.0</v>
      </c>
      <c r="I372" s="1">
        <v>12.0</v>
      </c>
      <c r="J372" s="1">
        <v>5.0</v>
      </c>
      <c r="K372" s="1">
        <v>17.0</v>
      </c>
      <c r="L372" s="1">
        <v>116.0</v>
      </c>
      <c r="M372" s="1">
        <v>0.0</v>
      </c>
      <c r="N372" s="1">
        <v>0.0</v>
      </c>
      <c r="O372" s="1">
        <v>0.0</v>
      </c>
      <c r="P372" s="1">
        <v>1.0</v>
      </c>
      <c r="Q372" s="1">
        <v>206.0</v>
      </c>
      <c r="R372" s="1">
        <v>36.0</v>
      </c>
    </row>
    <row r="373">
      <c r="A373" s="1">
        <f t="shared" si="1"/>
        <v>371</v>
      </c>
      <c r="B373" s="1" t="s">
        <v>1447</v>
      </c>
      <c r="C373" s="1">
        <f t="shared" si="2"/>
        <v>371</v>
      </c>
      <c r="D373" s="1" t="s">
        <v>1156</v>
      </c>
      <c r="E373" s="1" t="s">
        <v>66</v>
      </c>
      <c r="F373" s="11">
        <f t="shared" si="3"/>
        <v>198.25</v>
      </c>
      <c r="G373" s="11">
        <f t="shared" si="4"/>
        <v>2.958955224</v>
      </c>
      <c r="H373" s="1">
        <v>67.0</v>
      </c>
      <c r="I373" s="1">
        <v>9.0</v>
      </c>
      <c r="J373" s="1">
        <v>19.0</v>
      </c>
      <c r="K373" s="1">
        <v>28.0</v>
      </c>
      <c r="L373" s="1">
        <v>88.0</v>
      </c>
      <c r="M373" s="1">
        <v>0.0</v>
      </c>
      <c r="N373" s="1">
        <v>3.0</v>
      </c>
      <c r="O373" s="1">
        <v>0.0</v>
      </c>
      <c r="P373" s="1">
        <v>2.0</v>
      </c>
      <c r="Q373" s="1">
        <v>45.0</v>
      </c>
      <c r="R373" s="1">
        <v>83.0</v>
      </c>
    </row>
    <row r="374">
      <c r="A374" s="1">
        <f t="shared" si="1"/>
        <v>371</v>
      </c>
      <c r="B374" s="1" t="s">
        <v>1440</v>
      </c>
      <c r="C374" s="1">
        <f t="shared" si="2"/>
        <v>371</v>
      </c>
      <c r="D374" s="1" t="s">
        <v>1036</v>
      </c>
      <c r="E374" s="1" t="s">
        <v>31</v>
      </c>
      <c r="F374" s="11">
        <f t="shared" si="3"/>
        <v>198.25</v>
      </c>
      <c r="G374" s="11">
        <f t="shared" si="4"/>
        <v>2.447530864</v>
      </c>
      <c r="H374" s="1">
        <v>81.0</v>
      </c>
      <c r="I374" s="1">
        <v>12.0</v>
      </c>
      <c r="J374" s="1">
        <v>18.0</v>
      </c>
      <c r="K374" s="1">
        <v>30.0</v>
      </c>
      <c r="L374" s="1">
        <v>106.0</v>
      </c>
      <c r="M374" s="1">
        <v>0.0</v>
      </c>
      <c r="N374" s="1">
        <v>1.0</v>
      </c>
      <c r="O374" s="1">
        <v>0.0</v>
      </c>
      <c r="P374" s="1">
        <v>2.0</v>
      </c>
      <c r="Q374" s="1">
        <v>65.0</v>
      </c>
      <c r="R374" s="1">
        <v>34.0</v>
      </c>
    </row>
    <row r="375">
      <c r="A375" s="1">
        <f t="shared" si="1"/>
        <v>373</v>
      </c>
      <c r="B375" s="1" t="s">
        <v>1445</v>
      </c>
      <c r="C375" s="1">
        <f t="shared" si="2"/>
        <v>373</v>
      </c>
      <c r="D375" s="1" t="s">
        <v>1040</v>
      </c>
      <c r="E375" s="1" t="s">
        <v>66</v>
      </c>
      <c r="F375" s="11">
        <f t="shared" si="3"/>
        <v>197.25</v>
      </c>
      <c r="G375" s="11">
        <f t="shared" si="4"/>
        <v>2.595394737</v>
      </c>
      <c r="H375" s="1">
        <v>76.0</v>
      </c>
      <c r="I375" s="1">
        <v>6.0</v>
      </c>
      <c r="J375" s="1">
        <v>25.0</v>
      </c>
      <c r="K375" s="1">
        <v>31.0</v>
      </c>
      <c r="L375" s="1">
        <v>93.0</v>
      </c>
      <c r="M375" s="1">
        <v>0.0</v>
      </c>
      <c r="N375" s="1">
        <v>9.0</v>
      </c>
      <c r="O375" s="1">
        <v>0.0</v>
      </c>
      <c r="P375" s="1">
        <v>0.0</v>
      </c>
      <c r="Q375" s="1">
        <v>63.0</v>
      </c>
      <c r="R375" s="1">
        <v>66.0</v>
      </c>
    </row>
    <row r="376">
      <c r="A376" s="1">
        <f t="shared" si="1"/>
        <v>374</v>
      </c>
      <c r="B376" s="1" t="s">
        <v>1461</v>
      </c>
      <c r="C376" s="1">
        <f t="shared" si="2"/>
        <v>374</v>
      </c>
      <c r="D376" s="1" t="s">
        <v>1080</v>
      </c>
      <c r="E376" s="1" t="s">
        <v>5</v>
      </c>
      <c r="F376" s="11">
        <f t="shared" si="3"/>
        <v>196.5</v>
      </c>
      <c r="G376" s="11">
        <f t="shared" si="4"/>
        <v>5.614285714</v>
      </c>
      <c r="H376" s="1">
        <v>35.0</v>
      </c>
      <c r="S376" s="1">
        <v>19.0</v>
      </c>
      <c r="T376" s="1">
        <v>89.0</v>
      </c>
      <c r="U376" s="1">
        <v>890.0</v>
      </c>
      <c r="V376" s="1">
        <v>2.0</v>
      </c>
    </row>
    <row r="377">
      <c r="A377" s="1">
        <f t="shared" si="1"/>
        <v>374</v>
      </c>
      <c r="B377" s="1" t="s">
        <v>1412</v>
      </c>
      <c r="C377" s="1">
        <f t="shared" si="2"/>
        <v>374</v>
      </c>
      <c r="D377" s="1" t="s">
        <v>1046</v>
      </c>
      <c r="E377" s="1" t="s">
        <v>36</v>
      </c>
      <c r="F377" s="11">
        <f t="shared" si="3"/>
        <v>196.5</v>
      </c>
      <c r="G377" s="11">
        <f t="shared" si="4"/>
        <v>2.487341772</v>
      </c>
      <c r="H377" s="1">
        <v>79.0</v>
      </c>
      <c r="I377" s="1">
        <v>13.0</v>
      </c>
      <c r="J377" s="1">
        <v>11.0</v>
      </c>
      <c r="K377" s="1">
        <v>24.0</v>
      </c>
      <c r="L377" s="1">
        <v>78.0</v>
      </c>
      <c r="M377" s="1">
        <v>0.0</v>
      </c>
      <c r="N377" s="1">
        <v>0.0</v>
      </c>
      <c r="O377" s="1">
        <v>1.0</v>
      </c>
      <c r="P377" s="1">
        <v>0.0</v>
      </c>
      <c r="Q377" s="1">
        <v>192.0</v>
      </c>
      <c r="R377" s="1">
        <v>32.0</v>
      </c>
    </row>
    <row r="378">
      <c r="A378" s="1">
        <f t="shared" si="1"/>
        <v>376</v>
      </c>
      <c r="B378" s="1" t="s">
        <v>1396</v>
      </c>
      <c r="C378" s="1">
        <f t="shared" si="2"/>
        <v>376</v>
      </c>
      <c r="D378" s="1" t="s">
        <v>1080</v>
      </c>
      <c r="E378" s="1" t="s">
        <v>36</v>
      </c>
      <c r="F378" s="11">
        <f t="shared" si="3"/>
        <v>196.25</v>
      </c>
      <c r="G378" s="11">
        <f t="shared" si="4"/>
        <v>2.484177215</v>
      </c>
      <c r="H378" s="1">
        <v>79.0</v>
      </c>
      <c r="I378" s="1">
        <v>8.0</v>
      </c>
      <c r="J378" s="1">
        <v>10.0</v>
      </c>
      <c r="K378" s="1">
        <v>18.0</v>
      </c>
      <c r="L378" s="1">
        <v>73.0</v>
      </c>
      <c r="M378" s="1">
        <v>0.0</v>
      </c>
      <c r="N378" s="1">
        <v>0.0</v>
      </c>
      <c r="O378" s="1">
        <v>1.0</v>
      </c>
      <c r="P378" s="1">
        <v>1.0</v>
      </c>
      <c r="Q378" s="1">
        <v>277.0</v>
      </c>
      <c r="R378" s="1">
        <v>41.0</v>
      </c>
    </row>
    <row r="379">
      <c r="A379" s="1">
        <f t="shared" si="1"/>
        <v>377</v>
      </c>
      <c r="B379" s="1" t="s">
        <v>1426</v>
      </c>
      <c r="C379" s="1">
        <f t="shared" si="2"/>
        <v>377</v>
      </c>
      <c r="D379" s="1" t="s">
        <v>1087</v>
      </c>
      <c r="E379" s="1" t="s">
        <v>31</v>
      </c>
      <c r="F379" s="11">
        <f t="shared" si="3"/>
        <v>196</v>
      </c>
      <c r="G379" s="11">
        <f t="shared" si="4"/>
        <v>2.8</v>
      </c>
      <c r="H379" s="1">
        <v>70.0</v>
      </c>
      <c r="I379" s="1">
        <v>10.0</v>
      </c>
      <c r="J379" s="1">
        <v>13.0</v>
      </c>
      <c r="K379" s="1">
        <v>23.0</v>
      </c>
      <c r="L379" s="1">
        <v>82.0</v>
      </c>
      <c r="M379" s="1">
        <v>0.0</v>
      </c>
      <c r="N379" s="1">
        <v>1.0</v>
      </c>
      <c r="O379" s="1">
        <v>1.0</v>
      </c>
      <c r="P379" s="1">
        <v>0.0</v>
      </c>
      <c r="Q379" s="1">
        <v>134.0</v>
      </c>
      <c r="R379" s="1">
        <v>71.0</v>
      </c>
    </row>
    <row r="380">
      <c r="A380" s="1">
        <f t="shared" si="1"/>
        <v>378</v>
      </c>
      <c r="B380" s="1" t="s">
        <v>1439</v>
      </c>
      <c r="C380" s="1">
        <f t="shared" si="2"/>
        <v>378</v>
      </c>
      <c r="D380" s="1" t="s">
        <v>1046</v>
      </c>
      <c r="E380" s="1" t="s">
        <v>31</v>
      </c>
      <c r="F380" s="11">
        <f t="shared" si="3"/>
        <v>195.5</v>
      </c>
      <c r="G380" s="11">
        <f t="shared" si="4"/>
        <v>2.875</v>
      </c>
      <c r="H380" s="1">
        <v>68.0</v>
      </c>
      <c r="I380" s="1">
        <v>6.0</v>
      </c>
      <c r="J380" s="1">
        <v>22.0</v>
      </c>
      <c r="K380" s="1">
        <v>28.0</v>
      </c>
      <c r="L380" s="1">
        <v>97.0</v>
      </c>
      <c r="M380" s="1">
        <v>0.0</v>
      </c>
      <c r="N380" s="1">
        <v>0.0</v>
      </c>
      <c r="O380" s="1">
        <v>2.0</v>
      </c>
      <c r="P380" s="1">
        <v>2.0</v>
      </c>
      <c r="Q380" s="1">
        <v>98.0</v>
      </c>
      <c r="R380" s="1">
        <v>43.0</v>
      </c>
    </row>
    <row r="381">
      <c r="A381" s="1">
        <f t="shared" si="1"/>
        <v>378</v>
      </c>
      <c r="B381" s="1" t="s">
        <v>1449</v>
      </c>
      <c r="C381" s="1">
        <f t="shared" si="2"/>
        <v>378</v>
      </c>
      <c r="D381" s="1" t="s">
        <v>1073</v>
      </c>
      <c r="E381" s="1" t="s">
        <v>28</v>
      </c>
      <c r="F381" s="11">
        <f t="shared" si="3"/>
        <v>195.5</v>
      </c>
      <c r="G381" s="11">
        <f t="shared" si="4"/>
        <v>2.474683544</v>
      </c>
      <c r="H381" s="1">
        <v>79.0</v>
      </c>
      <c r="I381" s="1">
        <v>12.0</v>
      </c>
      <c r="J381" s="1">
        <v>15.0</v>
      </c>
      <c r="K381" s="1">
        <v>27.0</v>
      </c>
      <c r="L381" s="1">
        <v>128.0</v>
      </c>
      <c r="M381" s="1">
        <v>1.0</v>
      </c>
      <c r="N381" s="1">
        <v>1.0</v>
      </c>
      <c r="O381" s="1">
        <v>0.0</v>
      </c>
      <c r="P381" s="1">
        <v>1.0</v>
      </c>
      <c r="Q381" s="1">
        <v>56.0</v>
      </c>
      <c r="R381" s="1">
        <v>33.0</v>
      </c>
    </row>
    <row r="382">
      <c r="A382" s="1">
        <f t="shared" si="1"/>
        <v>380</v>
      </c>
      <c r="B382" s="1" t="s">
        <v>1453</v>
      </c>
      <c r="C382" s="1">
        <f t="shared" si="2"/>
        <v>380</v>
      </c>
      <c r="D382" s="1" t="s">
        <v>1032</v>
      </c>
      <c r="E382" s="1" t="s">
        <v>66</v>
      </c>
      <c r="F382" s="11">
        <f t="shared" si="3"/>
        <v>195.25</v>
      </c>
      <c r="G382" s="11">
        <f t="shared" si="4"/>
        <v>2.503205128</v>
      </c>
      <c r="H382" s="1">
        <v>78.0</v>
      </c>
      <c r="I382" s="1">
        <v>1.0</v>
      </c>
      <c r="J382" s="1">
        <v>25.0</v>
      </c>
      <c r="K382" s="1">
        <v>26.0</v>
      </c>
      <c r="L382" s="1">
        <v>52.0</v>
      </c>
      <c r="M382" s="1">
        <v>0.0</v>
      </c>
      <c r="N382" s="1">
        <v>0.0</v>
      </c>
      <c r="O382" s="1">
        <v>0.0</v>
      </c>
      <c r="P382" s="1">
        <v>0.0</v>
      </c>
      <c r="Q382" s="1">
        <v>41.0</v>
      </c>
      <c r="R382" s="1">
        <v>159.0</v>
      </c>
    </row>
    <row r="383">
      <c r="A383" s="1">
        <f t="shared" si="1"/>
        <v>381</v>
      </c>
      <c r="B383" s="1" t="s">
        <v>1454</v>
      </c>
      <c r="C383" s="1">
        <f t="shared" si="2"/>
        <v>381</v>
      </c>
      <c r="D383" s="1" t="s">
        <v>1038</v>
      </c>
      <c r="E383" s="1" t="s">
        <v>66</v>
      </c>
      <c r="F383" s="11">
        <f t="shared" si="3"/>
        <v>194.25</v>
      </c>
      <c r="G383" s="11">
        <f t="shared" si="4"/>
        <v>2.660958904</v>
      </c>
      <c r="H383" s="1">
        <v>73.0</v>
      </c>
      <c r="I383" s="1">
        <v>3.0</v>
      </c>
      <c r="J383" s="1">
        <v>23.0</v>
      </c>
      <c r="K383" s="1">
        <v>26.0</v>
      </c>
      <c r="L383" s="1">
        <v>99.0</v>
      </c>
      <c r="M383" s="1">
        <v>1.0</v>
      </c>
      <c r="N383" s="1">
        <v>4.0</v>
      </c>
      <c r="O383" s="1">
        <v>0.0</v>
      </c>
      <c r="P383" s="1">
        <v>0.0</v>
      </c>
      <c r="Q383" s="1">
        <v>49.0</v>
      </c>
      <c r="R383" s="1">
        <v>100.0</v>
      </c>
    </row>
    <row r="384">
      <c r="A384" s="1">
        <f t="shared" si="1"/>
        <v>381</v>
      </c>
      <c r="B384" s="1" t="s">
        <v>1421</v>
      </c>
      <c r="C384" s="1">
        <f t="shared" si="2"/>
        <v>381</v>
      </c>
      <c r="D384" s="1" t="s">
        <v>1046</v>
      </c>
      <c r="E384" s="1" t="s">
        <v>66</v>
      </c>
      <c r="F384" s="11">
        <f t="shared" si="3"/>
        <v>194.25</v>
      </c>
      <c r="G384" s="11">
        <f t="shared" si="4"/>
        <v>2.59</v>
      </c>
      <c r="H384" s="1">
        <v>75.0</v>
      </c>
      <c r="I384" s="1">
        <v>6.0</v>
      </c>
      <c r="J384" s="1">
        <v>14.0</v>
      </c>
      <c r="K384" s="1">
        <v>20.0</v>
      </c>
      <c r="L384" s="1">
        <v>90.0</v>
      </c>
      <c r="M384" s="1">
        <v>0.0</v>
      </c>
      <c r="N384" s="1">
        <v>0.0</v>
      </c>
      <c r="O384" s="1">
        <v>0.0</v>
      </c>
      <c r="P384" s="1">
        <v>1.0</v>
      </c>
      <c r="Q384" s="1">
        <v>177.0</v>
      </c>
      <c r="R384" s="1">
        <v>68.0</v>
      </c>
    </row>
    <row r="385">
      <c r="A385" s="1">
        <f t="shared" si="1"/>
        <v>383</v>
      </c>
      <c r="B385" s="1" t="s">
        <v>1428</v>
      </c>
      <c r="C385" s="1">
        <f t="shared" si="2"/>
        <v>383</v>
      </c>
      <c r="D385" s="1" t="s">
        <v>1042</v>
      </c>
      <c r="E385" s="1" t="s">
        <v>31</v>
      </c>
      <c r="F385" s="11">
        <f t="shared" si="3"/>
        <v>194</v>
      </c>
      <c r="G385" s="11">
        <f t="shared" si="4"/>
        <v>2.771428571</v>
      </c>
      <c r="H385" s="1">
        <v>70.0</v>
      </c>
      <c r="I385" s="1">
        <v>12.0</v>
      </c>
      <c r="J385" s="1">
        <v>10.0</v>
      </c>
      <c r="K385" s="1">
        <v>22.0</v>
      </c>
      <c r="L385" s="1">
        <v>94.0</v>
      </c>
      <c r="M385" s="1">
        <v>0.0</v>
      </c>
      <c r="N385" s="1">
        <v>0.0</v>
      </c>
      <c r="O385" s="1">
        <v>0.0</v>
      </c>
      <c r="P385" s="1">
        <v>0.0</v>
      </c>
      <c r="Q385" s="1">
        <v>142.0</v>
      </c>
      <c r="R385" s="1">
        <v>55.0</v>
      </c>
    </row>
    <row r="386">
      <c r="A386" s="1">
        <f t="shared" si="1"/>
        <v>384</v>
      </c>
      <c r="B386" s="1" t="s">
        <v>1457</v>
      </c>
      <c r="C386" s="1">
        <f t="shared" si="2"/>
        <v>384</v>
      </c>
      <c r="D386" s="1" t="s">
        <v>1146</v>
      </c>
      <c r="E386" s="1" t="s">
        <v>28</v>
      </c>
      <c r="F386" s="11">
        <f t="shared" si="3"/>
        <v>193</v>
      </c>
      <c r="G386" s="11">
        <f t="shared" si="4"/>
        <v>3.112903226</v>
      </c>
      <c r="H386" s="1">
        <v>62.0</v>
      </c>
      <c r="I386" s="1">
        <v>13.0</v>
      </c>
      <c r="J386" s="1">
        <v>17.0</v>
      </c>
      <c r="K386" s="1">
        <v>30.0</v>
      </c>
      <c r="L386" s="1">
        <v>117.0</v>
      </c>
      <c r="M386" s="1">
        <v>7.0</v>
      </c>
      <c r="N386" s="1">
        <v>3.0</v>
      </c>
      <c r="O386" s="1">
        <v>0.0</v>
      </c>
      <c r="P386" s="1">
        <v>0.0</v>
      </c>
      <c r="Q386" s="1">
        <v>46.0</v>
      </c>
      <c r="R386" s="1">
        <v>27.0</v>
      </c>
    </row>
    <row r="387">
      <c r="A387" s="1">
        <f t="shared" si="1"/>
        <v>385</v>
      </c>
      <c r="B387" s="1" t="s">
        <v>1401</v>
      </c>
      <c r="C387" s="1">
        <f t="shared" si="2"/>
        <v>385</v>
      </c>
      <c r="D387" s="1" t="s">
        <v>1087</v>
      </c>
      <c r="E387" s="1" t="s">
        <v>36</v>
      </c>
      <c r="F387" s="11">
        <f t="shared" si="3"/>
        <v>192.75</v>
      </c>
      <c r="G387" s="11">
        <f t="shared" si="4"/>
        <v>2.350609756</v>
      </c>
      <c r="H387" s="1">
        <v>82.0</v>
      </c>
      <c r="I387" s="1">
        <v>7.0</v>
      </c>
      <c r="J387" s="1">
        <v>12.0</v>
      </c>
      <c r="K387" s="1">
        <v>19.0</v>
      </c>
      <c r="L387" s="1">
        <v>59.0</v>
      </c>
      <c r="M387" s="1">
        <v>0.0</v>
      </c>
      <c r="N387" s="1">
        <v>0.0</v>
      </c>
      <c r="O387" s="1">
        <v>0.0</v>
      </c>
      <c r="P387" s="1">
        <v>0.0</v>
      </c>
      <c r="Q387" s="1">
        <v>273.0</v>
      </c>
      <c r="R387" s="1">
        <v>55.0</v>
      </c>
    </row>
    <row r="388">
      <c r="A388" s="1">
        <f t="shared" si="1"/>
        <v>386</v>
      </c>
      <c r="B388" s="1" t="s">
        <v>1435</v>
      </c>
      <c r="C388" s="1">
        <f t="shared" si="2"/>
        <v>386</v>
      </c>
      <c r="D388" s="1" t="s">
        <v>1038</v>
      </c>
      <c r="E388" s="1" t="s">
        <v>66</v>
      </c>
      <c r="F388" s="11">
        <f t="shared" si="3"/>
        <v>192.5</v>
      </c>
      <c r="G388" s="11">
        <f t="shared" si="4"/>
        <v>2.532894737</v>
      </c>
      <c r="H388" s="1">
        <v>76.0</v>
      </c>
      <c r="I388" s="1">
        <v>4.0</v>
      </c>
      <c r="J388" s="1">
        <v>10.0</v>
      </c>
      <c r="K388" s="1">
        <v>14.0</v>
      </c>
      <c r="L388" s="1">
        <v>79.0</v>
      </c>
      <c r="M388" s="1">
        <v>0.0</v>
      </c>
      <c r="N388" s="1">
        <v>0.0</v>
      </c>
      <c r="O388" s="1">
        <v>0.0</v>
      </c>
      <c r="P388" s="1">
        <v>0.0</v>
      </c>
      <c r="Q388" s="1">
        <v>140.0</v>
      </c>
      <c r="R388" s="1">
        <v>140.0</v>
      </c>
    </row>
    <row r="389">
      <c r="A389" s="1">
        <f t="shared" si="1"/>
        <v>387</v>
      </c>
      <c r="B389" s="1" t="s">
        <v>1446</v>
      </c>
      <c r="C389" s="1">
        <f t="shared" si="2"/>
        <v>387</v>
      </c>
      <c r="D389" s="1" t="s">
        <v>1032</v>
      </c>
      <c r="E389" s="1" t="s">
        <v>31</v>
      </c>
      <c r="F389" s="11">
        <f t="shared" si="3"/>
        <v>191.75</v>
      </c>
      <c r="G389" s="11">
        <f t="shared" si="4"/>
        <v>3.424107143</v>
      </c>
      <c r="H389" s="1">
        <v>56.0</v>
      </c>
      <c r="I389" s="1">
        <v>15.0</v>
      </c>
      <c r="J389" s="1">
        <v>9.0</v>
      </c>
      <c r="K389" s="1">
        <v>24.0</v>
      </c>
      <c r="L389" s="1">
        <v>118.0</v>
      </c>
      <c r="M389" s="1">
        <v>1.0</v>
      </c>
      <c r="N389" s="1">
        <v>0.0</v>
      </c>
      <c r="O389" s="1">
        <v>0.0</v>
      </c>
      <c r="P389" s="1">
        <v>0.0</v>
      </c>
      <c r="Q389" s="1">
        <v>117.0</v>
      </c>
      <c r="R389" s="1">
        <v>18.0</v>
      </c>
    </row>
    <row r="390">
      <c r="A390" s="1">
        <f t="shared" si="1"/>
        <v>387</v>
      </c>
      <c r="B390" s="1" t="s">
        <v>1450</v>
      </c>
      <c r="C390" s="1">
        <f t="shared" si="2"/>
        <v>387</v>
      </c>
      <c r="D390" s="1" t="s">
        <v>1040</v>
      </c>
      <c r="E390" s="1" t="s">
        <v>28</v>
      </c>
      <c r="F390" s="11">
        <f t="shared" si="3"/>
        <v>191.75</v>
      </c>
      <c r="G390" s="11">
        <f t="shared" si="4"/>
        <v>2.396875</v>
      </c>
      <c r="H390" s="1">
        <v>80.0</v>
      </c>
      <c r="I390" s="1">
        <v>13.0</v>
      </c>
      <c r="J390" s="1">
        <v>13.0</v>
      </c>
      <c r="K390" s="1">
        <v>26.0</v>
      </c>
      <c r="L390" s="1">
        <v>116.0</v>
      </c>
      <c r="M390" s="1">
        <v>0.0</v>
      </c>
      <c r="N390" s="1">
        <v>0.0</v>
      </c>
      <c r="O390" s="1">
        <v>0.0</v>
      </c>
      <c r="P390" s="1">
        <v>0.0</v>
      </c>
      <c r="Q390" s="1">
        <v>89.0</v>
      </c>
      <c r="R390" s="1">
        <v>28.0</v>
      </c>
    </row>
    <row r="391">
      <c r="A391" s="1">
        <f t="shared" si="1"/>
        <v>389</v>
      </c>
      <c r="B391" s="1" t="s">
        <v>1463</v>
      </c>
      <c r="C391" s="1">
        <f t="shared" si="2"/>
        <v>389</v>
      </c>
      <c r="D391" s="1" t="s">
        <v>1097</v>
      </c>
      <c r="E391" s="1" t="s">
        <v>31</v>
      </c>
      <c r="F391" s="11">
        <f t="shared" si="3"/>
        <v>191.5</v>
      </c>
      <c r="G391" s="11">
        <f t="shared" si="4"/>
        <v>3.481818182</v>
      </c>
      <c r="H391" s="1">
        <v>55.0</v>
      </c>
      <c r="I391" s="1">
        <v>15.0</v>
      </c>
      <c r="J391" s="1">
        <v>19.0</v>
      </c>
      <c r="K391" s="1">
        <v>34.0</v>
      </c>
      <c r="L391" s="1">
        <v>85.0</v>
      </c>
      <c r="M391" s="1">
        <v>2.0</v>
      </c>
      <c r="N391" s="1">
        <v>6.0</v>
      </c>
      <c r="O391" s="1">
        <v>0.0</v>
      </c>
      <c r="P391" s="1">
        <v>0.0</v>
      </c>
      <c r="Q391" s="1">
        <v>36.0</v>
      </c>
      <c r="R391" s="1">
        <v>31.0</v>
      </c>
    </row>
    <row r="392">
      <c r="A392" s="1">
        <f t="shared" si="1"/>
        <v>390</v>
      </c>
      <c r="B392" s="1" t="s">
        <v>1414</v>
      </c>
      <c r="C392" s="1">
        <f t="shared" si="2"/>
        <v>390</v>
      </c>
      <c r="D392" s="1" t="s">
        <v>1175</v>
      </c>
      <c r="E392" s="1" t="s">
        <v>66</v>
      </c>
      <c r="F392" s="11">
        <f t="shared" si="3"/>
        <v>191.25</v>
      </c>
      <c r="G392" s="11">
        <f t="shared" si="4"/>
        <v>2.619863014</v>
      </c>
      <c r="H392" s="1">
        <v>73.0</v>
      </c>
      <c r="I392" s="1">
        <v>2.0</v>
      </c>
      <c r="J392" s="1">
        <v>6.0</v>
      </c>
      <c r="K392" s="1">
        <v>8.0</v>
      </c>
      <c r="L392" s="1">
        <v>79.0</v>
      </c>
      <c r="M392" s="1">
        <v>0.0</v>
      </c>
      <c r="N392" s="1">
        <v>1.0</v>
      </c>
      <c r="O392" s="1">
        <v>0.0</v>
      </c>
      <c r="P392" s="1">
        <v>0.0</v>
      </c>
      <c r="Q392" s="1">
        <v>231.0</v>
      </c>
      <c r="R392" s="1">
        <v>134.0</v>
      </c>
    </row>
    <row r="393">
      <c r="A393" s="1">
        <f t="shared" si="1"/>
        <v>390</v>
      </c>
      <c r="B393" s="1" t="s">
        <v>1448</v>
      </c>
      <c r="C393" s="1">
        <f t="shared" si="2"/>
        <v>390</v>
      </c>
      <c r="D393" s="1" t="s">
        <v>1120</v>
      </c>
      <c r="E393" s="1" t="s">
        <v>31</v>
      </c>
      <c r="F393" s="11">
        <f t="shared" si="3"/>
        <v>191.25</v>
      </c>
      <c r="G393" s="11">
        <f t="shared" si="4"/>
        <v>2.390625</v>
      </c>
      <c r="H393" s="1">
        <v>80.0</v>
      </c>
      <c r="I393" s="1">
        <v>12.0</v>
      </c>
      <c r="J393" s="1">
        <v>16.0</v>
      </c>
      <c r="K393" s="1">
        <v>28.0</v>
      </c>
      <c r="L393" s="1">
        <v>86.0</v>
      </c>
      <c r="M393" s="1">
        <v>3.0</v>
      </c>
      <c r="N393" s="1">
        <v>2.0</v>
      </c>
      <c r="O393" s="1">
        <v>0.0</v>
      </c>
      <c r="P393" s="1">
        <v>1.0</v>
      </c>
      <c r="Q393" s="1">
        <v>107.0</v>
      </c>
      <c r="R393" s="1">
        <v>35.0</v>
      </c>
    </row>
    <row r="394">
      <c r="A394" s="1">
        <f t="shared" si="1"/>
        <v>392</v>
      </c>
      <c r="B394" s="1" t="s">
        <v>1430</v>
      </c>
      <c r="C394" s="1">
        <f t="shared" si="2"/>
        <v>392</v>
      </c>
      <c r="D394" s="1" t="s">
        <v>1044</v>
      </c>
      <c r="E394" s="1" t="s">
        <v>31</v>
      </c>
      <c r="F394" s="11">
        <f t="shared" si="3"/>
        <v>191</v>
      </c>
      <c r="G394" s="11">
        <f t="shared" si="4"/>
        <v>2.3875</v>
      </c>
      <c r="H394" s="1">
        <v>80.0</v>
      </c>
      <c r="I394" s="1">
        <v>8.0</v>
      </c>
      <c r="J394" s="1">
        <v>10.0</v>
      </c>
      <c r="K394" s="1">
        <v>18.0</v>
      </c>
      <c r="L394" s="1">
        <v>86.0</v>
      </c>
      <c r="M394" s="1">
        <v>0.0</v>
      </c>
      <c r="N394" s="1">
        <v>0.0</v>
      </c>
      <c r="O394" s="1">
        <v>2.0</v>
      </c>
      <c r="P394" s="1">
        <v>1.0</v>
      </c>
      <c r="Q394" s="1">
        <v>170.0</v>
      </c>
      <c r="R394" s="1">
        <v>67.0</v>
      </c>
    </row>
    <row r="395">
      <c r="A395" s="1">
        <f t="shared" si="1"/>
        <v>392</v>
      </c>
      <c r="B395" s="1" t="s">
        <v>1452</v>
      </c>
      <c r="C395" s="1">
        <f t="shared" si="2"/>
        <v>392</v>
      </c>
      <c r="D395" s="1" t="s">
        <v>1097</v>
      </c>
      <c r="E395" s="1" t="s">
        <v>28</v>
      </c>
      <c r="F395" s="11">
        <f t="shared" si="3"/>
        <v>191</v>
      </c>
      <c r="G395" s="11">
        <f t="shared" si="4"/>
        <v>2.329268293</v>
      </c>
      <c r="H395" s="1">
        <v>82.0</v>
      </c>
      <c r="I395" s="1">
        <v>7.0</v>
      </c>
      <c r="J395" s="1">
        <v>21.0</v>
      </c>
      <c r="K395" s="1">
        <v>28.0</v>
      </c>
      <c r="L395" s="1">
        <v>81.0</v>
      </c>
      <c r="M395" s="1">
        <v>0.0</v>
      </c>
      <c r="N395" s="1">
        <v>0.0</v>
      </c>
      <c r="O395" s="1">
        <v>1.0</v>
      </c>
      <c r="P395" s="1">
        <v>0.0</v>
      </c>
      <c r="Q395" s="1">
        <v>86.0</v>
      </c>
      <c r="R395" s="1">
        <v>65.0</v>
      </c>
    </row>
    <row r="396">
      <c r="A396" s="1">
        <f t="shared" si="1"/>
        <v>394</v>
      </c>
      <c r="B396" s="1" t="s">
        <v>1464</v>
      </c>
      <c r="C396" s="1">
        <f t="shared" si="2"/>
        <v>394</v>
      </c>
      <c r="D396" s="1" t="s">
        <v>1156</v>
      </c>
      <c r="E396" s="1" t="s">
        <v>36</v>
      </c>
      <c r="F396" s="11">
        <f t="shared" si="3"/>
        <v>190.75</v>
      </c>
      <c r="G396" s="11">
        <f t="shared" si="4"/>
        <v>3.599056604</v>
      </c>
      <c r="H396" s="1">
        <v>53.0</v>
      </c>
      <c r="I396" s="1">
        <v>16.0</v>
      </c>
      <c r="J396" s="1">
        <v>13.0</v>
      </c>
      <c r="K396" s="1">
        <v>29.0</v>
      </c>
      <c r="L396" s="1">
        <v>110.0</v>
      </c>
      <c r="M396" s="1">
        <v>1.0</v>
      </c>
      <c r="N396" s="1">
        <v>1.0</v>
      </c>
      <c r="O396" s="1">
        <v>0.0</v>
      </c>
      <c r="P396" s="1">
        <v>0.0</v>
      </c>
      <c r="Q396" s="1">
        <v>43.0</v>
      </c>
      <c r="R396" s="1">
        <v>28.0</v>
      </c>
    </row>
    <row r="397">
      <c r="A397" s="1">
        <f t="shared" si="1"/>
        <v>394</v>
      </c>
      <c r="B397" s="1" t="s">
        <v>1432</v>
      </c>
      <c r="C397" s="1">
        <f t="shared" si="2"/>
        <v>394</v>
      </c>
      <c r="D397" s="1" t="s">
        <v>1175</v>
      </c>
      <c r="E397" s="1" t="s">
        <v>31</v>
      </c>
      <c r="F397" s="11">
        <f t="shared" si="3"/>
        <v>190.75</v>
      </c>
      <c r="G397" s="11">
        <f t="shared" si="4"/>
        <v>2.477272727</v>
      </c>
      <c r="H397" s="1">
        <v>77.0</v>
      </c>
      <c r="I397" s="1">
        <v>11.0</v>
      </c>
      <c r="J397" s="1">
        <v>7.0</v>
      </c>
      <c r="K397" s="1">
        <v>18.0</v>
      </c>
      <c r="L397" s="1">
        <v>98.0</v>
      </c>
      <c r="M397" s="1">
        <v>2.0</v>
      </c>
      <c r="N397" s="1">
        <v>3.0</v>
      </c>
      <c r="O397" s="1">
        <v>0.0</v>
      </c>
      <c r="P397" s="1">
        <v>0.0</v>
      </c>
      <c r="Q397" s="1">
        <v>165.0</v>
      </c>
      <c r="R397" s="1">
        <v>60.0</v>
      </c>
    </row>
    <row r="398">
      <c r="A398" s="1">
        <f t="shared" si="1"/>
        <v>396</v>
      </c>
      <c r="B398" s="1" t="s">
        <v>1462</v>
      </c>
      <c r="C398" s="1">
        <f t="shared" si="2"/>
        <v>396</v>
      </c>
      <c r="D398" s="1" t="s">
        <v>1042</v>
      </c>
      <c r="E398" s="1" t="s">
        <v>66</v>
      </c>
      <c r="F398" s="11">
        <f t="shared" si="3"/>
        <v>190</v>
      </c>
      <c r="G398" s="11">
        <f t="shared" si="4"/>
        <v>2.602739726</v>
      </c>
      <c r="H398" s="1">
        <v>73.0</v>
      </c>
      <c r="I398" s="1">
        <v>4.0</v>
      </c>
      <c r="J398" s="1">
        <v>16.0</v>
      </c>
      <c r="K398" s="1">
        <v>20.0</v>
      </c>
      <c r="L398" s="1">
        <v>77.0</v>
      </c>
      <c r="M398" s="1">
        <v>0.0</v>
      </c>
      <c r="N398" s="1">
        <v>1.0</v>
      </c>
      <c r="O398" s="1">
        <v>1.0</v>
      </c>
      <c r="P398" s="1">
        <v>0.0</v>
      </c>
      <c r="Q398" s="1">
        <v>60.0</v>
      </c>
      <c r="R398" s="1">
        <v>137.0</v>
      </c>
    </row>
    <row r="399">
      <c r="A399" s="1">
        <f t="shared" si="1"/>
        <v>397</v>
      </c>
      <c r="B399" s="1" t="s">
        <v>1471</v>
      </c>
      <c r="C399" s="1">
        <f t="shared" si="2"/>
        <v>397</v>
      </c>
      <c r="D399" s="1" t="s">
        <v>1069</v>
      </c>
      <c r="E399" s="1" t="s">
        <v>31</v>
      </c>
      <c r="F399" s="11">
        <f t="shared" si="3"/>
        <v>189.75</v>
      </c>
      <c r="G399" s="11">
        <f t="shared" si="4"/>
        <v>3.011904762</v>
      </c>
      <c r="H399" s="1">
        <v>63.0</v>
      </c>
      <c r="I399" s="1">
        <v>14.0</v>
      </c>
      <c r="J399" s="1">
        <v>20.0</v>
      </c>
      <c r="K399" s="1">
        <v>34.0</v>
      </c>
      <c r="L399" s="1">
        <v>90.0</v>
      </c>
      <c r="M399" s="1">
        <v>1.0</v>
      </c>
      <c r="N399" s="1">
        <v>3.0</v>
      </c>
      <c r="O399" s="1">
        <v>0.0</v>
      </c>
      <c r="P399" s="1">
        <v>0.0</v>
      </c>
      <c r="Q399" s="1">
        <v>29.0</v>
      </c>
      <c r="R399" s="1">
        <v>29.0</v>
      </c>
    </row>
    <row r="400">
      <c r="A400" s="1">
        <f t="shared" si="1"/>
        <v>397</v>
      </c>
      <c r="B400" s="1" t="s">
        <v>1425</v>
      </c>
      <c r="C400" s="1">
        <f t="shared" si="2"/>
        <v>397</v>
      </c>
      <c r="D400" s="1" t="s">
        <v>1111</v>
      </c>
      <c r="E400" s="1" t="s">
        <v>31</v>
      </c>
      <c r="F400" s="11">
        <f t="shared" si="3"/>
        <v>189.75</v>
      </c>
      <c r="G400" s="11">
        <f t="shared" si="4"/>
        <v>2.832089552</v>
      </c>
      <c r="H400" s="1">
        <v>67.0</v>
      </c>
      <c r="I400" s="1">
        <v>8.0</v>
      </c>
      <c r="J400" s="1">
        <v>18.0</v>
      </c>
      <c r="K400" s="1">
        <v>26.0</v>
      </c>
      <c r="L400" s="1">
        <v>56.0</v>
      </c>
      <c r="M400" s="1">
        <v>0.0</v>
      </c>
      <c r="N400" s="1">
        <v>0.0</v>
      </c>
      <c r="O400" s="1">
        <v>0.0</v>
      </c>
      <c r="P400" s="1">
        <v>0.0</v>
      </c>
      <c r="Q400" s="1">
        <v>203.0</v>
      </c>
      <c r="R400" s="1">
        <v>42.0</v>
      </c>
    </row>
    <row r="401">
      <c r="A401" s="1">
        <f t="shared" si="1"/>
        <v>399</v>
      </c>
      <c r="B401" s="1" t="s">
        <v>1456</v>
      </c>
      <c r="C401" s="1">
        <f t="shared" si="2"/>
        <v>399</v>
      </c>
      <c r="D401" s="1" t="s">
        <v>1065</v>
      </c>
      <c r="E401" s="1" t="s">
        <v>66</v>
      </c>
      <c r="F401" s="11">
        <f t="shared" si="3"/>
        <v>189.5</v>
      </c>
      <c r="G401" s="11">
        <f t="shared" si="4"/>
        <v>3.007936508</v>
      </c>
      <c r="H401" s="1">
        <v>63.0</v>
      </c>
      <c r="I401" s="1">
        <v>4.0</v>
      </c>
      <c r="J401" s="1">
        <v>24.0</v>
      </c>
      <c r="K401" s="1">
        <v>28.0</v>
      </c>
      <c r="L401" s="1">
        <v>88.0</v>
      </c>
      <c r="M401" s="1">
        <v>0.0</v>
      </c>
      <c r="N401" s="1">
        <v>7.0</v>
      </c>
      <c r="O401" s="1">
        <v>0.0</v>
      </c>
      <c r="P401" s="1">
        <v>1.0</v>
      </c>
      <c r="Q401" s="1">
        <v>84.0</v>
      </c>
      <c r="R401" s="1">
        <v>65.0</v>
      </c>
    </row>
    <row r="402">
      <c r="A402" s="1">
        <f t="shared" si="1"/>
        <v>399</v>
      </c>
      <c r="B402" s="1" t="s">
        <v>1466</v>
      </c>
      <c r="C402" s="1">
        <f t="shared" si="2"/>
        <v>399</v>
      </c>
      <c r="D402" s="1" t="s">
        <v>1080</v>
      </c>
      <c r="E402" s="1" t="s">
        <v>31</v>
      </c>
      <c r="F402" s="11">
        <f t="shared" si="3"/>
        <v>189.5</v>
      </c>
      <c r="G402" s="11">
        <f t="shared" si="4"/>
        <v>2.595890411</v>
      </c>
      <c r="H402" s="1">
        <v>73.0</v>
      </c>
      <c r="I402" s="1">
        <v>14.0</v>
      </c>
      <c r="J402" s="1">
        <v>13.0</v>
      </c>
      <c r="K402" s="1">
        <v>27.0</v>
      </c>
      <c r="L402" s="1">
        <v>117.0</v>
      </c>
      <c r="M402" s="1">
        <v>3.0</v>
      </c>
      <c r="N402" s="1">
        <v>2.0</v>
      </c>
      <c r="O402" s="1">
        <v>0.0</v>
      </c>
      <c r="P402" s="1">
        <v>0.0</v>
      </c>
      <c r="Q402" s="1">
        <v>48.0</v>
      </c>
      <c r="R402" s="1">
        <v>34.0</v>
      </c>
    </row>
    <row r="403">
      <c r="A403" s="1">
        <f t="shared" si="1"/>
        <v>401</v>
      </c>
      <c r="B403" s="1" t="s">
        <v>1427</v>
      </c>
      <c r="C403" s="1">
        <f t="shared" si="2"/>
        <v>401</v>
      </c>
      <c r="D403" s="1" t="s">
        <v>1034</v>
      </c>
      <c r="E403" s="1" t="s">
        <v>66</v>
      </c>
      <c r="F403" s="11">
        <f t="shared" si="3"/>
        <v>189.25</v>
      </c>
      <c r="G403" s="11">
        <f t="shared" si="4"/>
        <v>2.490131579</v>
      </c>
      <c r="H403" s="1">
        <v>76.0</v>
      </c>
      <c r="I403" s="1">
        <v>4.0</v>
      </c>
      <c r="J403" s="1">
        <v>8.0</v>
      </c>
      <c r="K403" s="1">
        <v>12.0</v>
      </c>
      <c r="L403" s="1">
        <v>86.0</v>
      </c>
      <c r="M403" s="1">
        <v>0.0</v>
      </c>
      <c r="N403" s="1">
        <v>0.0</v>
      </c>
      <c r="O403" s="1">
        <v>0.0</v>
      </c>
      <c r="P403" s="1">
        <v>0.0</v>
      </c>
      <c r="Q403" s="1">
        <v>201.0</v>
      </c>
      <c r="R403" s="1">
        <v>108.0</v>
      </c>
    </row>
    <row r="404">
      <c r="A404" s="1">
        <f t="shared" si="1"/>
        <v>402</v>
      </c>
      <c r="B404" s="1" t="s">
        <v>1469</v>
      </c>
      <c r="C404" s="1">
        <f t="shared" si="2"/>
        <v>402</v>
      </c>
      <c r="D404" s="1" t="s">
        <v>1076</v>
      </c>
      <c r="E404" s="1" t="s">
        <v>36</v>
      </c>
      <c r="F404" s="11">
        <f t="shared" si="3"/>
        <v>188.5</v>
      </c>
      <c r="G404" s="11">
        <f t="shared" si="4"/>
        <v>2.298780488</v>
      </c>
      <c r="H404" s="1">
        <v>82.0</v>
      </c>
      <c r="I404" s="1">
        <v>16.0</v>
      </c>
      <c r="J404" s="1">
        <v>12.0</v>
      </c>
      <c r="K404" s="1">
        <v>28.0</v>
      </c>
      <c r="L404" s="1">
        <v>122.0</v>
      </c>
      <c r="M404" s="1">
        <v>1.0</v>
      </c>
      <c r="N404" s="1">
        <v>1.0</v>
      </c>
      <c r="O404" s="1">
        <v>0.0</v>
      </c>
      <c r="P404" s="1">
        <v>0.0</v>
      </c>
      <c r="Q404" s="1">
        <v>44.0</v>
      </c>
      <c r="R404" s="1">
        <v>17.0</v>
      </c>
    </row>
    <row r="405">
      <c r="A405" s="1">
        <f t="shared" si="1"/>
        <v>403</v>
      </c>
      <c r="B405" s="1" t="s">
        <v>1488</v>
      </c>
      <c r="C405" s="1">
        <f t="shared" si="2"/>
        <v>403</v>
      </c>
      <c r="D405" s="1" t="s">
        <v>1032</v>
      </c>
      <c r="E405" s="1" t="s">
        <v>5</v>
      </c>
      <c r="F405" s="11">
        <f t="shared" si="3"/>
        <v>188.1</v>
      </c>
      <c r="G405" s="11">
        <f t="shared" si="4"/>
        <v>4.7025</v>
      </c>
      <c r="H405" s="1">
        <v>40.0</v>
      </c>
      <c r="S405" s="1">
        <v>23.0</v>
      </c>
      <c r="T405" s="1">
        <v>120.0</v>
      </c>
      <c r="U405" s="1">
        <v>967.0</v>
      </c>
      <c r="V405" s="1">
        <v>3.0</v>
      </c>
    </row>
    <row r="406">
      <c r="A406" s="1">
        <f t="shared" si="1"/>
        <v>404</v>
      </c>
      <c r="B406" s="1" t="s">
        <v>1475</v>
      </c>
      <c r="C406" s="1">
        <f t="shared" si="2"/>
        <v>404</v>
      </c>
      <c r="D406" s="1" t="s">
        <v>1054</v>
      </c>
      <c r="E406" s="1" t="s">
        <v>28</v>
      </c>
      <c r="F406" s="11">
        <f t="shared" si="3"/>
        <v>188</v>
      </c>
      <c r="G406" s="11">
        <f t="shared" si="4"/>
        <v>2.41025641</v>
      </c>
      <c r="H406" s="1">
        <v>78.0</v>
      </c>
      <c r="I406" s="1">
        <v>11.0</v>
      </c>
      <c r="J406" s="1">
        <v>19.0</v>
      </c>
      <c r="K406" s="1">
        <v>30.0</v>
      </c>
      <c r="L406" s="1">
        <v>112.0</v>
      </c>
      <c r="M406" s="1">
        <v>1.0</v>
      </c>
      <c r="N406" s="1">
        <v>5.0</v>
      </c>
      <c r="O406" s="1">
        <v>0.0</v>
      </c>
      <c r="P406" s="1">
        <v>0.0</v>
      </c>
      <c r="Q406" s="1">
        <v>44.0</v>
      </c>
      <c r="R406" s="1">
        <v>29.0</v>
      </c>
    </row>
    <row r="407">
      <c r="A407" s="1">
        <f t="shared" si="1"/>
        <v>405</v>
      </c>
      <c r="B407" s="1" t="s">
        <v>1489</v>
      </c>
      <c r="C407" s="1">
        <f t="shared" si="2"/>
        <v>405</v>
      </c>
      <c r="D407" s="1" t="s">
        <v>1156</v>
      </c>
      <c r="E407" s="1" t="s">
        <v>5</v>
      </c>
      <c r="F407" s="11">
        <f t="shared" si="3"/>
        <v>187.8</v>
      </c>
      <c r="G407" s="11">
        <f t="shared" si="4"/>
        <v>4.580487805</v>
      </c>
      <c r="H407" s="1">
        <v>41.0</v>
      </c>
      <c r="S407" s="1">
        <v>13.0</v>
      </c>
      <c r="T407" s="1">
        <v>130.0</v>
      </c>
      <c r="U407" s="12">
        <v>1136.0</v>
      </c>
      <c r="V407" s="1">
        <v>1.0</v>
      </c>
    </row>
    <row r="408">
      <c r="A408" s="1">
        <f t="shared" si="1"/>
        <v>406</v>
      </c>
      <c r="B408" s="1" t="s">
        <v>1474</v>
      </c>
      <c r="C408" s="1">
        <f t="shared" si="2"/>
        <v>406</v>
      </c>
      <c r="D408" s="1" t="s">
        <v>1087</v>
      </c>
      <c r="E408" s="1" t="s">
        <v>66</v>
      </c>
      <c r="F408" s="11">
        <f t="shared" si="3"/>
        <v>187.75</v>
      </c>
      <c r="G408" s="11">
        <f t="shared" si="4"/>
        <v>3.077868852</v>
      </c>
      <c r="H408" s="1">
        <v>61.0</v>
      </c>
      <c r="I408" s="1">
        <v>6.0</v>
      </c>
      <c r="J408" s="1">
        <v>18.0</v>
      </c>
      <c r="K408" s="1">
        <v>24.0</v>
      </c>
      <c r="L408" s="1">
        <v>126.0</v>
      </c>
      <c r="M408" s="1">
        <v>0.0</v>
      </c>
      <c r="N408" s="1">
        <v>5.0</v>
      </c>
      <c r="O408" s="1">
        <v>1.0</v>
      </c>
      <c r="P408" s="1">
        <v>0.0</v>
      </c>
      <c r="Q408" s="1">
        <v>47.0</v>
      </c>
      <c r="R408" s="1">
        <v>60.0</v>
      </c>
    </row>
    <row r="409">
      <c r="A409" s="1">
        <f t="shared" si="1"/>
        <v>407</v>
      </c>
      <c r="B409" s="1" t="s">
        <v>1460</v>
      </c>
      <c r="C409" s="1">
        <f t="shared" si="2"/>
        <v>407</v>
      </c>
      <c r="D409" s="1" t="s">
        <v>1032</v>
      </c>
      <c r="E409" s="1" t="s">
        <v>66</v>
      </c>
      <c r="F409" s="11">
        <f t="shared" si="3"/>
        <v>187.5</v>
      </c>
      <c r="G409" s="11">
        <f t="shared" si="4"/>
        <v>3.409090909</v>
      </c>
      <c r="H409" s="1">
        <v>55.0</v>
      </c>
      <c r="I409" s="1">
        <v>3.0</v>
      </c>
      <c r="J409" s="1">
        <v>20.0</v>
      </c>
      <c r="K409" s="1">
        <v>23.0</v>
      </c>
      <c r="L409" s="1">
        <v>62.0</v>
      </c>
      <c r="M409" s="1">
        <v>0.0</v>
      </c>
      <c r="N409" s="1">
        <v>7.0</v>
      </c>
      <c r="O409" s="1">
        <v>0.0</v>
      </c>
      <c r="P409" s="1">
        <v>1.0</v>
      </c>
      <c r="Q409" s="1">
        <v>92.0</v>
      </c>
      <c r="R409" s="1">
        <v>116.0</v>
      </c>
    </row>
    <row r="410">
      <c r="A410" s="1">
        <f t="shared" si="1"/>
        <v>407</v>
      </c>
      <c r="B410" s="1" t="s">
        <v>1482</v>
      </c>
      <c r="C410" s="1">
        <f t="shared" si="2"/>
        <v>407</v>
      </c>
      <c r="D410" s="1" t="s">
        <v>1082</v>
      </c>
      <c r="E410" s="1" t="s">
        <v>31</v>
      </c>
      <c r="F410" s="11">
        <f t="shared" si="3"/>
        <v>187.5</v>
      </c>
      <c r="G410" s="11">
        <f t="shared" si="4"/>
        <v>2.403846154</v>
      </c>
      <c r="H410" s="1">
        <v>78.0</v>
      </c>
      <c r="I410" s="1">
        <v>6.0</v>
      </c>
      <c r="J410" s="1">
        <v>23.0</v>
      </c>
      <c r="K410" s="1">
        <v>29.0</v>
      </c>
      <c r="L410" s="1">
        <v>113.0</v>
      </c>
      <c r="M410" s="1">
        <v>0.0</v>
      </c>
      <c r="N410" s="1">
        <v>0.0</v>
      </c>
      <c r="O410" s="1">
        <v>0.0</v>
      </c>
      <c r="P410" s="1">
        <v>1.0</v>
      </c>
      <c r="Q410" s="1">
        <v>34.0</v>
      </c>
      <c r="R410" s="1">
        <v>49.0</v>
      </c>
    </row>
    <row r="411">
      <c r="A411" s="1">
        <f t="shared" si="1"/>
        <v>409</v>
      </c>
      <c r="B411" s="1" t="s">
        <v>1485</v>
      </c>
      <c r="C411" s="1">
        <f t="shared" si="2"/>
        <v>409</v>
      </c>
      <c r="D411" s="1" t="s">
        <v>1040</v>
      </c>
      <c r="E411" s="1" t="s">
        <v>36</v>
      </c>
      <c r="F411" s="11">
        <f t="shared" si="3"/>
        <v>186</v>
      </c>
      <c r="G411" s="11">
        <f t="shared" si="4"/>
        <v>3.152542373</v>
      </c>
      <c r="H411" s="1">
        <v>59.0</v>
      </c>
      <c r="I411" s="1">
        <v>9.0</v>
      </c>
      <c r="J411" s="1">
        <v>22.0</v>
      </c>
      <c r="K411" s="1">
        <v>31.0</v>
      </c>
      <c r="L411" s="1">
        <v>117.0</v>
      </c>
      <c r="M411" s="1">
        <v>0.0</v>
      </c>
      <c r="N411" s="1">
        <v>4.0</v>
      </c>
      <c r="O411" s="1">
        <v>1.0</v>
      </c>
      <c r="P411" s="1">
        <v>0.0</v>
      </c>
      <c r="Q411" s="1">
        <v>28.0</v>
      </c>
      <c r="R411" s="1">
        <v>24.0</v>
      </c>
    </row>
    <row r="412">
      <c r="A412" s="1">
        <f t="shared" si="1"/>
        <v>409</v>
      </c>
      <c r="B412" s="1" t="s">
        <v>1441</v>
      </c>
      <c r="C412" s="1">
        <f t="shared" si="2"/>
        <v>409</v>
      </c>
      <c r="D412" s="1" t="s">
        <v>1082</v>
      </c>
      <c r="E412" s="1" t="s">
        <v>66</v>
      </c>
      <c r="F412" s="11">
        <f t="shared" si="3"/>
        <v>186</v>
      </c>
      <c r="G412" s="11">
        <f t="shared" si="4"/>
        <v>2.818181818</v>
      </c>
      <c r="H412" s="1">
        <v>66.0</v>
      </c>
      <c r="I412" s="1">
        <v>3.0</v>
      </c>
      <c r="J412" s="1">
        <v>13.0</v>
      </c>
      <c r="K412" s="1">
        <v>16.0</v>
      </c>
      <c r="L412" s="1">
        <v>61.0</v>
      </c>
      <c r="M412" s="1">
        <v>0.0</v>
      </c>
      <c r="N412" s="1">
        <v>0.0</v>
      </c>
      <c r="O412" s="1">
        <v>0.0</v>
      </c>
      <c r="P412" s="1">
        <v>1.0</v>
      </c>
      <c r="Q412" s="1">
        <v>186.0</v>
      </c>
      <c r="R412" s="1">
        <v>109.0</v>
      </c>
    </row>
    <row r="413">
      <c r="A413" s="1">
        <f t="shared" si="1"/>
        <v>409</v>
      </c>
      <c r="B413" s="1" t="s">
        <v>1458</v>
      </c>
      <c r="C413" s="1">
        <f t="shared" si="2"/>
        <v>409</v>
      </c>
      <c r="D413" s="1" t="s">
        <v>1156</v>
      </c>
      <c r="E413" s="1" t="s">
        <v>36</v>
      </c>
      <c r="F413" s="11">
        <f t="shared" si="3"/>
        <v>186</v>
      </c>
      <c r="G413" s="11">
        <f t="shared" si="4"/>
        <v>2.61971831</v>
      </c>
      <c r="H413" s="1">
        <v>71.0</v>
      </c>
      <c r="I413" s="1">
        <v>10.0</v>
      </c>
      <c r="J413" s="1">
        <v>16.0</v>
      </c>
      <c r="K413" s="1">
        <v>26.0</v>
      </c>
      <c r="L413" s="1">
        <v>86.0</v>
      </c>
      <c r="M413" s="1">
        <v>0.0</v>
      </c>
      <c r="N413" s="1">
        <v>0.0</v>
      </c>
      <c r="O413" s="1">
        <v>0.0</v>
      </c>
      <c r="P413" s="1">
        <v>0.0</v>
      </c>
      <c r="Q413" s="1">
        <v>108.0</v>
      </c>
      <c r="R413" s="1">
        <v>46.0</v>
      </c>
    </row>
    <row r="414">
      <c r="A414" s="1">
        <f t="shared" si="1"/>
        <v>412</v>
      </c>
      <c r="B414" s="1" t="s">
        <v>1483</v>
      </c>
      <c r="C414" s="1">
        <f t="shared" si="2"/>
        <v>412</v>
      </c>
      <c r="D414" s="1" t="s">
        <v>1046</v>
      </c>
      <c r="E414" s="1" t="s">
        <v>28</v>
      </c>
      <c r="F414" s="11">
        <f t="shared" si="3"/>
        <v>185.5</v>
      </c>
      <c r="G414" s="11">
        <f t="shared" si="4"/>
        <v>2.768656716</v>
      </c>
      <c r="H414" s="1">
        <v>67.0</v>
      </c>
      <c r="I414" s="1">
        <v>14.0</v>
      </c>
      <c r="J414" s="1">
        <v>15.0</v>
      </c>
      <c r="K414" s="1">
        <v>29.0</v>
      </c>
      <c r="L414" s="1">
        <v>105.0</v>
      </c>
      <c r="M414" s="1">
        <v>2.0</v>
      </c>
      <c r="N414" s="1">
        <v>3.0</v>
      </c>
      <c r="O414" s="1">
        <v>0.0</v>
      </c>
      <c r="P414" s="1">
        <v>0.0</v>
      </c>
      <c r="Q414" s="1">
        <v>54.0</v>
      </c>
      <c r="R414" s="1">
        <v>23.0</v>
      </c>
    </row>
    <row r="415">
      <c r="A415" s="1">
        <f t="shared" si="1"/>
        <v>413</v>
      </c>
      <c r="B415" s="1" t="s">
        <v>1451</v>
      </c>
      <c r="C415" s="1">
        <f t="shared" si="2"/>
        <v>413</v>
      </c>
      <c r="D415" s="1" t="s">
        <v>1080</v>
      </c>
      <c r="E415" s="1" t="s">
        <v>66</v>
      </c>
      <c r="F415" s="11">
        <f t="shared" si="3"/>
        <v>185.25</v>
      </c>
      <c r="G415" s="11">
        <f t="shared" si="4"/>
        <v>2.537671233</v>
      </c>
      <c r="H415" s="1">
        <v>73.0</v>
      </c>
      <c r="I415" s="1">
        <v>2.0</v>
      </c>
      <c r="J415" s="1">
        <v>10.0</v>
      </c>
      <c r="K415" s="1">
        <v>12.0</v>
      </c>
      <c r="L415" s="1">
        <v>105.0</v>
      </c>
      <c r="M415" s="1">
        <v>0.0</v>
      </c>
      <c r="N415" s="1">
        <v>0.0</v>
      </c>
      <c r="O415" s="1">
        <v>0.0</v>
      </c>
      <c r="P415" s="1">
        <v>0.0</v>
      </c>
      <c r="Q415" s="1">
        <v>153.0</v>
      </c>
      <c r="R415" s="1">
        <v>111.0</v>
      </c>
    </row>
    <row r="416">
      <c r="A416" s="1">
        <f t="shared" si="1"/>
        <v>414</v>
      </c>
      <c r="B416" s="1" t="s">
        <v>1495</v>
      </c>
      <c r="C416" s="1">
        <f t="shared" si="2"/>
        <v>414</v>
      </c>
      <c r="D416" s="1" t="s">
        <v>1052</v>
      </c>
      <c r="E416" s="1" t="s">
        <v>5</v>
      </c>
      <c r="F416" s="11">
        <f t="shared" si="3"/>
        <v>185.1</v>
      </c>
      <c r="G416" s="11">
        <f t="shared" si="4"/>
        <v>4.871052632</v>
      </c>
      <c r="H416" s="1">
        <v>38.0</v>
      </c>
      <c r="S416" s="1">
        <v>18.0</v>
      </c>
      <c r="T416" s="1">
        <v>102.0</v>
      </c>
      <c r="U416" s="1">
        <v>937.0</v>
      </c>
      <c r="V416" s="1">
        <v>1.0</v>
      </c>
    </row>
    <row r="417">
      <c r="A417" s="1">
        <f t="shared" si="1"/>
        <v>415</v>
      </c>
      <c r="B417" s="1" t="s">
        <v>1481</v>
      </c>
      <c r="C417" s="1">
        <f t="shared" si="2"/>
        <v>415</v>
      </c>
      <c r="D417" s="1" t="s">
        <v>1156</v>
      </c>
      <c r="E417" s="1" t="s">
        <v>31</v>
      </c>
      <c r="F417" s="11">
        <f t="shared" si="3"/>
        <v>184.75</v>
      </c>
      <c r="G417" s="11">
        <f t="shared" si="4"/>
        <v>3.770408163</v>
      </c>
      <c r="H417" s="1">
        <v>49.0</v>
      </c>
      <c r="I417" s="1">
        <v>12.0</v>
      </c>
      <c r="J417" s="1">
        <v>15.0</v>
      </c>
      <c r="K417" s="1">
        <v>27.0</v>
      </c>
      <c r="L417" s="1">
        <v>115.0</v>
      </c>
      <c r="M417" s="1">
        <v>1.0</v>
      </c>
      <c r="N417" s="1">
        <v>2.0</v>
      </c>
      <c r="O417" s="1">
        <v>0.0</v>
      </c>
      <c r="P417" s="1">
        <v>0.0</v>
      </c>
      <c r="Q417" s="1">
        <v>63.0</v>
      </c>
      <c r="R417" s="1">
        <v>25.0</v>
      </c>
    </row>
    <row r="418">
      <c r="A418" s="1">
        <f t="shared" si="1"/>
        <v>415</v>
      </c>
      <c r="B418" s="1" t="s">
        <v>1477</v>
      </c>
      <c r="C418" s="1">
        <f t="shared" si="2"/>
        <v>415</v>
      </c>
      <c r="D418" s="1" t="s">
        <v>1082</v>
      </c>
      <c r="E418" s="1" t="s">
        <v>36</v>
      </c>
      <c r="F418" s="11">
        <f t="shared" si="3"/>
        <v>184.75</v>
      </c>
      <c r="G418" s="11">
        <f t="shared" si="4"/>
        <v>3.552884615</v>
      </c>
      <c r="H418" s="1">
        <v>52.0</v>
      </c>
      <c r="I418" s="1">
        <v>12.0</v>
      </c>
      <c r="J418" s="1">
        <v>13.0</v>
      </c>
      <c r="K418" s="1">
        <v>25.0</v>
      </c>
      <c r="L418" s="1">
        <v>90.0</v>
      </c>
      <c r="M418" s="1">
        <v>7.0</v>
      </c>
      <c r="N418" s="1">
        <v>4.0</v>
      </c>
      <c r="O418" s="1">
        <v>0.0</v>
      </c>
      <c r="P418" s="1">
        <v>0.0</v>
      </c>
      <c r="Q418" s="1">
        <v>75.0</v>
      </c>
      <c r="R418" s="1">
        <v>56.0</v>
      </c>
    </row>
    <row r="419">
      <c r="A419" s="1">
        <f t="shared" si="1"/>
        <v>415</v>
      </c>
      <c r="B419" s="1" t="s">
        <v>1478</v>
      </c>
      <c r="C419" s="1">
        <f t="shared" si="2"/>
        <v>415</v>
      </c>
      <c r="D419" s="1" t="s">
        <v>1082</v>
      </c>
      <c r="E419" s="1" t="s">
        <v>66</v>
      </c>
      <c r="F419" s="11">
        <f t="shared" si="3"/>
        <v>184.75</v>
      </c>
      <c r="G419" s="11">
        <f t="shared" si="4"/>
        <v>2.716911765</v>
      </c>
      <c r="H419" s="1">
        <v>68.0</v>
      </c>
      <c r="I419" s="1">
        <v>3.0</v>
      </c>
      <c r="J419" s="1">
        <v>20.0</v>
      </c>
      <c r="K419" s="1">
        <v>23.0</v>
      </c>
      <c r="L419" s="1">
        <v>79.0</v>
      </c>
      <c r="M419" s="1">
        <v>0.0</v>
      </c>
      <c r="N419" s="1">
        <v>5.0</v>
      </c>
      <c r="O419" s="1">
        <v>0.0</v>
      </c>
      <c r="P419" s="1">
        <v>0.0</v>
      </c>
      <c r="Q419" s="1">
        <v>75.0</v>
      </c>
      <c r="R419" s="1">
        <v>106.0</v>
      </c>
    </row>
    <row r="420">
      <c r="A420" s="1">
        <f t="shared" si="1"/>
        <v>415</v>
      </c>
      <c r="B420" s="1" t="s">
        <v>1484</v>
      </c>
      <c r="C420" s="1">
        <f t="shared" si="2"/>
        <v>415</v>
      </c>
      <c r="D420" s="1" t="s">
        <v>1175</v>
      </c>
      <c r="E420" s="1" t="s">
        <v>36</v>
      </c>
      <c r="F420" s="11">
        <f t="shared" si="3"/>
        <v>184.75</v>
      </c>
      <c r="G420" s="11">
        <f t="shared" si="4"/>
        <v>2.565972222</v>
      </c>
      <c r="H420" s="1">
        <v>72.0</v>
      </c>
      <c r="I420" s="1">
        <v>13.0</v>
      </c>
      <c r="J420" s="1">
        <v>10.0</v>
      </c>
      <c r="K420" s="1">
        <v>23.0</v>
      </c>
      <c r="L420" s="1">
        <v>137.0</v>
      </c>
      <c r="M420" s="1">
        <v>3.0</v>
      </c>
      <c r="N420" s="1">
        <v>1.0</v>
      </c>
      <c r="O420" s="1">
        <v>0.0</v>
      </c>
      <c r="P420" s="1">
        <v>0.0</v>
      </c>
      <c r="Q420" s="1">
        <v>55.0</v>
      </c>
      <c r="R420" s="1">
        <v>28.0</v>
      </c>
    </row>
    <row r="421">
      <c r="A421" s="1">
        <f t="shared" si="1"/>
        <v>419</v>
      </c>
      <c r="B421" s="1" t="s">
        <v>1473</v>
      </c>
      <c r="C421" s="1">
        <f t="shared" si="2"/>
        <v>419</v>
      </c>
      <c r="D421" s="1" t="s">
        <v>1065</v>
      </c>
      <c r="E421" s="1" t="s">
        <v>36</v>
      </c>
      <c r="F421" s="11">
        <f t="shared" si="3"/>
        <v>184.5</v>
      </c>
      <c r="G421" s="11">
        <f t="shared" si="4"/>
        <v>2.713235294</v>
      </c>
      <c r="H421" s="1">
        <v>68.0</v>
      </c>
      <c r="I421" s="1">
        <v>11.0</v>
      </c>
      <c r="J421" s="1">
        <v>11.0</v>
      </c>
      <c r="K421" s="1">
        <v>22.0</v>
      </c>
      <c r="L421" s="1">
        <v>91.0</v>
      </c>
      <c r="M421" s="1">
        <v>0.0</v>
      </c>
      <c r="N421" s="1">
        <v>0.0</v>
      </c>
      <c r="O421" s="1">
        <v>2.0</v>
      </c>
      <c r="P421" s="1">
        <v>0.0</v>
      </c>
      <c r="Q421" s="1">
        <v>80.0</v>
      </c>
      <c r="R421" s="1">
        <v>65.0</v>
      </c>
    </row>
    <row r="422">
      <c r="A422" s="1">
        <f t="shared" si="1"/>
        <v>419</v>
      </c>
      <c r="B422" s="1" t="s">
        <v>1467</v>
      </c>
      <c r="C422" s="1">
        <f t="shared" si="2"/>
        <v>419</v>
      </c>
      <c r="D422" s="1" t="s">
        <v>1067</v>
      </c>
      <c r="E422" s="1" t="s">
        <v>66</v>
      </c>
      <c r="F422" s="11">
        <f t="shared" si="3"/>
        <v>184.5</v>
      </c>
      <c r="G422" s="11">
        <f t="shared" si="4"/>
        <v>2.493243243</v>
      </c>
      <c r="H422" s="1">
        <v>74.0</v>
      </c>
      <c r="I422" s="1">
        <v>3.0</v>
      </c>
      <c r="J422" s="1">
        <v>17.0</v>
      </c>
      <c r="K422" s="1">
        <v>20.0</v>
      </c>
      <c r="L422" s="1">
        <v>84.0</v>
      </c>
      <c r="M422" s="1">
        <v>0.0</v>
      </c>
      <c r="N422" s="1">
        <v>0.0</v>
      </c>
      <c r="O422" s="1">
        <v>0.0</v>
      </c>
      <c r="P422" s="1">
        <v>1.0</v>
      </c>
      <c r="Q422" s="1">
        <v>92.0</v>
      </c>
      <c r="R422" s="1">
        <v>106.0</v>
      </c>
    </row>
    <row r="423">
      <c r="A423" s="1">
        <f t="shared" si="1"/>
        <v>421</v>
      </c>
      <c r="B423" s="1" t="s">
        <v>1472</v>
      </c>
      <c r="C423" s="1">
        <f t="shared" si="2"/>
        <v>421</v>
      </c>
      <c r="D423" s="1" t="s">
        <v>1085</v>
      </c>
      <c r="E423" s="1" t="s">
        <v>66</v>
      </c>
      <c r="F423" s="11">
        <f t="shared" si="3"/>
        <v>184</v>
      </c>
      <c r="G423" s="11">
        <f t="shared" si="4"/>
        <v>2.243902439</v>
      </c>
      <c r="H423" s="1">
        <v>82.0</v>
      </c>
      <c r="I423" s="1">
        <v>2.0</v>
      </c>
      <c r="J423" s="1">
        <v>15.0</v>
      </c>
      <c r="K423" s="1">
        <v>17.0</v>
      </c>
      <c r="L423" s="1">
        <v>102.0</v>
      </c>
      <c r="M423" s="1">
        <v>0.0</v>
      </c>
      <c r="N423" s="1">
        <v>0.0</v>
      </c>
      <c r="O423" s="1">
        <v>0.0</v>
      </c>
      <c r="P423" s="1">
        <v>1.0</v>
      </c>
      <c r="Q423" s="1">
        <v>86.0</v>
      </c>
      <c r="R423" s="1">
        <v>111.0</v>
      </c>
    </row>
    <row r="424">
      <c r="A424" s="1">
        <f t="shared" si="1"/>
        <v>422</v>
      </c>
      <c r="B424" s="1" t="s">
        <v>1492</v>
      </c>
      <c r="C424" s="1">
        <f t="shared" si="2"/>
        <v>422</v>
      </c>
      <c r="D424" s="1" t="s">
        <v>1080</v>
      </c>
      <c r="E424" s="1" t="s">
        <v>66</v>
      </c>
      <c r="F424" s="11">
        <f t="shared" si="3"/>
        <v>182.75</v>
      </c>
      <c r="G424" s="11">
        <f t="shared" si="4"/>
        <v>3.322727273</v>
      </c>
      <c r="H424" s="1">
        <v>55.0</v>
      </c>
      <c r="I424" s="1">
        <v>4.0</v>
      </c>
      <c r="J424" s="1">
        <v>13.0</v>
      </c>
      <c r="K424" s="1">
        <v>17.0</v>
      </c>
      <c r="L424" s="1">
        <v>72.0</v>
      </c>
      <c r="M424" s="1">
        <v>0.0</v>
      </c>
      <c r="N424" s="1">
        <v>3.0</v>
      </c>
      <c r="O424" s="1">
        <v>0.0</v>
      </c>
      <c r="P424" s="1">
        <v>0.0</v>
      </c>
      <c r="Q424" s="1">
        <v>29.0</v>
      </c>
      <c r="R424" s="1">
        <v>165.0</v>
      </c>
    </row>
    <row r="425">
      <c r="A425" s="1">
        <f t="shared" si="1"/>
        <v>423</v>
      </c>
      <c r="B425" s="1" t="s">
        <v>1480</v>
      </c>
      <c r="C425" s="1">
        <f t="shared" si="2"/>
        <v>423</v>
      </c>
      <c r="D425" s="1" t="s">
        <v>1078</v>
      </c>
      <c r="E425" s="1" t="s">
        <v>31</v>
      </c>
      <c r="F425" s="11">
        <f t="shared" si="3"/>
        <v>182.25</v>
      </c>
      <c r="G425" s="11">
        <f t="shared" si="4"/>
        <v>2.222560976</v>
      </c>
      <c r="H425" s="1">
        <v>82.0</v>
      </c>
      <c r="I425" s="1">
        <v>8.0</v>
      </c>
      <c r="J425" s="1">
        <v>8.0</v>
      </c>
      <c r="K425" s="1">
        <v>16.0</v>
      </c>
      <c r="L425" s="1">
        <v>130.0</v>
      </c>
      <c r="M425" s="1">
        <v>0.0</v>
      </c>
      <c r="N425" s="1">
        <v>1.0</v>
      </c>
      <c r="O425" s="1">
        <v>1.0</v>
      </c>
      <c r="P425" s="1">
        <v>1.0</v>
      </c>
      <c r="Q425" s="1">
        <v>89.0</v>
      </c>
      <c r="R425" s="1">
        <v>62.0</v>
      </c>
    </row>
    <row r="426">
      <c r="A426" s="1">
        <f t="shared" si="1"/>
        <v>424</v>
      </c>
      <c r="B426" s="1" t="s">
        <v>1494</v>
      </c>
      <c r="C426" s="1">
        <f t="shared" si="2"/>
        <v>424</v>
      </c>
      <c r="D426" s="1" t="s">
        <v>1067</v>
      </c>
      <c r="E426" s="1" t="s">
        <v>28</v>
      </c>
      <c r="F426" s="11">
        <f t="shared" si="3"/>
        <v>181.75</v>
      </c>
      <c r="G426" s="11">
        <f t="shared" si="4"/>
        <v>2.559859155</v>
      </c>
      <c r="H426" s="1">
        <v>71.0</v>
      </c>
      <c r="I426" s="1">
        <v>11.0</v>
      </c>
      <c r="J426" s="1">
        <v>19.0</v>
      </c>
      <c r="K426" s="1">
        <v>30.0</v>
      </c>
      <c r="L426" s="1">
        <v>98.0</v>
      </c>
      <c r="M426" s="1">
        <v>0.0</v>
      </c>
      <c r="N426" s="1">
        <v>2.0</v>
      </c>
      <c r="O426" s="1">
        <v>0.0</v>
      </c>
      <c r="P426" s="1">
        <v>0.0</v>
      </c>
      <c r="Q426" s="1">
        <v>35.0</v>
      </c>
      <c r="R426" s="1">
        <v>35.0</v>
      </c>
    </row>
    <row r="427">
      <c r="A427" s="1">
        <f t="shared" si="1"/>
        <v>425</v>
      </c>
      <c r="B427" s="1" t="s">
        <v>1498</v>
      </c>
      <c r="C427" s="1">
        <f t="shared" si="2"/>
        <v>425</v>
      </c>
      <c r="D427" s="1" t="s">
        <v>1087</v>
      </c>
      <c r="E427" s="1" t="s">
        <v>28</v>
      </c>
      <c r="F427" s="11">
        <f t="shared" si="3"/>
        <v>180.5</v>
      </c>
      <c r="G427" s="11">
        <f t="shared" si="4"/>
        <v>2.439189189</v>
      </c>
      <c r="H427" s="1">
        <v>74.0</v>
      </c>
      <c r="I427" s="1">
        <v>10.0</v>
      </c>
      <c r="J427" s="1">
        <v>18.0</v>
      </c>
      <c r="K427" s="1">
        <v>28.0</v>
      </c>
      <c r="L427" s="1">
        <v>128.0</v>
      </c>
      <c r="M427" s="1">
        <v>2.0</v>
      </c>
      <c r="N427" s="1">
        <v>5.0</v>
      </c>
      <c r="O427" s="1">
        <v>0.0</v>
      </c>
      <c r="P427" s="1">
        <v>0.0</v>
      </c>
      <c r="Q427" s="1">
        <v>28.0</v>
      </c>
      <c r="R427" s="1">
        <v>21.0</v>
      </c>
    </row>
    <row r="428">
      <c r="A428" s="1">
        <f t="shared" si="1"/>
        <v>425</v>
      </c>
      <c r="B428" s="1" t="s">
        <v>1465</v>
      </c>
      <c r="C428" s="1">
        <f t="shared" si="2"/>
        <v>425</v>
      </c>
      <c r="D428" s="1" t="s">
        <v>1048</v>
      </c>
      <c r="E428" s="1" t="s">
        <v>66</v>
      </c>
      <c r="F428" s="11">
        <f t="shared" si="3"/>
        <v>180.5</v>
      </c>
      <c r="G428" s="11">
        <f t="shared" si="4"/>
        <v>2.375</v>
      </c>
      <c r="H428" s="1">
        <v>76.0</v>
      </c>
      <c r="I428" s="1">
        <v>1.0</v>
      </c>
      <c r="J428" s="1">
        <v>19.0</v>
      </c>
      <c r="K428" s="1">
        <v>20.0</v>
      </c>
      <c r="L428" s="1">
        <v>74.0</v>
      </c>
      <c r="M428" s="1">
        <v>0.0</v>
      </c>
      <c r="N428" s="1">
        <v>0.0</v>
      </c>
      <c r="O428" s="1">
        <v>0.0</v>
      </c>
      <c r="P428" s="1">
        <v>2.0</v>
      </c>
      <c r="Q428" s="1">
        <v>144.0</v>
      </c>
      <c r="R428" s="1">
        <v>84.0</v>
      </c>
    </row>
    <row r="429">
      <c r="A429" s="1">
        <f t="shared" si="1"/>
        <v>427</v>
      </c>
      <c r="B429" s="1" t="s">
        <v>1487</v>
      </c>
      <c r="C429" s="1">
        <f t="shared" si="2"/>
        <v>427</v>
      </c>
      <c r="D429" s="1" t="s">
        <v>1034</v>
      </c>
      <c r="E429" s="1" t="s">
        <v>66</v>
      </c>
      <c r="F429" s="11">
        <f t="shared" si="3"/>
        <v>180.25</v>
      </c>
      <c r="G429" s="11">
        <f t="shared" si="4"/>
        <v>2.340909091</v>
      </c>
      <c r="H429" s="1">
        <v>77.0</v>
      </c>
      <c r="I429" s="1">
        <v>2.0</v>
      </c>
      <c r="J429" s="1">
        <v>22.0</v>
      </c>
      <c r="K429" s="1">
        <v>24.0</v>
      </c>
      <c r="L429" s="1">
        <v>57.0</v>
      </c>
      <c r="M429" s="1">
        <v>0.0</v>
      </c>
      <c r="N429" s="1">
        <v>0.0</v>
      </c>
      <c r="O429" s="1">
        <v>0.0</v>
      </c>
      <c r="P429" s="1">
        <v>0.0</v>
      </c>
      <c r="Q429" s="1">
        <v>79.0</v>
      </c>
      <c r="R429" s="1">
        <v>114.0</v>
      </c>
    </row>
    <row r="430">
      <c r="A430" s="1">
        <f t="shared" si="1"/>
        <v>428</v>
      </c>
      <c r="B430" s="1" t="s">
        <v>1479</v>
      </c>
      <c r="C430" s="1">
        <f t="shared" si="2"/>
        <v>428</v>
      </c>
      <c r="D430" s="1" t="s">
        <v>1082</v>
      </c>
      <c r="E430" s="1" t="s">
        <v>31</v>
      </c>
      <c r="F430" s="11">
        <f t="shared" si="3"/>
        <v>180</v>
      </c>
      <c r="G430" s="11">
        <f t="shared" si="4"/>
        <v>2.8125</v>
      </c>
      <c r="H430" s="1">
        <v>64.0</v>
      </c>
      <c r="I430" s="1">
        <v>12.0</v>
      </c>
      <c r="J430" s="1">
        <v>10.0</v>
      </c>
      <c r="K430" s="1">
        <v>22.0</v>
      </c>
      <c r="L430" s="1">
        <v>61.0</v>
      </c>
      <c r="M430" s="1">
        <v>0.0</v>
      </c>
      <c r="N430" s="1">
        <v>0.0</v>
      </c>
      <c r="O430" s="1">
        <v>0.0</v>
      </c>
      <c r="P430" s="1">
        <v>0.0</v>
      </c>
      <c r="Q430" s="1">
        <v>118.0</v>
      </c>
      <c r="R430" s="1">
        <v>72.0</v>
      </c>
    </row>
    <row r="431">
      <c r="A431" s="1">
        <f t="shared" si="1"/>
        <v>429</v>
      </c>
      <c r="B431" s="1" t="s">
        <v>1491</v>
      </c>
      <c r="C431" s="1">
        <f t="shared" si="2"/>
        <v>429</v>
      </c>
      <c r="D431" s="1" t="s">
        <v>1048</v>
      </c>
      <c r="E431" s="1" t="s">
        <v>36</v>
      </c>
      <c r="F431" s="11">
        <f t="shared" si="3"/>
        <v>179.25</v>
      </c>
      <c r="G431" s="11">
        <f t="shared" si="4"/>
        <v>2.675373134</v>
      </c>
      <c r="H431" s="1">
        <v>67.0</v>
      </c>
      <c r="I431" s="1">
        <v>12.0</v>
      </c>
      <c r="J431" s="1">
        <v>10.0</v>
      </c>
      <c r="K431" s="1">
        <v>22.0</v>
      </c>
      <c r="L431" s="1">
        <v>114.0</v>
      </c>
      <c r="M431" s="1">
        <v>2.0</v>
      </c>
      <c r="N431" s="1">
        <v>2.0</v>
      </c>
      <c r="O431" s="1">
        <v>1.0</v>
      </c>
      <c r="P431" s="1">
        <v>0.0</v>
      </c>
      <c r="Q431" s="1">
        <v>75.0</v>
      </c>
      <c r="R431" s="1">
        <v>35.0</v>
      </c>
    </row>
    <row r="432">
      <c r="A432" s="1">
        <f t="shared" si="1"/>
        <v>430</v>
      </c>
      <c r="B432" s="1" t="s">
        <v>1502</v>
      </c>
      <c r="C432" s="1">
        <f t="shared" si="2"/>
        <v>430</v>
      </c>
      <c r="D432" s="1" t="s">
        <v>1065</v>
      </c>
      <c r="E432" s="1" t="s">
        <v>31</v>
      </c>
      <c r="F432" s="11">
        <f t="shared" si="3"/>
        <v>179</v>
      </c>
      <c r="G432" s="11">
        <f t="shared" si="4"/>
        <v>3.254545455</v>
      </c>
      <c r="H432" s="1">
        <v>55.0</v>
      </c>
      <c r="I432" s="1">
        <v>12.0</v>
      </c>
      <c r="J432" s="1">
        <v>17.0</v>
      </c>
      <c r="K432" s="1">
        <v>29.0</v>
      </c>
      <c r="L432" s="1">
        <v>109.0</v>
      </c>
      <c r="M432" s="1">
        <v>4.0</v>
      </c>
      <c r="N432" s="1">
        <v>5.0</v>
      </c>
      <c r="O432" s="1">
        <v>0.0</v>
      </c>
      <c r="P432" s="1">
        <v>0.0</v>
      </c>
      <c r="Q432" s="1">
        <v>28.0</v>
      </c>
      <c r="R432" s="1">
        <v>25.0</v>
      </c>
    </row>
    <row r="433">
      <c r="A433" s="1">
        <f t="shared" si="1"/>
        <v>430</v>
      </c>
      <c r="B433" s="1" t="s">
        <v>1504</v>
      </c>
      <c r="C433" s="1">
        <f t="shared" si="2"/>
        <v>430</v>
      </c>
      <c r="D433" s="1" t="s">
        <v>1146</v>
      </c>
      <c r="E433" s="1" t="s">
        <v>66</v>
      </c>
      <c r="F433" s="11">
        <f t="shared" si="3"/>
        <v>179</v>
      </c>
      <c r="G433" s="11">
        <f t="shared" si="4"/>
        <v>2.557142857</v>
      </c>
      <c r="H433" s="1">
        <v>70.0</v>
      </c>
      <c r="I433" s="1">
        <v>7.0</v>
      </c>
      <c r="J433" s="1">
        <v>19.0</v>
      </c>
      <c r="K433" s="1">
        <v>26.0</v>
      </c>
      <c r="L433" s="1">
        <v>100.0</v>
      </c>
      <c r="M433" s="1">
        <v>0.0</v>
      </c>
      <c r="N433" s="1">
        <v>10.0</v>
      </c>
      <c r="O433" s="1">
        <v>0.0</v>
      </c>
      <c r="P433" s="1">
        <v>0.0</v>
      </c>
      <c r="Q433" s="1">
        <v>26.0</v>
      </c>
      <c r="R433" s="1">
        <v>68.0</v>
      </c>
    </row>
    <row r="434">
      <c r="A434" s="1">
        <f t="shared" si="1"/>
        <v>432</v>
      </c>
      <c r="B434" s="1" t="s">
        <v>1496</v>
      </c>
      <c r="C434" s="1">
        <f t="shared" si="2"/>
        <v>432</v>
      </c>
      <c r="D434" s="1" t="s">
        <v>1038</v>
      </c>
      <c r="E434" s="1" t="s">
        <v>66</v>
      </c>
      <c r="F434" s="11">
        <f t="shared" si="3"/>
        <v>178.25</v>
      </c>
      <c r="G434" s="11">
        <f t="shared" si="4"/>
        <v>2.922131148</v>
      </c>
      <c r="H434" s="1">
        <v>61.0</v>
      </c>
      <c r="I434" s="1">
        <v>6.0</v>
      </c>
      <c r="J434" s="1">
        <v>18.0</v>
      </c>
      <c r="K434" s="1">
        <v>24.0</v>
      </c>
      <c r="L434" s="1">
        <v>78.0</v>
      </c>
      <c r="M434" s="1">
        <v>2.0</v>
      </c>
      <c r="N434" s="1">
        <v>9.0</v>
      </c>
      <c r="O434" s="1">
        <v>0.0</v>
      </c>
      <c r="P434" s="1">
        <v>0.0</v>
      </c>
      <c r="Q434" s="1">
        <v>63.0</v>
      </c>
      <c r="R434" s="1">
        <v>85.0</v>
      </c>
    </row>
    <row r="435">
      <c r="A435" s="1">
        <f t="shared" si="1"/>
        <v>433</v>
      </c>
      <c r="B435" s="1" t="s">
        <v>1511</v>
      </c>
      <c r="C435" s="1">
        <f t="shared" si="2"/>
        <v>433</v>
      </c>
      <c r="D435" s="1" t="s">
        <v>1087</v>
      </c>
      <c r="E435" s="1" t="s">
        <v>5</v>
      </c>
      <c r="F435" s="11">
        <f t="shared" si="3"/>
        <v>177.9</v>
      </c>
      <c r="G435" s="11">
        <f t="shared" si="4"/>
        <v>6.353571429</v>
      </c>
      <c r="H435" s="1">
        <v>28.0</v>
      </c>
      <c r="S435" s="1">
        <v>14.0</v>
      </c>
      <c r="T435" s="1">
        <v>69.0</v>
      </c>
      <c r="U435" s="1">
        <v>768.0</v>
      </c>
      <c r="V435" s="1">
        <v>3.0</v>
      </c>
    </row>
    <row r="436">
      <c r="A436" s="1">
        <f t="shared" si="1"/>
        <v>434</v>
      </c>
      <c r="B436" s="1" t="s">
        <v>1459</v>
      </c>
      <c r="C436" s="1">
        <f t="shared" si="2"/>
        <v>434</v>
      </c>
      <c r="D436" s="1" t="s">
        <v>1085</v>
      </c>
      <c r="E436" s="1" t="s">
        <v>66</v>
      </c>
      <c r="F436" s="11">
        <f t="shared" si="3"/>
        <v>177.25</v>
      </c>
      <c r="G436" s="11">
        <f t="shared" si="4"/>
        <v>2.76953125</v>
      </c>
      <c r="H436" s="1">
        <v>64.0</v>
      </c>
      <c r="I436" s="1">
        <v>2.0</v>
      </c>
      <c r="J436" s="1">
        <v>10.0</v>
      </c>
      <c r="K436" s="1">
        <v>12.0</v>
      </c>
      <c r="L436" s="1">
        <v>56.0</v>
      </c>
      <c r="M436" s="1">
        <v>0.0</v>
      </c>
      <c r="N436" s="1">
        <v>0.0</v>
      </c>
      <c r="O436" s="1">
        <v>0.0</v>
      </c>
      <c r="P436" s="1">
        <v>0.0</v>
      </c>
      <c r="Q436" s="1">
        <v>195.0</v>
      </c>
      <c r="R436" s="1">
        <v>123.0</v>
      </c>
    </row>
    <row r="437">
      <c r="A437" s="1">
        <f t="shared" si="1"/>
        <v>435</v>
      </c>
      <c r="B437" s="1" t="s">
        <v>1500</v>
      </c>
      <c r="C437" s="1">
        <f t="shared" si="2"/>
        <v>435</v>
      </c>
      <c r="D437" s="1" t="s">
        <v>1030</v>
      </c>
      <c r="E437" s="1" t="s">
        <v>36</v>
      </c>
      <c r="F437" s="11">
        <f t="shared" si="3"/>
        <v>176.75</v>
      </c>
      <c r="G437" s="11">
        <f t="shared" si="4"/>
        <v>3.100877193</v>
      </c>
      <c r="H437" s="1">
        <v>57.0</v>
      </c>
      <c r="I437" s="1">
        <v>13.0</v>
      </c>
      <c r="J437" s="1">
        <v>12.0</v>
      </c>
      <c r="K437" s="1">
        <v>25.0</v>
      </c>
      <c r="L437" s="1">
        <v>85.0</v>
      </c>
      <c r="M437" s="1">
        <v>0.0</v>
      </c>
      <c r="N437" s="1">
        <v>0.0</v>
      </c>
      <c r="O437" s="1">
        <v>3.0</v>
      </c>
      <c r="P437" s="1">
        <v>0.0</v>
      </c>
      <c r="Q437" s="1">
        <v>59.0</v>
      </c>
      <c r="R437" s="1">
        <v>38.0</v>
      </c>
    </row>
    <row r="438">
      <c r="A438" s="1">
        <f t="shared" si="1"/>
        <v>436</v>
      </c>
      <c r="B438" s="1" t="s">
        <v>1468</v>
      </c>
      <c r="C438" s="1">
        <f t="shared" si="2"/>
        <v>436</v>
      </c>
      <c r="D438" s="1" t="s">
        <v>1054</v>
      </c>
      <c r="E438" s="1" t="s">
        <v>28</v>
      </c>
      <c r="F438" s="11">
        <f t="shared" si="3"/>
        <v>175.75</v>
      </c>
      <c r="G438" s="11">
        <f t="shared" si="4"/>
        <v>3.195454545</v>
      </c>
      <c r="H438" s="1">
        <v>55.0</v>
      </c>
      <c r="I438" s="1">
        <v>10.0</v>
      </c>
      <c r="J438" s="1">
        <v>12.0</v>
      </c>
      <c r="K438" s="1">
        <v>22.0</v>
      </c>
      <c r="L438" s="1">
        <v>56.0</v>
      </c>
      <c r="M438" s="1">
        <v>0.0</v>
      </c>
      <c r="N438" s="1">
        <v>0.0</v>
      </c>
      <c r="O438" s="1">
        <v>0.0</v>
      </c>
      <c r="P438" s="1">
        <v>1.0</v>
      </c>
      <c r="Q438" s="1">
        <v>179.0</v>
      </c>
      <c r="R438" s="1">
        <v>40.0</v>
      </c>
    </row>
    <row r="439">
      <c r="A439" s="1">
        <f t="shared" si="1"/>
        <v>437</v>
      </c>
      <c r="B439" s="1" t="s">
        <v>1501</v>
      </c>
      <c r="C439" s="1">
        <f t="shared" si="2"/>
        <v>437</v>
      </c>
      <c r="D439" s="1" t="s">
        <v>1175</v>
      </c>
      <c r="E439" s="1" t="s">
        <v>66</v>
      </c>
      <c r="F439" s="11">
        <f t="shared" si="3"/>
        <v>175.25</v>
      </c>
      <c r="G439" s="11">
        <f t="shared" si="4"/>
        <v>2.539855072</v>
      </c>
      <c r="H439" s="1">
        <v>69.0</v>
      </c>
      <c r="I439" s="1">
        <v>5.0</v>
      </c>
      <c r="J439" s="1">
        <v>14.0</v>
      </c>
      <c r="K439" s="1">
        <v>19.0</v>
      </c>
      <c r="L439" s="1">
        <v>69.0</v>
      </c>
      <c r="M439" s="1">
        <v>0.0</v>
      </c>
      <c r="N439" s="1">
        <v>0.0</v>
      </c>
      <c r="O439" s="1">
        <v>0.0</v>
      </c>
      <c r="P439" s="1">
        <v>2.0</v>
      </c>
      <c r="Q439" s="1">
        <v>69.0</v>
      </c>
      <c r="R439" s="1">
        <v>110.0</v>
      </c>
    </row>
    <row r="440">
      <c r="A440" s="1">
        <f t="shared" si="1"/>
        <v>437</v>
      </c>
      <c r="B440" s="1" t="s">
        <v>1470</v>
      </c>
      <c r="C440" s="1">
        <f t="shared" si="2"/>
        <v>437</v>
      </c>
      <c r="D440" s="1" t="s">
        <v>1032</v>
      </c>
      <c r="E440" s="1" t="s">
        <v>66</v>
      </c>
      <c r="F440" s="11">
        <f t="shared" si="3"/>
        <v>175.25</v>
      </c>
      <c r="G440" s="11">
        <f t="shared" si="4"/>
        <v>2.368243243</v>
      </c>
      <c r="H440" s="1">
        <v>74.0</v>
      </c>
      <c r="I440" s="1">
        <v>0.0</v>
      </c>
      <c r="J440" s="1">
        <v>8.0</v>
      </c>
      <c r="K440" s="1">
        <v>8.0</v>
      </c>
      <c r="L440" s="1">
        <v>47.0</v>
      </c>
      <c r="M440" s="1">
        <v>0.0</v>
      </c>
      <c r="N440" s="1">
        <v>0.0</v>
      </c>
      <c r="O440" s="1">
        <v>0.0</v>
      </c>
      <c r="P440" s="1">
        <v>0.0</v>
      </c>
      <c r="Q440" s="1">
        <v>175.0</v>
      </c>
      <c r="R440" s="1">
        <v>168.0</v>
      </c>
    </row>
    <row r="441">
      <c r="A441" s="1">
        <f t="shared" si="1"/>
        <v>437</v>
      </c>
      <c r="B441" s="1" t="s">
        <v>1512</v>
      </c>
      <c r="C441" s="1">
        <f t="shared" si="2"/>
        <v>437</v>
      </c>
      <c r="D441" s="1" t="s">
        <v>1087</v>
      </c>
      <c r="E441" s="1" t="s">
        <v>36</v>
      </c>
      <c r="F441" s="11">
        <f t="shared" si="3"/>
        <v>175.25</v>
      </c>
      <c r="G441" s="11">
        <f t="shared" si="4"/>
        <v>2.336666667</v>
      </c>
      <c r="H441" s="1">
        <v>75.0</v>
      </c>
      <c r="I441" s="1">
        <v>15.0</v>
      </c>
      <c r="J441" s="1">
        <v>10.0</v>
      </c>
      <c r="K441" s="1">
        <v>25.0</v>
      </c>
      <c r="L441" s="1">
        <v>72.0</v>
      </c>
      <c r="M441" s="1">
        <v>0.0</v>
      </c>
      <c r="N441" s="1">
        <v>0.0</v>
      </c>
      <c r="O441" s="1">
        <v>5.0</v>
      </c>
      <c r="P441" s="1">
        <v>2.0</v>
      </c>
      <c r="Q441" s="1">
        <v>19.0</v>
      </c>
      <c r="R441" s="1">
        <v>46.0</v>
      </c>
    </row>
    <row r="442">
      <c r="A442" s="1">
        <f t="shared" si="1"/>
        <v>440</v>
      </c>
      <c r="B442" s="1" t="s">
        <v>1509</v>
      </c>
      <c r="C442" s="1">
        <f t="shared" si="2"/>
        <v>440</v>
      </c>
      <c r="D442" s="1" t="s">
        <v>1044</v>
      </c>
      <c r="E442" s="1" t="s">
        <v>31</v>
      </c>
      <c r="F442" s="11">
        <f t="shared" si="3"/>
        <v>174.75</v>
      </c>
      <c r="G442" s="11">
        <f t="shared" si="4"/>
        <v>4.262195122</v>
      </c>
      <c r="H442" s="1">
        <v>41.0</v>
      </c>
      <c r="I442" s="1">
        <v>9.0</v>
      </c>
      <c r="J442" s="1">
        <v>18.0</v>
      </c>
      <c r="K442" s="1">
        <v>27.0</v>
      </c>
      <c r="L442" s="1">
        <v>110.0</v>
      </c>
      <c r="M442" s="1">
        <v>4.0</v>
      </c>
      <c r="N442" s="1">
        <v>2.0</v>
      </c>
      <c r="O442" s="1">
        <v>0.0</v>
      </c>
      <c r="P442" s="1">
        <v>0.0</v>
      </c>
      <c r="Q442" s="1">
        <v>39.0</v>
      </c>
      <c r="R442" s="1">
        <v>31.0</v>
      </c>
    </row>
    <row r="443">
      <c r="A443" s="1">
        <f t="shared" si="1"/>
        <v>441</v>
      </c>
      <c r="B443" s="1" t="s">
        <v>1507</v>
      </c>
      <c r="C443" s="1">
        <f t="shared" si="2"/>
        <v>441</v>
      </c>
      <c r="D443" s="1" t="s">
        <v>1172</v>
      </c>
      <c r="E443" s="1" t="s">
        <v>66</v>
      </c>
      <c r="F443" s="11">
        <f t="shared" si="3"/>
        <v>174.5</v>
      </c>
      <c r="G443" s="11">
        <f t="shared" si="4"/>
        <v>2.296052632</v>
      </c>
      <c r="H443" s="1">
        <v>76.0</v>
      </c>
      <c r="I443" s="1">
        <v>2.0</v>
      </c>
      <c r="J443" s="1">
        <v>14.0</v>
      </c>
      <c r="K443" s="1">
        <v>16.0</v>
      </c>
      <c r="L443" s="1">
        <v>71.0</v>
      </c>
      <c r="M443" s="1">
        <v>0.0</v>
      </c>
      <c r="N443" s="1">
        <v>2.0</v>
      </c>
      <c r="O443" s="1">
        <v>0.0</v>
      </c>
      <c r="P443" s="1">
        <v>0.0</v>
      </c>
      <c r="Q443" s="1">
        <v>56.0</v>
      </c>
      <c r="R443" s="1">
        <v>148.0</v>
      </c>
    </row>
    <row r="444">
      <c r="A444" s="1">
        <f t="shared" si="1"/>
        <v>442</v>
      </c>
      <c r="B444" s="1" t="s">
        <v>1520</v>
      </c>
      <c r="C444" s="1">
        <f t="shared" si="2"/>
        <v>442</v>
      </c>
      <c r="D444" s="1" t="s">
        <v>1054</v>
      </c>
      <c r="E444" s="1" t="s">
        <v>5</v>
      </c>
      <c r="F444" s="11">
        <f t="shared" si="3"/>
        <v>174</v>
      </c>
      <c r="G444" s="11">
        <f t="shared" si="4"/>
        <v>4.35</v>
      </c>
      <c r="H444" s="1">
        <v>40.0</v>
      </c>
      <c r="S444" s="1">
        <v>17.0</v>
      </c>
      <c r="T444" s="1">
        <v>111.0</v>
      </c>
      <c r="U444" s="1">
        <v>945.0</v>
      </c>
      <c r="V444" s="1">
        <v>2.0</v>
      </c>
    </row>
    <row r="445">
      <c r="A445" s="1">
        <f t="shared" si="1"/>
        <v>442</v>
      </c>
      <c r="B445" s="1" t="s">
        <v>1506</v>
      </c>
      <c r="C445" s="1">
        <f t="shared" si="2"/>
        <v>442</v>
      </c>
      <c r="D445" s="1" t="s">
        <v>1052</v>
      </c>
      <c r="E445" s="1" t="s">
        <v>66</v>
      </c>
      <c r="F445" s="11">
        <f t="shared" si="3"/>
        <v>174</v>
      </c>
      <c r="G445" s="11">
        <f t="shared" si="4"/>
        <v>2.485714286</v>
      </c>
      <c r="H445" s="1">
        <v>70.0</v>
      </c>
      <c r="I445" s="1">
        <v>3.0</v>
      </c>
      <c r="J445" s="1">
        <v>11.0</v>
      </c>
      <c r="K445" s="1">
        <v>14.0</v>
      </c>
      <c r="L445" s="1">
        <v>77.0</v>
      </c>
      <c r="M445" s="1">
        <v>0.0</v>
      </c>
      <c r="N445" s="1">
        <v>0.0</v>
      </c>
      <c r="O445" s="1">
        <v>0.0</v>
      </c>
      <c r="P445" s="1">
        <v>0.0</v>
      </c>
      <c r="Q445" s="1">
        <v>72.0</v>
      </c>
      <c r="R445" s="1">
        <v>142.0</v>
      </c>
    </row>
    <row r="446">
      <c r="A446" s="1">
        <f t="shared" si="1"/>
        <v>444</v>
      </c>
      <c r="B446" s="1" t="s">
        <v>1476</v>
      </c>
      <c r="C446" s="1">
        <f t="shared" si="2"/>
        <v>444</v>
      </c>
      <c r="D446" s="1" t="s">
        <v>1034</v>
      </c>
      <c r="E446" s="1" t="s">
        <v>66</v>
      </c>
      <c r="F446" s="11">
        <f t="shared" si="3"/>
        <v>172.5</v>
      </c>
      <c r="G446" s="11">
        <f t="shared" si="4"/>
        <v>2.5</v>
      </c>
      <c r="H446" s="1">
        <v>69.0</v>
      </c>
      <c r="I446" s="1">
        <v>2.0</v>
      </c>
      <c r="J446" s="1">
        <v>11.0</v>
      </c>
      <c r="K446" s="1">
        <v>13.0</v>
      </c>
      <c r="L446" s="1">
        <v>53.0</v>
      </c>
      <c r="M446" s="1">
        <v>0.0</v>
      </c>
      <c r="N446" s="1">
        <v>0.0</v>
      </c>
      <c r="O446" s="1">
        <v>0.0</v>
      </c>
      <c r="P446" s="1">
        <v>0.0</v>
      </c>
      <c r="Q446" s="1">
        <v>198.0</v>
      </c>
      <c r="R446" s="1">
        <v>109.0</v>
      </c>
    </row>
    <row r="447">
      <c r="A447" s="1">
        <f t="shared" si="1"/>
        <v>445</v>
      </c>
      <c r="B447" s="1" t="s">
        <v>1513</v>
      </c>
      <c r="C447" s="1">
        <f t="shared" si="2"/>
        <v>445</v>
      </c>
      <c r="D447" s="1" t="s">
        <v>1044</v>
      </c>
      <c r="E447" s="1" t="s">
        <v>66</v>
      </c>
      <c r="F447" s="11">
        <f t="shared" si="3"/>
        <v>172</v>
      </c>
      <c r="G447" s="11">
        <f t="shared" si="4"/>
        <v>2.263157895</v>
      </c>
      <c r="H447" s="1">
        <v>76.0</v>
      </c>
      <c r="I447" s="1">
        <v>3.0</v>
      </c>
      <c r="J447" s="1">
        <v>17.0</v>
      </c>
      <c r="K447" s="1">
        <v>20.0</v>
      </c>
      <c r="L447" s="1">
        <v>77.0</v>
      </c>
      <c r="M447" s="1">
        <v>0.0</v>
      </c>
      <c r="N447" s="1">
        <v>0.0</v>
      </c>
      <c r="O447" s="1">
        <v>0.0</v>
      </c>
      <c r="P447" s="1">
        <v>1.0</v>
      </c>
      <c r="Q447" s="1">
        <v>46.0</v>
      </c>
      <c r="R447" s="1">
        <v>111.0</v>
      </c>
    </row>
    <row r="448">
      <c r="A448" s="1">
        <f t="shared" si="1"/>
        <v>445</v>
      </c>
      <c r="B448" s="1" t="s">
        <v>1497</v>
      </c>
      <c r="C448" s="1">
        <f t="shared" si="2"/>
        <v>445</v>
      </c>
      <c r="D448" s="1" t="s">
        <v>1040</v>
      </c>
      <c r="E448" s="1" t="s">
        <v>66</v>
      </c>
      <c r="F448" s="11">
        <f t="shared" si="3"/>
        <v>172</v>
      </c>
      <c r="G448" s="11">
        <f t="shared" si="4"/>
        <v>2.263157895</v>
      </c>
      <c r="H448" s="1">
        <v>76.0</v>
      </c>
      <c r="I448" s="1">
        <v>3.0</v>
      </c>
      <c r="J448" s="1">
        <v>14.0</v>
      </c>
      <c r="K448" s="1">
        <v>17.0</v>
      </c>
      <c r="L448" s="1">
        <v>73.0</v>
      </c>
      <c r="M448" s="1">
        <v>0.0</v>
      </c>
      <c r="N448" s="1">
        <v>0.0</v>
      </c>
      <c r="O448" s="1">
        <v>0.0</v>
      </c>
      <c r="P448" s="1">
        <v>0.0</v>
      </c>
      <c r="Q448" s="1">
        <v>114.0</v>
      </c>
      <c r="R448" s="1">
        <v>103.0</v>
      </c>
    </row>
    <row r="449">
      <c r="A449" s="1">
        <f t="shared" si="1"/>
        <v>445</v>
      </c>
      <c r="B449" s="1" t="s">
        <v>1486</v>
      </c>
      <c r="C449" s="1">
        <f t="shared" si="2"/>
        <v>445</v>
      </c>
      <c r="D449" s="1" t="s">
        <v>1036</v>
      </c>
      <c r="E449" s="1" t="s">
        <v>31</v>
      </c>
      <c r="F449" s="11">
        <f t="shared" si="3"/>
        <v>172</v>
      </c>
      <c r="G449" s="11">
        <f t="shared" si="4"/>
        <v>2.233766234</v>
      </c>
      <c r="H449" s="1">
        <v>77.0</v>
      </c>
      <c r="I449" s="1">
        <v>10.0</v>
      </c>
      <c r="J449" s="1">
        <v>6.0</v>
      </c>
      <c r="K449" s="1">
        <v>16.0</v>
      </c>
      <c r="L449" s="1">
        <v>92.0</v>
      </c>
      <c r="M449" s="1">
        <v>1.0</v>
      </c>
      <c r="N449" s="1">
        <v>0.0</v>
      </c>
      <c r="O449" s="1">
        <v>2.0</v>
      </c>
      <c r="P449" s="1">
        <v>0.0</v>
      </c>
      <c r="Q449" s="1">
        <v>166.0</v>
      </c>
      <c r="R449" s="1">
        <v>35.0</v>
      </c>
    </row>
    <row r="450">
      <c r="A450" s="1">
        <f t="shared" si="1"/>
        <v>448</v>
      </c>
      <c r="B450" s="1" t="s">
        <v>1490</v>
      </c>
      <c r="C450" s="1">
        <f t="shared" si="2"/>
        <v>448</v>
      </c>
      <c r="D450" s="1" t="s">
        <v>1156</v>
      </c>
      <c r="E450" s="1" t="s">
        <v>31</v>
      </c>
      <c r="F450" s="11">
        <f t="shared" si="3"/>
        <v>171.5</v>
      </c>
      <c r="G450" s="11">
        <f t="shared" si="4"/>
        <v>2.766129032</v>
      </c>
      <c r="H450" s="1">
        <v>62.0</v>
      </c>
      <c r="I450" s="1">
        <v>9.0</v>
      </c>
      <c r="J450" s="1">
        <v>9.0</v>
      </c>
      <c r="K450" s="1">
        <v>18.0</v>
      </c>
      <c r="L450" s="1">
        <v>92.0</v>
      </c>
      <c r="M450" s="1">
        <v>0.0</v>
      </c>
      <c r="N450" s="1">
        <v>0.0</v>
      </c>
      <c r="O450" s="1">
        <v>0.0</v>
      </c>
      <c r="P450" s="1">
        <v>1.0</v>
      </c>
      <c r="Q450" s="1">
        <v>156.0</v>
      </c>
      <c r="R450" s="1">
        <v>34.0</v>
      </c>
    </row>
    <row r="451">
      <c r="A451" s="1">
        <f t="shared" si="1"/>
        <v>449</v>
      </c>
      <c r="B451" s="1" t="s">
        <v>1521</v>
      </c>
      <c r="C451" s="1">
        <f t="shared" si="2"/>
        <v>449</v>
      </c>
      <c r="D451" s="1" t="s">
        <v>1073</v>
      </c>
      <c r="E451" s="1" t="s">
        <v>31</v>
      </c>
      <c r="F451" s="11">
        <f t="shared" si="3"/>
        <v>171</v>
      </c>
      <c r="G451" s="11">
        <f t="shared" si="4"/>
        <v>2.310810811</v>
      </c>
      <c r="H451" s="1">
        <v>74.0</v>
      </c>
      <c r="I451" s="1">
        <v>8.0</v>
      </c>
      <c r="J451" s="1">
        <v>19.0</v>
      </c>
      <c r="K451" s="1">
        <v>27.0</v>
      </c>
      <c r="L451" s="1">
        <v>106.0</v>
      </c>
      <c r="M451" s="1">
        <v>2.0</v>
      </c>
      <c r="N451" s="1">
        <v>5.0</v>
      </c>
      <c r="O451" s="1">
        <v>0.0</v>
      </c>
      <c r="P451" s="1">
        <v>0.0</v>
      </c>
      <c r="Q451" s="1">
        <v>30.0</v>
      </c>
      <c r="R451" s="1">
        <v>35.0</v>
      </c>
    </row>
    <row r="452">
      <c r="A452" s="1">
        <f t="shared" si="1"/>
        <v>450</v>
      </c>
      <c r="B452" s="1" t="s">
        <v>1522</v>
      </c>
      <c r="C452" s="1">
        <f t="shared" si="2"/>
        <v>450</v>
      </c>
      <c r="D452" s="1" t="s">
        <v>1032</v>
      </c>
      <c r="E452" s="1" t="s">
        <v>28</v>
      </c>
      <c r="F452" s="11">
        <f t="shared" si="3"/>
        <v>170.5</v>
      </c>
      <c r="G452" s="11">
        <f t="shared" si="4"/>
        <v>3.044642857</v>
      </c>
      <c r="H452" s="1">
        <v>56.0</v>
      </c>
      <c r="I452" s="1">
        <v>14.0</v>
      </c>
      <c r="J452" s="1">
        <v>13.0</v>
      </c>
      <c r="K452" s="1">
        <v>27.0</v>
      </c>
      <c r="L452" s="1">
        <v>96.0</v>
      </c>
      <c r="M452" s="1">
        <v>1.0</v>
      </c>
      <c r="N452" s="1">
        <v>2.0</v>
      </c>
      <c r="O452" s="1">
        <v>0.0</v>
      </c>
      <c r="P452" s="1">
        <v>0.0</v>
      </c>
      <c r="Q452" s="1">
        <v>34.0</v>
      </c>
      <c r="R452" s="1">
        <v>24.0</v>
      </c>
    </row>
    <row r="453">
      <c r="A453" s="1">
        <f t="shared" si="1"/>
        <v>450</v>
      </c>
      <c r="B453" s="1" t="s">
        <v>1499</v>
      </c>
      <c r="C453" s="1">
        <f t="shared" si="2"/>
        <v>450</v>
      </c>
      <c r="D453" s="1" t="s">
        <v>1116</v>
      </c>
      <c r="E453" s="1" t="s">
        <v>28</v>
      </c>
      <c r="F453" s="11">
        <f t="shared" si="3"/>
        <v>170.5</v>
      </c>
      <c r="G453" s="11">
        <f t="shared" si="4"/>
        <v>2.13125</v>
      </c>
      <c r="H453" s="1">
        <v>80.0</v>
      </c>
      <c r="I453" s="1">
        <v>11.0</v>
      </c>
      <c r="J453" s="1">
        <v>7.0</v>
      </c>
      <c r="K453" s="1">
        <v>18.0</v>
      </c>
      <c r="L453" s="1">
        <v>94.0</v>
      </c>
      <c r="M453" s="1">
        <v>0.0</v>
      </c>
      <c r="N453" s="1">
        <v>1.0</v>
      </c>
      <c r="O453" s="1">
        <v>0.0</v>
      </c>
      <c r="P453" s="1">
        <v>0.0</v>
      </c>
      <c r="Q453" s="1">
        <v>122.0</v>
      </c>
      <c r="R453" s="1">
        <v>45.0</v>
      </c>
    </row>
    <row r="454">
      <c r="A454" s="1">
        <f t="shared" si="1"/>
        <v>452</v>
      </c>
      <c r="B454" s="1" t="s">
        <v>1516</v>
      </c>
      <c r="C454" s="1">
        <f t="shared" si="2"/>
        <v>452</v>
      </c>
      <c r="D454" s="1" t="s">
        <v>1073</v>
      </c>
      <c r="E454" s="1" t="s">
        <v>66</v>
      </c>
      <c r="F454" s="11">
        <f t="shared" si="3"/>
        <v>170.25</v>
      </c>
      <c r="G454" s="11">
        <f t="shared" si="4"/>
        <v>2.364583333</v>
      </c>
      <c r="H454" s="1">
        <v>72.0</v>
      </c>
      <c r="I454" s="1">
        <v>8.0</v>
      </c>
      <c r="J454" s="1">
        <v>14.0</v>
      </c>
      <c r="K454" s="1">
        <v>22.0</v>
      </c>
      <c r="L454" s="1">
        <v>90.0</v>
      </c>
      <c r="M454" s="1">
        <v>0.0</v>
      </c>
      <c r="N454" s="1">
        <v>0.0</v>
      </c>
      <c r="O454" s="1">
        <v>0.0</v>
      </c>
      <c r="P454" s="1">
        <v>0.0</v>
      </c>
      <c r="Q454" s="1">
        <v>57.0</v>
      </c>
      <c r="R454" s="1">
        <v>66.0</v>
      </c>
    </row>
    <row r="455">
      <c r="A455" s="1">
        <f t="shared" si="1"/>
        <v>452</v>
      </c>
      <c r="B455" s="1" t="s">
        <v>1510</v>
      </c>
      <c r="C455" s="1">
        <f t="shared" si="2"/>
        <v>452</v>
      </c>
      <c r="D455" s="1" t="s">
        <v>1046</v>
      </c>
      <c r="E455" s="1" t="s">
        <v>66</v>
      </c>
      <c r="F455" s="11">
        <f t="shared" si="3"/>
        <v>170.25</v>
      </c>
      <c r="G455" s="11">
        <f t="shared" si="4"/>
        <v>2.182692308</v>
      </c>
      <c r="H455" s="1">
        <v>78.0</v>
      </c>
      <c r="I455" s="1">
        <v>2.0</v>
      </c>
      <c r="J455" s="1">
        <v>9.0</v>
      </c>
      <c r="K455" s="1">
        <v>11.0</v>
      </c>
      <c r="L455" s="1">
        <v>61.0</v>
      </c>
      <c r="M455" s="1">
        <v>0.0</v>
      </c>
      <c r="N455" s="1">
        <v>0.0</v>
      </c>
      <c r="O455" s="1">
        <v>0.0</v>
      </c>
      <c r="P455" s="1">
        <v>0.0</v>
      </c>
      <c r="Q455" s="1">
        <v>83.0</v>
      </c>
      <c r="R455" s="1">
        <v>166.0</v>
      </c>
    </row>
    <row r="456">
      <c r="A456" s="1">
        <f t="shared" si="1"/>
        <v>454</v>
      </c>
      <c r="B456" s="1" t="s">
        <v>1532</v>
      </c>
      <c r="C456" s="1">
        <f t="shared" si="2"/>
        <v>454</v>
      </c>
      <c r="D456" s="1" t="s">
        <v>1065</v>
      </c>
      <c r="E456" s="1" t="s">
        <v>5</v>
      </c>
      <c r="F456" s="11">
        <f t="shared" si="3"/>
        <v>170.1</v>
      </c>
      <c r="G456" s="11">
        <f t="shared" si="4"/>
        <v>3.697826087</v>
      </c>
      <c r="H456" s="1">
        <v>46.0</v>
      </c>
      <c r="S456" s="1">
        <v>13.0</v>
      </c>
      <c r="T456" s="1">
        <v>151.0</v>
      </c>
      <c r="U456" s="12">
        <v>1192.0</v>
      </c>
      <c r="V456" s="1">
        <v>0.0</v>
      </c>
    </row>
    <row r="457">
      <c r="A457" s="1">
        <f t="shared" si="1"/>
        <v>455</v>
      </c>
      <c r="B457" s="1" t="s">
        <v>1517</v>
      </c>
      <c r="C457" s="1">
        <f t="shared" si="2"/>
        <v>455</v>
      </c>
      <c r="D457" s="1" t="s">
        <v>1044</v>
      </c>
      <c r="E457" s="1" t="s">
        <v>66</v>
      </c>
      <c r="F457" s="11">
        <f t="shared" si="3"/>
        <v>169</v>
      </c>
      <c r="G457" s="11">
        <f t="shared" si="4"/>
        <v>2.347222222</v>
      </c>
      <c r="H457" s="1">
        <v>72.0</v>
      </c>
      <c r="I457" s="1">
        <v>4.0</v>
      </c>
      <c r="J457" s="1">
        <v>10.0</v>
      </c>
      <c r="K457" s="1">
        <v>14.0</v>
      </c>
      <c r="L457" s="1">
        <v>51.0</v>
      </c>
      <c r="M457" s="1">
        <v>0.0</v>
      </c>
      <c r="N457" s="1">
        <v>0.0</v>
      </c>
      <c r="O457" s="1">
        <v>0.0</v>
      </c>
      <c r="P457" s="1">
        <v>1.0</v>
      </c>
      <c r="Q457" s="1">
        <v>62.0</v>
      </c>
      <c r="R457" s="1">
        <v>156.0</v>
      </c>
    </row>
    <row r="458">
      <c r="A458" s="1">
        <f t="shared" si="1"/>
        <v>456</v>
      </c>
      <c r="B458" s="1" t="s">
        <v>1519</v>
      </c>
      <c r="C458" s="1">
        <f t="shared" si="2"/>
        <v>456</v>
      </c>
      <c r="D458" s="1" t="s">
        <v>1116</v>
      </c>
      <c r="E458" s="1" t="s">
        <v>66</v>
      </c>
      <c r="F458" s="11">
        <f t="shared" si="3"/>
        <v>167.75</v>
      </c>
      <c r="G458" s="11">
        <f t="shared" si="4"/>
        <v>2.150641026</v>
      </c>
      <c r="H458" s="1">
        <v>78.0</v>
      </c>
      <c r="I458" s="1">
        <v>1.0</v>
      </c>
      <c r="J458" s="1">
        <v>17.0</v>
      </c>
      <c r="K458" s="1">
        <v>18.0</v>
      </c>
      <c r="L458" s="1">
        <v>77.0</v>
      </c>
      <c r="M458" s="1">
        <v>0.0</v>
      </c>
      <c r="N458" s="1">
        <v>1.0</v>
      </c>
      <c r="O458" s="1">
        <v>0.0</v>
      </c>
      <c r="P458" s="1">
        <v>1.0</v>
      </c>
      <c r="Q458" s="1">
        <v>65.0</v>
      </c>
      <c r="R458" s="1">
        <v>111.0</v>
      </c>
    </row>
    <row r="459">
      <c r="A459" s="1">
        <f t="shared" si="1"/>
        <v>457</v>
      </c>
      <c r="B459" s="1" t="s">
        <v>1537</v>
      </c>
      <c r="C459" s="1">
        <f t="shared" si="2"/>
        <v>457</v>
      </c>
      <c r="D459" s="1" t="s">
        <v>1048</v>
      </c>
      <c r="E459" s="1" t="s">
        <v>5</v>
      </c>
      <c r="F459" s="11">
        <f t="shared" si="3"/>
        <v>167.4</v>
      </c>
      <c r="G459" s="11">
        <f t="shared" si="4"/>
        <v>6.2</v>
      </c>
      <c r="H459" s="1">
        <v>27.0</v>
      </c>
      <c r="S459" s="1">
        <v>16.0</v>
      </c>
      <c r="T459" s="1">
        <v>51.0</v>
      </c>
      <c r="U459" s="1">
        <v>633.0</v>
      </c>
      <c r="V459" s="1">
        <v>2.0</v>
      </c>
    </row>
    <row r="460">
      <c r="A460" s="1">
        <f t="shared" si="1"/>
        <v>457</v>
      </c>
      <c r="B460" s="1" t="s">
        <v>1538</v>
      </c>
      <c r="C460" s="1">
        <f t="shared" si="2"/>
        <v>457</v>
      </c>
      <c r="D460" s="1" t="s">
        <v>1106</v>
      </c>
      <c r="E460" s="1" t="s">
        <v>5</v>
      </c>
      <c r="F460" s="11">
        <f t="shared" si="3"/>
        <v>167.4</v>
      </c>
      <c r="G460" s="11">
        <f t="shared" si="4"/>
        <v>5.58</v>
      </c>
      <c r="H460" s="1">
        <v>30.0</v>
      </c>
      <c r="S460" s="1">
        <v>15.0</v>
      </c>
      <c r="T460" s="1">
        <v>72.0</v>
      </c>
      <c r="U460" s="1">
        <v>758.0</v>
      </c>
      <c r="V460" s="1">
        <v>1.0</v>
      </c>
    </row>
    <row r="461">
      <c r="A461" s="1">
        <f t="shared" si="1"/>
        <v>459</v>
      </c>
      <c r="B461" s="1" t="s">
        <v>1539</v>
      </c>
      <c r="C461" s="1">
        <f t="shared" si="2"/>
        <v>459</v>
      </c>
      <c r="D461" s="1" t="s">
        <v>1040</v>
      </c>
      <c r="E461" s="1" t="s">
        <v>5</v>
      </c>
      <c r="F461" s="11">
        <f t="shared" si="3"/>
        <v>167.1</v>
      </c>
      <c r="G461" s="11">
        <f t="shared" si="4"/>
        <v>6.188888889</v>
      </c>
      <c r="H461" s="1">
        <v>27.0</v>
      </c>
      <c r="S461" s="1">
        <v>18.0</v>
      </c>
      <c r="T461" s="1">
        <v>69.0</v>
      </c>
      <c r="U461" s="1">
        <v>702.0</v>
      </c>
      <c r="V461" s="1">
        <v>2.0</v>
      </c>
    </row>
    <row r="462">
      <c r="A462" s="1">
        <f t="shared" si="1"/>
        <v>460</v>
      </c>
      <c r="B462" s="1" t="s">
        <v>1505</v>
      </c>
      <c r="C462" s="1">
        <f t="shared" si="2"/>
        <v>460</v>
      </c>
      <c r="D462" s="1" t="s">
        <v>1146</v>
      </c>
      <c r="E462" s="1" t="s">
        <v>28</v>
      </c>
      <c r="F462" s="11">
        <f t="shared" si="3"/>
        <v>166.75</v>
      </c>
      <c r="G462" s="11">
        <f t="shared" si="4"/>
        <v>2.526515152</v>
      </c>
      <c r="H462" s="1">
        <v>66.0</v>
      </c>
      <c r="I462" s="1">
        <v>7.0</v>
      </c>
      <c r="J462" s="1">
        <v>9.0</v>
      </c>
      <c r="K462" s="1">
        <v>16.0</v>
      </c>
      <c r="L462" s="1">
        <v>73.0</v>
      </c>
      <c r="M462" s="1">
        <v>0.0</v>
      </c>
      <c r="N462" s="1">
        <v>0.0</v>
      </c>
      <c r="O462" s="1">
        <v>0.0</v>
      </c>
      <c r="P462" s="1">
        <v>2.0</v>
      </c>
      <c r="Q462" s="1">
        <v>147.0</v>
      </c>
      <c r="R462" s="1">
        <v>62.0</v>
      </c>
    </row>
    <row r="463">
      <c r="A463" s="1">
        <f t="shared" si="1"/>
        <v>461</v>
      </c>
      <c r="B463" s="1" t="s">
        <v>1528</v>
      </c>
      <c r="C463" s="1">
        <f t="shared" si="2"/>
        <v>461</v>
      </c>
      <c r="D463" s="1" t="s">
        <v>1085</v>
      </c>
      <c r="E463" s="1" t="s">
        <v>31</v>
      </c>
      <c r="F463" s="11">
        <f t="shared" si="3"/>
        <v>165</v>
      </c>
      <c r="G463" s="11">
        <f t="shared" si="4"/>
        <v>2.142857143</v>
      </c>
      <c r="H463" s="1">
        <v>77.0</v>
      </c>
      <c r="I463" s="1">
        <v>9.0</v>
      </c>
      <c r="J463" s="1">
        <v>15.0</v>
      </c>
      <c r="K463" s="1">
        <v>24.0</v>
      </c>
      <c r="L463" s="1">
        <v>86.0</v>
      </c>
      <c r="M463" s="1">
        <v>0.0</v>
      </c>
      <c r="N463" s="1">
        <v>0.0</v>
      </c>
      <c r="O463" s="1">
        <v>2.0</v>
      </c>
      <c r="P463" s="1">
        <v>1.0</v>
      </c>
      <c r="Q463" s="1">
        <v>58.0</v>
      </c>
      <c r="R463" s="1">
        <v>32.0</v>
      </c>
    </row>
    <row r="464">
      <c r="A464" s="1">
        <f t="shared" si="1"/>
        <v>462</v>
      </c>
      <c r="B464" s="1" t="s">
        <v>1493</v>
      </c>
      <c r="C464" s="1">
        <f t="shared" si="2"/>
        <v>462</v>
      </c>
      <c r="D464" s="1" t="s">
        <v>1030</v>
      </c>
      <c r="E464" s="1" t="s">
        <v>28</v>
      </c>
      <c r="F464" s="11">
        <f t="shared" si="3"/>
        <v>164.75</v>
      </c>
      <c r="G464" s="11">
        <f t="shared" si="4"/>
        <v>2.059375</v>
      </c>
      <c r="H464" s="1">
        <v>80.0</v>
      </c>
      <c r="I464" s="1">
        <v>5.0</v>
      </c>
      <c r="J464" s="1">
        <v>8.0</v>
      </c>
      <c r="K464" s="1">
        <v>13.0</v>
      </c>
      <c r="L464" s="1">
        <v>92.0</v>
      </c>
      <c r="M464" s="1">
        <v>0.0</v>
      </c>
      <c r="N464" s="1">
        <v>0.0</v>
      </c>
      <c r="O464" s="1">
        <v>1.0</v>
      </c>
      <c r="P464" s="1">
        <v>0.0</v>
      </c>
      <c r="Q464" s="1">
        <v>207.0</v>
      </c>
      <c r="R464" s="1">
        <v>37.0</v>
      </c>
    </row>
    <row r="465">
      <c r="A465" s="1">
        <f t="shared" si="1"/>
        <v>463</v>
      </c>
      <c r="B465" s="1" t="s">
        <v>1518</v>
      </c>
      <c r="C465" s="1">
        <f t="shared" si="2"/>
        <v>463</v>
      </c>
      <c r="D465" s="1" t="s">
        <v>1111</v>
      </c>
      <c r="E465" s="1" t="s">
        <v>66</v>
      </c>
      <c r="F465" s="11">
        <f t="shared" si="3"/>
        <v>164.25</v>
      </c>
      <c r="G465" s="11">
        <f t="shared" si="4"/>
        <v>2.526923077</v>
      </c>
      <c r="H465" s="1">
        <v>65.0</v>
      </c>
      <c r="I465" s="1">
        <v>5.0</v>
      </c>
      <c r="J465" s="1">
        <v>16.0</v>
      </c>
      <c r="K465" s="1">
        <v>21.0</v>
      </c>
      <c r="L465" s="1">
        <v>76.0</v>
      </c>
      <c r="M465" s="1">
        <v>0.0</v>
      </c>
      <c r="N465" s="1">
        <v>0.0</v>
      </c>
      <c r="O465" s="1">
        <v>0.0</v>
      </c>
      <c r="P465" s="1">
        <v>0.0</v>
      </c>
      <c r="Q465" s="1">
        <v>105.0</v>
      </c>
      <c r="R465" s="1">
        <v>59.0</v>
      </c>
    </row>
    <row r="466">
      <c r="A466" s="1">
        <f t="shared" si="1"/>
        <v>464</v>
      </c>
      <c r="B466" s="1" t="s">
        <v>1515</v>
      </c>
      <c r="C466" s="1">
        <f t="shared" si="2"/>
        <v>464</v>
      </c>
      <c r="D466" s="1" t="s">
        <v>1032</v>
      </c>
      <c r="E466" s="1" t="s">
        <v>31</v>
      </c>
      <c r="F466" s="11">
        <f t="shared" si="3"/>
        <v>163.75</v>
      </c>
      <c r="G466" s="11">
        <f t="shared" si="4"/>
        <v>2.212837838</v>
      </c>
      <c r="H466" s="1">
        <v>74.0</v>
      </c>
      <c r="I466" s="1">
        <v>11.0</v>
      </c>
      <c r="J466" s="1">
        <v>8.0</v>
      </c>
      <c r="K466" s="1">
        <v>19.0</v>
      </c>
      <c r="L466" s="1">
        <v>77.0</v>
      </c>
      <c r="M466" s="1">
        <v>0.0</v>
      </c>
      <c r="N466" s="1">
        <v>0.0</v>
      </c>
      <c r="O466" s="1">
        <v>1.0</v>
      </c>
      <c r="P466" s="1">
        <v>0.0</v>
      </c>
      <c r="Q466" s="1">
        <v>123.0</v>
      </c>
      <c r="R466" s="1">
        <v>38.0</v>
      </c>
    </row>
    <row r="467">
      <c r="A467" s="1">
        <f t="shared" si="1"/>
        <v>464</v>
      </c>
      <c r="B467" s="1" t="s">
        <v>1535</v>
      </c>
      <c r="C467" s="1">
        <f t="shared" si="2"/>
        <v>464</v>
      </c>
      <c r="D467" s="1" t="s">
        <v>1076</v>
      </c>
      <c r="E467" s="1" t="s">
        <v>66</v>
      </c>
      <c r="F467" s="11">
        <f t="shared" si="3"/>
        <v>163.75</v>
      </c>
      <c r="G467" s="11">
        <f t="shared" si="4"/>
        <v>2.183333333</v>
      </c>
      <c r="H467" s="1">
        <v>75.0</v>
      </c>
      <c r="I467" s="1">
        <v>4.0</v>
      </c>
      <c r="J467" s="1">
        <v>21.0</v>
      </c>
      <c r="K467" s="1">
        <v>25.0</v>
      </c>
      <c r="L467" s="1">
        <v>57.0</v>
      </c>
      <c r="M467" s="1">
        <v>0.0</v>
      </c>
      <c r="N467" s="1">
        <v>0.0</v>
      </c>
      <c r="O467" s="1">
        <v>0.0</v>
      </c>
      <c r="P467" s="1">
        <v>0.0</v>
      </c>
      <c r="Q467" s="1">
        <v>39.0</v>
      </c>
      <c r="R467" s="1">
        <v>89.0</v>
      </c>
    </row>
    <row r="468">
      <c r="A468" s="1">
        <f t="shared" si="1"/>
        <v>466</v>
      </c>
      <c r="B468" s="1" t="s">
        <v>1550</v>
      </c>
      <c r="C468" s="1">
        <f t="shared" si="2"/>
        <v>466</v>
      </c>
      <c r="D468" s="1" t="s">
        <v>1111</v>
      </c>
      <c r="E468" s="1" t="s">
        <v>5</v>
      </c>
      <c r="F468" s="11">
        <f t="shared" si="3"/>
        <v>163.5</v>
      </c>
      <c r="G468" s="11">
        <f t="shared" si="4"/>
        <v>4.302631579</v>
      </c>
      <c r="H468" s="1">
        <v>38.0</v>
      </c>
      <c r="S468" s="1">
        <v>13.0</v>
      </c>
      <c r="T468" s="1">
        <v>114.0</v>
      </c>
      <c r="U468" s="1">
        <v>975.0</v>
      </c>
      <c r="V468" s="1">
        <v>1.0</v>
      </c>
    </row>
    <row r="469">
      <c r="A469" s="1">
        <f t="shared" si="1"/>
        <v>466</v>
      </c>
      <c r="B469" s="1" t="s">
        <v>1527</v>
      </c>
      <c r="C469" s="1">
        <f t="shared" si="2"/>
        <v>466</v>
      </c>
      <c r="D469" s="1" t="s">
        <v>1030</v>
      </c>
      <c r="E469" s="1" t="s">
        <v>66</v>
      </c>
      <c r="F469" s="11">
        <f t="shared" si="3"/>
        <v>163.5</v>
      </c>
      <c r="G469" s="11">
        <f t="shared" si="4"/>
        <v>2.771186441</v>
      </c>
      <c r="H469" s="1">
        <v>59.0</v>
      </c>
      <c r="I469" s="1">
        <v>3.0</v>
      </c>
      <c r="J469" s="1">
        <v>15.0</v>
      </c>
      <c r="K469" s="1">
        <v>18.0</v>
      </c>
      <c r="L469" s="1">
        <v>73.0</v>
      </c>
      <c r="M469" s="1">
        <v>0.0</v>
      </c>
      <c r="N469" s="1">
        <v>1.0</v>
      </c>
      <c r="O469" s="1">
        <v>0.0</v>
      </c>
      <c r="P469" s="1">
        <v>0.0</v>
      </c>
      <c r="Q469" s="1">
        <v>76.0</v>
      </c>
      <c r="R469" s="1">
        <v>99.0</v>
      </c>
    </row>
    <row r="470">
      <c r="A470" s="1">
        <f t="shared" si="1"/>
        <v>468</v>
      </c>
      <c r="B470" s="1" t="s">
        <v>1529</v>
      </c>
      <c r="C470" s="1">
        <f t="shared" si="2"/>
        <v>468</v>
      </c>
      <c r="D470" s="1" t="s">
        <v>1036</v>
      </c>
      <c r="E470" s="1" t="s">
        <v>66</v>
      </c>
      <c r="F470" s="11">
        <f t="shared" si="3"/>
        <v>162.75</v>
      </c>
      <c r="G470" s="11">
        <f t="shared" si="4"/>
        <v>1.984756098</v>
      </c>
      <c r="H470" s="1">
        <v>82.0</v>
      </c>
      <c r="I470" s="1">
        <v>3.0</v>
      </c>
      <c r="J470" s="1">
        <v>13.0</v>
      </c>
      <c r="K470" s="1">
        <v>16.0</v>
      </c>
      <c r="L470" s="1">
        <v>94.0</v>
      </c>
      <c r="M470" s="1">
        <v>0.0</v>
      </c>
      <c r="N470" s="1">
        <v>1.0</v>
      </c>
      <c r="O470" s="1">
        <v>0.0</v>
      </c>
      <c r="P470" s="1">
        <v>0.0</v>
      </c>
      <c r="Q470" s="1">
        <v>77.0</v>
      </c>
      <c r="R470" s="1">
        <v>88.0</v>
      </c>
    </row>
    <row r="471">
      <c r="A471" s="1">
        <f t="shared" si="1"/>
        <v>469</v>
      </c>
      <c r="B471" s="1" t="s">
        <v>1523</v>
      </c>
      <c r="C471" s="1">
        <f t="shared" si="2"/>
        <v>469</v>
      </c>
      <c r="D471" s="1" t="s">
        <v>1076</v>
      </c>
      <c r="E471" s="1" t="s">
        <v>66</v>
      </c>
      <c r="F471" s="11">
        <f t="shared" si="3"/>
        <v>162</v>
      </c>
      <c r="G471" s="11">
        <f t="shared" si="4"/>
        <v>2.571428571</v>
      </c>
      <c r="H471" s="1">
        <v>63.0</v>
      </c>
      <c r="I471" s="1">
        <v>5.0</v>
      </c>
      <c r="J471" s="1">
        <v>10.0</v>
      </c>
      <c r="K471" s="1">
        <v>15.0</v>
      </c>
      <c r="L471" s="1">
        <v>60.0</v>
      </c>
      <c r="M471" s="1">
        <v>0.0</v>
      </c>
      <c r="N471" s="1">
        <v>0.0</v>
      </c>
      <c r="O471" s="1">
        <v>0.0</v>
      </c>
      <c r="P471" s="1">
        <v>0.0</v>
      </c>
      <c r="Q471" s="1">
        <v>116.0</v>
      </c>
      <c r="R471" s="1">
        <v>101.0</v>
      </c>
    </row>
    <row r="472">
      <c r="A472" s="1">
        <f t="shared" si="1"/>
        <v>470</v>
      </c>
      <c r="B472" s="1" t="s">
        <v>1544</v>
      </c>
      <c r="C472" s="1">
        <f t="shared" si="2"/>
        <v>470</v>
      </c>
      <c r="D472" s="1" t="s">
        <v>1065</v>
      </c>
      <c r="E472" s="1" t="s">
        <v>66</v>
      </c>
      <c r="F472" s="11">
        <f t="shared" si="3"/>
        <v>160.5</v>
      </c>
      <c r="G472" s="11">
        <f t="shared" si="4"/>
        <v>2.26056338</v>
      </c>
      <c r="H472" s="1">
        <v>71.0</v>
      </c>
      <c r="I472" s="1">
        <v>2.0</v>
      </c>
      <c r="J472" s="1">
        <v>15.0</v>
      </c>
      <c r="K472" s="1">
        <v>17.0</v>
      </c>
      <c r="L472" s="1">
        <v>55.0</v>
      </c>
      <c r="M472" s="1">
        <v>0.0</v>
      </c>
      <c r="N472" s="1">
        <v>2.0</v>
      </c>
      <c r="O472" s="1">
        <v>0.0</v>
      </c>
      <c r="P472" s="1">
        <v>1.0</v>
      </c>
      <c r="Q472" s="1">
        <v>50.0</v>
      </c>
      <c r="R472" s="1">
        <v>129.0</v>
      </c>
    </row>
    <row r="473">
      <c r="A473" s="1">
        <f t="shared" si="1"/>
        <v>471</v>
      </c>
      <c r="B473" s="1" t="s">
        <v>1545</v>
      </c>
      <c r="C473" s="1">
        <f t="shared" si="2"/>
        <v>471</v>
      </c>
      <c r="D473" s="1" t="s">
        <v>1085</v>
      </c>
      <c r="E473" s="1" t="s">
        <v>36</v>
      </c>
      <c r="F473" s="11">
        <f t="shared" si="3"/>
        <v>160.25</v>
      </c>
      <c r="G473" s="11">
        <f t="shared" si="4"/>
        <v>2.136666667</v>
      </c>
      <c r="H473" s="1">
        <v>75.0</v>
      </c>
      <c r="I473" s="1">
        <v>11.0</v>
      </c>
      <c r="J473" s="1">
        <v>9.0</v>
      </c>
      <c r="K473" s="1">
        <v>20.0</v>
      </c>
      <c r="L473" s="1">
        <v>112.0</v>
      </c>
      <c r="M473" s="1">
        <v>0.0</v>
      </c>
      <c r="N473" s="1">
        <v>0.0</v>
      </c>
      <c r="O473" s="1">
        <v>0.0</v>
      </c>
      <c r="P473" s="1">
        <v>0.0</v>
      </c>
      <c r="Q473" s="1">
        <v>51.0</v>
      </c>
      <c r="R473" s="1">
        <v>30.0</v>
      </c>
    </row>
    <row r="474">
      <c r="A474" s="1">
        <f t="shared" si="1"/>
        <v>472</v>
      </c>
      <c r="B474" s="1" t="s">
        <v>1525</v>
      </c>
      <c r="C474" s="1">
        <f t="shared" si="2"/>
        <v>472</v>
      </c>
      <c r="D474" s="1" t="s">
        <v>1048</v>
      </c>
      <c r="E474" s="1" t="s">
        <v>31</v>
      </c>
      <c r="F474" s="11">
        <f t="shared" si="3"/>
        <v>159.75</v>
      </c>
      <c r="G474" s="11">
        <f t="shared" si="4"/>
        <v>2.315217391</v>
      </c>
      <c r="H474" s="1">
        <v>69.0</v>
      </c>
      <c r="I474" s="1">
        <v>7.0</v>
      </c>
      <c r="J474" s="1">
        <v>8.0</v>
      </c>
      <c r="K474" s="1">
        <v>15.0</v>
      </c>
      <c r="L474" s="1">
        <v>111.0</v>
      </c>
      <c r="M474" s="1">
        <v>0.0</v>
      </c>
      <c r="N474" s="1">
        <v>0.0</v>
      </c>
      <c r="O474" s="1">
        <v>0.0</v>
      </c>
      <c r="P474" s="1">
        <v>0.0</v>
      </c>
      <c r="Q474" s="1">
        <v>129.0</v>
      </c>
      <c r="R474" s="1">
        <v>33.0</v>
      </c>
    </row>
    <row r="475">
      <c r="A475" s="1">
        <f t="shared" si="1"/>
        <v>472</v>
      </c>
      <c r="B475" s="1" t="s">
        <v>1553</v>
      </c>
      <c r="C475" s="1">
        <f t="shared" si="2"/>
        <v>472</v>
      </c>
      <c r="D475" s="1" t="s">
        <v>1073</v>
      </c>
      <c r="E475" s="1" t="s">
        <v>66</v>
      </c>
      <c r="F475" s="11">
        <f t="shared" si="3"/>
        <v>159.75</v>
      </c>
      <c r="G475" s="11">
        <f t="shared" si="4"/>
        <v>2.282142857</v>
      </c>
      <c r="H475" s="1">
        <v>70.0</v>
      </c>
      <c r="I475" s="1">
        <v>3.0</v>
      </c>
      <c r="J475" s="1">
        <v>10.0</v>
      </c>
      <c r="K475" s="1">
        <v>13.0</v>
      </c>
      <c r="L475" s="1">
        <v>107.0</v>
      </c>
      <c r="M475" s="1">
        <v>0.0</v>
      </c>
      <c r="N475" s="1">
        <v>0.0</v>
      </c>
      <c r="O475" s="1">
        <v>0.0</v>
      </c>
      <c r="P475" s="1">
        <v>0.0</v>
      </c>
      <c r="Q475" s="1">
        <v>25.0</v>
      </c>
      <c r="R475" s="1">
        <v>113.0</v>
      </c>
    </row>
    <row r="476">
      <c r="A476" s="1">
        <f t="shared" si="1"/>
        <v>472</v>
      </c>
      <c r="B476" s="1" t="s">
        <v>1524</v>
      </c>
      <c r="C476" s="1">
        <f t="shared" si="2"/>
        <v>472</v>
      </c>
      <c r="D476" s="1" t="s">
        <v>1120</v>
      </c>
      <c r="E476" s="1" t="s">
        <v>36</v>
      </c>
      <c r="F476" s="11">
        <f t="shared" si="3"/>
        <v>159.75</v>
      </c>
      <c r="G476" s="11">
        <f t="shared" si="4"/>
        <v>2.022151899</v>
      </c>
      <c r="H476" s="1">
        <v>79.0</v>
      </c>
      <c r="I476" s="1">
        <v>5.0</v>
      </c>
      <c r="J476" s="1">
        <v>14.0</v>
      </c>
      <c r="K476" s="1">
        <v>19.0</v>
      </c>
      <c r="L476" s="1">
        <v>86.0</v>
      </c>
      <c r="M476" s="1">
        <v>0.0</v>
      </c>
      <c r="N476" s="1">
        <v>0.0</v>
      </c>
      <c r="O476" s="1">
        <v>1.0</v>
      </c>
      <c r="P476" s="1">
        <v>0.0</v>
      </c>
      <c r="Q476" s="1">
        <v>137.0</v>
      </c>
      <c r="R476" s="1">
        <v>32.0</v>
      </c>
    </row>
    <row r="477">
      <c r="A477" s="1">
        <f t="shared" si="1"/>
        <v>475</v>
      </c>
      <c r="B477" s="1" t="s">
        <v>1514</v>
      </c>
      <c r="C477" s="1">
        <f t="shared" si="2"/>
        <v>475</v>
      </c>
      <c r="D477" s="1" t="s">
        <v>1040</v>
      </c>
      <c r="E477" s="1" t="s">
        <v>28</v>
      </c>
      <c r="F477" s="11">
        <f t="shared" si="3"/>
        <v>159.5</v>
      </c>
      <c r="G477" s="11">
        <f t="shared" si="4"/>
        <v>1.99375</v>
      </c>
      <c r="H477" s="1">
        <v>80.0</v>
      </c>
      <c r="I477" s="1">
        <v>4.0</v>
      </c>
      <c r="J477" s="1">
        <v>8.0</v>
      </c>
      <c r="K477" s="1">
        <v>12.0</v>
      </c>
      <c r="L477" s="1">
        <v>61.0</v>
      </c>
      <c r="M477" s="1">
        <v>0.0</v>
      </c>
      <c r="N477" s="1">
        <v>0.0</v>
      </c>
      <c r="O477" s="1">
        <v>1.0</v>
      </c>
      <c r="P477" s="1">
        <v>0.0</v>
      </c>
      <c r="Q477" s="1">
        <v>168.0</v>
      </c>
      <c r="R477" s="1">
        <v>86.0</v>
      </c>
    </row>
    <row r="478">
      <c r="A478" s="1">
        <f t="shared" si="1"/>
        <v>476</v>
      </c>
      <c r="B478" s="1" t="s">
        <v>1558</v>
      </c>
      <c r="C478" s="1">
        <f t="shared" si="2"/>
        <v>476</v>
      </c>
      <c r="D478" s="1" t="s">
        <v>1146</v>
      </c>
      <c r="E478" s="1" t="s">
        <v>5</v>
      </c>
      <c r="F478" s="11">
        <f t="shared" si="3"/>
        <v>159.3</v>
      </c>
      <c r="G478" s="11">
        <f t="shared" si="4"/>
        <v>4.425</v>
      </c>
      <c r="H478" s="1">
        <v>36.0</v>
      </c>
      <c r="S478" s="1">
        <v>14.0</v>
      </c>
      <c r="T478" s="1">
        <v>95.0</v>
      </c>
      <c r="U478" s="1">
        <v>846.0</v>
      </c>
      <c r="V478" s="1">
        <v>2.0</v>
      </c>
    </row>
    <row r="479">
      <c r="A479" s="1">
        <f t="shared" si="1"/>
        <v>477</v>
      </c>
      <c r="B479" s="1" t="s">
        <v>1536</v>
      </c>
      <c r="C479" s="1">
        <f t="shared" si="2"/>
        <v>477</v>
      </c>
      <c r="D479" s="1" t="s">
        <v>1048</v>
      </c>
      <c r="E479" s="1" t="s">
        <v>66</v>
      </c>
      <c r="F479" s="11">
        <f t="shared" si="3"/>
        <v>159.25</v>
      </c>
      <c r="G479" s="11">
        <f t="shared" si="4"/>
        <v>3.12254902</v>
      </c>
      <c r="H479" s="1">
        <v>51.0</v>
      </c>
      <c r="I479" s="1">
        <v>4.0</v>
      </c>
      <c r="J479" s="1">
        <v>14.0</v>
      </c>
      <c r="K479" s="1">
        <v>18.0</v>
      </c>
      <c r="L479" s="1">
        <v>98.0</v>
      </c>
      <c r="M479" s="1">
        <v>1.0</v>
      </c>
      <c r="N479" s="1">
        <v>3.0</v>
      </c>
      <c r="O479" s="1">
        <v>0.0</v>
      </c>
      <c r="P479" s="1">
        <v>0.0</v>
      </c>
      <c r="Q479" s="1">
        <v>83.0</v>
      </c>
      <c r="R479" s="1">
        <v>59.0</v>
      </c>
    </row>
    <row r="480">
      <c r="A480" s="1">
        <f t="shared" si="1"/>
        <v>477</v>
      </c>
      <c r="B480" s="1" t="s">
        <v>1542</v>
      </c>
      <c r="C480" s="1">
        <f t="shared" si="2"/>
        <v>477</v>
      </c>
      <c r="D480" s="1" t="s">
        <v>1078</v>
      </c>
      <c r="E480" s="1" t="s">
        <v>66</v>
      </c>
      <c r="F480" s="11">
        <f t="shared" si="3"/>
        <v>159.25</v>
      </c>
      <c r="G480" s="11">
        <f t="shared" si="4"/>
        <v>2.242957746</v>
      </c>
      <c r="H480" s="1">
        <v>71.0</v>
      </c>
      <c r="I480" s="1">
        <v>2.0</v>
      </c>
      <c r="J480" s="1">
        <v>22.0</v>
      </c>
      <c r="K480" s="1">
        <v>24.0</v>
      </c>
      <c r="L480" s="1">
        <v>80.0</v>
      </c>
      <c r="M480" s="1">
        <v>1.0</v>
      </c>
      <c r="N480" s="1">
        <v>5.0</v>
      </c>
      <c r="O480" s="1">
        <v>0.0</v>
      </c>
      <c r="P480" s="1">
        <v>0.0</v>
      </c>
      <c r="Q480" s="1">
        <v>67.0</v>
      </c>
      <c r="R480" s="1">
        <v>55.0</v>
      </c>
    </row>
    <row r="481">
      <c r="A481" s="1">
        <f t="shared" si="1"/>
        <v>479</v>
      </c>
      <c r="B481" s="1" t="s">
        <v>1559</v>
      </c>
      <c r="C481" s="1">
        <f t="shared" si="2"/>
        <v>479</v>
      </c>
      <c r="D481" s="1" t="s">
        <v>1116</v>
      </c>
      <c r="E481" s="1" t="s">
        <v>5</v>
      </c>
      <c r="F481" s="11">
        <f t="shared" si="3"/>
        <v>159</v>
      </c>
      <c r="G481" s="11">
        <f t="shared" si="4"/>
        <v>6.913043478</v>
      </c>
      <c r="H481" s="1">
        <v>23.0</v>
      </c>
      <c r="S481" s="1">
        <v>15.0</v>
      </c>
      <c r="T481" s="1">
        <v>45.0</v>
      </c>
      <c r="U481" s="1">
        <v>575.0</v>
      </c>
      <c r="V481" s="1">
        <v>3.0</v>
      </c>
    </row>
    <row r="482">
      <c r="A482" s="1">
        <f t="shared" si="1"/>
        <v>479</v>
      </c>
      <c r="B482" s="1" t="s">
        <v>1503</v>
      </c>
      <c r="C482" s="1">
        <f t="shared" si="2"/>
        <v>479</v>
      </c>
      <c r="D482" s="1" t="s">
        <v>1111</v>
      </c>
      <c r="E482" s="1" t="s">
        <v>31</v>
      </c>
      <c r="F482" s="11">
        <f t="shared" si="3"/>
        <v>159</v>
      </c>
      <c r="G482" s="11">
        <f t="shared" si="4"/>
        <v>2.12</v>
      </c>
      <c r="H482" s="1">
        <v>75.0</v>
      </c>
      <c r="I482" s="1">
        <v>5.0</v>
      </c>
      <c r="J482" s="1">
        <v>9.0</v>
      </c>
      <c r="K482" s="1">
        <v>14.0</v>
      </c>
      <c r="L482" s="1">
        <v>72.0</v>
      </c>
      <c r="M482" s="1">
        <v>0.0</v>
      </c>
      <c r="N482" s="1">
        <v>0.0</v>
      </c>
      <c r="O482" s="1">
        <v>0.0</v>
      </c>
      <c r="P482" s="1">
        <v>0.0</v>
      </c>
      <c r="Q482" s="1">
        <v>228.0</v>
      </c>
      <c r="R482" s="1">
        <v>33.0</v>
      </c>
    </row>
    <row r="483">
      <c r="A483" s="1">
        <f t="shared" si="1"/>
        <v>481</v>
      </c>
      <c r="B483" s="1" t="s">
        <v>1533</v>
      </c>
      <c r="C483" s="1">
        <f t="shared" si="2"/>
        <v>481</v>
      </c>
      <c r="D483" s="1" t="s">
        <v>1054</v>
      </c>
      <c r="E483" s="1" t="s">
        <v>66</v>
      </c>
      <c r="F483" s="11">
        <f t="shared" si="3"/>
        <v>158.75</v>
      </c>
      <c r="G483" s="11">
        <f t="shared" si="4"/>
        <v>2.442307692</v>
      </c>
      <c r="H483" s="1">
        <v>65.0</v>
      </c>
      <c r="I483" s="1">
        <v>3.0</v>
      </c>
      <c r="J483" s="1">
        <v>11.0</v>
      </c>
      <c r="K483" s="1">
        <v>14.0</v>
      </c>
      <c r="L483" s="1">
        <v>83.0</v>
      </c>
      <c r="M483" s="1">
        <v>0.0</v>
      </c>
      <c r="N483" s="1">
        <v>0.0</v>
      </c>
      <c r="O483" s="1">
        <v>0.0</v>
      </c>
      <c r="P483" s="1">
        <v>1.0</v>
      </c>
      <c r="Q483" s="1">
        <v>109.0</v>
      </c>
      <c r="R483" s="1">
        <v>83.0</v>
      </c>
    </row>
    <row r="484">
      <c r="A484" s="1">
        <f t="shared" si="1"/>
        <v>482</v>
      </c>
      <c r="B484" s="1" t="s">
        <v>1548</v>
      </c>
      <c r="C484" s="1">
        <f t="shared" si="2"/>
        <v>482</v>
      </c>
      <c r="D484" s="1" t="s">
        <v>1087</v>
      </c>
      <c r="E484" s="1" t="s">
        <v>66</v>
      </c>
      <c r="F484" s="11">
        <f t="shared" si="3"/>
        <v>158.5</v>
      </c>
      <c r="G484" s="11">
        <f t="shared" si="4"/>
        <v>2.732758621</v>
      </c>
      <c r="H484" s="1">
        <v>58.0</v>
      </c>
      <c r="I484" s="1">
        <v>1.0</v>
      </c>
      <c r="J484" s="1">
        <v>15.0</v>
      </c>
      <c r="K484" s="1">
        <v>16.0</v>
      </c>
      <c r="L484" s="1">
        <v>71.0</v>
      </c>
      <c r="M484" s="1">
        <v>0.0</v>
      </c>
      <c r="N484" s="1">
        <v>0.0</v>
      </c>
      <c r="O484" s="1">
        <v>0.0</v>
      </c>
      <c r="P484" s="1">
        <v>1.0</v>
      </c>
      <c r="Q484" s="1">
        <v>64.0</v>
      </c>
      <c r="R484" s="1">
        <v>111.0</v>
      </c>
    </row>
    <row r="485">
      <c r="A485" s="1">
        <f t="shared" si="1"/>
        <v>483</v>
      </c>
      <c r="B485" s="1" t="s">
        <v>1540</v>
      </c>
      <c r="C485" s="1">
        <f t="shared" si="2"/>
        <v>483</v>
      </c>
      <c r="D485" s="1" t="s">
        <v>1080</v>
      </c>
      <c r="E485" s="1" t="s">
        <v>31</v>
      </c>
      <c r="F485" s="11">
        <f t="shared" si="3"/>
        <v>158</v>
      </c>
      <c r="G485" s="11">
        <f t="shared" si="4"/>
        <v>2.194444444</v>
      </c>
      <c r="H485" s="1">
        <v>72.0</v>
      </c>
      <c r="I485" s="1">
        <v>8.0</v>
      </c>
      <c r="J485" s="1">
        <v>11.0</v>
      </c>
      <c r="K485" s="1">
        <v>19.0</v>
      </c>
      <c r="L485" s="1">
        <v>76.0</v>
      </c>
      <c r="M485" s="1">
        <v>0.0</v>
      </c>
      <c r="N485" s="1">
        <v>0.0</v>
      </c>
      <c r="O485" s="1">
        <v>2.0</v>
      </c>
      <c r="P485" s="1">
        <v>0.0</v>
      </c>
      <c r="Q485" s="1">
        <v>86.0</v>
      </c>
      <c r="R485" s="1">
        <v>51.0</v>
      </c>
    </row>
    <row r="486">
      <c r="A486" s="1">
        <f t="shared" si="1"/>
        <v>484</v>
      </c>
      <c r="B486" s="1" t="s">
        <v>1549</v>
      </c>
      <c r="C486" s="1">
        <f t="shared" si="2"/>
        <v>484</v>
      </c>
      <c r="D486" s="1" t="s">
        <v>1106</v>
      </c>
      <c r="E486" s="1" t="s">
        <v>36</v>
      </c>
      <c r="F486" s="11">
        <f t="shared" si="3"/>
        <v>157.75</v>
      </c>
      <c r="G486" s="11">
        <f t="shared" si="4"/>
        <v>2.160958904</v>
      </c>
      <c r="H486" s="1">
        <v>73.0</v>
      </c>
      <c r="I486" s="1">
        <v>6.0</v>
      </c>
      <c r="J486" s="1">
        <v>16.0</v>
      </c>
      <c r="K486" s="1">
        <v>22.0</v>
      </c>
      <c r="L486" s="1">
        <v>99.0</v>
      </c>
      <c r="M486" s="1">
        <v>0.0</v>
      </c>
      <c r="N486" s="1">
        <v>0.0</v>
      </c>
      <c r="O486" s="1">
        <v>1.0</v>
      </c>
      <c r="P486" s="1">
        <v>1.0</v>
      </c>
      <c r="Q486" s="1">
        <v>63.0</v>
      </c>
      <c r="R486" s="1">
        <v>27.0</v>
      </c>
    </row>
    <row r="487">
      <c r="A487" s="1">
        <f t="shared" si="1"/>
        <v>485</v>
      </c>
      <c r="B487" s="1" t="s">
        <v>1531</v>
      </c>
      <c r="C487" s="1">
        <f t="shared" si="2"/>
        <v>485</v>
      </c>
      <c r="D487" s="1" t="s">
        <v>1080</v>
      </c>
      <c r="E487" s="1" t="s">
        <v>66</v>
      </c>
      <c r="F487" s="11">
        <f t="shared" si="3"/>
        <v>157.25</v>
      </c>
      <c r="G487" s="11">
        <f t="shared" si="4"/>
        <v>2.577868852</v>
      </c>
      <c r="H487" s="1">
        <v>61.0</v>
      </c>
      <c r="I487" s="1">
        <v>2.0</v>
      </c>
      <c r="J487" s="1">
        <v>12.0</v>
      </c>
      <c r="K487" s="1">
        <v>14.0</v>
      </c>
      <c r="L487" s="1">
        <v>51.0</v>
      </c>
      <c r="M487" s="1">
        <v>0.0</v>
      </c>
      <c r="N487" s="1">
        <v>0.0</v>
      </c>
      <c r="O487" s="1">
        <v>0.0</v>
      </c>
      <c r="P487" s="1">
        <v>1.0</v>
      </c>
      <c r="Q487" s="1">
        <v>129.0</v>
      </c>
      <c r="R487" s="1">
        <v>105.0</v>
      </c>
    </row>
    <row r="488">
      <c r="A488" s="1">
        <f t="shared" si="1"/>
        <v>486</v>
      </c>
      <c r="B488" s="1" t="s">
        <v>1547</v>
      </c>
      <c r="C488" s="1">
        <f t="shared" si="2"/>
        <v>486</v>
      </c>
      <c r="D488" s="1" t="s">
        <v>1106</v>
      </c>
      <c r="E488" s="1" t="s">
        <v>31</v>
      </c>
      <c r="F488" s="11">
        <f t="shared" si="3"/>
        <v>157</v>
      </c>
      <c r="G488" s="11">
        <f t="shared" si="4"/>
        <v>2.211267606</v>
      </c>
      <c r="H488" s="1">
        <v>71.0</v>
      </c>
      <c r="I488" s="1">
        <v>6.0</v>
      </c>
      <c r="J488" s="1">
        <v>15.0</v>
      </c>
      <c r="K488" s="1">
        <v>21.0</v>
      </c>
      <c r="L488" s="1">
        <v>68.0</v>
      </c>
      <c r="M488" s="1">
        <v>3.0</v>
      </c>
      <c r="N488" s="1">
        <v>2.0</v>
      </c>
      <c r="O488" s="1">
        <v>1.0</v>
      </c>
      <c r="P488" s="1">
        <v>2.0</v>
      </c>
      <c r="Q488" s="1">
        <v>82.0</v>
      </c>
      <c r="R488" s="1">
        <v>49.0</v>
      </c>
    </row>
    <row r="489">
      <c r="A489" s="1">
        <f t="shared" si="1"/>
        <v>487</v>
      </c>
      <c r="B489" s="1" t="s">
        <v>1566</v>
      </c>
      <c r="C489" s="1">
        <f t="shared" si="2"/>
        <v>487</v>
      </c>
      <c r="D489" s="1" t="s">
        <v>1076</v>
      </c>
      <c r="E489" s="1" t="s">
        <v>5</v>
      </c>
      <c r="F489" s="11">
        <f t="shared" si="3"/>
        <v>156.9</v>
      </c>
      <c r="G489" s="11">
        <f t="shared" si="4"/>
        <v>4.614705882</v>
      </c>
      <c r="H489" s="1">
        <v>34.0</v>
      </c>
      <c r="S489" s="1">
        <v>12.0</v>
      </c>
      <c r="T489" s="1">
        <v>114.0</v>
      </c>
      <c r="U489" s="1">
        <v>973.0</v>
      </c>
      <c r="V489" s="1">
        <v>0.0</v>
      </c>
    </row>
    <row r="490">
      <c r="A490" s="1">
        <f t="shared" si="1"/>
        <v>487</v>
      </c>
      <c r="B490" s="1" t="s">
        <v>1567</v>
      </c>
      <c r="C490" s="1">
        <f t="shared" si="2"/>
        <v>487</v>
      </c>
      <c r="D490" s="1" t="s">
        <v>1076</v>
      </c>
      <c r="E490" s="1" t="s">
        <v>5</v>
      </c>
      <c r="F490" s="11">
        <f t="shared" si="3"/>
        <v>156.9</v>
      </c>
      <c r="G490" s="11">
        <f t="shared" si="4"/>
        <v>4.240540541</v>
      </c>
      <c r="H490" s="1">
        <v>37.0</v>
      </c>
      <c r="S490" s="1">
        <v>7.0</v>
      </c>
      <c r="T490" s="1">
        <v>116.0</v>
      </c>
      <c r="U490" s="12">
        <v>1023.0</v>
      </c>
      <c r="V490" s="1">
        <v>1.0</v>
      </c>
    </row>
    <row r="491">
      <c r="A491" s="1">
        <f t="shared" si="1"/>
        <v>489</v>
      </c>
      <c r="B491" s="1" t="s">
        <v>1543</v>
      </c>
      <c r="C491" s="1">
        <f t="shared" si="2"/>
        <v>489</v>
      </c>
      <c r="D491" s="1" t="s">
        <v>1085</v>
      </c>
      <c r="E491" s="1" t="s">
        <v>31</v>
      </c>
      <c r="F491" s="11">
        <f t="shared" si="3"/>
        <v>156.25</v>
      </c>
      <c r="G491" s="11">
        <f t="shared" si="4"/>
        <v>2.111486486</v>
      </c>
      <c r="H491" s="1">
        <v>74.0</v>
      </c>
      <c r="I491" s="1">
        <v>7.0</v>
      </c>
      <c r="J491" s="1">
        <v>12.0</v>
      </c>
      <c r="K491" s="1">
        <v>19.0</v>
      </c>
      <c r="L491" s="1">
        <v>71.0</v>
      </c>
      <c r="M491" s="1">
        <v>0.0</v>
      </c>
      <c r="N491" s="1">
        <v>0.0</v>
      </c>
      <c r="O491" s="1">
        <v>2.0</v>
      </c>
      <c r="P491" s="1">
        <v>2.0</v>
      </c>
      <c r="Q491" s="1">
        <v>97.0</v>
      </c>
      <c r="R491" s="1">
        <v>42.0</v>
      </c>
    </row>
    <row r="492">
      <c r="A492" s="1">
        <f t="shared" si="1"/>
        <v>490</v>
      </c>
      <c r="B492" s="1" t="s">
        <v>1563</v>
      </c>
      <c r="C492" s="1">
        <f t="shared" si="2"/>
        <v>490</v>
      </c>
      <c r="D492" s="1" t="s">
        <v>1080</v>
      </c>
      <c r="E492" s="1" t="s">
        <v>28</v>
      </c>
      <c r="F492" s="11">
        <f t="shared" si="3"/>
        <v>156</v>
      </c>
      <c r="G492" s="11">
        <f t="shared" si="4"/>
        <v>3.319148936</v>
      </c>
      <c r="H492" s="1">
        <v>47.0</v>
      </c>
      <c r="I492" s="1">
        <v>13.0</v>
      </c>
      <c r="J492" s="1">
        <v>11.0</v>
      </c>
      <c r="K492" s="1">
        <v>24.0</v>
      </c>
      <c r="L492" s="1">
        <v>97.0</v>
      </c>
      <c r="M492" s="1">
        <v>0.0</v>
      </c>
      <c r="N492" s="1">
        <v>1.0</v>
      </c>
      <c r="O492" s="1">
        <v>0.0</v>
      </c>
      <c r="P492" s="1">
        <v>0.0</v>
      </c>
      <c r="Q492" s="1">
        <v>18.0</v>
      </c>
      <c r="R492" s="1">
        <v>23.0</v>
      </c>
    </row>
    <row r="493">
      <c r="A493" s="1">
        <f t="shared" si="1"/>
        <v>490</v>
      </c>
      <c r="B493" s="1" t="s">
        <v>1560</v>
      </c>
      <c r="C493" s="1">
        <f t="shared" si="2"/>
        <v>490</v>
      </c>
      <c r="D493" s="1" t="s">
        <v>1076</v>
      </c>
      <c r="E493" s="1" t="s">
        <v>66</v>
      </c>
      <c r="F493" s="11">
        <f t="shared" si="3"/>
        <v>156</v>
      </c>
      <c r="G493" s="11">
        <f t="shared" si="4"/>
        <v>2.6</v>
      </c>
      <c r="H493" s="1">
        <v>60.0</v>
      </c>
      <c r="I493" s="1">
        <v>3.0</v>
      </c>
      <c r="J493" s="1">
        <v>16.0</v>
      </c>
      <c r="K493" s="1">
        <v>19.0</v>
      </c>
      <c r="L493" s="1">
        <v>73.0</v>
      </c>
      <c r="M493" s="1">
        <v>0.0</v>
      </c>
      <c r="N493" s="1">
        <v>2.0</v>
      </c>
      <c r="O493" s="1">
        <v>0.0</v>
      </c>
      <c r="P493" s="1">
        <v>0.0</v>
      </c>
      <c r="Q493" s="1">
        <v>22.0</v>
      </c>
      <c r="R493" s="1">
        <v>105.0</v>
      </c>
    </row>
    <row r="494">
      <c r="A494" s="1">
        <f t="shared" si="1"/>
        <v>490</v>
      </c>
      <c r="B494" s="1" t="s">
        <v>1554</v>
      </c>
      <c r="C494" s="1">
        <f t="shared" si="2"/>
        <v>490</v>
      </c>
      <c r="D494" s="1" t="s">
        <v>1082</v>
      </c>
      <c r="E494" s="1" t="s">
        <v>66</v>
      </c>
      <c r="F494" s="11">
        <f t="shared" si="3"/>
        <v>156</v>
      </c>
      <c r="G494" s="11">
        <f t="shared" si="4"/>
        <v>2</v>
      </c>
      <c r="H494" s="1">
        <v>78.0</v>
      </c>
      <c r="I494" s="1">
        <v>1.0</v>
      </c>
      <c r="J494" s="1">
        <v>13.0</v>
      </c>
      <c r="K494" s="1">
        <v>14.0</v>
      </c>
      <c r="L494" s="1">
        <v>71.0</v>
      </c>
      <c r="M494" s="1">
        <v>0.0</v>
      </c>
      <c r="N494" s="1">
        <v>0.0</v>
      </c>
      <c r="O494" s="1">
        <v>0.0</v>
      </c>
      <c r="P494" s="1">
        <v>0.0</v>
      </c>
      <c r="Q494" s="1">
        <v>62.0</v>
      </c>
      <c r="R494" s="1">
        <v>123.0</v>
      </c>
    </row>
    <row r="495">
      <c r="A495" s="1">
        <f t="shared" si="1"/>
        <v>493</v>
      </c>
      <c r="B495" s="1" t="s">
        <v>1530</v>
      </c>
      <c r="C495" s="1">
        <f t="shared" si="2"/>
        <v>493</v>
      </c>
      <c r="D495" s="1" t="s">
        <v>1076</v>
      </c>
      <c r="E495" s="1" t="s">
        <v>66</v>
      </c>
      <c r="F495" s="11">
        <f t="shared" si="3"/>
        <v>155.25</v>
      </c>
      <c r="G495" s="11">
        <f t="shared" si="4"/>
        <v>1.893292683</v>
      </c>
      <c r="H495" s="1">
        <v>82.0</v>
      </c>
      <c r="I495" s="1">
        <v>1.0</v>
      </c>
      <c r="J495" s="1">
        <v>10.0</v>
      </c>
      <c r="K495" s="1">
        <v>11.0</v>
      </c>
      <c r="L495" s="1">
        <v>63.0</v>
      </c>
      <c r="M495" s="1">
        <v>0.0</v>
      </c>
      <c r="N495" s="1">
        <v>0.0</v>
      </c>
      <c r="O495" s="1">
        <v>0.0</v>
      </c>
      <c r="P495" s="1">
        <v>0.0</v>
      </c>
      <c r="Q495" s="1">
        <v>151.0</v>
      </c>
      <c r="R495" s="1">
        <v>103.0</v>
      </c>
    </row>
    <row r="496">
      <c r="A496" s="1">
        <f t="shared" si="1"/>
        <v>494</v>
      </c>
      <c r="B496" s="1" t="s">
        <v>1508</v>
      </c>
      <c r="C496" s="1">
        <f t="shared" si="2"/>
        <v>494</v>
      </c>
      <c r="D496" s="1" t="s">
        <v>1032</v>
      </c>
      <c r="E496" s="1" t="s">
        <v>66</v>
      </c>
      <c r="F496" s="11">
        <f t="shared" si="3"/>
        <v>155</v>
      </c>
      <c r="G496" s="11">
        <f t="shared" si="4"/>
        <v>2.421875</v>
      </c>
      <c r="H496" s="1">
        <v>64.0</v>
      </c>
      <c r="I496" s="1">
        <v>1.0</v>
      </c>
      <c r="J496" s="1">
        <v>4.0</v>
      </c>
      <c r="K496" s="1">
        <v>5.0</v>
      </c>
      <c r="L496" s="1">
        <v>52.0</v>
      </c>
      <c r="M496" s="1">
        <v>0.0</v>
      </c>
      <c r="N496" s="1">
        <v>0.0</v>
      </c>
      <c r="O496" s="1">
        <v>0.0</v>
      </c>
      <c r="P496" s="1">
        <v>0.0</v>
      </c>
      <c r="Q496" s="1">
        <v>246.0</v>
      </c>
      <c r="R496" s="1">
        <v>102.0</v>
      </c>
    </row>
    <row r="497">
      <c r="A497" s="1">
        <f t="shared" si="1"/>
        <v>495</v>
      </c>
      <c r="B497" s="1" t="s">
        <v>1552</v>
      </c>
      <c r="C497" s="1">
        <f t="shared" si="2"/>
        <v>495</v>
      </c>
      <c r="D497" s="1" t="s">
        <v>1030</v>
      </c>
      <c r="E497" s="1" t="s">
        <v>66</v>
      </c>
      <c r="F497" s="11">
        <f t="shared" si="3"/>
        <v>154.5</v>
      </c>
      <c r="G497" s="11">
        <f t="shared" si="4"/>
        <v>1.93125</v>
      </c>
      <c r="H497" s="1">
        <v>80.0</v>
      </c>
      <c r="I497" s="1">
        <v>3.0</v>
      </c>
      <c r="J497" s="1">
        <v>13.0</v>
      </c>
      <c r="K497" s="1">
        <v>16.0</v>
      </c>
      <c r="L497" s="1">
        <v>76.0</v>
      </c>
      <c r="M497" s="1">
        <v>0.0</v>
      </c>
      <c r="N497" s="1">
        <v>0.0</v>
      </c>
      <c r="O497" s="1">
        <v>0.0</v>
      </c>
      <c r="P497" s="1">
        <v>0.0</v>
      </c>
      <c r="Q497" s="1">
        <v>78.0</v>
      </c>
      <c r="R497" s="1">
        <v>89.0</v>
      </c>
    </row>
    <row r="498">
      <c r="A498" s="1">
        <f t="shared" si="1"/>
        <v>496</v>
      </c>
      <c r="B498" s="1" t="s">
        <v>1551</v>
      </c>
      <c r="C498" s="1">
        <f t="shared" si="2"/>
        <v>496</v>
      </c>
      <c r="D498" s="1" t="s">
        <v>1048</v>
      </c>
      <c r="E498" s="1" t="s">
        <v>31</v>
      </c>
      <c r="F498" s="11">
        <f t="shared" si="3"/>
        <v>154.25</v>
      </c>
      <c r="G498" s="11">
        <f t="shared" si="4"/>
        <v>1.904320988</v>
      </c>
      <c r="H498" s="1">
        <v>81.0</v>
      </c>
      <c r="I498" s="1">
        <v>11.0</v>
      </c>
      <c r="J498" s="1">
        <v>4.0</v>
      </c>
      <c r="K498" s="1">
        <v>15.0</v>
      </c>
      <c r="L498" s="1">
        <v>81.0</v>
      </c>
      <c r="M498" s="1">
        <v>0.0</v>
      </c>
      <c r="N498" s="1">
        <v>0.0</v>
      </c>
      <c r="O498" s="1">
        <v>2.0</v>
      </c>
      <c r="P498" s="1">
        <v>0.0</v>
      </c>
      <c r="Q498" s="1">
        <v>83.0</v>
      </c>
      <c r="R498" s="1">
        <v>55.0</v>
      </c>
    </row>
    <row r="499">
      <c r="A499" s="1">
        <f t="shared" si="1"/>
        <v>497</v>
      </c>
      <c r="B499" s="1" t="s">
        <v>1557</v>
      </c>
      <c r="C499" s="1">
        <f t="shared" si="2"/>
        <v>497</v>
      </c>
      <c r="D499" s="1" t="s">
        <v>1082</v>
      </c>
      <c r="E499" s="1" t="s">
        <v>28</v>
      </c>
      <c r="F499" s="11">
        <f t="shared" si="3"/>
        <v>152.5</v>
      </c>
      <c r="G499" s="11">
        <f t="shared" si="4"/>
        <v>3.244680851</v>
      </c>
      <c r="H499" s="1">
        <v>47.0</v>
      </c>
      <c r="I499" s="1">
        <v>4.0</v>
      </c>
      <c r="J499" s="1">
        <v>19.0</v>
      </c>
      <c r="K499" s="1">
        <v>23.0</v>
      </c>
      <c r="L499" s="1">
        <v>95.0</v>
      </c>
      <c r="M499" s="1">
        <v>2.0</v>
      </c>
      <c r="N499" s="1">
        <v>9.0</v>
      </c>
      <c r="O499" s="1">
        <v>0.0</v>
      </c>
      <c r="P499" s="1">
        <v>0.0</v>
      </c>
      <c r="Q499" s="1">
        <v>76.0</v>
      </c>
      <c r="R499" s="1">
        <v>22.0</v>
      </c>
    </row>
    <row r="500">
      <c r="A500" s="1">
        <f t="shared" si="1"/>
        <v>497</v>
      </c>
      <c r="B500" s="1" t="s">
        <v>1565</v>
      </c>
      <c r="C500" s="1">
        <f t="shared" si="2"/>
        <v>497</v>
      </c>
      <c r="D500" s="1" t="s">
        <v>1175</v>
      </c>
      <c r="E500" s="1" t="s">
        <v>66</v>
      </c>
      <c r="F500" s="11">
        <f t="shared" si="3"/>
        <v>152.5</v>
      </c>
      <c r="G500" s="11">
        <f t="shared" si="4"/>
        <v>2.118055556</v>
      </c>
      <c r="H500" s="1">
        <v>72.0</v>
      </c>
      <c r="I500" s="1">
        <v>1.0</v>
      </c>
      <c r="J500" s="1">
        <v>16.0</v>
      </c>
      <c r="K500" s="1">
        <v>17.0</v>
      </c>
      <c r="L500" s="1">
        <v>93.0</v>
      </c>
      <c r="M500" s="1">
        <v>0.0</v>
      </c>
      <c r="N500" s="1">
        <v>9.0</v>
      </c>
      <c r="O500" s="1">
        <v>0.0</v>
      </c>
      <c r="P500" s="1">
        <v>0.0</v>
      </c>
      <c r="Q500" s="1">
        <v>48.0</v>
      </c>
      <c r="R500" s="1">
        <v>83.0</v>
      </c>
    </row>
    <row r="501">
      <c r="A501" s="1">
        <f t="shared" si="1"/>
        <v>499</v>
      </c>
      <c r="B501" s="1" t="s">
        <v>1561</v>
      </c>
      <c r="C501" s="1">
        <f t="shared" si="2"/>
        <v>499</v>
      </c>
      <c r="D501" s="1" t="s">
        <v>1091</v>
      </c>
      <c r="E501" s="1" t="s">
        <v>31</v>
      </c>
      <c r="F501" s="11">
        <f t="shared" si="3"/>
        <v>152</v>
      </c>
      <c r="G501" s="11">
        <f t="shared" si="4"/>
        <v>2.412698413</v>
      </c>
      <c r="H501" s="1">
        <v>63.0</v>
      </c>
      <c r="I501" s="1">
        <v>13.0</v>
      </c>
      <c r="J501" s="1">
        <v>10.0</v>
      </c>
      <c r="K501" s="1">
        <v>23.0</v>
      </c>
      <c r="L501" s="1">
        <v>78.0</v>
      </c>
      <c r="M501" s="1">
        <v>4.0</v>
      </c>
      <c r="N501" s="1">
        <v>2.0</v>
      </c>
      <c r="O501" s="1">
        <v>0.0</v>
      </c>
      <c r="P501" s="1">
        <v>1.0</v>
      </c>
      <c r="Q501" s="1">
        <v>60.0</v>
      </c>
      <c r="R501" s="1">
        <v>15.0</v>
      </c>
    </row>
    <row r="502">
      <c r="A502" s="1">
        <f t="shared" si="1"/>
        <v>500</v>
      </c>
      <c r="B502" s="1" t="s">
        <v>1541</v>
      </c>
      <c r="C502" s="1">
        <f t="shared" si="2"/>
        <v>500</v>
      </c>
      <c r="D502" s="1" t="s">
        <v>1032</v>
      </c>
      <c r="E502" s="1" t="s">
        <v>31</v>
      </c>
      <c r="F502" s="11">
        <f t="shared" si="3"/>
        <v>151.75</v>
      </c>
      <c r="G502" s="11">
        <f t="shared" si="4"/>
        <v>2.408730159</v>
      </c>
      <c r="H502" s="1">
        <v>63.0</v>
      </c>
      <c r="I502" s="1">
        <v>6.0</v>
      </c>
      <c r="J502" s="1">
        <v>6.0</v>
      </c>
      <c r="K502" s="1">
        <v>12.0</v>
      </c>
      <c r="L502" s="1">
        <v>110.0</v>
      </c>
      <c r="M502" s="1">
        <v>1.0</v>
      </c>
      <c r="N502" s="1">
        <v>0.0</v>
      </c>
      <c r="O502" s="1">
        <v>1.0</v>
      </c>
      <c r="P502" s="1">
        <v>0.0</v>
      </c>
      <c r="Q502" s="1">
        <v>147.0</v>
      </c>
      <c r="R502" s="1">
        <v>26.0</v>
      </c>
    </row>
    <row r="503">
      <c r="A503" s="1">
        <f t="shared" si="1"/>
        <v>500</v>
      </c>
      <c r="B503" s="1" t="s">
        <v>1571</v>
      </c>
      <c r="C503" s="1">
        <f t="shared" si="2"/>
        <v>500</v>
      </c>
      <c r="D503" s="1" t="s">
        <v>1091</v>
      </c>
      <c r="E503" s="1" t="s">
        <v>66</v>
      </c>
      <c r="F503" s="11">
        <f t="shared" si="3"/>
        <v>151.75</v>
      </c>
      <c r="G503" s="11">
        <f t="shared" si="4"/>
        <v>2.299242424</v>
      </c>
      <c r="H503" s="1">
        <v>66.0</v>
      </c>
      <c r="I503" s="1">
        <v>5.0</v>
      </c>
      <c r="J503" s="1">
        <v>16.0</v>
      </c>
      <c r="K503" s="1">
        <v>21.0</v>
      </c>
      <c r="L503" s="1">
        <v>61.0</v>
      </c>
      <c r="M503" s="1">
        <v>2.0</v>
      </c>
      <c r="N503" s="1">
        <v>7.0</v>
      </c>
      <c r="O503" s="1">
        <v>0.0</v>
      </c>
      <c r="P503" s="1">
        <v>1.0</v>
      </c>
      <c r="Q503" s="1">
        <v>37.0</v>
      </c>
      <c r="R503" s="1">
        <v>79.0</v>
      </c>
    </row>
    <row r="504">
      <c r="A504" s="1">
        <f t="shared" si="1"/>
        <v>500</v>
      </c>
      <c r="B504" s="1" t="s">
        <v>1546</v>
      </c>
      <c r="C504" s="1">
        <f t="shared" si="2"/>
        <v>500</v>
      </c>
      <c r="D504" s="1" t="s">
        <v>1036</v>
      </c>
      <c r="E504" s="1" t="s">
        <v>66</v>
      </c>
      <c r="F504" s="11">
        <f t="shared" si="3"/>
        <v>151.75</v>
      </c>
      <c r="G504" s="11">
        <f t="shared" si="4"/>
        <v>1.945512821</v>
      </c>
      <c r="H504" s="1">
        <v>78.0</v>
      </c>
      <c r="I504" s="1">
        <v>1.0</v>
      </c>
      <c r="J504" s="1">
        <v>10.0</v>
      </c>
      <c r="K504" s="1">
        <v>11.0</v>
      </c>
      <c r="L504" s="1">
        <v>41.0</v>
      </c>
      <c r="M504" s="1">
        <v>0.0</v>
      </c>
      <c r="N504" s="1">
        <v>0.0</v>
      </c>
      <c r="O504" s="1">
        <v>0.0</v>
      </c>
      <c r="P504" s="1">
        <v>1.0</v>
      </c>
      <c r="Q504" s="1">
        <v>135.0</v>
      </c>
      <c r="R504" s="1">
        <v>122.0</v>
      </c>
    </row>
    <row r="505">
      <c r="A505" s="1">
        <f t="shared" si="1"/>
        <v>503</v>
      </c>
      <c r="B505" s="1" t="s">
        <v>1526</v>
      </c>
      <c r="C505" s="1">
        <f t="shared" si="2"/>
        <v>503</v>
      </c>
      <c r="D505" s="1" t="s">
        <v>1042</v>
      </c>
      <c r="E505" s="1" t="s">
        <v>66</v>
      </c>
      <c r="F505" s="11">
        <f t="shared" si="3"/>
        <v>151.5</v>
      </c>
      <c r="G505" s="11">
        <f t="shared" si="4"/>
        <v>2.404761905</v>
      </c>
      <c r="H505" s="1">
        <v>63.0</v>
      </c>
      <c r="I505" s="1">
        <v>1.0</v>
      </c>
      <c r="J505" s="1">
        <v>6.0</v>
      </c>
      <c r="K505" s="1">
        <v>7.0</v>
      </c>
      <c r="L505" s="1">
        <v>81.0</v>
      </c>
      <c r="M505" s="1">
        <v>0.0</v>
      </c>
      <c r="N505" s="1">
        <v>0.0</v>
      </c>
      <c r="O505" s="1">
        <v>0.0</v>
      </c>
      <c r="P505" s="1">
        <v>0.0</v>
      </c>
      <c r="Q505" s="1">
        <v>202.0</v>
      </c>
      <c r="R505" s="1">
        <v>76.0</v>
      </c>
    </row>
    <row r="506">
      <c r="A506" s="1">
        <f t="shared" si="1"/>
        <v>504</v>
      </c>
      <c r="B506" s="1" t="s">
        <v>1564</v>
      </c>
      <c r="C506" s="1">
        <f t="shared" si="2"/>
        <v>504</v>
      </c>
      <c r="D506" s="1" t="s">
        <v>1111</v>
      </c>
      <c r="E506" s="1" t="s">
        <v>66</v>
      </c>
      <c r="F506" s="11">
        <f t="shared" si="3"/>
        <v>150.75</v>
      </c>
      <c r="G506" s="11">
        <f t="shared" si="4"/>
        <v>2.216911765</v>
      </c>
      <c r="H506" s="1">
        <v>68.0</v>
      </c>
      <c r="I506" s="1">
        <v>2.0</v>
      </c>
      <c r="J506" s="1">
        <v>15.0</v>
      </c>
      <c r="K506" s="1">
        <v>17.0</v>
      </c>
      <c r="L506" s="1">
        <v>69.0</v>
      </c>
      <c r="M506" s="1">
        <v>0.0</v>
      </c>
      <c r="N506" s="1">
        <v>4.0</v>
      </c>
      <c r="O506" s="1">
        <v>0.0</v>
      </c>
      <c r="P506" s="1">
        <v>0.0</v>
      </c>
      <c r="Q506" s="1">
        <v>69.0</v>
      </c>
      <c r="R506" s="1">
        <v>90.0</v>
      </c>
    </row>
    <row r="507">
      <c r="A507" s="1">
        <f t="shared" si="1"/>
        <v>505</v>
      </c>
      <c r="B507" s="1" t="s">
        <v>1568</v>
      </c>
      <c r="C507" s="1">
        <f t="shared" si="2"/>
        <v>505</v>
      </c>
      <c r="D507" s="1" t="s">
        <v>1146</v>
      </c>
      <c r="E507" s="1" t="s">
        <v>66</v>
      </c>
      <c r="F507" s="11">
        <f t="shared" si="3"/>
        <v>149</v>
      </c>
      <c r="G507" s="11">
        <f t="shared" si="4"/>
        <v>1.8625</v>
      </c>
      <c r="H507" s="1">
        <v>80.0</v>
      </c>
      <c r="I507" s="1">
        <v>6.0</v>
      </c>
      <c r="J507" s="1">
        <v>10.0</v>
      </c>
      <c r="K507" s="1">
        <v>16.0</v>
      </c>
      <c r="L507" s="1">
        <v>69.0</v>
      </c>
      <c r="M507" s="1">
        <v>0.0</v>
      </c>
      <c r="N507" s="1">
        <v>0.0</v>
      </c>
      <c r="O507" s="1">
        <v>0.0</v>
      </c>
      <c r="P507" s="1">
        <v>0.0</v>
      </c>
      <c r="Q507" s="1">
        <v>72.0</v>
      </c>
      <c r="R507" s="1">
        <v>79.0</v>
      </c>
    </row>
    <row r="508">
      <c r="A508" s="1">
        <f t="shared" si="1"/>
        <v>506</v>
      </c>
      <c r="B508" s="1" t="s">
        <v>1576</v>
      </c>
      <c r="C508" s="1">
        <f t="shared" si="2"/>
        <v>506</v>
      </c>
      <c r="D508" s="1" t="s">
        <v>1032</v>
      </c>
      <c r="E508" s="1" t="s">
        <v>31</v>
      </c>
      <c r="F508" s="11">
        <f t="shared" si="3"/>
        <v>148.25</v>
      </c>
      <c r="G508" s="11">
        <f t="shared" si="4"/>
        <v>2.850961538</v>
      </c>
      <c r="H508" s="1">
        <v>52.0</v>
      </c>
      <c r="I508" s="1">
        <v>10.0</v>
      </c>
      <c r="J508" s="1">
        <v>11.0</v>
      </c>
      <c r="K508" s="1">
        <v>21.0</v>
      </c>
      <c r="L508" s="1">
        <v>92.0</v>
      </c>
      <c r="M508" s="1">
        <v>0.0</v>
      </c>
      <c r="N508" s="1">
        <v>1.0</v>
      </c>
      <c r="O508" s="1">
        <v>1.0</v>
      </c>
      <c r="P508" s="1">
        <v>1.0</v>
      </c>
      <c r="Q508" s="1">
        <v>55.0</v>
      </c>
      <c r="R508" s="1">
        <v>13.0</v>
      </c>
    </row>
    <row r="509">
      <c r="A509" s="1">
        <f t="shared" si="1"/>
        <v>507</v>
      </c>
      <c r="B509" s="1" t="s">
        <v>1586</v>
      </c>
      <c r="C509" s="1">
        <f t="shared" si="2"/>
        <v>507</v>
      </c>
      <c r="D509" s="1" t="s">
        <v>1085</v>
      </c>
      <c r="E509" s="1" t="s">
        <v>5</v>
      </c>
      <c r="F509" s="11">
        <f t="shared" si="3"/>
        <v>148.2</v>
      </c>
      <c r="G509" s="11">
        <f t="shared" si="4"/>
        <v>4.63125</v>
      </c>
      <c r="H509" s="1">
        <v>32.0</v>
      </c>
      <c r="S509" s="1">
        <v>16.0</v>
      </c>
      <c r="T509" s="1">
        <v>85.0</v>
      </c>
      <c r="U509" s="1">
        <v>759.0</v>
      </c>
      <c r="V509" s="1">
        <v>0.0</v>
      </c>
    </row>
    <row r="510">
      <c r="A510" s="1">
        <f t="shared" si="1"/>
        <v>508</v>
      </c>
      <c r="B510" s="1" t="s">
        <v>1534</v>
      </c>
      <c r="C510" s="1">
        <f t="shared" si="2"/>
        <v>508</v>
      </c>
      <c r="D510" s="1" t="s">
        <v>1034</v>
      </c>
      <c r="E510" s="1" t="s">
        <v>28</v>
      </c>
      <c r="F510" s="11">
        <f t="shared" si="3"/>
        <v>148</v>
      </c>
      <c r="G510" s="11">
        <f t="shared" si="4"/>
        <v>2.690909091</v>
      </c>
      <c r="H510" s="1">
        <v>55.0</v>
      </c>
      <c r="I510" s="1">
        <v>7.0</v>
      </c>
      <c r="J510" s="1">
        <v>7.0</v>
      </c>
      <c r="K510" s="1">
        <v>14.0</v>
      </c>
      <c r="L510" s="1">
        <v>59.0</v>
      </c>
      <c r="M510" s="1">
        <v>1.0</v>
      </c>
      <c r="N510" s="1">
        <v>1.0</v>
      </c>
      <c r="O510" s="1">
        <v>0.0</v>
      </c>
      <c r="P510" s="1">
        <v>0.0</v>
      </c>
      <c r="Q510" s="1">
        <v>210.0</v>
      </c>
      <c r="R510" s="1">
        <v>27.0</v>
      </c>
    </row>
    <row r="511">
      <c r="A511" s="1">
        <f t="shared" si="1"/>
        <v>508</v>
      </c>
      <c r="B511" s="1" t="s">
        <v>1578</v>
      </c>
      <c r="C511" s="1">
        <f t="shared" si="2"/>
        <v>508</v>
      </c>
      <c r="D511" s="1" t="s">
        <v>1073</v>
      </c>
      <c r="E511" s="1" t="s">
        <v>31</v>
      </c>
      <c r="F511" s="11">
        <f t="shared" si="3"/>
        <v>148</v>
      </c>
      <c r="G511" s="11">
        <f t="shared" si="4"/>
        <v>2.349206349</v>
      </c>
      <c r="H511" s="1">
        <v>63.0</v>
      </c>
      <c r="I511" s="1">
        <v>8.0</v>
      </c>
      <c r="J511" s="1">
        <v>16.0</v>
      </c>
      <c r="K511" s="1">
        <v>24.0</v>
      </c>
      <c r="L511" s="1">
        <v>96.0</v>
      </c>
      <c r="M511" s="1">
        <v>1.0</v>
      </c>
      <c r="N511" s="1">
        <v>6.0</v>
      </c>
      <c r="O511" s="1">
        <v>0.0</v>
      </c>
      <c r="P511" s="1">
        <v>0.0</v>
      </c>
      <c r="Q511" s="1">
        <v>28.0</v>
      </c>
      <c r="R511" s="1">
        <v>18.0</v>
      </c>
    </row>
    <row r="512">
      <c r="A512" s="1">
        <f t="shared" si="1"/>
        <v>510</v>
      </c>
      <c r="B512" s="1" t="s">
        <v>1569</v>
      </c>
      <c r="C512" s="1">
        <f t="shared" si="2"/>
        <v>510</v>
      </c>
      <c r="D512" s="1" t="s">
        <v>1570</v>
      </c>
      <c r="E512" s="1" t="s">
        <v>31</v>
      </c>
      <c r="F512" s="11">
        <f t="shared" si="3"/>
        <v>147.75</v>
      </c>
      <c r="G512" s="11">
        <f t="shared" si="4"/>
        <v>2.052083333</v>
      </c>
      <c r="H512" s="1">
        <v>72.0</v>
      </c>
      <c r="I512" s="1">
        <v>11.0</v>
      </c>
      <c r="J512" s="1">
        <v>4.0</v>
      </c>
      <c r="K512" s="1">
        <v>15.0</v>
      </c>
      <c r="L512" s="1">
        <v>90.0</v>
      </c>
      <c r="M512" s="1">
        <v>4.0</v>
      </c>
      <c r="N512" s="1">
        <v>0.0</v>
      </c>
      <c r="O512" s="1">
        <v>2.0</v>
      </c>
      <c r="P512" s="1">
        <v>0.0</v>
      </c>
      <c r="Q512" s="1">
        <v>83.0</v>
      </c>
      <c r="R512" s="1">
        <v>33.0</v>
      </c>
    </row>
    <row r="513">
      <c r="A513" s="1">
        <f t="shared" si="1"/>
        <v>511</v>
      </c>
      <c r="B513" s="1" t="s">
        <v>1580</v>
      </c>
      <c r="C513" s="1">
        <f t="shared" si="2"/>
        <v>511</v>
      </c>
      <c r="D513" s="1" t="s">
        <v>1091</v>
      </c>
      <c r="E513" s="1" t="s">
        <v>36</v>
      </c>
      <c r="F513" s="11">
        <f t="shared" si="3"/>
        <v>147</v>
      </c>
      <c r="G513" s="11">
        <f t="shared" si="4"/>
        <v>2.578947368</v>
      </c>
      <c r="H513" s="1">
        <v>57.0</v>
      </c>
      <c r="I513" s="1">
        <v>11.0</v>
      </c>
      <c r="J513" s="1">
        <v>12.0</v>
      </c>
      <c r="K513" s="1">
        <v>23.0</v>
      </c>
      <c r="L513" s="1">
        <v>81.0</v>
      </c>
      <c r="M513" s="1">
        <v>3.0</v>
      </c>
      <c r="N513" s="1">
        <v>2.0</v>
      </c>
      <c r="O513" s="1">
        <v>0.0</v>
      </c>
      <c r="P513" s="1">
        <v>0.0</v>
      </c>
      <c r="Q513" s="1">
        <v>36.0</v>
      </c>
      <c r="R513" s="1">
        <v>24.0</v>
      </c>
    </row>
    <row r="514">
      <c r="A514" s="1">
        <f t="shared" si="1"/>
        <v>512</v>
      </c>
      <c r="B514" s="1" t="s">
        <v>1572</v>
      </c>
      <c r="C514" s="1">
        <f t="shared" si="2"/>
        <v>512</v>
      </c>
      <c r="D514" s="1" t="s">
        <v>1172</v>
      </c>
      <c r="E514" s="1" t="s">
        <v>36</v>
      </c>
      <c r="F514" s="11">
        <f t="shared" si="3"/>
        <v>146.5</v>
      </c>
      <c r="G514" s="11">
        <f t="shared" si="4"/>
        <v>2.006849315</v>
      </c>
      <c r="H514" s="1">
        <v>73.0</v>
      </c>
      <c r="I514" s="1">
        <v>5.0</v>
      </c>
      <c r="J514" s="1">
        <v>9.0</v>
      </c>
      <c r="K514" s="1">
        <v>14.0</v>
      </c>
      <c r="L514" s="1">
        <v>120.0</v>
      </c>
      <c r="M514" s="1">
        <v>1.0</v>
      </c>
      <c r="N514" s="1">
        <v>2.0</v>
      </c>
      <c r="O514" s="1">
        <v>1.0</v>
      </c>
      <c r="P514" s="1">
        <v>0.0</v>
      </c>
      <c r="Q514" s="1">
        <v>84.0</v>
      </c>
      <c r="R514" s="1">
        <v>28.0</v>
      </c>
    </row>
    <row r="515">
      <c r="A515" s="1">
        <f t="shared" si="1"/>
        <v>512</v>
      </c>
      <c r="B515" s="1" t="s">
        <v>1583</v>
      </c>
      <c r="C515" s="1">
        <f t="shared" si="2"/>
        <v>512</v>
      </c>
      <c r="D515" s="1" t="s">
        <v>1172</v>
      </c>
      <c r="E515" s="1" t="s">
        <v>66</v>
      </c>
      <c r="F515" s="11">
        <f t="shared" si="3"/>
        <v>146.5</v>
      </c>
      <c r="G515" s="11">
        <f t="shared" si="4"/>
        <v>1.927631579</v>
      </c>
      <c r="H515" s="1">
        <v>76.0</v>
      </c>
      <c r="I515" s="1">
        <v>5.0</v>
      </c>
      <c r="J515" s="1">
        <v>10.0</v>
      </c>
      <c r="K515" s="1">
        <v>15.0</v>
      </c>
      <c r="L515" s="1">
        <v>93.0</v>
      </c>
      <c r="M515" s="1">
        <v>0.0</v>
      </c>
      <c r="N515" s="1">
        <v>7.0</v>
      </c>
      <c r="O515" s="1">
        <v>0.0</v>
      </c>
      <c r="P515" s="1">
        <v>0.0</v>
      </c>
      <c r="Q515" s="1">
        <v>26.0</v>
      </c>
      <c r="R515" s="1">
        <v>82.0</v>
      </c>
    </row>
    <row r="516">
      <c r="A516" s="1">
        <f t="shared" si="1"/>
        <v>514</v>
      </c>
      <c r="B516" s="1" t="s">
        <v>1592</v>
      </c>
      <c r="C516" s="1">
        <f t="shared" si="2"/>
        <v>514</v>
      </c>
      <c r="D516" s="1" t="s">
        <v>1078</v>
      </c>
      <c r="E516" s="1" t="s">
        <v>5</v>
      </c>
      <c r="F516" s="11">
        <f t="shared" si="3"/>
        <v>146.1</v>
      </c>
      <c r="G516" s="11">
        <f t="shared" si="4"/>
        <v>6.0875</v>
      </c>
      <c r="H516" s="1">
        <v>24.0</v>
      </c>
      <c r="S516" s="1">
        <v>13.0</v>
      </c>
      <c r="T516" s="1">
        <v>49.0</v>
      </c>
      <c r="U516" s="1">
        <v>572.0</v>
      </c>
      <c r="V516" s="1">
        <v>3.0</v>
      </c>
    </row>
    <row r="517">
      <c r="A517" s="1">
        <f t="shared" si="1"/>
        <v>515</v>
      </c>
      <c r="B517" s="1" t="s">
        <v>1581</v>
      </c>
      <c r="C517" s="1">
        <f t="shared" si="2"/>
        <v>515</v>
      </c>
      <c r="D517" s="1" t="s">
        <v>1120</v>
      </c>
      <c r="E517" s="1" t="s">
        <v>66</v>
      </c>
      <c r="F517" s="11">
        <f t="shared" si="3"/>
        <v>145.25</v>
      </c>
      <c r="G517" s="11">
        <f t="shared" si="4"/>
        <v>2.017361111</v>
      </c>
      <c r="H517" s="1">
        <v>72.0</v>
      </c>
      <c r="I517" s="1">
        <v>4.0</v>
      </c>
      <c r="J517" s="1">
        <v>14.0</v>
      </c>
      <c r="K517" s="1">
        <v>18.0</v>
      </c>
      <c r="L517" s="1">
        <v>48.0</v>
      </c>
      <c r="M517" s="1">
        <v>0.0</v>
      </c>
      <c r="N517" s="1">
        <v>0.0</v>
      </c>
      <c r="O517" s="1">
        <v>0.0</v>
      </c>
      <c r="P517" s="1">
        <v>0.0</v>
      </c>
      <c r="Q517" s="1">
        <v>53.0</v>
      </c>
      <c r="R517" s="1">
        <v>96.0</v>
      </c>
    </row>
    <row r="518">
      <c r="A518" s="1">
        <f t="shared" si="1"/>
        <v>516</v>
      </c>
      <c r="B518" s="1" t="s">
        <v>1588</v>
      </c>
      <c r="C518" s="1">
        <f t="shared" si="2"/>
        <v>516</v>
      </c>
      <c r="D518" s="1" t="s">
        <v>1156</v>
      </c>
      <c r="E518" s="1" t="s">
        <v>66</v>
      </c>
      <c r="F518" s="11">
        <f t="shared" si="3"/>
        <v>145</v>
      </c>
      <c r="G518" s="11">
        <f t="shared" si="4"/>
        <v>2.013888889</v>
      </c>
      <c r="H518" s="1">
        <v>72.0</v>
      </c>
      <c r="I518" s="1">
        <v>4.0</v>
      </c>
      <c r="J518" s="1">
        <v>9.0</v>
      </c>
      <c r="K518" s="1">
        <v>13.0</v>
      </c>
      <c r="L518" s="1">
        <v>76.0</v>
      </c>
      <c r="M518" s="1">
        <v>0.0</v>
      </c>
      <c r="N518" s="1">
        <v>0.0</v>
      </c>
      <c r="O518" s="1">
        <v>0.0</v>
      </c>
      <c r="P518" s="1">
        <v>0.0</v>
      </c>
      <c r="Q518" s="1">
        <v>28.0</v>
      </c>
      <c r="R518" s="1">
        <v>110.0</v>
      </c>
    </row>
    <row r="519">
      <c r="A519" s="1">
        <f t="shared" si="1"/>
        <v>517</v>
      </c>
      <c r="B519" s="1" t="s">
        <v>1573</v>
      </c>
      <c r="C519" s="1">
        <f t="shared" si="2"/>
        <v>517</v>
      </c>
      <c r="D519" s="1" t="s">
        <v>1076</v>
      </c>
      <c r="E519" s="1" t="s">
        <v>31</v>
      </c>
      <c r="F519" s="11">
        <f t="shared" si="3"/>
        <v>144.75</v>
      </c>
      <c r="G519" s="11">
        <f t="shared" si="4"/>
        <v>3.216666667</v>
      </c>
      <c r="H519" s="1">
        <v>45.0</v>
      </c>
      <c r="I519" s="1">
        <v>10.0</v>
      </c>
      <c r="J519" s="1">
        <v>9.0</v>
      </c>
      <c r="K519" s="1">
        <v>19.0</v>
      </c>
      <c r="L519" s="1">
        <v>73.0</v>
      </c>
      <c r="M519" s="1">
        <v>0.0</v>
      </c>
      <c r="N519" s="1">
        <v>0.0</v>
      </c>
      <c r="O519" s="1">
        <v>0.0</v>
      </c>
      <c r="P519" s="1">
        <v>0.0</v>
      </c>
      <c r="Q519" s="1">
        <v>101.0</v>
      </c>
      <c r="R519" s="1">
        <v>22.0</v>
      </c>
    </row>
    <row r="520">
      <c r="A520" s="1">
        <f t="shared" si="1"/>
        <v>518</v>
      </c>
      <c r="B520" s="1" t="s">
        <v>1593</v>
      </c>
      <c r="C520" s="1">
        <f t="shared" si="2"/>
        <v>518</v>
      </c>
      <c r="D520" s="1" t="s">
        <v>1570</v>
      </c>
      <c r="E520" s="1" t="s">
        <v>36</v>
      </c>
      <c r="F520" s="11">
        <f t="shared" si="3"/>
        <v>144.5</v>
      </c>
      <c r="G520" s="11">
        <f t="shared" si="4"/>
        <v>1.783950617</v>
      </c>
      <c r="H520" s="1">
        <v>81.0</v>
      </c>
      <c r="I520" s="1">
        <v>7.0</v>
      </c>
      <c r="J520" s="1">
        <v>12.0</v>
      </c>
      <c r="K520" s="1">
        <v>19.0</v>
      </c>
      <c r="L520" s="1">
        <v>102.0</v>
      </c>
      <c r="M520" s="1">
        <v>1.0</v>
      </c>
      <c r="N520" s="1">
        <v>3.0</v>
      </c>
      <c r="O520" s="1">
        <v>1.0</v>
      </c>
      <c r="P520" s="1">
        <v>1.0</v>
      </c>
      <c r="Q520" s="1">
        <v>16.0</v>
      </c>
      <c r="R520" s="1">
        <v>36.0</v>
      </c>
    </row>
    <row r="521">
      <c r="A521" s="1">
        <f t="shared" si="1"/>
        <v>519</v>
      </c>
      <c r="B521" s="1" t="s">
        <v>1584</v>
      </c>
      <c r="C521" s="1">
        <f t="shared" si="2"/>
        <v>519</v>
      </c>
      <c r="D521" s="1" t="s">
        <v>1036</v>
      </c>
      <c r="E521" s="1" t="s">
        <v>36</v>
      </c>
      <c r="F521" s="11">
        <f t="shared" si="3"/>
        <v>144.25</v>
      </c>
      <c r="G521" s="11">
        <f t="shared" si="4"/>
        <v>2.671296296</v>
      </c>
      <c r="H521" s="1">
        <v>54.0</v>
      </c>
      <c r="I521" s="1">
        <v>12.0</v>
      </c>
      <c r="J521" s="1">
        <v>10.0</v>
      </c>
      <c r="K521" s="1">
        <v>22.0</v>
      </c>
      <c r="L521" s="1">
        <v>82.0</v>
      </c>
      <c r="M521" s="1">
        <v>3.0</v>
      </c>
      <c r="N521" s="1">
        <v>1.0</v>
      </c>
      <c r="O521" s="1">
        <v>0.0</v>
      </c>
      <c r="P521" s="1">
        <v>0.0</v>
      </c>
      <c r="Q521" s="1">
        <v>43.0</v>
      </c>
      <c r="R521" s="1">
        <v>17.0</v>
      </c>
    </row>
    <row r="522">
      <c r="A522" s="1">
        <f t="shared" si="1"/>
        <v>519</v>
      </c>
      <c r="B522" s="1" t="s">
        <v>1585</v>
      </c>
      <c r="C522" s="1">
        <f t="shared" si="2"/>
        <v>519</v>
      </c>
      <c r="D522" s="1" t="s">
        <v>1146</v>
      </c>
      <c r="E522" s="1" t="s">
        <v>28</v>
      </c>
      <c r="F522" s="11">
        <f t="shared" si="3"/>
        <v>144.25</v>
      </c>
      <c r="G522" s="11">
        <f t="shared" si="4"/>
        <v>2.060714286</v>
      </c>
      <c r="H522" s="1">
        <v>70.0</v>
      </c>
      <c r="I522" s="1">
        <v>9.0</v>
      </c>
      <c r="J522" s="1">
        <v>15.0</v>
      </c>
      <c r="K522" s="1">
        <v>24.0</v>
      </c>
      <c r="L522" s="1">
        <v>72.0</v>
      </c>
      <c r="M522" s="1">
        <v>0.0</v>
      </c>
      <c r="N522" s="1">
        <v>1.0</v>
      </c>
      <c r="O522" s="1">
        <v>0.0</v>
      </c>
      <c r="P522" s="1">
        <v>0.0</v>
      </c>
      <c r="Q522" s="1">
        <v>43.0</v>
      </c>
      <c r="R522" s="1">
        <v>24.0</v>
      </c>
    </row>
    <row r="523">
      <c r="A523" s="1">
        <f t="shared" si="1"/>
        <v>521</v>
      </c>
      <c r="B523" s="1" t="s">
        <v>1577</v>
      </c>
      <c r="C523" s="1">
        <f t="shared" si="2"/>
        <v>521</v>
      </c>
      <c r="D523" s="1" t="s">
        <v>1032</v>
      </c>
      <c r="E523" s="1" t="s">
        <v>36</v>
      </c>
      <c r="F523" s="11">
        <f t="shared" si="3"/>
        <v>144</v>
      </c>
      <c r="G523" s="11">
        <f t="shared" si="4"/>
        <v>1.846153846</v>
      </c>
      <c r="H523" s="1">
        <v>78.0</v>
      </c>
      <c r="I523" s="1">
        <v>8.0</v>
      </c>
      <c r="J523" s="1">
        <v>11.0</v>
      </c>
      <c r="K523" s="1">
        <v>19.0</v>
      </c>
      <c r="L523" s="1">
        <v>79.0</v>
      </c>
      <c r="M523" s="1">
        <v>0.0</v>
      </c>
      <c r="N523" s="1">
        <v>0.0</v>
      </c>
      <c r="O523" s="1">
        <v>0.0</v>
      </c>
      <c r="P523" s="1">
        <v>0.0</v>
      </c>
      <c r="Q523" s="1">
        <v>84.0</v>
      </c>
      <c r="R523" s="1">
        <v>29.0</v>
      </c>
    </row>
    <row r="524">
      <c r="A524" s="1">
        <f t="shared" si="1"/>
        <v>522</v>
      </c>
      <c r="B524" s="1" t="s">
        <v>1590</v>
      </c>
      <c r="C524" s="1">
        <f t="shared" si="2"/>
        <v>522</v>
      </c>
      <c r="D524" s="1" t="s">
        <v>1175</v>
      </c>
      <c r="E524" s="1" t="s">
        <v>66</v>
      </c>
      <c r="F524" s="11">
        <f t="shared" si="3"/>
        <v>143.75</v>
      </c>
      <c r="G524" s="11">
        <f t="shared" si="4"/>
        <v>2.521929825</v>
      </c>
      <c r="H524" s="1">
        <v>57.0</v>
      </c>
      <c r="I524" s="1">
        <v>6.0</v>
      </c>
      <c r="J524" s="1">
        <v>6.0</v>
      </c>
      <c r="K524" s="1">
        <v>12.0</v>
      </c>
      <c r="L524" s="1">
        <v>72.0</v>
      </c>
      <c r="M524" s="1">
        <v>0.0</v>
      </c>
      <c r="N524" s="1">
        <v>0.0</v>
      </c>
      <c r="O524" s="1">
        <v>0.0</v>
      </c>
      <c r="P524" s="1">
        <v>0.0</v>
      </c>
      <c r="Q524" s="1">
        <v>35.0</v>
      </c>
      <c r="R524" s="1">
        <v>108.0</v>
      </c>
    </row>
    <row r="525">
      <c r="A525" s="1">
        <f t="shared" si="1"/>
        <v>522</v>
      </c>
      <c r="B525" s="1" t="s">
        <v>1562</v>
      </c>
      <c r="C525" s="1">
        <f t="shared" si="2"/>
        <v>522</v>
      </c>
      <c r="D525" s="1" t="s">
        <v>1067</v>
      </c>
      <c r="E525" s="1" t="s">
        <v>31</v>
      </c>
      <c r="F525" s="11">
        <f t="shared" si="3"/>
        <v>143.75</v>
      </c>
      <c r="G525" s="11">
        <f t="shared" si="4"/>
        <v>2.281746032</v>
      </c>
      <c r="H525" s="1">
        <v>63.0</v>
      </c>
      <c r="I525" s="1">
        <v>8.0</v>
      </c>
      <c r="J525" s="1">
        <v>6.0</v>
      </c>
      <c r="K525" s="1">
        <v>14.0</v>
      </c>
      <c r="L525" s="1">
        <v>73.0</v>
      </c>
      <c r="M525" s="1">
        <v>0.0</v>
      </c>
      <c r="N525" s="1">
        <v>0.0</v>
      </c>
      <c r="O525" s="1">
        <v>0.0</v>
      </c>
      <c r="P525" s="1">
        <v>0.0</v>
      </c>
      <c r="Q525" s="1">
        <v>141.0</v>
      </c>
      <c r="R525" s="1">
        <v>36.0</v>
      </c>
    </row>
    <row r="526">
      <c r="A526" s="1">
        <f t="shared" si="1"/>
        <v>524</v>
      </c>
      <c r="B526" s="1" t="s">
        <v>1555</v>
      </c>
      <c r="C526" s="1">
        <f t="shared" si="2"/>
        <v>524</v>
      </c>
      <c r="D526" s="1" t="s">
        <v>1078</v>
      </c>
      <c r="E526" s="1" t="s">
        <v>66</v>
      </c>
      <c r="F526" s="11">
        <f t="shared" si="3"/>
        <v>142.75</v>
      </c>
      <c r="G526" s="11">
        <f t="shared" si="4"/>
        <v>1.740853659</v>
      </c>
      <c r="H526" s="1">
        <v>82.0</v>
      </c>
      <c r="I526" s="1">
        <v>1.0</v>
      </c>
      <c r="J526" s="1">
        <v>9.0</v>
      </c>
      <c r="K526" s="1">
        <v>10.0</v>
      </c>
      <c r="L526" s="1">
        <v>41.0</v>
      </c>
      <c r="M526" s="1">
        <v>0.0</v>
      </c>
      <c r="N526" s="1">
        <v>0.0</v>
      </c>
      <c r="O526" s="1">
        <v>0.0</v>
      </c>
      <c r="P526" s="1">
        <v>0.0</v>
      </c>
      <c r="Q526" s="1">
        <v>189.0</v>
      </c>
      <c r="R526" s="1">
        <v>87.0</v>
      </c>
    </row>
    <row r="527">
      <c r="A527" s="1">
        <f t="shared" si="1"/>
        <v>525</v>
      </c>
      <c r="B527" s="1" t="s">
        <v>1591</v>
      </c>
      <c r="C527" s="1">
        <f t="shared" si="2"/>
        <v>525</v>
      </c>
      <c r="D527" s="1" t="s">
        <v>1042</v>
      </c>
      <c r="E527" s="1" t="s">
        <v>28</v>
      </c>
      <c r="F527" s="11">
        <f t="shared" si="3"/>
        <v>141.75</v>
      </c>
      <c r="G527" s="11">
        <f t="shared" si="4"/>
        <v>2.3625</v>
      </c>
      <c r="H527" s="1">
        <v>60.0</v>
      </c>
      <c r="I527" s="1">
        <v>5.0</v>
      </c>
      <c r="J527" s="1">
        <v>12.0</v>
      </c>
      <c r="K527" s="1">
        <v>17.0</v>
      </c>
      <c r="L527" s="1">
        <v>105.0</v>
      </c>
      <c r="M527" s="1">
        <v>2.0</v>
      </c>
      <c r="N527" s="1">
        <v>2.0</v>
      </c>
      <c r="O527" s="1">
        <v>0.0</v>
      </c>
      <c r="P527" s="1">
        <v>0.0</v>
      </c>
      <c r="Q527" s="1">
        <v>53.0</v>
      </c>
      <c r="R527" s="1">
        <v>35.0</v>
      </c>
    </row>
    <row r="528">
      <c r="A528" s="1">
        <f t="shared" si="1"/>
        <v>526</v>
      </c>
      <c r="B528" s="1" t="s">
        <v>1596</v>
      </c>
      <c r="C528" s="1">
        <f t="shared" si="2"/>
        <v>526</v>
      </c>
      <c r="D528" s="1" t="s">
        <v>1040</v>
      </c>
      <c r="E528" s="1" t="s">
        <v>36</v>
      </c>
      <c r="F528" s="11">
        <f t="shared" si="3"/>
        <v>141.25</v>
      </c>
      <c r="G528" s="11">
        <f t="shared" si="4"/>
        <v>2.615740741</v>
      </c>
      <c r="H528" s="1">
        <v>54.0</v>
      </c>
      <c r="I528" s="1">
        <v>9.0</v>
      </c>
      <c r="J528" s="1">
        <v>12.0</v>
      </c>
      <c r="K528" s="1">
        <v>21.0</v>
      </c>
      <c r="L528" s="1">
        <v>83.0</v>
      </c>
      <c r="M528" s="1">
        <v>1.0</v>
      </c>
      <c r="N528" s="1">
        <v>0.0</v>
      </c>
      <c r="O528" s="1">
        <v>0.0</v>
      </c>
      <c r="P528" s="1">
        <v>0.0</v>
      </c>
      <c r="Q528" s="1">
        <v>31.0</v>
      </c>
      <c r="R528" s="1">
        <v>31.0</v>
      </c>
    </row>
    <row r="529">
      <c r="A529" s="1">
        <f t="shared" si="1"/>
        <v>527</v>
      </c>
      <c r="B529" s="1" t="s">
        <v>1600</v>
      </c>
      <c r="C529" s="1">
        <f t="shared" si="2"/>
        <v>527</v>
      </c>
      <c r="D529" s="1" t="s">
        <v>1175</v>
      </c>
      <c r="E529" s="1" t="s">
        <v>28</v>
      </c>
      <c r="F529" s="11">
        <f t="shared" si="3"/>
        <v>140</v>
      </c>
      <c r="G529" s="11">
        <f t="shared" si="4"/>
        <v>2.121212121</v>
      </c>
      <c r="H529" s="1">
        <v>66.0</v>
      </c>
      <c r="I529" s="1">
        <v>10.0</v>
      </c>
      <c r="J529" s="1">
        <v>13.0</v>
      </c>
      <c r="K529" s="1">
        <v>23.0</v>
      </c>
      <c r="L529" s="1">
        <v>71.0</v>
      </c>
      <c r="M529" s="1">
        <v>3.0</v>
      </c>
      <c r="N529" s="1">
        <v>3.0</v>
      </c>
      <c r="O529" s="1">
        <v>0.0</v>
      </c>
      <c r="P529" s="1">
        <v>0.0</v>
      </c>
      <c r="Q529" s="1">
        <v>28.0</v>
      </c>
      <c r="R529" s="1">
        <v>27.0</v>
      </c>
    </row>
    <row r="530">
      <c r="A530" s="1">
        <f t="shared" si="1"/>
        <v>528</v>
      </c>
      <c r="B530" s="1" t="s">
        <v>1575</v>
      </c>
      <c r="C530" s="1">
        <f t="shared" si="2"/>
        <v>528</v>
      </c>
      <c r="D530" s="1" t="s">
        <v>1091</v>
      </c>
      <c r="E530" s="1" t="s">
        <v>66</v>
      </c>
      <c r="F530" s="11">
        <f t="shared" si="3"/>
        <v>139.75</v>
      </c>
      <c r="G530" s="11">
        <f t="shared" si="4"/>
        <v>2.085820896</v>
      </c>
      <c r="H530" s="1">
        <v>67.0</v>
      </c>
      <c r="I530" s="1">
        <v>5.0</v>
      </c>
      <c r="J530" s="1">
        <v>1.0</v>
      </c>
      <c r="K530" s="1">
        <v>6.0</v>
      </c>
      <c r="L530" s="1">
        <v>60.0</v>
      </c>
      <c r="M530" s="1">
        <v>0.0</v>
      </c>
      <c r="N530" s="1">
        <v>0.0</v>
      </c>
      <c r="O530" s="1">
        <v>0.0</v>
      </c>
      <c r="P530" s="1">
        <v>0.0</v>
      </c>
      <c r="Q530" s="1">
        <v>143.0</v>
      </c>
      <c r="R530" s="1">
        <v>97.0</v>
      </c>
    </row>
    <row r="531">
      <c r="A531" s="1">
        <f t="shared" si="1"/>
        <v>529</v>
      </c>
      <c r="B531" s="1" t="s">
        <v>1601</v>
      </c>
      <c r="C531" s="1">
        <f t="shared" si="2"/>
        <v>529</v>
      </c>
      <c r="D531" s="1" t="s">
        <v>1085</v>
      </c>
      <c r="E531" s="1" t="s">
        <v>36</v>
      </c>
      <c r="F531" s="11">
        <f t="shared" si="3"/>
        <v>139.25</v>
      </c>
      <c r="G531" s="11">
        <f t="shared" si="4"/>
        <v>2.730392157</v>
      </c>
      <c r="H531" s="1">
        <v>51.0</v>
      </c>
      <c r="I531" s="1">
        <v>12.0</v>
      </c>
      <c r="J531" s="1">
        <v>11.0</v>
      </c>
      <c r="K531" s="1">
        <v>23.0</v>
      </c>
      <c r="L531" s="1">
        <v>68.0</v>
      </c>
      <c r="M531" s="1">
        <v>1.0</v>
      </c>
      <c r="N531" s="1">
        <v>1.0</v>
      </c>
      <c r="O531" s="1">
        <v>0.0</v>
      </c>
      <c r="P531" s="1">
        <v>0.0</v>
      </c>
      <c r="Q531" s="1">
        <v>35.0</v>
      </c>
      <c r="R531" s="1">
        <v>19.0</v>
      </c>
    </row>
    <row r="532">
      <c r="A532" s="1">
        <f t="shared" si="1"/>
        <v>530</v>
      </c>
      <c r="B532" s="1" t="s">
        <v>1574</v>
      </c>
      <c r="C532" s="1">
        <f t="shared" si="2"/>
        <v>530</v>
      </c>
      <c r="D532" s="1" t="s">
        <v>1082</v>
      </c>
      <c r="E532" s="1" t="s">
        <v>31</v>
      </c>
      <c r="F532" s="11">
        <f t="shared" si="3"/>
        <v>138.75</v>
      </c>
      <c r="G532" s="11">
        <f t="shared" si="4"/>
        <v>2.3125</v>
      </c>
      <c r="H532" s="1">
        <v>60.0</v>
      </c>
      <c r="I532" s="1">
        <v>6.0</v>
      </c>
      <c r="J532" s="1">
        <v>10.0</v>
      </c>
      <c r="K532" s="1">
        <v>16.0</v>
      </c>
      <c r="L532" s="1">
        <v>58.0</v>
      </c>
      <c r="M532" s="1">
        <v>0.0</v>
      </c>
      <c r="N532" s="1">
        <v>0.0</v>
      </c>
      <c r="O532" s="1">
        <v>0.0</v>
      </c>
      <c r="P532" s="1">
        <v>0.0</v>
      </c>
      <c r="Q532" s="1">
        <v>159.0</v>
      </c>
      <c r="R532" s="1">
        <v>26.0</v>
      </c>
    </row>
    <row r="533">
      <c r="A533" s="1">
        <f t="shared" si="1"/>
        <v>531</v>
      </c>
      <c r="B533" s="1" t="s">
        <v>1609</v>
      </c>
      <c r="C533" s="1">
        <f t="shared" si="2"/>
        <v>531</v>
      </c>
      <c r="D533" s="1" t="s">
        <v>1175</v>
      </c>
      <c r="E533" s="1" t="s">
        <v>5</v>
      </c>
      <c r="F533" s="11">
        <f t="shared" si="3"/>
        <v>138.6</v>
      </c>
      <c r="G533" s="11">
        <f t="shared" si="4"/>
        <v>4.2</v>
      </c>
      <c r="H533" s="1">
        <v>33.0</v>
      </c>
      <c r="S533" s="1">
        <v>17.0</v>
      </c>
      <c r="T533" s="1">
        <v>95.0</v>
      </c>
      <c r="U533" s="1">
        <v>767.0</v>
      </c>
      <c r="V533" s="1">
        <v>0.0</v>
      </c>
    </row>
    <row r="534">
      <c r="A534" s="1">
        <f t="shared" si="1"/>
        <v>531</v>
      </c>
      <c r="B534" s="1" t="s">
        <v>1610</v>
      </c>
      <c r="C534" s="1">
        <f t="shared" si="2"/>
        <v>531</v>
      </c>
      <c r="D534" s="1" t="s">
        <v>1082</v>
      </c>
      <c r="E534" s="1" t="s">
        <v>5</v>
      </c>
      <c r="F534" s="11">
        <f t="shared" si="3"/>
        <v>138.6</v>
      </c>
      <c r="G534" s="11">
        <f t="shared" si="4"/>
        <v>4.2</v>
      </c>
      <c r="H534" s="1">
        <v>33.0</v>
      </c>
      <c r="S534" s="1">
        <v>13.0</v>
      </c>
      <c r="T534" s="1">
        <v>103.0</v>
      </c>
      <c r="U534" s="1">
        <v>837.0</v>
      </c>
      <c r="V534" s="1">
        <v>1.0</v>
      </c>
    </row>
    <row r="535">
      <c r="A535" s="1">
        <f t="shared" si="1"/>
        <v>533</v>
      </c>
      <c r="B535" s="1" t="s">
        <v>1605</v>
      </c>
      <c r="C535" s="1">
        <f t="shared" si="2"/>
        <v>533</v>
      </c>
      <c r="D535" s="1" t="s">
        <v>1082</v>
      </c>
      <c r="E535" s="1" t="s">
        <v>66</v>
      </c>
      <c r="F535" s="11">
        <f t="shared" si="3"/>
        <v>138.5</v>
      </c>
      <c r="G535" s="11">
        <f t="shared" si="4"/>
        <v>1.978571429</v>
      </c>
      <c r="H535" s="1">
        <v>70.0</v>
      </c>
      <c r="I535" s="1">
        <v>0.0</v>
      </c>
      <c r="J535" s="1">
        <v>14.0</v>
      </c>
      <c r="K535" s="1">
        <v>14.0</v>
      </c>
      <c r="L535" s="1">
        <v>75.0</v>
      </c>
      <c r="M535" s="1">
        <v>0.0</v>
      </c>
      <c r="N535" s="1">
        <v>0.0</v>
      </c>
      <c r="O535" s="1">
        <v>0.0</v>
      </c>
      <c r="P535" s="1">
        <v>1.0</v>
      </c>
      <c r="Q535" s="1">
        <v>22.0</v>
      </c>
      <c r="R535" s="1">
        <v>103.0</v>
      </c>
    </row>
    <row r="536">
      <c r="A536" s="1">
        <f t="shared" si="1"/>
        <v>534</v>
      </c>
      <c r="B536" s="1" t="s">
        <v>1613</v>
      </c>
      <c r="C536" s="1">
        <f t="shared" si="2"/>
        <v>534</v>
      </c>
      <c r="D536" s="1" t="s">
        <v>1032</v>
      </c>
      <c r="E536" s="1" t="s">
        <v>5</v>
      </c>
      <c r="F536" s="11">
        <f t="shared" si="3"/>
        <v>138</v>
      </c>
      <c r="G536" s="11">
        <f t="shared" si="4"/>
        <v>5.52</v>
      </c>
      <c r="H536" s="1">
        <v>25.0</v>
      </c>
      <c r="S536" s="1">
        <v>12.0</v>
      </c>
      <c r="T536" s="1">
        <v>72.0</v>
      </c>
      <c r="U536" s="1">
        <v>700.0</v>
      </c>
      <c r="V536" s="1">
        <v>0.0</v>
      </c>
    </row>
    <row r="537">
      <c r="A537" s="1">
        <f t="shared" si="1"/>
        <v>534</v>
      </c>
      <c r="B537" s="1" t="s">
        <v>1582</v>
      </c>
      <c r="C537" s="1">
        <f t="shared" si="2"/>
        <v>534</v>
      </c>
      <c r="D537" s="1" t="s">
        <v>1172</v>
      </c>
      <c r="E537" s="1" t="s">
        <v>66</v>
      </c>
      <c r="F537" s="11">
        <f t="shared" si="3"/>
        <v>138</v>
      </c>
      <c r="G537" s="11">
        <f t="shared" si="4"/>
        <v>3</v>
      </c>
      <c r="H537" s="1">
        <v>46.0</v>
      </c>
      <c r="I537" s="1">
        <v>2.0</v>
      </c>
      <c r="J537" s="1">
        <v>6.0</v>
      </c>
      <c r="K537" s="1">
        <v>8.0</v>
      </c>
      <c r="L537" s="1">
        <v>51.0</v>
      </c>
      <c r="M537" s="1">
        <v>0.0</v>
      </c>
      <c r="N537" s="1">
        <v>0.0</v>
      </c>
      <c r="O537" s="1">
        <v>0.0</v>
      </c>
      <c r="P537" s="1">
        <v>0.0</v>
      </c>
      <c r="Q537" s="1">
        <v>116.0</v>
      </c>
      <c r="R537" s="1">
        <v>113.0</v>
      </c>
    </row>
    <row r="538">
      <c r="A538" s="1">
        <f t="shared" si="1"/>
        <v>536</v>
      </c>
      <c r="B538" s="1" t="s">
        <v>1606</v>
      </c>
      <c r="C538" s="1">
        <f t="shared" si="2"/>
        <v>536</v>
      </c>
      <c r="D538" s="1" t="s">
        <v>1040</v>
      </c>
      <c r="E538" s="1" t="s">
        <v>36</v>
      </c>
      <c r="F538" s="11">
        <f t="shared" si="3"/>
        <v>137.5</v>
      </c>
      <c r="G538" s="11">
        <f t="shared" si="4"/>
        <v>2.254098361</v>
      </c>
      <c r="H538" s="1">
        <v>61.0</v>
      </c>
      <c r="I538" s="1">
        <v>13.0</v>
      </c>
      <c r="J538" s="1">
        <v>6.0</v>
      </c>
      <c r="K538" s="1">
        <v>19.0</v>
      </c>
      <c r="L538" s="1">
        <v>91.0</v>
      </c>
      <c r="M538" s="1">
        <v>1.0</v>
      </c>
      <c r="N538" s="1">
        <v>0.0</v>
      </c>
      <c r="O538" s="1">
        <v>0.0</v>
      </c>
      <c r="P538" s="1">
        <v>0.0</v>
      </c>
      <c r="Q538" s="1">
        <v>26.0</v>
      </c>
      <c r="R538" s="1">
        <v>18.0</v>
      </c>
    </row>
    <row r="539">
      <c r="A539" s="1">
        <f t="shared" si="1"/>
        <v>537</v>
      </c>
      <c r="B539" s="1" t="s">
        <v>1604</v>
      </c>
      <c r="C539" s="1">
        <f t="shared" si="2"/>
        <v>537</v>
      </c>
      <c r="D539" s="1" t="s">
        <v>1052</v>
      </c>
      <c r="E539" s="1" t="s">
        <v>36</v>
      </c>
      <c r="F539" s="11">
        <f t="shared" si="3"/>
        <v>137</v>
      </c>
      <c r="G539" s="11">
        <f t="shared" si="4"/>
        <v>2.634615385</v>
      </c>
      <c r="H539" s="1">
        <v>52.0</v>
      </c>
      <c r="I539" s="1">
        <v>5.0</v>
      </c>
      <c r="J539" s="1">
        <v>15.0</v>
      </c>
      <c r="K539" s="1">
        <v>20.0</v>
      </c>
      <c r="L539" s="1">
        <v>86.0</v>
      </c>
      <c r="M539" s="1">
        <v>0.0</v>
      </c>
      <c r="N539" s="1">
        <v>2.0</v>
      </c>
      <c r="O539" s="1">
        <v>0.0</v>
      </c>
      <c r="P539" s="1">
        <v>0.0</v>
      </c>
      <c r="Q539" s="1">
        <v>40.0</v>
      </c>
      <c r="R539" s="1">
        <v>33.0</v>
      </c>
    </row>
    <row r="540">
      <c r="A540" s="1">
        <f t="shared" si="1"/>
        <v>537</v>
      </c>
      <c r="B540" s="1" t="s">
        <v>1598</v>
      </c>
      <c r="C540" s="1">
        <f t="shared" si="2"/>
        <v>537</v>
      </c>
      <c r="D540" s="1" t="s">
        <v>1116</v>
      </c>
      <c r="E540" s="1" t="s">
        <v>66</v>
      </c>
      <c r="F540" s="11">
        <f t="shared" si="3"/>
        <v>137</v>
      </c>
      <c r="G540" s="11">
        <f t="shared" si="4"/>
        <v>2.174603175</v>
      </c>
      <c r="H540" s="1">
        <v>63.0</v>
      </c>
      <c r="I540" s="1">
        <v>2.0</v>
      </c>
      <c r="J540" s="1">
        <v>12.0</v>
      </c>
      <c r="K540" s="1">
        <v>14.0</v>
      </c>
      <c r="L540" s="1">
        <v>75.0</v>
      </c>
      <c r="M540" s="1">
        <v>1.0</v>
      </c>
      <c r="N540" s="1">
        <v>3.0</v>
      </c>
      <c r="O540" s="1">
        <v>0.0</v>
      </c>
      <c r="P540" s="1">
        <v>0.0</v>
      </c>
      <c r="Q540" s="1">
        <v>66.0</v>
      </c>
      <c r="R540" s="1">
        <v>76.0</v>
      </c>
    </row>
    <row r="541">
      <c r="A541" s="1">
        <f t="shared" si="1"/>
        <v>539</v>
      </c>
      <c r="B541" s="1" t="s">
        <v>1603</v>
      </c>
      <c r="C541" s="1">
        <f t="shared" si="2"/>
        <v>539</v>
      </c>
      <c r="D541" s="1" t="s">
        <v>1091</v>
      </c>
      <c r="E541" s="1" t="s">
        <v>28</v>
      </c>
      <c r="F541" s="11">
        <f t="shared" si="3"/>
        <v>136.5</v>
      </c>
      <c r="G541" s="11">
        <f t="shared" si="4"/>
        <v>2.313559322</v>
      </c>
      <c r="H541" s="1">
        <v>59.0</v>
      </c>
      <c r="I541" s="1">
        <v>6.0</v>
      </c>
      <c r="J541" s="1">
        <v>12.0</v>
      </c>
      <c r="K541" s="1">
        <v>18.0</v>
      </c>
      <c r="L541" s="1">
        <v>78.0</v>
      </c>
      <c r="M541" s="1">
        <v>0.0</v>
      </c>
      <c r="N541" s="1">
        <v>0.0</v>
      </c>
      <c r="O541" s="1">
        <v>0.0</v>
      </c>
      <c r="P541" s="1">
        <v>2.0</v>
      </c>
      <c r="Q541" s="1">
        <v>52.0</v>
      </c>
      <c r="R541" s="1">
        <v>35.0</v>
      </c>
    </row>
    <row r="542">
      <c r="A542" s="1">
        <f t="shared" si="1"/>
        <v>539</v>
      </c>
      <c r="B542" s="1" t="s">
        <v>1556</v>
      </c>
      <c r="C542" s="1">
        <f t="shared" si="2"/>
        <v>539</v>
      </c>
      <c r="D542" s="1" t="s">
        <v>1097</v>
      </c>
      <c r="E542" s="1" t="s">
        <v>31</v>
      </c>
      <c r="F542" s="11">
        <f t="shared" si="3"/>
        <v>136.5</v>
      </c>
      <c r="G542" s="11">
        <f t="shared" si="4"/>
        <v>2.237704918</v>
      </c>
      <c r="H542" s="1">
        <v>61.0</v>
      </c>
      <c r="I542" s="1">
        <v>3.0</v>
      </c>
      <c r="J542" s="1">
        <v>9.0</v>
      </c>
      <c r="K542" s="1">
        <v>12.0</v>
      </c>
      <c r="L542" s="1">
        <v>42.0</v>
      </c>
      <c r="M542" s="1">
        <v>0.0</v>
      </c>
      <c r="N542" s="1">
        <v>0.0</v>
      </c>
      <c r="O542" s="1">
        <v>0.0</v>
      </c>
      <c r="P542" s="1">
        <v>0.0</v>
      </c>
      <c r="Q542" s="1">
        <v>242.0</v>
      </c>
      <c r="R542" s="1">
        <v>29.0</v>
      </c>
    </row>
    <row r="543">
      <c r="A543" s="1">
        <f t="shared" si="1"/>
        <v>539</v>
      </c>
      <c r="B543" s="1" t="s">
        <v>1597</v>
      </c>
      <c r="C543" s="1">
        <f t="shared" si="2"/>
        <v>539</v>
      </c>
      <c r="D543" s="1" t="s">
        <v>1073</v>
      </c>
      <c r="E543" s="1" t="s">
        <v>36</v>
      </c>
      <c r="F543" s="11">
        <f t="shared" si="3"/>
        <v>136.5</v>
      </c>
      <c r="G543" s="11">
        <f t="shared" si="4"/>
        <v>1.869863014</v>
      </c>
      <c r="H543" s="1">
        <v>73.0</v>
      </c>
      <c r="I543" s="1">
        <v>6.0</v>
      </c>
      <c r="J543" s="1">
        <v>13.0</v>
      </c>
      <c r="K543" s="1">
        <v>19.0</v>
      </c>
      <c r="L543" s="1">
        <v>79.0</v>
      </c>
      <c r="M543" s="1">
        <v>0.0</v>
      </c>
      <c r="N543" s="1">
        <v>0.0</v>
      </c>
      <c r="O543" s="1">
        <v>0.0</v>
      </c>
      <c r="P543" s="1">
        <v>0.0</v>
      </c>
      <c r="Q543" s="1">
        <v>78.0</v>
      </c>
      <c r="R543" s="1">
        <v>23.0</v>
      </c>
    </row>
    <row r="544">
      <c r="A544" s="1">
        <f t="shared" si="1"/>
        <v>542</v>
      </c>
      <c r="B544" s="1" t="s">
        <v>1589</v>
      </c>
      <c r="C544" s="1">
        <f t="shared" si="2"/>
        <v>542</v>
      </c>
      <c r="D544" s="1" t="s">
        <v>1034</v>
      </c>
      <c r="E544" s="1" t="s">
        <v>31</v>
      </c>
      <c r="F544" s="11">
        <f t="shared" si="3"/>
        <v>135.25</v>
      </c>
      <c r="G544" s="11">
        <f t="shared" si="4"/>
        <v>1.669753086</v>
      </c>
      <c r="H544" s="1">
        <v>81.0</v>
      </c>
      <c r="I544" s="1">
        <v>10.0</v>
      </c>
      <c r="J544" s="1">
        <v>1.0</v>
      </c>
      <c r="K544" s="1">
        <v>11.0</v>
      </c>
      <c r="L544" s="1">
        <v>57.0</v>
      </c>
      <c r="M544" s="1">
        <v>0.0</v>
      </c>
      <c r="N544" s="1">
        <v>0.0</v>
      </c>
      <c r="O544" s="1">
        <v>1.0</v>
      </c>
      <c r="P544" s="1">
        <v>0.0</v>
      </c>
      <c r="Q544" s="1">
        <v>121.0</v>
      </c>
      <c r="R544" s="1">
        <v>53.0</v>
      </c>
    </row>
    <row r="545">
      <c r="A545" s="1">
        <f t="shared" si="1"/>
        <v>543</v>
      </c>
      <c r="B545" s="1" t="s">
        <v>1626</v>
      </c>
      <c r="C545" s="1">
        <f t="shared" si="2"/>
        <v>543</v>
      </c>
      <c r="D545" s="1" t="s">
        <v>1091</v>
      </c>
      <c r="E545" s="1" t="s">
        <v>5</v>
      </c>
      <c r="F545" s="11">
        <f t="shared" si="3"/>
        <v>134.7</v>
      </c>
      <c r="G545" s="11">
        <f t="shared" si="4"/>
        <v>5.180769231</v>
      </c>
      <c r="H545" s="1">
        <v>26.0</v>
      </c>
      <c r="S545" s="1">
        <v>12.0</v>
      </c>
      <c r="T545" s="1">
        <v>68.0</v>
      </c>
      <c r="U545" s="1">
        <v>659.0</v>
      </c>
      <c r="V545" s="1">
        <v>1.0</v>
      </c>
    </row>
    <row r="546">
      <c r="A546" s="1">
        <f t="shared" si="1"/>
        <v>544</v>
      </c>
      <c r="B546" s="1" t="s">
        <v>1618</v>
      </c>
      <c r="C546" s="1">
        <f t="shared" si="2"/>
        <v>544</v>
      </c>
      <c r="D546" s="1" t="s">
        <v>1054</v>
      </c>
      <c r="E546" s="1" t="s">
        <v>31</v>
      </c>
      <c r="F546" s="11">
        <f t="shared" si="3"/>
        <v>134.5</v>
      </c>
      <c r="G546" s="11">
        <f t="shared" si="4"/>
        <v>2.007462687</v>
      </c>
      <c r="H546" s="1">
        <v>67.0</v>
      </c>
      <c r="I546" s="1">
        <v>5.0</v>
      </c>
      <c r="J546" s="1">
        <v>10.0</v>
      </c>
      <c r="K546" s="1">
        <v>15.0</v>
      </c>
      <c r="L546" s="1">
        <v>105.0</v>
      </c>
      <c r="M546" s="1">
        <v>2.0</v>
      </c>
      <c r="N546" s="1">
        <v>5.0</v>
      </c>
      <c r="O546" s="1">
        <v>0.0</v>
      </c>
      <c r="P546" s="1">
        <v>0.0</v>
      </c>
      <c r="Q546" s="1">
        <v>24.0</v>
      </c>
      <c r="R546" s="1">
        <v>47.0</v>
      </c>
    </row>
    <row r="547">
      <c r="A547" s="1">
        <f t="shared" si="1"/>
        <v>545</v>
      </c>
      <c r="B547" s="1" t="s">
        <v>1579</v>
      </c>
      <c r="C547" s="1">
        <f t="shared" si="2"/>
        <v>545</v>
      </c>
      <c r="D547" s="1" t="s">
        <v>1172</v>
      </c>
      <c r="E547" s="1" t="s">
        <v>66</v>
      </c>
      <c r="F547" s="11">
        <f t="shared" si="3"/>
        <v>134</v>
      </c>
      <c r="G547" s="11">
        <f t="shared" si="4"/>
        <v>2.576923077</v>
      </c>
      <c r="H547" s="1">
        <v>52.0</v>
      </c>
      <c r="I547" s="1">
        <v>0.0</v>
      </c>
      <c r="J547" s="1">
        <v>9.0</v>
      </c>
      <c r="K547" s="1">
        <v>9.0</v>
      </c>
      <c r="L547" s="1">
        <v>32.0</v>
      </c>
      <c r="M547" s="1">
        <v>0.0</v>
      </c>
      <c r="N547" s="1">
        <v>0.0</v>
      </c>
      <c r="O547" s="1">
        <v>0.0</v>
      </c>
      <c r="P547" s="1">
        <v>1.0</v>
      </c>
      <c r="Q547" s="1">
        <v>168.0</v>
      </c>
      <c r="R547" s="1">
        <v>94.0</v>
      </c>
    </row>
    <row r="548">
      <c r="A548" s="1">
        <f t="shared" si="1"/>
        <v>546</v>
      </c>
      <c r="B548" s="1" t="s">
        <v>1595</v>
      </c>
      <c r="C548" s="1">
        <f t="shared" si="2"/>
        <v>546</v>
      </c>
      <c r="D548" s="1" t="s">
        <v>1078</v>
      </c>
      <c r="E548" s="1" t="s">
        <v>28</v>
      </c>
      <c r="F548" s="11">
        <f t="shared" si="3"/>
        <v>133.75</v>
      </c>
      <c r="G548" s="11">
        <f t="shared" si="4"/>
        <v>2.675</v>
      </c>
      <c r="H548" s="1">
        <v>50.0</v>
      </c>
      <c r="I548" s="1">
        <v>8.0</v>
      </c>
      <c r="J548" s="1">
        <v>4.0</v>
      </c>
      <c r="K548" s="1">
        <v>12.0</v>
      </c>
      <c r="L548" s="1">
        <v>95.0</v>
      </c>
      <c r="M548" s="1">
        <v>1.0</v>
      </c>
      <c r="N548" s="1">
        <v>0.0</v>
      </c>
      <c r="O548" s="1">
        <v>1.0</v>
      </c>
      <c r="P548" s="1">
        <v>0.0</v>
      </c>
      <c r="Q548" s="1">
        <v>113.0</v>
      </c>
      <c r="R548" s="1">
        <v>16.0</v>
      </c>
    </row>
    <row r="549">
      <c r="A549" s="1">
        <f t="shared" si="1"/>
        <v>547</v>
      </c>
      <c r="B549" s="1" t="s">
        <v>1620</v>
      </c>
      <c r="C549" s="1">
        <f t="shared" si="2"/>
        <v>547</v>
      </c>
      <c r="D549" s="1" t="s">
        <v>1030</v>
      </c>
      <c r="E549" s="1" t="s">
        <v>28</v>
      </c>
      <c r="F549" s="11">
        <f t="shared" si="3"/>
        <v>132.75</v>
      </c>
      <c r="G549" s="11">
        <f t="shared" si="4"/>
        <v>1.77</v>
      </c>
      <c r="H549" s="1">
        <v>75.0</v>
      </c>
      <c r="I549" s="1">
        <v>6.0</v>
      </c>
      <c r="J549" s="1">
        <v>13.0</v>
      </c>
      <c r="K549" s="1">
        <v>19.0</v>
      </c>
      <c r="L549" s="1">
        <v>61.0</v>
      </c>
      <c r="M549" s="1">
        <v>0.0</v>
      </c>
      <c r="N549" s="1">
        <v>0.0</v>
      </c>
      <c r="O549" s="1">
        <v>1.0</v>
      </c>
      <c r="P549" s="1">
        <v>3.0</v>
      </c>
      <c r="Q549" s="1">
        <v>33.0</v>
      </c>
      <c r="R549" s="1">
        <v>40.0</v>
      </c>
    </row>
    <row r="550">
      <c r="A550" s="1">
        <f t="shared" si="1"/>
        <v>548</v>
      </c>
      <c r="B550" s="1" t="s">
        <v>1599</v>
      </c>
      <c r="C550" s="1">
        <f t="shared" si="2"/>
        <v>548</v>
      </c>
      <c r="D550" s="1" t="s">
        <v>1067</v>
      </c>
      <c r="E550" s="1" t="s">
        <v>31</v>
      </c>
      <c r="F550" s="11">
        <f t="shared" si="3"/>
        <v>132.5</v>
      </c>
      <c r="G550" s="11">
        <f t="shared" si="4"/>
        <v>1.65625</v>
      </c>
      <c r="H550" s="1">
        <v>80.0</v>
      </c>
      <c r="I550" s="1">
        <v>4.0</v>
      </c>
      <c r="J550" s="1">
        <v>13.0</v>
      </c>
      <c r="K550" s="1">
        <v>17.0</v>
      </c>
      <c r="L550" s="1">
        <v>74.0</v>
      </c>
      <c r="M550" s="1">
        <v>0.0</v>
      </c>
      <c r="N550" s="1">
        <v>0.0</v>
      </c>
      <c r="O550" s="1">
        <v>0.0</v>
      </c>
      <c r="P550" s="1">
        <v>0.0</v>
      </c>
      <c r="Q550" s="1">
        <v>108.0</v>
      </c>
      <c r="R550" s="1">
        <v>23.0</v>
      </c>
    </row>
    <row r="551">
      <c r="A551" s="1">
        <f t="shared" si="1"/>
        <v>549</v>
      </c>
      <c r="B551" s="1" t="s">
        <v>1615</v>
      </c>
      <c r="C551" s="1">
        <f t="shared" si="2"/>
        <v>549</v>
      </c>
      <c r="D551" s="1" t="s">
        <v>1065</v>
      </c>
      <c r="E551" s="1" t="s">
        <v>66</v>
      </c>
      <c r="F551" s="11">
        <f t="shared" si="3"/>
        <v>132.25</v>
      </c>
      <c r="G551" s="11">
        <f t="shared" si="4"/>
        <v>1.944852941</v>
      </c>
      <c r="H551" s="1">
        <v>68.0</v>
      </c>
      <c r="I551" s="1">
        <v>1.0</v>
      </c>
      <c r="J551" s="1">
        <v>13.0</v>
      </c>
      <c r="K551" s="1">
        <v>14.0</v>
      </c>
      <c r="L551" s="1">
        <v>67.0</v>
      </c>
      <c r="M551" s="1">
        <v>0.0</v>
      </c>
      <c r="N551" s="1">
        <v>0.0</v>
      </c>
      <c r="O551" s="1">
        <v>0.0</v>
      </c>
      <c r="P551" s="1">
        <v>1.0</v>
      </c>
      <c r="Q551" s="1">
        <v>55.0</v>
      </c>
      <c r="R551" s="1">
        <v>79.0</v>
      </c>
    </row>
    <row r="552">
      <c r="A552" s="1">
        <f t="shared" si="1"/>
        <v>550</v>
      </c>
      <c r="B552" s="1" t="s">
        <v>1587</v>
      </c>
      <c r="C552" s="1">
        <f t="shared" si="2"/>
        <v>550</v>
      </c>
      <c r="D552" s="1" t="s">
        <v>1156</v>
      </c>
      <c r="E552" s="1" t="s">
        <v>36</v>
      </c>
      <c r="F552" s="11">
        <f t="shared" si="3"/>
        <v>131.75</v>
      </c>
      <c r="G552" s="11">
        <f t="shared" si="4"/>
        <v>2.439814815</v>
      </c>
      <c r="H552" s="1">
        <v>54.0</v>
      </c>
      <c r="I552" s="1">
        <v>5.0</v>
      </c>
      <c r="J552" s="1">
        <v>7.0</v>
      </c>
      <c r="K552" s="1">
        <v>12.0</v>
      </c>
      <c r="L552" s="1">
        <v>55.0</v>
      </c>
      <c r="M552" s="1">
        <v>0.0</v>
      </c>
      <c r="N552" s="1">
        <v>0.0</v>
      </c>
      <c r="O552" s="1">
        <v>1.0</v>
      </c>
      <c r="P552" s="1">
        <v>0.0</v>
      </c>
      <c r="Q552" s="1">
        <v>163.0</v>
      </c>
      <c r="R552" s="1">
        <v>36.0</v>
      </c>
    </row>
    <row r="553">
      <c r="A553" s="1">
        <f t="shared" si="1"/>
        <v>551</v>
      </c>
      <c r="B553" s="1" t="s">
        <v>1632</v>
      </c>
      <c r="C553" s="1">
        <f t="shared" si="2"/>
        <v>551</v>
      </c>
      <c r="D553" s="1" t="s">
        <v>1156</v>
      </c>
      <c r="E553" s="1" t="s">
        <v>5</v>
      </c>
      <c r="F553" s="11">
        <f t="shared" si="3"/>
        <v>131.4</v>
      </c>
      <c r="G553" s="11">
        <f t="shared" si="4"/>
        <v>5.475</v>
      </c>
      <c r="H553" s="1">
        <v>24.0</v>
      </c>
      <c r="S553" s="1">
        <v>8.0</v>
      </c>
      <c r="T553" s="1">
        <v>73.0</v>
      </c>
      <c r="U553" s="1">
        <v>723.0</v>
      </c>
      <c r="V553" s="1">
        <v>0.0</v>
      </c>
    </row>
    <row r="554">
      <c r="A554" s="1">
        <f t="shared" si="1"/>
        <v>552</v>
      </c>
      <c r="B554" s="1" t="s">
        <v>1594</v>
      </c>
      <c r="C554" s="1">
        <f t="shared" si="2"/>
        <v>552</v>
      </c>
      <c r="D554" s="1" t="s">
        <v>1069</v>
      </c>
      <c r="E554" s="1" t="s">
        <v>66</v>
      </c>
      <c r="F554" s="11">
        <f t="shared" si="3"/>
        <v>131.25</v>
      </c>
      <c r="G554" s="11">
        <f t="shared" si="4"/>
        <v>2.524038462</v>
      </c>
      <c r="H554" s="1">
        <v>52.0</v>
      </c>
      <c r="I554" s="1">
        <v>1.0</v>
      </c>
      <c r="J554" s="1">
        <v>8.0</v>
      </c>
      <c r="K554" s="1">
        <v>9.0</v>
      </c>
      <c r="L554" s="1">
        <v>52.0</v>
      </c>
      <c r="M554" s="1">
        <v>0.0</v>
      </c>
      <c r="N554" s="1">
        <v>0.0</v>
      </c>
      <c r="O554" s="1">
        <v>0.0</v>
      </c>
      <c r="P554" s="1">
        <v>0.0</v>
      </c>
      <c r="Q554" s="1">
        <v>147.0</v>
      </c>
      <c r="R554" s="1">
        <v>80.0</v>
      </c>
    </row>
    <row r="555">
      <c r="A555" s="1">
        <f t="shared" si="1"/>
        <v>552</v>
      </c>
      <c r="B555" s="1" t="s">
        <v>1622</v>
      </c>
      <c r="C555" s="1">
        <f t="shared" si="2"/>
        <v>552</v>
      </c>
      <c r="D555" s="1" t="s">
        <v>1042</v>
      </c>
      <c r="E555" s="1" t="s">
        <v>66</v>
      </c>
      <c r="F555" s="11">
        <f t="shared" si="3"/>
        <v>131.25</v>
      </c>
      <c r="G555" s="11">
        <f t="shared" si="4"/>
        <v>2.34375</v>
      </c>
      <c r="H555" s="1">
        <v>56.0</v>
      </c>
      <c r="I555" s="1">
        <v>3.0</v>
      </c>
      <c r="J555" s="1">
        <v>10.0</v>
      </c>
      <c r="K555" s="1">
        <v>13.0</v>
      </c>
      <c r="L555" s="1">
        <v>65.0</v>
      </c>
      <c r="M555" s="1">
        <v>0.0</v>
      </c>
      <c r="N555" s="1">
        <v>0.0</v>
      </c>
      <c r="O555" s="1">
        <v>0.0</v>
      </c>
      <c r="P555" s="1">
        <v>0.0</v>
      </c>
      <c r="Q555" s="1">
        <v>45.0</v>
      </c>
      <c r="R555" s="1">
        <v>88.0</v>
      </c>
    </row>
    <row r="556">
      <c r="A556" s="1">
        <f t="shared" si="1"/>
        <v>554</v>
      </c>
      <c r="B556" s="1" t="s">
        <v>1633</v>
      </c>
      <c r="C556" s="1">
        <f t="shared" si="2"/>
        <v>554</v>
      </c>
      <c r="D556" s="1" t="s">
        <v>1120</v>
      </c>
      <c r="E556" s="1" t="s">
        <v>5</v>
      </c>
      <c r="F556" s="11">
        <f t="shared" si="3"/>
        <v>131.1</v>
      </c>
      <c r="G556" s="11">
        <f t="shared" si="4"/>
        <v>5.244</v>
      </c>
      <c r="H556" s="1">
        <v>25.0</v>
      </c>
      <c r="S556" s="1">
        <v>11.0</v>
      </c>
      <c r="T556" s="1">
        <v>70.0</v>
      </c>
      <c r="U556" s="1">
        <v>657.0</v>
      </c>
      <c r="V556" s="1">
        <v>2.0</v>
      </c>
    </row>
    <row r="557">
      <c r="A557" s="1">
        <f t="shared" si="1"/>
        <v>555</v>
      </c>
      <c r="B557" s="1" t="s">
        <v>1611</v>
      </c>
      <c r="C557" s="1">
        <f t="shared" si="2"/>
        <v>555</v>
      </c>
      <c r="D557" s="1" t="s">
        <v>1097</v>
      </c>
      <c r="E557" s="1" t="s">
        <v>66</v>
      </c>
      <c r="F557" s="11">
        <f t="shared" si="3"/>
        <v>131</v>
      </c>
      <c r="G557" s="11">
        <f t="shared" si="4"/>
        <v>2.112903226</v>
      </c>
      <c r="H557" s="1">
        <v>62.0</v>
      </c>
      <c r="I557" s="1">
        <v>6.0</v>
      </c>
      <c r="J557" s="1">
        <v>7.0</v>
      </c>
      <c r="K557" s="1">
        <v>13.0</v>
      </c>
      <c r="L557" s="1">
        <v>46.0</v>
      </c>
      <c r="M557" s="1">
        <v>0.0</v>
      </c>
      <c r="N557" s="1">
        <v>0.0</v>
      </c>
      <c r="O557" s="1">
        <v>0.0</v>
      </c>
      <c r="P557" s="1">
        <v>0.0</v>
      </c>
      <c r="Q557" s="1">
        <v>74.0</v>
      </c>
      <c r="R557" s="1">
        <v>83.0</v>
      </c>
    </row>
    <row r="558">
      <c r="A558" s="1">
        <f t="shared" si="1"/>
        <v>556</v>
      </c>
      <c r="B558" s="1" t="s">
        <v>1627</v>
      </c>
      <c r="C558" s="1">
        <f t="shared" si="2"/>
        <v>556</v>
      </c>
      <c r="D558" s="1" t="s">
        <v>1040</v>
      </c>
      <c r="E558" s="1" t="s">
        <v>36</v>
      </c>
      <c r="F558" s="11">
        <f t="shared" si="3"/>
        <v>130.75</v>
      </c>
      <c r="G558" s="11">
        <f t="shared" si="4"/>
        <v>2.293859649</v>
      </c>
      <c r="H558" s="1">
        <v>57.0</v>
      </c>
      <c r="I558" s="1">
        <v>6.0</v>
      </c>
      <c r="J558" s="1">
        <v>13.0</v>
      </c>
      <c r="K558" s="1">
        <v>19.0</v>
      </c>
      <c r="L558" s="1">
        <v>89.0</v>
      </c>
      <c r="M558" s="1">
        <v>1.0</v>
      </c>
      <c r="N558" s="1">
        <v>1.0</v>
      </c>
      <c r="O558" s="1">
        <v>0.0</v>
      </c>
      <c r="P558" s="1">
        <v>0.0</v>
      </c>
      <c r="Q558" s="1">
        <v>33.0</v>
      </c>
      <c r="R558" s="1">
        <v>24.0</v>
      </c>
    </row>
    <row r="559">
      <c r="A559" s="1">
        <f t="shared" si="1"/>
        <v>556</v>
      </c>
      <c r="B559" s="1" t="s">
        <v>1619</v>
      </c>
      <c r="C559" s="1">
        <f t="shared" si="2"/>
        <v>556</v>
      </c>
      <c r="D559" s="1" t="s">
        <v>1044</v>
      </c>
      <c r="E559" s="1" t="s">
        <v>28</v>
      </c>
      <c r="F559" s="11">
        <f t="shared" si="3"/>
        <v>130.75</v>
      </c>
      <c r="G559" s="11">
        <f t="shared" si="4"/>
        <v>1.766891892</v>
      </c>
      <c r="H559" s="1">
        <v>74.0</v>
      </c>
      <c r="I559" s="1">
        <v>11.0</v>
      </c>
      <c r="J559" s="1">
        <v>4.0</v>
      </c>
      <c r="K559" s="1">
        <v>15.0</v>
      </c>
      <c r="L559" s="1">
        <v>91.0</v>
      </c>
      <c r="M559" s="1">
        <v>4.0</v>
      </c>
      <c r="N559" s="1">
        <v>0.0</v>
      </c>
      <c r="O559" s="1">
        <v>0.0</v>
      </c>
      <c r="P559" s="1">
        <v>0.0</v>
      </c>
      <c r="Q559" s="1">
        <v>55.0</v>
      </c>
      <c r="R559" s="1">
        <v>20.0</v>
      </c>
    </row>
    <row r="560">
      <c r="A560" s="1">
        <f t="shared" si="1"/>
        <v>558</v>
      </c>
      <c r="B560" s="1" t="s">
        <v>1636</v>
      </c>
      <c r="C560" s="1">
        <f t="shared" si="2"/>
        <v>558</v>
      </c>
      <c r="D560" s="1" t="s">
        <v>1097</v>
      </c>
      <c r="E560" s="1" t="s">
        <v>5</v>
      </c>
      <c r="F560" s="11">
        <f t="shared" si="3"/>
        <v>130.5</v>
      </c>
      <c r="G560" s="11">
        <f t="shared" si="4"/>
        <v>5.673913043</v>
      </c>
      <c r="H560" s="1">
        <v>23.0</v>
      </c>
      <c r="S560" s="1">
        <v>8.0</v>
      </c>
      <c r="T560" s="1">
        <v>66.0</v>
      </c>
      <c r="U560" s="1">
        <v>665.0</v>
      </c>
      <c r="V560" s="1">
        <v>2.0</v>
      </c>
    </row>
    <row r="561">
      <c r="A561" s="1">
        <f t="shared" si="1"/>
        <v>559</v>
      </c>
      <c r="B561" s="1" t="s">
        <v>1608</v>
      </c>
      <c r="C561" s="1">
        <f t="shared" si="2"/>
        <v>559</v>
      </c>
      <c r="D561" s="1" t="s">
        <v>1076</v>
      </c>
      <c r="E561" s="1" t="s">
        <v>66</v>
      </c>
      <c r="F561" s="11">
        <f t="shared" si="3"/>
        <v>130.25</v>
      </c>
      <c r="G561" s="11">
        <f t="shared" si="4"/>
        <v>2.285087719</v>
      </c>
      <c r="H561" s="1">
        <v>57.0</v>
      </c>
      <c r="I561" s="1">
        <v>1.0</v>
      </c>
      <c r="J561" s="1">
        <v>8.0</v>
      </c>
      <c r="K561" s="1">
        <v>9.0</v>
      </c>
      <c r="L561" s="1">
        <v>63.0</v>
      </c>
      <c r="M561" s="1">
        <v>0.0</v>
      </c>
      <c r="N561" s="1">
        <v>0.0</v>
      </c>
      <c r="O561" s="1">
        <v>0.0</v>
      </c>
      <c r="P561" s="1">
        <v>0.0</v>
      </c>
      <c r="Q561" s="1">
        <v>87.0</v>
      </c>
      <c r="R561" s="1">
        <v>97.0</v>
      </c>
    </row>
    <row r="562">
      <c r="A562" s="1">
        <f t="shared" si="1"/>
        <v>560</v>
      </c>
      <c r="B562" s="1" t="s">
        <v>1628</v>
      </c>
      <c r="C562" s="1">
        <f t="shared" si="2"/>
        <v>560</v>
      </c>
      <c r="D562" s="1" t="s">
        <v>1034</v>
      </c>
      <c r="E562" s="1" t="s">
        <v>66</v>
      </c>
      <c r="F562" s="11">
        <f t="shared" si="3"/>
        <v>130</v>
      </c>
      <c r="G562" s="11">
        <f t="shared" si="4"/>
        <v>3.823529412</v>
      </c>
      <c r="H562" s="1">
        <v>34.0</v>
      </c>
      <c r="I562" s="1">
        <v>2.0</v>
      </c>
      <c r="J562" s="1">
        <v>17.0</v>
      </c>
      <c r="K562" s="1">
        <v>19.0</v>
      </c>
      <c r="L562" s="1">
        <v>53.0</v>
      </c>
      <c r="M562" s="1">
        <v>0.0</v>
      </c>
      <c r="N562" s="1">
        <v>7.0</v>
      </c>
      <c r="O562" s="1">
        <v>0.0</v>
      </c>
      <c r="P562" s="1">
        <v>0.0</v>
      </c>
      <c r="Q562" s="1">
        <v>36.0</v>
      </c>
      <c r="R562" s="1">
        <v>69.0</v>
      </c>
    </row>
    <row r="563">
      <c r="A563" s="1">
        <f t="shared" si="1"/>
        <v>560</v>
      </c>
      <c r="B563" s="1" t="s">
        <v>1602</v>
      </c>
      <c r="C563" s="1">
        <f t="shared" si="2"/>
        <v>560</v>
      </c>
      <c r="D563" s="1" t="s">
        <v>1052</v>
      </c>
      <c r="E563" s="1" t="s">
        <v>31</v>
      </c>
      <c r="F563" s="11">
        <f t="shared" si="3"/>
        <v>130</v>
      </c>
      <c r="G563" s="11">
        <f t="shared" si="4"/>
        <v>2.363636364</v>
      </c>
      <c r="H563" s="1">
        <v>55.0</v>
      </c>
      <c r="I563" s="1">
        <v>4.0</v>
      </c>
      <c r="J563" s="1">
        <v>3.0</v>
      </c>
      <c r="K563" s="1">
        <v>7.0</v>
      </c>
      <c r="L563" s="1">
        <v>59.0</v>
      </c>
      <c r="M563" s="1">
        <v>0.0</v>
      </c>
      <c r="N563" s="1">
        <v>0.0</v>
      </c>
      <c r="O563" s="1">
        <v>0.0</v>
      </c>
      <c r="P563" s="1">
        <v>0.0</v>
      </c>
      <c r="Q563" s="1">
        <v>124.0</v>
      </c>
      <c r="R563" s="1">
        <v>85.0</v>
      </c>
    </row>
    <row r="564">
      <c r="A564" s="1">
        <f t="shared" si="1"/>
        <v>562</v>
      </c>
      <c r="B564" s="1" t="s">
        <v>1630</v>
      </c>
      <c r="C564" s="1">
        <f t="shared" si="2"/>
        <v>562</v>
      </c>
      <c r="D564" s="1" t="s">
        <v>1082</v>
      </c>
      <c r="E564" s="1" t="s">
        <v>28</v>
      </c>
      <c r="F564" s="11">
        <f t="shared" si="3"/>
        <v>129.5</v>
      </c>
      <c r="G564" s="11">
        <f t="shared" si="4"/>
        <v>2.642857143</v>
      </c>
      <c r="H564" s="1">
        <v>49.0</v>
      </c>
      <c r="I564" s="1">
        <v>15.0</v>
      </c>
      <c r="J564" s="1">
        <v>8.0</v>
      </c>
      <c r="K564" s="1">
        <v>23.0</v>
      </c>
      <c r="L564" s="1">
        <v>50.0</v>
      </c>
      <c r="M564" s="1">
        <v>3.0</v>
      </c>
      <c r="N564" s="1">
        <v>1.0</v>
      </c>
      <c r="O564" s="1">
        <v>0.0</v>
      </c>
      <c r="P564" s="1">
        <v>0.0</v>
      </c>
      <c r="Q564" s="1">
        <v>20.0</v>
      </c>
      <c r="R564" s="1">
        <v>16.0</v>
      </c>
    </row>
    <row r="565">
      <c r="A565" s="1">
        <f t="shared" si="1"/>
        <v>562</v>
      </c>
      <c r="B565" s="1" t="s">
        <v>1621</v>
      </c>
      <c r="C565" s="1">
        <f t="shared" si="2"/>
        <v>562</v>
      </c>
      <c r="D565" s="1" t="s">
        <v>1078</v>
      </c>
      <c r="E565" s="1" t="s">
        <v>28</v>
      </c>
      <c r="F565" s="11">
        <f t="shared" si="3"/>
        <v>129.5</v>
      </c>
      <c r="G565" s="11">
        <f t="shared" si="4"/>
        <v>2.088709677</v>
      </c>
      <c r="H565" s="1">
        <v>62.0</v>
      </c>
      <c r="I565" s="1">
        <v>7.0</v>
      </c>
      <c r="J565" s="1">
        <v>8.0</v>
      </c>
      <c r="K565" s="1">
        <v>15.0</v>
      </c>
      <c r="L565" s="1">
        <v>76.0</v>
      </c>
      <c r="M565" s="1">
        <v>0.0</v>
      </c>
      <c r="N565" s="1">
        <v>0.0</v>
      </c>
      <c r="O565" s="1">
        <v>2.0</v>
      </c>
      <c r="P565" s="1">
        <v>1.0</v>
      </c>
      <c r="Q565" s="1">
        <v>64.0</v>
      </c>
      <c r="R565" s="1">
        <v>28.0</v>
      </c>
    </row>
    <row r="566">
      <c r="A566" s="1">
        <f t="shared" si="1"/>
        <v>564</v>
      </c>
      <c r="B566" s="1" t="s">
        <v>1638</v>
      </c>
      <c r="C566" s="1">
        <f t="shared" si="2"/>
        <v>564</v>
      </c>
      <c r="D566" s="1" t="s">
        <v>1044</v>
      </c>
      <c r="E566" s="1" t="s">
        <v>5</v>
      </c>
      <c r="F566" s="11">
        <f t="shared" si="3"/>
        <v>129.3</v>
      </c>
      <c r="G566" s="11">
        <f t="shared" si="4"/>
        <v>4.31</v>
      </c>
      <c r="H566" s="1">
        <v>30.0</v>
      </c>
      <c r="S566" s="1">
        <v>15.0</v>
      </c>
      <c r="T566" s="1">
        <v>84.0</v>
      </c>
      <c r="U566" s="1">
        <v>681.0</v>
      </c>
      <c r="V566" s="1">
        <v>2.0</v>
      </c>
    </row>
    <row r="567">
      <c r="A567" s="1">
        <f t="shared" si="1"/>
        <v>565</v>
      </c>
      <c r="B567" s="1" t="s">
        <v>1607</v>
      </c>
      <c r="C567" s="1">
        <f t="shared" si="2"/>
        <v>565</v>
      </c>
      <c r="D567" s="1" t="s">
        <v>1065</v>
      </c>
      <c r="E567" s="1" t="s">
        <v>28</v>
      </c>
      <c r="F567" s="11">
        <f t="shared" si="3"/>
        <v>127.75</v>
      </c>
      <c r="G567" s="11">
        <f t="shared" si="4"/>
        <v>2.456730769</v>
      </c>
      <c r="H567" s="1">
        <v>52.0</v>
      </c>
      <c r="I567" s="1">
        <v>5.0</v>
      </c>
      <c r="J567" s="1">
        <v>10.0</v>
      </c>
      <c r="K567" s="1">
        <v>15.0</v>
      </c>
      <c r="L567" s="1">
        <v>76.0</v>
      </c>
      <c r="M567" s="1">
        <v>0.0</v>
      </c>
      <c r="N567" s="1">
        <v>1.0</v>
      </c>
      <c r="O567" s="1">
        <v>0.0</v>
      </c>
      <c r="P567" s="1">
        <v>0.0</v>
      </c>
      <c r="Q567" s="1">
        <v>121.0</v>
      </c>
      <c r="R567" s="1">
        <v>14.0</v>
      </c>
    </row>
    <row r="568">
      <c r="A568" s="1">
        <f t="shared" si="1"/>
        <v>566</v>
      </c>
      <c r="B568" s="1" t="s">
        <v>1634</v>
      </c>
      <c r="C568" s="1">
        <f t="shared" si="2"/>
        <v>566</v>
      </c>
      <c r="D568" s="1" t="s">
        <v>1052</v>
      </c>
      <c r="E568" s="1" t="s">
        <v>31</v>
      </c>
      <c r="F568" s="11">
        <f t="shared" si="3"/>
        <v>127.5</v>
      </c>
      <c r="G568" s="11">
        <f t="shared" si="4"/>
        <v>2.276785714</v>
      </c>
      <c r="H568" s="1">
        <v>56.0</v>
      </c>
      <c r="I568" s="1">
        <v>8.0</v>
      </c>
      <c r="J568" s="1">
        <v>8.0</v>
      </c>
      <c r="K568" s="1">
        <v>16.0</v>
      </c>
      <c r="L568" s="1">
        <v>83.0</v>
      </c>
      <c r="M568" s="1">
        <v>4.0</v>
      </c>
      <c r="N568" s="1">
        <v>1.0</v>
      </c>
      <c r="O568" s="1">
        <v>0.0</v>
      </c>
      <c r="P568" s="1">
        <v>0.0</v>
      </c>
      <c r="Q568" s="1">
        <v>36.0</v>
      </c>
      <c r="R568" s="1">
        <v>34.0</v>
      </c>
    </row>
    <row r="569">
      <c r="A569" s="1">
        <f t="shared" si="1"/>
        <v>566</v>
      </c>
      <c r="B569" s="1" t="s">
        <v>1616</v>
      </c>
      <c r="C569" s="1">
        <f t="shared" si="2"/>
        <v>566</v>
      </c>
      <c r="D569" s="1" t="s">
        <v>1034</v>
      </c>
      <c r="E569" s="1" t="s">
        <v>66</v>
      </c>
      <c r="F569" s="11">
        <f t="shared" si="3"/>
        <v>127.5</v>
      </c>
      <c r="G569" s="11">
        <f t="shared" si="4"/>
        <v>2.161016949</v>
      </c>
      <c r="H569" s="1">
        <v>59.0</v>
      </c>
      <c r="I569" s="1">
        <v>3.0</v>
      </c>
      <c r="J569" s="1">
        <v>7.0</v>
      </c>
      <c r="K569" s="1">
        <v>10.0</v>
      </c>
      <c r="L569" s="1">
        <v>56.0</v>
      </c>
      <c r="M569" s="1">
        <v>0.0</v>
      </c>
      <c r="N569" s="1">
        <v>0.0</v>
      </c>
      <c r="O569" s="1">
        <v>0.0</v>
      </c>
      <c r="P569" s="1">
        <v>0.0</v>
      </c>
      <c r="Q569" s="1">
        <v>96.0</v>
      </c>
      <c r="R569" s="1">
        <v>82.0</v>
      </c>
    </row>
    <row r="570">
      <c r="A570" s="1">
        <f t="shared" si="1"/>
        <v>568</v>
      </c>
      <c r="B570" s="1" t="s">
        <v>1612</v>
      </c>
      <c r="C570" s="1">
        <f t="shared" si="2"/>
        <v>568</v>
      </c>
      <c r="D570" s="1" t="s">
        <v>1111</v>
      </c>
      <c r="E570" s="1" t="s">
        <v>66</v>
      </c>
      <c r="F570" s="11">
        <f t="shared" si="3"/>
        <v>127</v>
      </c>
      <c r="G570" s="11">
        <f t="shared" si="4"/>
        <v>2.490196078</v>
      </c>
      <c r="H570" s="1">
        <v>51.0</v>
      </c>
      <c r="I570" s="1">
        <v>3.0</v>
      </c>
      <c r="J570" s="1">
        <v>7.0</v>
      </c>
      <c r="K570" s="1">
        <v>10.0</v>
      </c>
      <c r="L570" s="1">
        <v>44.0</v>
      </c>
      <c r="M570" s="1">
        <v>0.0</v>
      </c>
      <c r="N570" s="1">
        <v>0.0</v>
      </c>
      <c r="O570" s="1">
        <v>0.0</v>
      </c>
      <c r="P570" s="1">
        <v>0.0</v>
      </c>
      <c r="Q570" s="1">
        <v>112.0</v>
      </c>
      <c r="R570" s="1">
        <v>85.0</v>
      </c>
    </row>
    <row r="571">
      <c r="A571" s="1">
        <f t="shared" si="1"/>
        <v>569</v>
      </c>
      <c r="B571" s="1" t="s">
        <v>1635</v>
      </c>
      <c r="C571" s="1">
        <f t="shared" si="2"/>
        <v>569</v>
      </c>
      <c r="D571" s="1" t="s">
        <v>1085</v>
      </c>
      <c r="E571" s="1" t="s">
        <v>66</v>
      </c>
      <c r="F571" s="11">
        <f t="shared" si="3"/>
        <v>126.5</v>
      </c>
      <c r="G571" s="11">
        <f t="shared" si="4"/>
        <v>2.144067797</v>
      </c>
      <c r="H571" s="1">
        <v>59.0</v>
      </c>
      <c r="I571" s="1">
        <v>2.0</v>
      </c>
      <c r="J571" s="1">
        <v>17.0</v>
      </c>
      <c r="K571" s="1">
        <v>19.0</v>
      </c>
      <c r="L571" s="1">
        <v>73.0</v>
      </c>
      <c r="M571" s="1">
        <v>0.0</v>
      </c>
      <c r="N571" s="1">
        <v>2.0</v>
      </c>
      <c r="O571" s="1">
        <v>0.0</v>
      </c>
      <c r="P571" s="1">
        <v>0.0</v>
      </c>
      <c r="Q571" s="1">
        <v>44.0</v>
      </c>
      <c r="R571" s="1">
        <v>38.0</v>
      </c>
    </row>
    <row r="572">
      <c r="A572" s="1">
        <f t="shared" si="1"/>
        <v>570</v>
      </c>
      <c r="B572" s="1" t="s">
        <v>1624</v>
      </c>
      <c r="C572" s="1">
        <f t="shared" si="2"/>
        <v>570</v>
      </c>
      <c r="D572" s="1" t="s">
        <v>1034</v>
      </c>
      <c r="E572" s="1" t="s">
        <v>31</v>
      </c>
      <c r="F572" s="11">
        <f t="shared" si="3"/>
        <v>126</v>
      </c>
      <c r="G572" s="11">
        <f t="shared" si="4"/>
        <v>1.826086957</v>
      </c>
      <c r="H572" s="1">
        <v>69.0</v>
      </c>
      <c r="I572" s="1">
        <v>6.0</v>
      </c>
      <c r="J572" s="1">
        <v>3.0</v>
      </c>
      <c r="K572" s="1">
        <v>9.0</v>
      </c>
      <c r="L572" s="1">
        <v>83.0</v>
      </c>
      <c r="M572" s="1">
        <v>0.0</v>
      </c>
      <c r="N572" s="1">
        <v>0.0</v>
      </c>
      <c r="O572" s="1">
        <v>2.0</v>
      </c>
      <c r="P572" s="1">
        <v>0.0</v>
      </c>
      <c r="Q572" s="1">
        <v>96.0</v>
      </c>
      <c r="R572" s="1">
        <v>41.0</v>
      </c>
    </row>
    <row r="573">
      <c r="A573" s="1">
        <f t="shared" si="1"/>
        <v>571</v>
      </c>
      <c r="B573" s="1" t="s">
        <v>1640</v>
      </c>
      <c r="C573" s="1">
        <f t="shared" si="2"/>
        <v>571</v>
      </c>
      <c r="D573" s="1" t="s">
        <v>1082</v>
      </c>
      <c r="E573" s="1" t="s">
        <v>31</v>
      </c>
      <c r="F573" s="11">
        <f t="shared" si="3"/>
        <v>125.5</v>
      </c>
      <c r="G573" s="11">
        <f t="shared" si="4"/>
        <v>2.460784314</v>
      </c>
      <c r="H573" s="1">
        <v>51.0</v>
      </c>
      <c r="I573" s="1">
        <v>8.0</v>
      </c>
      <c r="J573" s="1">
        <v>14.0</v>
      </c>
      <c r="K573" s="1">
        <v>22.0</v>
      </c>
      <c r="L573" s="1">
        <v>51.0</v>
      </c>
      <c r="M573" s="1">
        <v>0.0</v>
      </c>
      <c r="N573" s="1">
        <v>2.0</v>
      </c>
      <c r="O573" s="1">
        <v>0.0</v>
      </c>
      <c r="P573" s="1">
        <v>0.0</v>
      </c>
      <c r="Q573" s="1">
        <v>26.0</v>
      </c>
      <c r="R573" s="1">
        <v>31.0</v>
      </c>
    </row>
    <row r="574">
      <c r="A574" s="1">
        <f t="shared" si="1"/>
        <v>572</v>
      </c>
      <c r="B574" s="1" t="s">
        <v>1637</v>
      </c>
      <c r="C574" s="1">
        <f t="shared" si="2"/>
        <v>572</v>
      </c>
      <c r="D574" s="1" t="s">
        <v>1097</v>
      </c>
      <c r="E574" s="1" t="s">
        <v>66</v>
      </c>
      <c r="F574" s="11">
        <f t="shared" si="3"/>
        <v>124.25</v>
      </c>
      <c r="G574" s="11">
        <f t="shared" si="4"/>
        <v>2.588541667</v>
      </c>
      <c r="H574" s="1">
        <v>48.0</v>
      </c>
      <c r="I574" s="1">
        <v>7.0</v>
      </c>
      <c r="J574" s="1">
        <v>6.0</v>
      </c>
      <c r="K574" s="1">
        <v>13.0</v>
      </c>
      <c r="L574" s="1">
        <v>60.0</v>
      </c>
      <c r="M574" s="1">
        <v>1.0</v>
      </c>
      <c r="N574" s="1">
        <v>0.0</v>
      </c>
      <c r="O574" s="1">
        <v>0.0</v>
      </c>
      <c r="P574" s="1">
        <v>0.0</v>
      </c>
      <c r="Q574" s="1">
        <v>61.0</v>
      </c>
      <c r="R574" s="1">
        <v>59.0</v>
      </c>
    </row>
    <row r="575">
      <c r="A575" s="1">
        <f t="shared" si="1"/>
        <v>573</v>
      </c>
      <c r="B575" s="1" t="s">
        <v>1614</v>
      </c>
      <c r="C575" s="1">
        <f t="shared" si="2"/>
        <v>573</v>
      </c>
      <c r="D575" s="1" t="s">
        <v>1172</v>
      </c>
      <c r="E575" s="1" t="s">
        <v>36</v>
      </c>
      <c r="F575" s="11">
        <f t="shared" si="3"/>
        <v>124</v>
      </c>
      <c r="G575" s="11">
        <f t="shared" si="4"/>
        <v>1.850746269</v>
      </c>
      <c r="H575" s="1">
        <v>67.0</v>
      </c>
      <c r="I575" s="1">
        <v>5.0</v>
      </c>
      <c r="J575" s="1">
        <v>6.0</v>
      </c>
      <c r="K575" s="1">
        <v>11.0</v>
      </c>
      <c r="L575" s="1">
        <v>66.0</v>
      </c>
      <c r="M575" s="1">
        <v>0.0</v>
      </c>
      <c r="N575" s="1">
        <v>0.0</v>
      </c>
      <c r="O575" s="1">
        <v>0.0</v>
      </c>
      <c r="P575" s="1">
        <v>0.0</v>
      </c>
      <c r="Q575" s="1">
        <v>138.0</v>
      </c>
      <c r="R575" s="1">
        <v>32.0</v>
      </c>
    </row>
    <row r="576">
      <c r="A576" s="1">
        <f t="shared" si="1"/>
        <v>574</v>
      </c>
      <c r="B576" s="1" t="s">
        <v>1648</v>
      </c>
      <c r="C576" s="1">
        <f t="shared" si="2"/>
        <v>574</v>
      </c>
      <c r="D576" s="1" t="s">
        <v>1046</v>
      </c>
      <c r="E576" s="1" t="s">
        <v>5</v>
      </c>
      <c r="F576" s="11">
        <f t="shared" si="3"/>
        <v>122.7</v>
      </c>
      <c r="G576" s="11">
        <f t="shared" si="4"/>
        <v>4.231034483</v>
      </c>
      <c r="H576" s="1">
        <v>29.0</v>
      </c>
      <c r="S576" s="1">
        <v>12.0</v>
      </c>
      <c r="T576" s="1">
        <v>80.0</v>
      </c>
      <c r="U576" s="1">
        <v>679.0</v>
      </c>
      <c r="V576" s="1">
        <v>1.0</v>
      </c>
    </row>
    <row r="577">
      <c r="A577" s="1">
        <f t="shared" si="1"/>
        <v>575</v>
      </c>
      <c r="B577" s="1" t="s">
        <v>1642</v>
      </c>
      <c r="C577" s="1">
        <f t="shared" si="2"/>
        <v>575</v>
      </c>
      <c r="D577" s="1" t="s">
        <v>1032</v>
      </c>
      <c r="E577" s="1" t="s">
        <v>28</v>
      </c>
      <c r="F577" s="11">
        <f t="shared" si="3"/>
        <v>122.25</v>
      </c>
      <c r="G577" s="11">
        <f t="shared" si="4"/>
        <v>2.263888889</v>
      </c>
      <c r="H577" s="1">
        <v>54.0</v>
      </c>
      <c r="I577" s="1">
        <v>7.0</v>
      </c>
      <c r="J577" s="1">
        <v>10.0</v>
      </c>
      <c r="K577" s="1">
        <v>17.0</v>
      </c>
      <c r="L577" s="1">
        <v>54.0</v>
      </c>
      <c r="M577" s="1">
        <v>0.0</v>
      </c>
      <c r="N577" s="1">
        <v>0.0</v>
      </c>
      <c r="O577" s="1">
        <v>0.0</v>
      </c>
      <c r="P577" s="1">
        <v>0.0</v>
      </c>
      <c r="Q577" s="1">
        <v>51.0</v>
      </c>
      <c r="R577" s="1">
        <v>42.0</v>
      </c>
    </row>
    <row r="578">
      <c r="A578" s="1">
        <f t="shared" si="1"/>
        <v>576</v>
      </c>
      <c r="B578" s="1" t="s">
        <v>1647</v>
      </c>
      <c r="C578" s="1">
        <f t="shared" si="2"/>
        <v>576</v>
      </c>
      <c r="D578" s="1" t="s">
        <v>1078</v>
      </c>
      <c r="E578" s="1" t="s">
        <v>36</v>
      </c>
      <c r="F578" s="11">
        <f t="shared" si="3"/>
        <v>121.25</v>
      </c>
      <c r="G578" s="11">
        <f t="shared" si="4"/>
        <v>2.37745098</v>
      </c>
      <c r="H578" s="1">
        <v>51.0</v>
      </c>
      <c r="I578" s="1">
        <v>7.0</v>
      </c>
      <c r="J578" s="1">
        <v>8.0</v>
      </c>
      <c r="K578" s="1">
        <v>15.0</v>
      </c>
      <c r="L578" s="1">
        <v>101.0</v>
      </c>
      <c r="M578" s="1">
        <v>3.0</v>
      </c>
      <c r="N578" s="1">
        <v>1.0</v>
      </c>
      <c r="O578" s="1">
        <v>0.0</v>
      </c>
      <c r="P578" s="1">
        <v>0.0</v>
      </c>
      <c r="Q578" s="1">
        <v>33.0</v>
      </c>
      <c r="R578" s="1">
        <v>14.0</v>
      </c>
    </row>
    <row r="579">
      <c r="A579" s="1">
        <f t="shared" si="1"/>
        <v>576</v>
      </c>
      <c r="B579" s="1" t="s">
        <v>1639</v>
      </c>
      <c r="C579" s="1">
        <f t="shared" si="2"/>
        <v>576</v>
      </c>
      <c r="D579" s="1" t="s">
        <v>1175</v>
      </c>
      <c r="E579" s="1" t="s">
        <v>31</v>
      </c>
      <c r="F579" s="11">
        <f t="shared" si="3"/>
        <v>121.25</v>
      </c>
      <c r="G579" s="11">
        <f t="shared" si="4"/>
        <v>1.924603175</v>
      </c>
      <c r="H579" s="1">
        <v>63.0</v>
      </c>
      <c r="I579" s="1">
        <v>5.0</v>
      </c>
      <c r="J579" s="1">
        <v>8.0</v>
      </c>
      <c r="K579" s="1">
        <v>13.0</v>
      </c>
      <c r="L579" s="1">
        <v>69.0</v>
      </c>
      <c r="M579" s="1">
        <v>0.0</v>
      </c>
      <c r="N579" s="1">
        <v>0.0</v>
      </c>
      <c r="O579" s="1">
        <v>1.0</v>
      </c>
      <c r="P579" s="1">
        <v>0.0</v>
      </c>
      <c r="Q579" s="1">
        <v>75.0</v>
      </c>
      <c r="R579" s="1">
        <v>39.0</v>
      </c>
    </row>
    <row r="580">
      <c r="A580" s="1">
        <f t="shared" si="1"/>
        <v>578</v>
      </c>
      <c r="B580" s="1" t="s">
        <v>1625</v>
      </c>
      <c r="C580" s="1">
        <f t="shared" si="2"/>
        <v>578</v>
      </c>
      <c r="D580" s="1" t="s">
        <v>1076</v>
      </c>
      <c r="E580" s="1" t="s">
        <v>36</v>
      </c>
      <c r="F580" s="11">
        <f t="shared" si="3"/>
        <v>121</v>
      </c>
      <c r="G580" s="11">
        <f t="shared" si="4"/>
        <v>2.240740741</v>
      </c>
      <c r="H580" s="1">
        <v>54.0</v>
      </c>
      <c r="I580" s="1">
        <v>5.0</v>
      </c>
      <c r="J580" s="1">
        <v>7.0</v>
      </c>
      <c r="K580" s="1">
        <v>12.0</v>
      </c>
      <c r="L580" s="1">
        <v>57.0</v>
      </c>
      <c r="M580" s="1">
        <v>0.0</v>
      </c>
      <c r="N580" s="1">
        <v>0.0</v>
      </c>
      <c r="O580" s="1">
        <v>0.0</v>
      </c>
      <c r="P580" s="1">
        <v>0.0</v>
      </c>
      <c r="Q580" s="1">
        <v>142.0</v>
      </c>
      <c r="R580" s="1">
        <v>27.0</v>
      </c>
    </row>
    <row r="581">
      <c r="A581" s="1">
        <f t="shared" si="1"/>
        <v>579</v>
      </c>
      <c r="B581" s="1" t="s">
        <v>1629</v>
      </c>
      <c r="C581" s="1">
        <f t="shared" si="2"/>
        <v>579</v>
      </c>
      <c r="D581" s="1" t="s">
        <v>1097</v>
      </c>
      <c r="E581" s="1" t="s">
        <v>66</v>
      </c>
      <c r="F581" s="11">
        <f t="shared" si="3"/>
        <v>120.75</v>
      </c>
      <c r="G581" s="11">
        <f t="shared" si="4"/>
        <v>2.744318182</v>
      </c>
      <c r="H581" s="1">
        <v>44.0</v>
      </c>
      <c r="I581" s="1">
        <v>3.0</v>
      </c>
      <c r="J581" s="1">
        <v>7.0</v>
      </c>
      <c r="K581" s="1">
        <v>10.0</v>
      </c>
      <c r="L581" s="1">
        <v>61.0</v>
      </c>
      <c r="M581" s="1">
        <v>0.0</v>
      </c>
      <c r="N581" s="1">
        <v>0.0</v>
      </c>
      <c r="O581" s="1">
        <v>0.0</v>
      </c>
      <c r="P581" s="1">
        <v>0.0</v>
      </c>
      <c r="Q581" s="1">
        <v>125.0</v>
      </c>
      <c r="R581" s="1">
        <v>49.0</v>
      </c>
    </row>
    <row r="582">
      <c r="A582" s="1">
        <f t="shared" si="1"/>
        <v>579</v>
      </c>
      <c r="B582" s="1" t="s">
        <v>1617</v>
      </c>
      <c r="C582" s="1">
        <f t="shared" si="2"/>
        <v>579</v>
      </c>
      <c r="D582" s="1" t="s">
        <v>1046</v>
      </c>
      <c r="E582" s="1" t="s">
        <v>66</v>
      </c>
      <c r="F582" s="11">
        <f t="shared" si="3"/>
        <v>120.75</v>
      </c>
      <c r="G582" s="11">
        <f t="shared" si="4"/>
        <v>2.236111111</v>
      </c>
      <c r="H582" s="1">
        <v>54.0</v>
      </c>
      <c r="I582" s="1">
        <v>1.0</v>
      </c>
      <c r="J582" s="1">
        <v>6.0</v>
      </c>
      <c r="K582" s="1">
        <v>7.0</v>
      </c>
      <c r="L582" s="1">
        <v>30.0</v>
      </c>
      <c r="M582" s="1">
        <v>0.0</v>
      </c>
      <c r="N582" s="1">
        <v>0.0</v>
      </c>
      <c r="O582" s="1">
        <v>0.0</v>
      </c>
      <c r="P582" s="1">
        <v>0.0</v>
      </c>
      <c r="Q582" s="1">
        <v>163.0</v>
      </c>
      <c r="R582" s="1">
        <v>85.0</v>
      </c>
    </row>
    <row r="583">
      <c r="A583" s="1">
        <f t="shared" si="1"/>
        <v>581</v>
      </c>
      <c r="B583" s="1" t="s">
        <v>1656</v>
      </c>
      <c r="C583" s="1">
        <f t="shared" si="2"/>
        <v>581</v>
      </c>
      <c r="D583" s="1" t="s">
        <v>1073</v>
      </c>
      <c r="E583" s="1" t="s">
        <v>5</v>
      </c>
      <c r="F583" s="11">
        <f t="shared" si="3"/>
        <v>120.6</v>
      </c>
      <c r="G583" s="11">
        <f t="shared" si="4"/>
        <v>7.5375</v>
      </c>
      <c r="H583" s="1">
        <v>16.0</v>
      </c>
      <c r="S583" s="1">
        <v>13.0</v>
      </c>
      <c r="T583" s="1">
        <v>28.0</v>
      </c>
      <c r="U583" s="1">
        <v>382.0</v>
      </c>
      <c r="V583" s="1">
        <v>3.0</v>
      </c>
    </row>
    <row r="584">
      <c r="A584" s="1">
        <f t="shared" si="1"/>
        <v>582</v>
      </c>
      <c r="B584" s="1" t="s">
        <v>1631</v>
      </c>
      <c r="C584" s="1">
        <f t="shared" si="2"/>
        <v>582</v>
      </c>
      <c r="D584" s="1" t="s">
        <v>1069</v>
      </c>
      <c r="E584" s="1" t="s">
        <v>66</v>
      </c>
      <c r="F584" s="11">
        <f t="shared" si="3"/>
        <v>118.5</v>
      </c>
      <c r="G584" s="11">
        <f t="shared" si="4"/>
        <v>2.37</v>
      </c>
      <c r="H584" s="1">
        <v>50.0</v>
      </c>
      <c r="I584" s="1">
        <v>2.0</v>
      </c>
      <c r="J584" s="1">
        <v>5.0</v>
      </c>
      <c r="K584" s="1">
        <v>7.0</v>
      </c>
      <c r="L584" s="1">
        <v>52.0</v>
      </c>
      <c r="M584" s="1">
        <v>0.0</v>
      </c>
      <c r="N584" s="1">
        <v>0.0</v>
      </c>
      <c r="O584" s="1">
        <v>0.0</v>
      </c>
      <c r="P584" s="1">
        <v>1.0</v>
      </c>
      <c r="Q584" s="1">
        <v>130.0</v>
      </c>
      <c r="R584" s="1">
        <v>68.0</v>
      </c>
    </row>
    <row r="585">
      <c r="A585" s="1">
        <f t="shared" si="1"/>
        <v>583</v>
      </c>
      <c r="B585" s="1" t="s">
        <v>1664</v>
      </c>
      <c r="C585" s="1">
        <f t="shared" si="2"/>
        <v>583</v>
      </c>
      <c r="D585" s="1" t="s">
        <v>1042</v>
      </c>
      <c r="E585" s="1" t="s">
        <v>5</v>
      </c>
      <c r="F585" s="11">
        <f t="shared" si="3"/>
        <v>118.2</v>
      </c>
      <c r="G585" s="11">
        <f t="shared" si="4"/>
        <v>4.925</v>
      </c>
      <c r="H585" s="1">
        <v>24.0</v>
      </c>
      <c r="S585" s="1">
        <v>11.0</v>
      </c>
      <c r="T585" s="1">
        <v>56.0</v>
      </c>
      <c r="U585" s="1">
        <v>554.0</v>
      </c>
      <c r="V585" s="1">
        <v>1.0</v>
      </c>
    </row>
    <row r="586">
      <c r="A586" s="1">
        <f t="shared" si="1"/>
        <v>583</v>
      </c>
      <c r="B586" s="1" t="s">
        <v>1665</v>
      </c>
      <c r="C586" s="1">
        <f t="shared" si="2"/>
        <v>583</v>
      </c>
      <c r="D586" s="1" t="s">
        <v>1034</v>
      </c>
      <c r="E586" s="1" t="s">
        <v>5</v>
      </c>
      <c r="F586" s="11">
        <f t="shared" si="3"/>
        <v>118.2</v>
      </c>
      <c r="G586" s="11">
        <f t="shared" si="4"/>
        <v>4.546153846</v>
      </c>
      <c r="H586" s="1">
        <v>26.0</v>
      </c>
      <c r="S586" s="1">
        <v>12.0</v>
      </c>
      <c r="T586" s="1">
        <v>83.0</v>
      </c>
      <c r="U586" s="1">
        <v>669.0</v>
      </c>
      <c r="V586" s="1">
        <v>2.0</v>
      </c>
    </row>
    <row r="587">
      <c r="A587" s="1">
        <f t="shared" si="1"/>
        <v>585</v>
      </c>
      <c r="B587" s="1" t="s">
        <v>1645</v>
      </c>
      <c r="C587" s="1">
        <f t="shared" si="2"/>
        <v>585</v>
      </c>
      <c r="D587" s="1" t="s">
        <v>1175</v>
      </c>
      <c r="E587" s="1" t="s">
        <v>36</v>
      </c>
      <c r="F587" s="11">
        <f t="shared" si="3"/>
        <v>118</v>
      </c>
      <c r="G587" s="11">
        <f t="shared" si="4"/>
        <v>2</v>
      </c>
      <c r="H587" s="1">
        <v>59.0</v>
      </c>
      <c r="I587" s="1">
        <v>5.0</v>
      </c>
      <c r="J587" s="1">
        <v>9.0</v>
      </c>
      <c r="K587" s="1">
        <v>14.0</v>
      </c>
      <c r="L587" s="1">
        <v>70.0</v>
      </c>
      <c r="M587" s="1">
        <v>0.0</v>
      </c>
      <c r="N587" s="1">
        <v>1.0</v>
      </c>
      <c r="O587" s="1">
        <v>0.0</v>
      </c>
      <c r="P587" s="1">
        <v>0.0</v>
      </c>
      <c r="Q587" s="1">
        <v>76.0</v>
      </c>
      <c r="R587" s="1">
        <v>29.0</v>
      </c>
    </row>
    <row r="588">
      <c r="A588" s="1">
        <f t="shared" si="1"/>
        <v>586</v>
      </c>
      <c r="B588" s="1" t="s">
        <v>1666</v>
      </c>
      <c r="C588" s="1">
        <f t="shared" si="2"/>
        <v>586</v>
      </c>
      <c r="D588" s="1" t="s">
        <v>1036</v>
      </c>
      <c r="E588" s="1" t="s">
        <v>5</v>
      </c>
      <c r="F588" s="11">
        <f t="shared" si="3"/>
        <v>117.9</v>
      </c>
      <c r="G588" s="11">
        <f t="shared" si="4"/>
        <v>5.126086957</v>
      </c>
      <c r="H588" s="1">
        <v>23.0</v>
      </c>
      <c r="S588" s="1">
        <v>12.0</v>
      </c>
      <c r="T588" s="1">
        <v>53.0</v>
      </c>
      <c r="U588" s="1">
        <v>528.0</v>
      </c>
      <c r="V588" s="1">
        <v>1.0</v>
      </c>
    </row>
    <row r="589">
      <c r="A589" s="1">
        <f t="shared" si="1"/>
        <v>587</v>
      </c>
      <c r="B589" s="1" t="s">
        <v>1623</v>
      </c>
      <c r="C589" s="1">
        <f t="shared" si="2"/>
        <v>587</v>
      </c>
      <c r="D589" s="1" t="s">
        <v>1048</v>
      </c>
      <c r="E589" s="1" t="s">
        <v>28</v>
      </c>
      <c r="F589" s="11">
        <f t="shared" si="3"/>
        <v>117.75</v>
      </c>
      <c r="G589" s="11">
        <f t="shared" si="4"/>
        <v>1.57</v>
      </c>
      <c r="H589" s="1">
        <v>75.0</v>
      </c>
      <c r="I589" s="1">
        <v>5.0</v>
      </c>
      <c r="J589" s="1">
        <v>2.0</v>
      </c>
      <c r="K589" s="1">
        <v>7.0</v>
      </c>
      <c r="L589" s="1">
        <v>68.0</v>
      </c>
      <c r="M589" s="1">
        <v>1.0</v>
      </c>
      <c r="N589" s="1">
        <v>0.0</v>
      </c>
      <c r="O589" s="1">
        <v>0.0</v>
      </c>
      <c r="P589" s="1">
        <v>0.0</v>
      </c>
      <c r="Q589" s="1">
        <v>179.0</v>
      </c>
      <c r="R589" s="1">
        <v>21.0</v>
      </c>
    </row>
    <row r="590">
      <c r="A590" s="1">
        <f t="shared" si="1"/>
        <v>588</v>
      </c>
      <c r="B590" s="1" t="s">
        <v>1658</v>
      </c>
      <c r="C590" s="1">
        <f t="shared" si="2"/>
        <v>588</v>
      </c>
      <c r="D590" s="1" t="s">
        <v>1097</v>
      </c>
      <c r="E590" s="1" t="s">
        <v>66</v>
      </c>
      <c r="F590" s="11">
        <f t="shared" si="3"/>
        <v>117.5</v>
      </c>
      <c r="G590" s="11">
        <f t="shared" si="4"/>
        <v>2.098214286</v>
      </c>
      <c r="H590" s="1">
        <v>56.0</v>
      </c>
      <c r="I590" s="1">
        <v>3.0</v>
      </c>
      <c r="J590" s="1">
        <v>11.0</v>
      </c>
      <c r="K590" s="1">
        <v>14.0</v>
      </c>
      <c r="L590" s="1">
        <v>43.0</v>
      </c>
      <c r="M590" s="1">
        <v>0.0</v>
      </c>
      <c r="N590" s="1">
        <v>0.0</v>
      </c>
      <c r="O590" s="1">
        <v>0.0</v>
      </c>
      <c r="P590" s="1">
        <v>0.0</v>
      </c>
      <c r="Q590" s="1">
        <v>26.0</v>
      </c>
      <c r="R590" s="1">
        <v>86.0</v>
      </c>
    </row>
    <row r="591">
      <c r="A591" s="1">
        <f t="shared" si="1"/>
        <v>589</v>
      </c>
      <c r="B591" s="1" t="s">
        <v>1651</v>
      </c>
      <c r="C591" s="1">
        <f t="shared" si="2"/>
        <v>589</v>
      </c>
      <c r="D591" s="1" t="s">
        <v>1032</v>
      </c>
      <c r="E591" s="1" t="s">
        <v>66</v>
      </c>
      <c r="F591" s="11">
        <f t="shared" si="3"/>
        <v>116.75</v>
      </c>
      <c r="G591" s="11">
        <f t="shared" si="4"/>
        <v>2.538043478</v>
      </c>
      <c r="H591" s="1">
        <v>46.0</v>
      </c>
      <c r="I591" s="1">
        <v>3.0</v>
      </c>
      <c r="J591" s="1">
        <v>6.0</v>
      </c>
      <c r="K591" s="1">
        <v>9.0</v>
      </c>
      <c r="L591" s="1">
        <v>59.0</v>
      </c>
      <c r="M591" s="1">
        <v>0.0</v>
      </c>
      <c r="N591" s="1">
        <v>0.0</v>
      </c>
      <c r="O591" s="1">
        <v>0.0</v>
      </c>
      <c r="P591" s="1">
        <v>0.0</v>
      </c>
      <c r="Q591" s="1">
        <v>51.0</v>
      </c>
      <c r="R591" s="1">
        <v>86.0</v>
      </c>
    </row>
    <row r="592">
      <c r="A592" s="1">
        <f t="shared" si="1"/>
        <v>589</v>
      </c>
      <c r="B592" s="1" t="s">
        <v>1650</v>
      </c>
      <c r="C592" s="1">
        <f t="shared" si="2"/>
        <v>589</v>
      </c>
      <c r="D592" s="1" t="s">
        <v>1038</v>
      </c>
      <c r="E592" s="1" t="s">
        <v>66</v>
      </c>
      <c r="F592" s="11">
        <f t="shared" si="3"/>
        <v>116.75</v>
      </c>
      <c r="G592" s="11">
        <f t="shared" si="4"/>
        <v>1.853174603</v>
      </c>
      <c r="H592" s="1">
        <v>63.0</v>
      </c>
      <c r="I592" s="1">
        <v>2.0</v>
      </c>
      <c r="J592" s="1">
        <v>9.0</v>
      </c>
      <c r="K592" s="1">
        <v>11.0</v>
      </c>
      <c r="L592" s="1">
        <v>59.0</v>
      </c>
      <c r="M592" s="1">
        <v>0.0</v>
      </c>
      <c r="N592" s="1">
        <v>0.0</v>
      </c>
      <c r="O592" s="1">
        <v>0.0</v>
      </c>
      <c r="P592" s="1">
        <v>0.0</v>
      </c>
      <c r="Q592" s="1">
        <v>53.0</v>
      </c>
      <c r="R592" s="1">
        <v>76.0</v>
      </c>
    </row>
    <row r="593">
      <c r="A593" s="1">
        <f t="shared" si="1"/>
        <v>589</v>
      </c>
      <c r="B593" s="1" t="s">
        <v>1660</v>
      </c>
      <c r="C593" s="1">
        <f t="shared" si="2"/>
        <v>589</v>
      </c>
      <c r="D593" s="1" t="s">
        <v>1172</v>
      </c>
      <c r="E593" s="1" t="s">
        <v>36</v>
      </c>
      <c r="F593" s="11">
        <f t="shared" si="3"/>
        <v>116.75</v>
      </c>
      <c r="G593" s="11">
        <f t="shared" si="4"/>
        <v>1.796153846</v>
      </c>
      <c r="H593" s="1">
        <v>65.0</v>
      </c>
      <c r="I593" s="1">
        <v>5.0</v>
      </c>
      <c r="J593" s="1">
        <v>11.0</v>
      </c>
      <c r="K593" s="1">
        <v>16.0</v>
      </c>
      <c r="L593" s="1">
        <v>84.0</v>
      </c>
      <c r="M593" s="1">
        <v>2.0</v>
      </c>
      <c r="N593" s="1">
        <v>0.0</v>
      </c>
      <c r="O593" s="1">
        <v>0.0</v>
      </c>
      <c r="P593" s="1">
        <v>0.0</v>
      </c>
      <c r="Q593" s="1">
        <v>27.0</v>
      </c>
      <c r="R593" s="1">
        <v>25.0</v>
      </c>
    </row>
    <row r="594">
      <c r="A594" s="1">
        <f t="shared" si="1"/>
        <v>592</v>
      </c>
      <c r="B594" s="1" t="s">
        <v>1661</v>
      </c>
      <c r="C594" s="1">
        <f t="shared" si="2"/>
        <v>592</v>
      </c>
      <c r="D594" s="1" t="s">
        <v>1036</v>
      </c>
      <c r="E594" s="1" t="s">
        <v>36</v>
      </c>
      <c r="F594" s="11">
        <f t="shared" si="3"/>
        <v>116</v>
      </c>
      <c r="G594" s="11">
        <f t="shared" si="4"/>
        <v>1.633802817</v>
      </c>
      <c r="H594" s="1">
        <v>71.0</v>
      </c>
      <c r="I594" s="1">
        <v>4.0</v>
      </c>
      <c r="J594" s="1">
        <v>8.0</v>
      </c>
      <c r="K594" s="1">
        <v>12.0</v>
      </c>
      <c r="L594" s="1">
        <v>108.0</v>
      </c>
      <c r="M594" s="1">
        <v>0.0</v>
      </c>
      <c r="N594" s="1">
        <v>0.0</v>
      </c>
      <c r="O594" s="1">
        <v>0.0</v>
      </c>
      <c r="P594" s="1">
        <v>0.0</v>
      </c>
      <c r="Q594" s="1">
        <v>32.0</v>
      </c>
      <c r="R594" s="1">
        <v>24.0</v>
      </c>
    </row>
    <row r="595">
      <c r="A595" s="1">
        <f t="shared" si="1"/>
        <v>593</v>
      </c>
      <c r="B595" s="1" t="s">
        <v>1659</v>
      </c>
      <c r="C595" s="1">
        <f t="shared" si="2"/>
        <v>593</v>
      </c>
      <c r="D595" s="1" t="s">
        <v>1097</v>
      </c>
      <c r="E595" s="1" t="s">
        <v>28</v>
      </c>
      <c r="F595" s="11">
        <f t="shared" si="3"/>
        <v>115</v>
      </c>
      <c r="G595" s="11">
        <f t="shared" si="4"/>
        <v>2.12962963</v>
      </c>
      <c r="H595" s="1">
        <v>54.0</v>
      </c>
      <c r="I595" s="1">
        <v>5.0</v>
      </c>
      <c r="J595" s="1">
        <v>8.0</v>
      </c>
      <c r="K595" s="1">
        <v>13.0</v>
      </c>
      <c r="L595" s="1">
        <v>77.0</v>
      </c>
      <c r="M595" s="1">
        <v>1.0</v>
      </c>
      <c r="N595" s="1">
        <v>1.0</v>
      </c>
      <c r="O595" s="1">
        <v>0.0</v>
      </c>
      <c r="P595" s="1">
        <v>0.0</v>
      </c>
      <c r="Q595" s="1">
        <v>50.0</v>
      </c>
      <c r="R595" s="1">
        <v>35.0</v>
      </c>
    </row>
    <row r="596">
      <c r="A596" s="1">
        <f t="shared" si="1"/>
        <v>594</v>
      </c>
      <c r="B596" s="1" t="s">
        <v>1669</v>
      </c>
      <c r="C596" s="1">
        <f t="shared" si="2"/>
        <v>594</v>
      </c>
      <c r="D596" s="1" t="s">
        <v>1146</v>
      </c>
      <c r="E596" s="1" t="s">
        <v>28</v>
      </c>
      <c r="F596" s="11">
        <f t="shared" si="3"/>
        <v>114.75</v>
      </c>
      <c r="G596" s="11">
        <f t="shared" si="4"/>
        <v>2.341836735</v>
      </c>
      <c r="H596" s="1">
        <v>49.0</v>
      </c>
      <c r="I596" s="1">
        <v>7.0</v>
      </c>
      <c r="J596" s="1">
        <v>9.0</v>
      </c>
      <c r="K596" s="1">
        <v>16.0</v>
      </c>
      <c r="L596" s="1">
        <v>92.0</v>
      </c>
      <c r="M596" s="1">
        <v>5.0</v>
      </c>
      <c r="N596" s="1">
        <v>4.0</v>
      </c>
      <c r="O596" s="1">
        <v>0.0</v>
      </c>
      <c r="P596" s="1">
        <v>0.0</v>
      </c>
      <c r="Q596" s="1">
        <v>13.0</v>
      </c>
      <c r="R596" s="1">
        <v>14.0</v>
      </c>
    </row>
    <row r="597">
      <c r="A597" s="1">
        <f t="shared" si="1"/>
        <v>594</v>
      </c>
      <c r="B597" s="1" t="s">
        <v>1644</v>
      </c>
      <c r="C597" s="1">
        <f t="shared" si="2"/>
        <v>594</v>
      </c>
      <c r="D597" s="1" t="s">
        <v>1097</v>
      </c>
      <c r="E597" s="1" t="s">
        <v>66</v>
      </c>
      <c r="F597" s="11">
        <f t="shared" si="3"/>
        <v>114.75</v>
      </c>
      <c r="G597" s="11">
        <f t="shared" si="4"/>
        <v>2.049107143</v>
      </c>
      <c r="H597" s="1">
        <v>56.0</v>
      </c>
      <c r="I597" s="1">
        <v>3.0</v>
      </c>
      <c r="J597" s="1">
        <v>7.0</v>
      </c>
      <c r="K597" s="1">
        <v>10.0</v>
      </c>
      <c r="L597" s="1">
        <v>47.0</v>
      </c>
      <c r="M597" s="1">
        <v>0.0</v>
      </c>
      <c r="N597" s="1">
        <v>0.0</v>
      </c>
      <c r="O597" s="1">
        <v>0.0</v>
      </c>
      <c r="P597" s="1">
        <v>0.0</v>
      </c>
      <c r="Q597" s="1">
        <v>121.0</v>
      </c>
      <c r="R597" s="1">
        <v>53.0</v>
      </c>
    </row>
    <row r="598">
      <c r="A598" s="1">
        <f t="shared" si="1"/>
        <v>596</v>
      </c>
      <c r="B598" s="1" t="s">
        <v>1646</v>
      </c>
      <c r="C598" s="1">
        <f t="shared" si="2"/>
        <v>596</v>
      </c>
      <c r="D598" s="1" t="s">
        <v>1067</v>
      </c>
      <c r="E598" s="1" t="s">
        <v>66</v>
      </c>
      <c r="F598" s="11">
        <f t="shared" si="3"/>
        <v>114.5</v>
      </c>
      <c r="G598" s="11">
        <f t="shared" si="4"/>
        <v>2.792682927</v>
      </c>
      <c r="H598" s="1">
        <v>41.0</v>
      </c>
      <c r="I598" s="1">
        <v>1.0</v>
      </c>
      <c r="J598" s="1">
        <v>6.0</v>
      </c>
      <c r="K598" s="1">
        <v>7.0</v>
      </c>
      <c r="L598" s="1">
        <v>44.0</v>
      </c>
      <c r="M598" s="1">
        <v>0.0</v>
      </c>
      <c r="N598" s="1">
        <v>0.0</v>
      </c>
      <c r="O598" s="1">
        <v>0.0</v>
      </c>
      <c r="P598" s="1">
        <v>0.0</v>
      </c>
      <c r="Q598" s="1">
        <v>106.0</v>
      </c>
      <c r="R598" s="1">
        <v>87.0</v>
      </c>
    </row>
    <row r="599">
      <c r="A599" s="1">
        <f t="shared" si="1"/>
        <v>596</v>
      </c>
      <c r="B599" s="1" t="s">
        <v>1643</v>
      </c>
      <c r="C599" s="1">
        <f t="shared" si="2"/>
        <v>596</v>
      </c>
      <c r="D599" s="1" t="s">
        <v>1044</v>
      </c>
      <c r="E599" s="1" t="s">
        <v>31</v>
      </c>
      <c r="F599" s="11">
        <f t="shared" si="3"/>
        <v>114.5</v>
      </c>
      <c r="G599" s="11">
        <f t="shared" si="4"/>
        <v>1.817460317</v>
      </c>
      <c r="H599" s="1">
        <v>63.0</v>
      </c>
      <c r="I599" s="1">
        <v>5.0</v>
      </c>
      <c r="J599" s="1">
        <v>5.0</v>
      </c>
      <c r="K599" s="1">
        <v>10.0</v>
      </c>
      <c r="L599" s="1">
        <v>60.0</v>
      </c>
      <c r="M599" s="1">
        <v>0.0</v>
      </c>
      <c r="N599" s="1">
        <v>0.0</v>
      </c>
      <c r="O599" s="1">
        <v>0.0</v>
      </c>
      <c r="P599" s="1">
        <v>0.0</v>
      </c>
      <c r="Q599" s="1">
        <v>126.0</v>
      </c>
      <c r="R599" s="1">
        <v>31.0</v>
      </c>
    </row>
    <row r="600">
      <c r="A600" s="1">
        <f t="shared" si="1"/>
        <v>598</v>
      </c>
      <c r="B600" s="1" t="s">
        <v>1662</v>
      </c>
      <c r="C600" s="1">
        <f t="shared" si="2"/>
        <v>598</v>
      </c>
      <c r="D600" s="1" t="s">
        <v>1172</v>
      </c>
      <c r="E600" s="1" t="s">
        <v>31</v>
      </c>
      <c r="F600" s="11">
        <f t="shared" si="3"/>
        <v>114.25</v>
      </c>
      <c r="G600" s="11">
        <f t="shared" si="4"/>
        <v>2.596590909</v>
      </c>
      <c r="H600" s="1">
        <v>44.0</v>
      </c>
      <c r="I600" s="1">
        <v>8.0</v>
      </c>
      <c r="J600" s="1">
        <v>4.0</v>
      </c>
      <c r="K600" s="1">
        <v>12.0</v>
      </c>
      <c r="L600" s="1">
        <v>88.0</v>
      </c>
      <c r="M600" s="1">
        <v>1.0</v>
      </c>
      <c r="N600" s="1">
        <v>0.0</v>
      </c>
      <c r="O600" s="1">
        <v>0.0</v>
      </c>
      <c r="P600" s="1">
        <v>0.0</v>
      </c>
      <c r="Q600" s="1">
        <v>45.0</v>
      </c>
      <c r="R600" s="1">
        <v>22.0</v>
      </c>
    </row>
    <row r="601">
      <c r="A601" s="1">
        <f t="shared" si="1"/>
        <v>599</v>
      </c>
      <c r="B601" s="1" t="s">
        <v>1649</v>
      </c>
      <c r="C601" s="1">
        <f t="shared" si="2"/>
        <v>599</v>
      </c>
      <c r="D601" s="1" t="s">
        <v>1044</v>
      </c>
      <c r="E601" s="1" t="s">
        <v>28</v>
      </c>
      <c r="F601" s="11">
        <f t="shared" si="3"/>
        <v>114</v>
      </c>
      <c r="G601" s="11">
        <f t="shared" si="4"/>
        <v>1.93220339</v>
      </c>
      <c r="H601" s="1">
        <v>59.0</v>
      </c>
      <c r="I601" s="1">
        <v>7.0</v>
      </c>
      <c r="J601" s="1">
        <v>6.0</v>
      </c>
      <c r="K601" s="1">
        <v>13.0</v>
      </c>
      <c r="L601" s="1">
        <v>70.0</v>
      </c>
      <c r="M601" s="1">
        <v>0.0</v>
      </c>
      <c r="N601" s="1">
        <v>0.0</v>
      </c>
      <c r="O601" s="1">
        <v>1.0</v>
      </c>
      <c r="P601" s="1">
        <v>0.0</v>
      </c>
      <c r="Q601" s="1">
        <v>82.0</v>
      </c>
      <c r="R601" s="1">
        <v>14.0</v>
      </c>
    </row>
    <row r="602">
      <c r="A602" s="1">
        <f t="shared" si="1"/>
        <v>600</v>
      </c>
      <c r="B602" s="1" t="s">
        <v>1671</v>
      </c>
      <c r="C602" s="1">
        <f t="shared" si="2"/>
        <v>600</v>
      </c>
      <c r="D602" s="1" t="s">
        <v>1042</v>
      </c>
      <c r="E602" s="1" t="s">
        <v>31</v>
      </c>
      <c r="F602" s="11">
        <f t="shared" si="3"/>
        <v>113.75</v>
      </c>
      <c r="G602" s="11">
        <f t="shared" si="4"/>
        <v>2.774390244</v>
      </c>
      <c r="H602" s="1">
        <v>41.0</v>
      </c>
      <c r="I602" s="1">
        <v>7.0</v>
      </c>
      <c r="J602" s="1">
        <v>13.0</v>
      </c>
      <c r="K602" s="1">
        <v>20.0</v>
      </c>
      <c r="L602" s="1">
        <v>62.0</v>
      </c>
      <c r="M602" s="1">
        <v>0.0</v>
      </c>
      <c r="N602" s="1">
        <v>4.0</v>
      </c>
      <c r="O602" s="1">
        <v>0.0</v>
      </c>
      <c r="P602" s="1">
        <v>0.0</v>
      </c>
      <c r="Q602" s="1">
        <v>13.0</v>
      </c>
      <c r="R602" s="1">
        <v>18.0</v>
      </c>
    </row>
    <row r="603">
      <c r="A603" s="1">
        <f t="shared" si="1"/>
        <v>601</v>
      </c>
      <c r="B603" s="1" t="s">
        <v>1652</v>
      </c>
      <c r="C603" s="1">
        <f t="shared" si="2"/>
        <v>601</v>
      </c>
      <c r="D603" s="1" t="s">
        <v>1038</v>
      </c>
      <c r="E603" s="1" t="s">
        <v>66</v>
      </c>
      <c r="F603" s="11">
        <f t="shared" si="3"/>
        <v>113</v>
      </c>
      <c r="G603" s="11">
        <f t="shared" si="4"/>
        <v>2.973684211</v>
      </c>
      <c r="H603" s="1">
        <v>38.0</v>
      </c>
      <c r="I603" s="1">
        <v>1.0</v>
      </c>
      <c r="J603" s="1">
        <v>9.0</v>
      </c>
      <c r="K603" s="1">
        <v>10.0</v>
      </c>
      <c r="L603" s="1">
        <v>37.0</v>
      </c>
      <c r="M603" s="1">
        <v>0.0</v>
      </c>
      <c r="N603" s="1">
        <v>0.0</v>
      </c>
      <c r="O603" s="1">
        <v>0.0</v>
      </c>
      <c r="P603" s="1">
        <v>1.0</v>
      </c>
      <c r="Q603" s="1">
        <v>88.0</v>
      </c>
      <c r="R603" s="1">
        <v>78.0</v>
      </c>
    </row>
    <row r="604">
      <c r="A604" s="1">
        <f t="shared" si="1"/>
        <v>602</v>
      </c>
      <c r="B604" s="1" t="s">
        <v>1670</v>
      </c>
      <c r="C604" s="1">
        <f t="shared" si="2"/>
        <v>602</v>
      </c>
      <c r="D604" s="1" t="s">
        <v>1067</v>
      </c>
      <c r="E604" s="1" t="s">
        <v>31</v>
      </c>
      <c r="F604" s="11">
        <f t="shared" si="3"/>
        <v>112.25</v>
      </c>
      <c r="G604" s="11">
        <f t="shared" si="4"/>
        <v>4.157407407</v>
      </c>
      <c r="H604" s="1">
        <v>27.0</v>
      </c>
      <c r="I604" s="1">
        <v>9.0</v>
      </c>
      <c r="J604" s="1">
        <v>10.0</v>
      </c>
      <c r="K604" s="1">
        <v>19.0</v>
      </c>
      <c r="L604" s="1">
        <v>56.0</v>
      </c>
      <c r="M604" s="1">
        <v>1.0</v>
      </c>
      <c r="N604" s="1">
        <v>2.0</v>
      </c>
      <c r="O604" s="1">
        <v>0.0</v>
      </c>
      <c r="P604" s="1">
        <v>0.0</v>
      </c>
      <c r="Q604" s="1">
        <v>31.0</v>
      </c>
      <c r="R604" s="1">
        <v>12.0</v>
      </c>
    </row>
    <row r="605">
      <c r="A605" s="1">
        <f t="shared" si="1"/>
        <v>602</v>
      </c>
      <c r="B605" s="1" t="s">
        <v>1653</v>
      </c>
      <c r="C605" s="1">
        <f t="shared" si="2"/>
        <v>602</v>
      </c>
      <c r="D605" s="1" t="s">
        <v>1106</v>
      </c>
      <c r="E605" s="1" t="s">
        <v>31</v>
      </c>
      <c r="F605" s="11">
        <f t="shared" si="3"/>
        <v>112.25</v>
      </c>
      <c r="G605" s="11">
        <f t="shared" si="4"/>
        <v>2.494444444</v>
      </c>
      <c r="H605" s="1">
        <v>45.0</v>
      </c>
      <c r="I605" s="1">
        <v>7.0</v>
      </c>
      <c r="J605" s="1">
        <v>6.0</v>
      </c>
      <c r="K605" s="1">
        <v>13.0</v>
      </c>
      <c r="L605" s="1">
        <v>43.0</v>
      </c>
      <c r="M605" s="1">
        <v>0.0</v>
      </c>
      <c r="N605" s="1">
        <v>0.0</v>
      </c>
      <c r="O605" s="1">
        <v>0.0</v>
      </c>
      <c r="P605" s="1">
        <v>0.0</v>
      </c>
      <c r="Q605" s="1">
        <v>95.0</v>
      </c>
      <c r="R605" s="1">
        <v>35.0</v>
      </c>
    </row>
    <row r="606">
      <c r="A606" s="1">
        <f t="shared" si="1"/>
        <v>604</v>
      </c>
      <c r="B606" s="1" t="s">
        <v>1663</v>
      </c>
      <c r="C606" s="1">
        <f t="shared" si="2"/>
        <v>604</v>
      </c>
      <c r="D606" s="1" t="s">
        <v>1038</v>
      </c>
      <c r="E606" s="1" t="s">
        <v>28</v>
      </c>
      <c r="F606" s="11">
        <f t="shared" si="3"/>
        <v>110.5</v>
      </c>
      <c r="G606" s="11">
        <f t="shared" si="4"/>
        <v>2.166666667</v>
      </c>
      <c r="H606" s="1">
        <v>51.0</v>
      </c>
      <c r="I606" s="1">
        <v>4.0</v>
      </c>
      <c r="J606" s="1">
        <v>12.0</v>
      </c>
      <c r="K606" s="1">
        <v>16.0</v>
      </c>
      <c r="L606" s="1">
        <v>56.0</v>
      </c>
      <c r="M606" s="1">
        <v>0.0</v>
      </c>
      <c r="N606" s="1">
        <v>1.0</v>
      </c>
      <c r="O606" s="1">
        <v>0.0</v>
      </c>
      <c r="P606" s="1">
        <v>0.0</v>
      </c>
      <c r="Q606" s="1">
        <v>82.0</v>
      </c>
      <c r="R606" s="1">
        <v>16.0</v>
      </c>
    </row>
    <row r="607">
      <c r="A607" s="1">
        <f t="shared" si="1"/>
        <v>604</v>
      </c>
      <c r="B607" s="1" t="s">
        <v>1655</v>
      </c>
      <c r="C607" s="1">
        <f t="shared" si="2"/>
        <v>604</v>
      </c>
      <c r="D607" s="1" t="s">
        <v>1175</v>
      </c>
      <c r="E607" s="1" t="s">
        <v>36</v>
      </c>
      <c r="F607" s="11">
        <f t="shared" si="3"/>
        <v>110.5</v>
      </c>
      <c r="G607" s="11">
        <f t="shared" si="4"/>
        <v>2.125</v>
      </c>
      <c r="H607" s="1">
        <v>52.0</v>
      </c>
      <c r="I607" s="1">
        <v>8.0</v>
      </c>
      <c r="J607" s="1">
        <v>6.0</v>
      </c>
      <c r="K607" s="1">
        <v>14.0</v>
      </c>
      <c r="L607" s="1">
        <v>43.0</v>
      </c>
      <c r="M607" s="1">
        <v>0.0</v>
      </c>
      <c r="N607" s="1">
        <v>1.0</v>
      </c>
      <c r="O607" s="1">
        <v>0.0</v>
      </c>
      <c r="P607" s="1">
        <v>0.0</v>
      </c>
      <c r="Q607" s="1">
        <v>108.0</v>
      </c>
      <c r="R607" s="1">
        <v>16.0</v>
      </c>
    </row>
    <row r="608">
      <c r="A608" s="1">
        <f t="shared" si="1"/>
        <v>604</v>
      </c>
      <c r="B608" s="1" t="s">
        <v>1657</v>
      </c>
      <c r="C608" s="1">
        <f t="shared" si="2"/>
        <v>604</v>
      </c>
      <c r="D608" s="1" t="s">
        <v>1069</v>
      </c>
      <c r="E608" s="1" t="s">
        <v>28</v>
      </c>
      <c r="F608" s="11">
        <f t="shared" si="3"/>
        <v>110.5</v>
      </c>
      <c r="G608" s="11">
        <f t="shared" si="4"/>
        <v>1.872881356</v>
      </c>
      <c r="H608" s="1">
        <v>59.0</v>
      </c>
      <c r="I608" s="1">
        <v>6.0</v>
      </c>
      <c r="J608" s="1">
        <v>6.0</v>
      </c>
      <c r="K608" s="1">
        <v>12.0</v>
      </c>
      <c r="L608" s="1">
        <v>57.0</v>
      </c>
      <c r="M608" s="1">
        <v>1.0</v>
      </c>
      <c r="N608" s="1">
        <v>0.0</v>
      </c>
      <c r="O608" s="1">
        <v>0.0</v>
      </c>
      <c r="P608" s="1">
        <v>0.0</v>
      </c>
      <c r="Q608" s="1">
        <v>100.0</v>
      </c>
      <c r="R608" s="1">
        <v>24.0</v>
      </c>
    </row>
    <row r="609">
      <c r="A609" s="1">
        <f t="shared" si="1"/>
        <v>607</v>
      </c>
      <c r="B609" s="1" t="s">
        <v>1676</v>
      </c>
      <c r="C609" s="1">
        <f t="shared" si="2"/>
        <v>607</v>
      </c>
      <c r="D609" s="1" t="s">
        <v>1032</v>
      </c>
      <c r="E609" s="1" t="s">
        <v>5</v>
      </c>
      <c r="F609" s="11">
        <f t="shared" si="3"/>
        <v>110.4</v>
      </c>
      <c r="G609" s="11">
        <f t="shared" si="4"/>
        <v>5.018181818</v>
      </c>
      <c r="H609" s="1">
        <v>22.0</v>
      </c>
      <c r="S609" s="1">
        <v>11.0</v>
      </c>
      <c r="T609" s="1">
        <v>56.0</v>
      </c>
      <c r="U609" s="1">
        <v>518.0</v>
      </c>
      <c r="V609" s="1">
        <v>2.0</v>
      </c>
    </row>
    <row r="610">
      <c r="A610" s="1">
        <f t="shared" si="1"/>
        <v>608</v>
      </c>
      <c r="B610" s="1" t="s">
        <v>1641</v>
      </c>
      <c r="C610" s="1">
        <f t="shared" si="2"/>
        <v>608</v>
      </c>
      <c r="D610" s="1" t="s">
        <v>1038</v>
      </c>
      <c r="E610" s="1" t="s">
        <v>31</v>
      </c>
      <c r="F610" s="11">
        <f t="shared" si="3"/>
        <v>110.25</v>
      </c>
      <c r="G610" s="11">
        <f t="shared" si="4"/>
        <v>1.8375</v>
      </c>
      <c r="H610" s="1">
        <v>60.0</v>
      </c>
      <c r="I610" s="1">
        <v>2.0</v>
      </c>
      <c r="J610" s="1">
        <v>8.0</v>
      </c>
      <c r="K610" s="1">
        <v>10.0</v>
      </c>
      <c r="L610" s="1">
        <v>43.0</v>
      </c>
      <c r="M610" s="1">
        <v>0.0</v>
      </c>
      <c r="N610" s="1">
        <v>0.0</v>
      </c>
      <c r="O610" s="1">
        <v>0.0</v>
      </c>
      <c r="P610" s="1">
        <v>0.0</v>
      </c>
      <c r="Q610" s="1">
        <v>175.0</v>
      </c>
      <c r="R610" s="1">
        <v>24.0</v>
      </c>
    </row>
    <row r="611">
      <c r="A611" s="1">
        <f t="shared" si="1"/>
        <v>609</v>
      </c>
      <c r="B611" s="1" t="s">
        <v>1681</v>
      </c>
      <c r="C611" s="1">
        <f t="shared" si="2"/>
        <v>609</v>
      </c>
      <c r="D611" s="1" t="s">
        <v>1067</v>
      </c>
      <c r="E611" s="1" t="s">
        <v>5</v>
      </c>
      <c r="F611" s="11">
        <f t="shared" si="3"/>
        <v>109.2</v>
      </c>
      <c r="G611" s="11">
        <f t="shared" si="4"/>
        <v>4.747826087</v>
      </c>
      <c r="H611" s="1">
        <v>23.0</v>
      </c>
      <c r="S611" s="1">
        <v>10.0</v>
      </c>
      <c r="T611" s="1">
        <v>67.0</v>
      </c>
      <c r="U611" s="1">
        <v>599.0</v>
      </c>
      <c r="V611" s="1">
        <v>0.0</v>
      </c>
    </row>
    <row r="612">
      <c r="A612" s="1">
        <f t="shared" si="1"/>
        <v>610</v>
      </c>
      <c r="B612" s="1" t="s">
        <v>1667</v>
      </c>
      <c r="C612" s="1">
        <f t="shared" si="2"/>
        <v>610</v>
      </c>
      <c r="D612" s="1" t="s">
        <v>1116</v>
      </c>
      <c r="E612" s="1" t="s">
        <v>66</v>
      </c>
      <c r="F612" s="11">
        <f t="shared" si="3"/>
        <v>108.75</v>
      </c>
      <c r="G612" s="11">
        <f t="shared" si="4"/>
        <v>2.364130435</v>
      </c>
      <c r="H612" s="1">
        <v>46.0</v>
      </c>
      <c r="I612" s="1">
        <v>4.0</v>
      </c>
      <c r="J612" s="1">
        <v>5.0</v>
      </c>
      <c r="K612" s="1">
        <v>9.0</v>
      </c>
      <c r="L612" s="1">
        <v>69.0</v>
      </c>
      <c r="M612" s="1">
        <v>0.0</v>
      </c>
      <c r="N612" s="1">
        <v>1.0</v>
      </c>
      <c r="O612" s="1">
        <v>0.0</v>
      </c>
      <c r="P612" s="1">
        <v>0.0</v>
      </c>
      <c r="Q612" s="1">
        <v>91.0</v>
      </c>
      <c r="R612" s="1">
        <v>37.0</v>
      </c>
    </row>
    <row r="613">
      <c r="A613" s="1">
        <f t="shared" si="1"/>
        <v>611</v>
      </c>
      <c r="B613" s="1" t="s">
        <v>1674</v>
      </c>
      <c r="C613" s="1">
        <f t="shared" si="2"/>
        <v>611</v>
      </c>
      <c r="D613" s="1" t="s">
        <v>1172</v>
      </c>
      <c r="E613" s="1" t="s">
        <v>36</v>
      </c>
      <c r="F613" s="11">
        <f t="shared" si="3"/>
        <v>108</v>
      </c>
      <c r="G613" s="11">
        <f t="shared" si="4"/>
        <v>1.963636364</v>
      </c>
      <c r="H613" s="1">
        <v>55.0</v>
      </c>
      <c r="I613" s="1">
        <v>5.0</v>
      </c>
      <c r="J613" s="1">
        <v>12.0</v>
      </c>
      <c r="K613" s="1">
        <v>17.0</v>
      </c>
      <c r="L613" s="1">
        <v>57.0</v>
      </c>
      <c r="M613" s="1">
        <v>0.0</v>
      </c>
      <c r="N613" s="1">
        <v>0.0</v>
      </c>
      <c r="O613" s="1">
        <v>0.0</v>
      </c>
      <c r="P613" s="1">
        <v>0.0</v>
      </c>
      <c r="Q613" s="1">
        <v>48.0</v>
      </c>
      <c r="R613" s="1">
        <v>18.0</v>
      </c>
    </row>
    <row r="614">
      <c r="A614" s="1">
        <f t="shared" si="1"/>
        <v>612</v>
      </c>
      <c r="B614" s="1" t="s">
        <v>1677</v>
      </c>
      <c r="C614" s="1">
        <f t="shared" si="2"/>
        <v>612</v>
      </c>
      <c r="D614" s="1" t="s">
        <v>1146</v>
      </c>
      <c r="E614" s="1" t="s">
        <v>28</v>
      </c>
      <c r="F614" s="11">
        <f t="shared" si="3"/>
        <v>107.25</v>
      </c>
      <c r="G614" s="11">
        <f t="shared" si="4"/>
        <v>1.81779661</v>
      </c>
      <c r="H614" s="1">
        <v>59.0</v>
      </c>
      <c r="I614" s="1">
        <v>8.0</v>
      </c>
      <c r="J614" s="1">
        <v>8.0</v>
      </c>
      <c r="K614" s="1">
        <v>16.0</v>
      </c>
      <c r="L614" s="1">
        <v>61.0</v>
      </c>
      <c r="M614" s="1">
        <v>2.0</v>
      </c>
      <c r="N614" s="1">
        <v>4.0</v>
      </c>
      <c r="O614" s="1">
        <v>0.0</v>
      </c>
      <c r="P614" s="1">
        <v>0.0</v>
      </c>
      <c r="Q614" s="1">
        <v>31.0</v>
      </c>
      <c r="R614" s="1">
        <v>18.0</v>
      </c>
    </row>
    <row r="615">
      <c r="A615" s="1">
        <f t="shared" si="1"/>
        <v>613</v>
      </c>
      <c r="B615" s="1" t="s">
        <v>1679</v>
      </c>
      <c r="C615" s="1">
        <f t="shared" si="2"/>
        <v>613</v>
      </c>
      <c r="D615" s="1" t="s">
        <v>1042</v>
      </c>
      <c r="E615" s="1" t="s">
        <v>31</v>
      </c>
      <c r="F615" s="11">
        <f t="shared" si="3"/>
        <v>106.75</v>
      </c>
      <c r="G615" s="11">
        <f t="shared" si="4"/>
        <v>2.603658537</v>
      </c>
      <c r="H615" s="1">
        <v>41.0</v>
      </c>
      <c r="I615" s="1">
        <v>6.0</v>
      </c>
      <c r="J615" s="1">
        <v>7.0</v>
      </c>
      <c r="K615" s="1">
        <v>13.0</v>
      </c>
      <c r="L615" s="1">
        <v>82.0</v>
      </c>
      <c r="M615" s="1">
        <v>0.0</v>
      </c>
      <c r="N615" s="1">
        <v>1.0</v>
      </c>
      <c r="O615" s="1">
        <v>0.0</v>
      </c>
      <c r="P615" s="1">
        <v>0.0</v>
      </c>
      <c r="Q615" s="1">
        <v>31.0</v>
      </c>
      <c r="R615" s="1">
        <v>20.0</v>
      </c>
    </row>
    <row r="616">
      <c r="A616" s="1">
        <f t="shared" si="1"/>
        <v>614</v>
      </c>
      <c r="B616" s="1" t="s">
        <v>1684</v>
      </c>
      <c r="C616" s="1">
        <f t="shared" si="2"/>
        <v>614</v>
      </c>
      <c r="D616" s="1" t="s">
        <v>1156</v>
      </c>
      <c r="E616" s="1" t="s">
        <v>36</v>
      </c>
      <c r="F616" s="11">
        <f t="shared" si="3"/>
        <v>106.5</v>
      </c>
      <c r="G616" s="11">
        <f t="shared" si="4"/>
        <v>3.803571429</v>
      </c>
      <c r="H616" s="1">
        <v>28.0</v>
      </c>
      <c r="I616" s="1">
        <v>11.0</v>
      </c>
      <c r="J616" s="1">
        <v>4.0</v>
      </c>
      <c r="K616" s="1">
        <v>15.0</v>
      </c>
      <c r="L616" s="1">
        <v>72.0</v>
      </c>
      <c r="M616" s="1">
        <v>2.0</v>
      </c>
      <c r="N616" s="1">
        <v>0.0</v>
      </c>
      <c r="O616" s="1">
        <v>0.0</v>
      </c>
      <c r="P616" s="1">
        <v>0.0</v>
      </c>
      <c r="Q616" s="1">
        <v>12.0</v>
      </c>
      <c r="R616" s="1">
        <v>12.0</v>
      </c>
    </row>
    <row r="617">
      <c r="A617" s="1">
        <f t="shared" si="1"/>
        <v>615</v>
      </c>
      <c r="B617" s="1" t="s">
        <v>1654</v>
      </c>
      <c r="C617" s="1">
        <f t="shared" si="2"/>
        <v>615</v>
      </c>
      <c r="D617" s="1" t="s">
        <v>1087</v>
      </c>
      <c r="E617" s="1" t="s">
        <v>28</v>
      </c>
      <c r="F617" s="11">
        <f t="shared" si="3"/>
        <v>106.25</v>
      </c>
      <c r="G617" s="11">
        <f t="shared" si="4"/>
        <v>1.864035088</v>
      </c>
      <c r="H617" s="1">
        <v>57.0</v>
      </c>
      <c r="I617" s="1">
        <v>4.0</v>
      </c>
      <c r="J617" s="1">
        <v>4.0</v>
      </c>
      <c r="K617" s="1">
        <v>8.0</v>
      </c>
      <c r="L617" s="1">
        <v>48.0</v>
      </c>
      <c r="M617" s="1">
        <v>0.0</v>
      </c>
      <c r="N617" s="1">
        <v>0.0</v>
      </c>
      <c r="O617" s="1">
        <v>0.0</v>
      </c>
      <c r="P617" s="1">
        <v>0.0</v>
      </c>
      <c r="Q617" s="1">
        <v>151.0</v>
      </c>
      <c r="R617" s="1">
        <v>29.0</v>
      </c>
    </row>
    <row r="618">
      <c r="A618" s="1">
        <f t="shared" si="1"/>
        <v>616</v>
      </c>
      <c r="B618" s="1" t="s">
        <v>1686</v>
      </c>
      <c r="C618" s="1">
        <f t="shared" si="2"/>
        <v>616</v>
      </c>
      <c r="D618" s="1" t="s">
        <v>1042</v>
      </c>
      <c r="E618" s="1" t="s">
        <v>66</v>
      </c>
      <c r="F618" s="11">
        <f t="shared" si="3"/>
        <v>106</v>
      </c>
      <c r="G618" s="11">
        <f t="shared" si="4"/>
        <v>2.585365854</v>
      </c>
      <c r="H618" s="1">
        <v>41.0</v>
      </c>
      <c r="I618" s="1">
        <v>1.0</v>
      </c>
      <c r="J618" s="1">
        <v>14.0</v>
      </c>
      <c r="K618" s="1">
        <v>15.0</v>
      </c>
      <c r="L618" s="1">
        <v>65.0</v>
      </c>
      <c r="M618" s="1">
        <v>0.0</v>
      </c>
      <c r="N618" s="1">
        <v>6.0</v>
      </c>
      <c r="O618" s="1">
        <v>0.0</v>
      </c>
      <c r="P618" s="1">
        <v>0.0</v>
      </c>
      <c r="Q618" s="1">
        <v>14.0</v>
      </c>
      <c r="R618" s="1">
        <v>47.0</v>
      </c>
    </row>
    <row r="619">
      <c r="A619" s="1">
        <f t="shared" si="1"/>
        <v>617</v>
      </c>
      <c r="B619" s="1" t="s">
        <v>1682</v>
      </c>
      <c r="C619" s="1">
        <f t="shared" si="2"/>
        <v>617</v>
      </c>
      <c r="D619" s="1" t="s">
        <v>1038</v>
      </c>
      <c r="E619" s="1" t="s">
        <v>66</v>
      </c>
      <c r="F619" s="11">
        <f t="shared" si="3"/>
        <v>105.75</v>
      </c>
      <c r="G619" s="11">
        <f t="shared" si="4"/>
        <v>2.579268293</v>
      </c>
      <c r="H619" s="1">
        <v>41.0</v>
      </c>
      <c r="I619" s="1">
        <v>4.0</v>
      </c>
      <c r="J619" s="1">
        <v>9.0</v>
      </c>
      <c r="K619" s="1">
        <v>13.0</v>
      </c>
      <c r="L619" s="1">
        <v>43.0</v>
      </c>
      <c r="M619" s="1">
        <v>1.0</v>
      </c>
      <c r="N619" s="1">
        <v>2.0</v>
      </c>
      <c r="O619" s="1">
        <v>0.0</v>
      </c>
      <c r="P619" s="1">
        <v>0.0</v>
      </c>
      <c r="Q619" s="1">
        <v>31.0</v>
      </c>
      <c r="R619" s="1">
        <v>63.0</v>
      </c>
    </row>
    <row r="620">
      <c r="A620" s="1">
        <f t="shared" si="1"/>
        <v>618</v>
      </c>
      <c r="B620" s="1" t="s">
        <v>1678</v>
      </c>
      <c r="C620" s="1">
        <f t="shared" si="2"/>
        <v>618</v>
      </c>
      <c r="D620" s="1" t="s">
        <v>1036</v>
      </c>
      <c r="E620" s="1" t="s">
        <v>31</v>
      </c>
      <c r="F620" s="11">
        <f t="shared" si="3"/>
        <v>104.25</v>
      </c>
      <c r="G620" s="11">
        <f t="shared" si="4"/>
        <v>1.489285714</v>
      </c>
      <c r="H620" s="1">
        <v>70.0</v>
      </c>
      <c r="I620" s="1">
        <v>5.0</v>
      </c>
      <c r="J620" s="1">
        <v>7.0</v>
      </c>
      <c r="K620" s="1">
        <v>12.0</v>
      </c>
      <c r="L620" s="1">
        <v>52.0</v>
      </c>
      <c r="M620" s="1">
        <v>0.0</v>
      </c>
      <c r="N620" s="1">
        <v>0.0</v>
      </c>
      <c r="O620" s="1">
        <v>2.0</v>
      </c>
      <c r="P620" s="1">
        <v>1.0</v>
      </c>
      <c r="Q620" s="1">
        <v>59.0</v>
      </c>
      <c r="R620" s="1">
        <v>28.0</v>
      </c>
    </row>
    <row r="621">
      <c r="A621" s="1">
        <f t="shared" si="1"/>
        <v>619</v>
      </c>
      <c r="B621" s="1" t="s">
        <v>1672</v>
      </c>
      <c r="C621" s="1">
        <f t="shared" si="2"/>
        <v>619</v>
      </c>
      <c r="D621" s="1" t="s">
        <v>1038</v>
      </c>
      <c r="E621" s="1" t="s">
        <v>31</v>
      </c>
      <c r="F621" s="11">
        <f t="shared" si="3"/>
        <v>103.75</v>
      </c>
      <c r="G621" s="11">
        <f t="shared" si="4"/>
        <v>1.995192308</v>
      </c>
      <c r="H621" s="1">
        <v>52.0</v>
      </c>
      <c r="I621" s="1">
        <v>7.0</v>
      </c>
      <c r="J621" s="1">
        <v>3.0</v>
      </c>
      <c r="K621" s="1">
        <v>10.0</v>
      </c>
      <c r="L621" s="1">
        <v>38.0</v>
      </c>
      <c r="M621" s="1">
        <v>0.0</v>
      </c>
      <c r="N621" s="1">
        <v>0.0</v>
      </c>
      <c r="O621" s="1">
        <v>0.0</v>
      </c>
      <c r="P621" s="1">
        <v>0.0</v>
      </c>
      <c r="Q621" s="1">
        <v>109.0</v>
      </c>
      <c r="R621" s="1">
        <v>34.0</v>
      </c>
    </row>
    <row r="622">
      <c r="A622" s="1">
        <f t="shared" si="1"/>
        <v>620</v>
      </c>
      <c r="B622" s="1" t="s">
        <v>1675</v>
      </c>
      <c r="C622" s="1">
        <f t="shared" si="2"/>
        <v>620</v>
      </c>
      <c r="D622" s="1" t="s">
        <v>1087</v>
      </c>
      <c r="E622" s="1" t="s">
        <v>66</v>
      </c>
      <c r="F622" s="11">
        <f t="shared" si="3"/>
        <v>103.5</v>
      </c>
      <c r="G622" s="11">
        <f t="shared" si="4"/>
        <v>2.524390244</v>
      </c>
      <c r="H622" s="1">
        <v>41.0</v>
      </c>
      <c r="I622" s="1">
        <v>0.0</v>
      </c>
      <c r="J622" s="1">
        <v>5.0</v>
      </c>
      <c r="K622" s="1">
        <v>5.0</v>
      </c>
      <c r="L622" s="1">
        <v>36.0</v>
      </c>
      <c r="M622" s="1">
        <v>0.0</v>
      </c>
      <c r="N622" s="1">
        <v>0.0</v>
      </c>
      <c r="O622" s="1">
        <v>0.0</v>
      </c>
      <c r="P622" s="1">
        <v>0.0</v>
      </c>
      <c r="Q622" s="1">
        <v>70.0</v>
      </c>
      <c r="R622" s="1">
        <v>106.0</v>
      </c>
    </row>
    <row r="623">
      <c r="A623" s="1">
        <f t="shared" si="1"/>
        <v>620</v>
      </c>
      <c r="B623" s="1" t="s">
        <v>1687</v>
      </c>
      <c r="C623" s="1">
        <f t="shared" si="2"/>
        <v>620</v>
      </c>
      <c r="D623" s="1" t="s">
        <v>1175</v>
      </c>
      <c r="E623" s="1" t="s">
        <v>66</v>
      </c>
      <c r="F623" s="11">
        <f t="shared" si="3"/>
        <v>103.5</v>
      </c>
      <c r="G623" s="11">
        <f t="shared" si="4"/>
        <v>2.029411765</v>
      </c>
      <c r="H623" s="1">
        <v>51.0</v>
      </c>
      <c r="I623" s="1">
        <v>3.0</v>
      </c>
      <c r="J623" s="1">
        <v>8.0</v>
      </c>
      <c r="K623" s="1">
        <v>11.0</v>
      </c>
      <c r="L623" s="1">
        <v>48.0</v>
      </c>
      <c r="M623" s="1">
        <v>2.0</v>
      </c>
      <c r="N623" s="1">
        <v>2.0</v>
      </c>
      <c r="O623" s="1">
        <v>0.0</v>
      </c>
      <c r="P623" s="1">
        <v>0.0</v>
      </c>
      <c r="Q623" s="1">
        <v>26.0</v>
      </c>
      <c r="R623" s="1">
        <v>71.0</v>
      </c>
    </row>
    <row r="624">
      <c r="A624" s="1">
        <f t="shared" si="1"/>
        <v>622</v>
      </c>
      <c r="B624" s="1" t="s">
        <v>1680</v>
      </c>
      <c r="C624" s="1">
        <f t="shared" si="2"/>
        <v>622</v>
      </c>
      <c r="D624" s="1" t="s">
        <v>1036</v>
      </c>
      <c r="E624" s="1" t="s">
        <v>66</v>
      </c>
      <c r="F624" s="11">
        <f t="shared" si="3"/>
        <v>103</v>
      </c>
      <c r="G624" s="11">
        <f t="shared" si="4"/>
        <v>1.907407407</v>
      </c>
      <c r="H624" s="1">
        <v>54.0</v>
      </c>
      <c r="I624" s="1">
        <v>1.0</v>
      </c>
      <c r="J624" s="1">
        <v>6.0</v>
      </c>
      <c r="K624" s="1">
        <v>7.0</v>
      </c>
      <c r="L624" s="1">
        <v>51.0</v>
      </c>
      <c r="M624" s="1">
        <v>0.0</v>
      </c>
      <c r="N624" s="1">
        <v>0.0</v>
      </c>
      <c r="O624" s="1">
        <v>0.0</v>
      </c>
      <c r="P624" s="1">
        <v>0.0</v>
      </c>
      <c r="Q624" s="1">
        <v>66.0</v>
      </c>
      <c r="R624" s="1">
        <v>77.0</v>
      </c>
    </row>
    <row r="625">
      <c r="A625" s="1">
        <f t="shared" si="1"/>
        <v>623</v>
      </c>
      <c r="B625" s="1" t="s">
        <v>1688</v>
      </c>
      <c r="C625" s="1">
        <f t="shared" si="2"/>
        <v>623</v>
      </c>
      <c r="D625" s="1" t="s">
        <v>1106</v>
      </c>
      <c r="E625" s="1" t="s">
        <v>66</v>
      </c>
      <c r="F625" s="11">
        <f t="shared" si="3"/>
        <v>102.75</v>
      </c>
      <c r="G625" s="11">
        <f t="shared" si="4"/>
        <v>1.902777778</v>
      </c>
      <c r="H625" s="1">
        <v>54.0</v>
      </c>
      <c r="I625" s="1">
        <v>0.0</v>
      </c>
      <c r="J625" s="1">
        <v>17.0</v>
      </c>
      <c r="K625" s="1">
        <v>17.0</v>
      </c>
      <c r="L625" s="1">
        <v>36.0</v>
      </c>
      <c r="M625" s="1">
        <v>0.0</v>
      </c>
      <c r="N625" s="1">
        <v>6.0</v>
      </c>
      <c r="O625" s="1">
        <v>0.0</v>
      </c>
      <c r="P625" s="1">
        <v>0.0</v>
      </c>
      <c r="Q625" s="1">
        <v>29.0</v>
      </c>
      <c r="R625" s="1">
        <v>53.0</v>
      </c>
    </row>
    <row r="626">
      <c r="A626" s="1">
        <f t="shared" si="1"/>
        <v>624</v>
      </c>
      <c r="B626" s="1" t="s">
        <v>1691</v>
      </c>
      <c r="C626" s="1">
        <f t="shared" si="2"/>
        <v>624</v>
      </c>
      <c r="D626" s="1" t="s">
        <v>1076</v>
      </c>
      <c r="E626" s="1" t="s">
        <v>66</v>
      </c>
      <c r="F626" s="11">
        <f t="shared" si="3"/>
        <v>102.5</v>
      </c>
      <c r="G626" s="11">
        <f t="shared" si="4"/>
        <v>5.125</v>
      </c>
      <c r="H626" s="1">
        <v>20.0</v>
      </c>
      <c r="I626" s="1">
        <v>5.0</v>
      </c>
      <c r="J626" s="1">
        <v>11.0</v>
      </c>
      <c r="K626" s="1">
        <v>16.0</v>
      </c>
      <c r="L626" s="1">
        <v>61.0</v>
      </c>
      <c r="M626" s="1">
        <v>4.0</v>
      </c>
      <c r="N626" s="1">
        <v>4.0</v>
      </c>
      <c r="O626" s="1">
        <v>0.0</v>
      </c>
      <c r="P626" s="1">
        <v>0.0</v>
      </c>
      <c r="Q626" s="1">
        <v>18.0</v>
      </c>
      <c r="R626" s="1">
        <v>24.0</v>
      </c>
    </row>
    <row r="627">
      <c r="A627" s="1">
        <f t="shared" si="1"/>
        <v>625</v>
      </c>
      <c r="B627" s="1" t="s">
        <v>1694</v>
      </c>
      <c r="C627" s="1">
        <f t="shared" si="2"/>
        <v>625</v>
      </c>
      <c r="D627" s="1" t="s">
        <v>1065</v>
      </c>
      <c r="E627" s="1" t="s">
        <v>31</v>
      </c>
      <c r="F627" s="11">
        <f t="shared" si="3"/>
        <v>102</v>
      </c>
      <c r="G627" s="11">
        <f t="shared" si="4"/>
        <v>3.290322581</v>
      </c>
      <c r="H627" s="1">
        <v>31.0</v>
      </c>
      <c r="I627" s="1">
        <v>6.0</v>
      </c>
      <c r="J627" s="1">
        <v>9.0</v>
      </c>
      <c r="K627" s="1">
        <v>15.0</v>
      </c>
      <c r="L627" s="1">
        <v>73.0</v>
      </c>
      <c r="M627" s="1">
        <v>1.0</v>
      </c>
      <c r="N627" s="1">
        <v>0.0</v>
      </c>
      <c r="O627" s="1">
        <v>0.0</v>
      </c>
      <c r="P627" s="1">
        <v>0.0</v>
      </c>
      <c r="Q627" s="1">
        <v>16.0</v>
      </c>
      <c r="R627" s="1">
        <v>15.0</v>
      </c>
    </row>
    <row r="628">
      <c r="A628" s="1">
        <f t="shared" si="1"/>
        <v>626</v>
      </c>
      <c r="B628" s="1" t="s">
        <v>1683</v>
      </c>
      <c r="C628" s="1">
        <f t="shared" si="2"/>
        <v>626</v>
      </c>
      <c r="D628" s="1" t="s">
        <v>1038</v>
      </c>
      <c r="E628" s="1" t="s">
        <v>31</v>
      </c>
      <c r="F628" s="11">
        <f t="shared" si="3"/>
        <v>101.75</v>
      </c>
      <c r="G628" s="11">
        <f t="shared" si="4"/>
        <v>2.164893617</v>
      </c>
      <c r="H628" s="1">
        <v>47.0</v>
      </c>
      <c r="I628" s="1">
        <v>6.0</v>
      </c>
      <c r="J628" s="1">
        <v>8.0</v>
      </c>
      <c r="K628" s="1">
        <v>14.0</v>
      </c>
      <c r="L628" s="1">
        <v>51.0</v>
      </c>
      <c r="M628" s="1">
        <v>0.0</v>
      </c>
      <c r="N628" s="1">
        <v>0.0</v>
      </c>
      <c r="O628" s="1">
        <v>0.0</v>
      </c>
      <c r="P628" s="1">
        <v>0.0</v>
      </c>
      <c r="Q628" s="1">
        <v>71.0</v>
      </c>
      <c r="R628" s="1">
        <v>15.0</v>
      </c>
    </row>
    <row r="629">
      <c r="A629" s="1">
        <f t="shared" si="1"/>
        <v>627</v>
      </c>
      <c r="B629" s="1" t="s">
        <v>1072</v>
      </c>
      <c r="C629" s="1">
        <f t="shared" si="2"/>
        <v>627</v>
      </c>
      <c r="D629" s="1" t="s">
        <v>1087</v>
      </c>
      <c r="E629" s="1" t="s">
        <v>66</v>
      </c>
      <c r="F629" s="11">
        <f t="shared" si="3"/>
        <v>100.5</v>
      </c>
      <c r="G629" s="11">
        <f t="shared" si="4"/>
        <v>1.732758621</v>
      </c>
      <c r="H629" s="1">
        <v>58.0</v>
      </c>
      <c r="I629" s="1">
        <v>2.0</v>
      </c>
      <c r="J629" s="1">
        <v>7.0</v>
      </c>
      <c r="K629" s="1">
        <v>9.0</v>
      </c>
      <c r="L629" s="1">
        <v>48.0</v>
      </c>
      <c r="M629" s="1">
        <v>0.0</v>
      </c>
      <c r="N629" s="1">
        <v>2.0</v>
      </c>
      <c r="O629" s="1">
        <v>0.0</v>
      </c>
      <c r="P629" s="1">
        <v>0.0</v>
      </c>
      <c r="Q629" s="1">
        <v>42.0</v>
      </c>
      <c r="R629" s="1">
        <v>72.0</v>
      </c>
    </row>
    <row r="630">
      <c r="A630" s="1">
        <f t="shared" si="1"/>
        <v>628</v>
      </c>
      <c r="B630" s="1" t="s">
        <v>1705</v>
      </c>
      <c r="C630" s="1">
        <f t="shared" si="2"/>
        <v>628</v>
      </c>
      <c r="D630" s="1" t="s">
        <v>1030</v>
      </c>
      <c r="E630" s="1" t="s">
        <v>5</v>
      </c>
      <c r="F630" s="11">
        <f t="shared" si="3"/>
        <v>100.2</v>
      </c>
      <c r="G630" s="11">
        <f t="shared" si="4"/>
        <v>7.157142857</v>
      </c>
      <c r="H630" s="1">
        <v>14.0</v>
      </c>
      <c r="S630" s="1">
        <v>8.0</v>
      </c>
      <c r="T630" s="1">
        <v>30.0</v>
      </c>
      <c r="U630" s="1">
        <v>384.0</v>
      </c>
      <c r="V630" s="1">
        <v>2.0</v>
      </c>
    </row>
    <row r="631">
      <c r="A631" s="1">
        <f t="shared" si="1"/>
        <v>629</v>
      </c>
      <c r="B631" s="1" t="s">
        <v>1690</v>
      </c>
      <c r="C631" s="1">
        <f t="shared" si="2"/>
        <v>629</v>
      </c>
      <c r="D631" s="1" t="s">
        <v>1175</v>
      </c>
      <c r="E631" s="1" t="s">
        <v>31</v>
      </c>
      <c r="F631" s="11">
        <f t="shared" si="3"/>
        <v>99.75</v>
      </c>
      <c r="G631" s="11">
        <f t="shared" si="4"/>
        <v>1.608870968</v>
      </c>
      <c r="H631" s="1">
        <v>62.0</v>
      </c>
      <c r="I631" s="1">
        <v>5.0</v>
      </c>
      <c r="J631" s="1">
        <v>7.0</v>
      </c>
      <c r="K631" s="1">
        <v>12.0</v>
      </c>
      <c r="L631" s="1">
        <v>58.0</v>
      </c>
      <c r="M631" s="1">
        <v>0.0</v>
      </c>
      <c r="N631" s="1">
        <v>0.0</v>
      </c>
      <c r="O631" s="1">
        <v>0.0</v>
      </c>
      <c r="P631" s="1">
        <v>0.0</v>
      </c>
      <c r="Q631" s="1">
        <v>47.0</v>
      </c>
      <c r="R631" s="1">
        <v>31.0</v>
      </c>
    </row>
    <row r="632">
      <c r="A632" s="1">
        <f t="shared" si="1"/>
        <v>630</v>
      </c>
      <c r="B632" s="1" t="s">
        <v>1704</v>
      </c>
      <c r="C632" s="1">
        <f t="shared" si="2"/>
        <v>630</v>
      </c>
      <c r="D632" s="1" t="s">
        <v>1067</v>
      </c>
      <c r="E632" s="1" t="s">
        <v>28</v>
      </c>
      <c r="F632" s="11">
        <f t="shared" si="3"/>
        <v>99</v>
      </c>
      <c r="G632" s="11">
        <f t="shared" si="4"/>
        <v>1.941176471</v>
      </c>
      <c r="H632" s="1">
        <v>51.0</v>
      </c>
      <c r="I632" s="1">
        <v>7.0</v>
      </c>
      <c r="J632" s="1">
        <v>8.0</v>
      </c>
      <c r="K632" s="1">
        <v>15.0</v>
      </c>
      <c r="L632" s="1">
        <v>66.0</v>
      </c>
      <c r="M632" s="1">
        <v>1.0</v>
      </c>
      <c r="N632" s="1">
        <v>2.0</v>
      </c>
      <c r="O632" s="1">
        <v>0.0</v>
      </c>
      <c r="P632" s="1">
        <v>0.0</v>
      </c>
      <c r="Q632" s="1">
        <v>22.0</v>
      </c>
      <c r="R632" s="1">
        <v>10.0</v>
      </c>
    </row>
    <row r="633">
      <c r="A633" s="1">
        <f t="shared" si="1"/>
        <v>631</v>
      </c>
      <c r="B633" s="1" t="s">
        <v>1692</v>
      </c>
      <c r="C633" s="1">
        <f t="shared" si="2"/>
        <v>631</v>
      </c>
      <c r="D633" s="1" t="s">
        <v>1036</v>
      </c>
      <c r="E633" s="1" t="s">
        <v>31</v>
      </c>
      <c r="F633" s="11">
        <f t="shared" si="3"/>
        <v>98.75</v>
      </c>
      <c r="G633" s="11">
        <f t="shared" si="4"/>
        <v>1.39084507</v>
      </c>
      <c r="H633" s="1">
        <v>71.0</v>
      </c>
      <c r="I633" s="1">
        <v>4.0</v>
      </c>
      <c r="J633" s="1">
        <v>8.0</v>
      </c>
      <c r="K633" s="1">
        <v>12.0</v>
      </c>
      <c r="L633" s="1">
        <v>67.0</v>
      </c>
      <c r="M633" s="1">
        <v>0.0</v>
      </c>
      <c r="N633" s="1">
        <v>0.0</v>
      </c>
      <c r="O633" s="1">
        <v>0.0</v>
      </c>
      <c r="P633" s="1">
        <v>0.0</v>
      </c>
      <c r="Q633" s="1">
        <v>55.0</v>
      </c>
      <c r="R633" s="1">
        <v>19.0</v>
      </c>
    </row>
    <row r="634">
      <c r="A634" s="1">
        <f t="shared" si="1"/>
        <v>632</v>
      </c>
      <c r="B634" s="1" t="s">
        <v>1707</v>
      </c>
      <c r="C634" s="1">
        <f t="shared" si="2"/>
        <v>632</v>
      </c>
      <c r="D634" s="1" t="s">
        <v>1156</v>
      </c>
      <c r="E634" s="1" t="s">
        <v>31</v>
      </c>
      <c r="F634" s="11">
        <f t="shared" si="3"/>
        <v>98.5</v>
      </c>
      <c r="G634" s="11">
        <f t="shared" si="4"/>
        <v>2.345238095</v>
      </c>
      <c r="H634" s="1">
        <v>42.0</v>
      </c>
      <c r="I634" s="1">
        <v>6.0</v>
      </c>
      <c r="J634" s="1">
        <v>10.0</v>
      </c>
      <c r="K634" s="1">
        <v>16.0</v>
      </c>
      <c r="L634" s="1">
        <v>62.0</v>
      </c>
      <c r="M634" s="1">
        <v>0.0</v>
      </c>
      <c r="N634" s="1">
        <v>0.0</v>
      </c>
      <c r="O634" s="1">
        <v>0.0</v>
      </c>
      <c r="P634" s="1">
        <v>0.0</v>
      </c>
      <c r="Q634" s="1">
        <v>10.0</v>
      </c>
      <c r="R634" s="1">
        <v>16.0</v>
      </c>
    </row>
    <row r="635">
      <c r="A635" s="1">
        <f t="shared" si="1"/>
        <v>633</v>
      </c>
      <c r="B635" s="1" t="s">
        <v>1685</v>
      </c>
      <c r="C635" s="1">
        <f t="shared" si="2"/>
        <v>633</v>
      </c>
      <c r="D635" s="1" t="s">
        <v>1046</v>
      </c>
      <c r="E635" s="1" t="s">
        <v>28</v>
      </c>
      <c r="F635" s="11">
        <f t="shared" si="3"/>
        <v>98.25</v>
      </c>
      <c r="G635" s="11">
        <f t="shared" si="4"/>
        <v>1.926470588</v>
      </c>
      <c r="H635" s="1">
        <v>51.0</v>
      </c>
      <c r="I635" s="1">
        <v>5.0</v>
      </c>
      <c r="J635" s="1">
        <v>5.0</v>
      </c>
      <c r="K635" s="1">
        <v>10.0</v>
      </c>
      <c r="L635" s="1">
        <v>52.0</v>
      </c>
      <c r="M635" s="1">
        <v>0.0</v>
      </c>
      <c r="N635" s="1">
        <v>0.0</v>
      </c>
      <c r="O635" s="1">
        <v>0.0</v>
      </c>
      <c r="P635" s="1">
        <v>0.0</v>
      </c>
      <c r="Q635" s="1">
        <v>93.0</v>
      </c>
      <c r="R635" s="1">
        <v>23.0</v>
      </c>
    </row>
    <row r="636">
      <c r="A636" s="1">
        <f t="shared" si="1"/>
        <v>633</v>
      </c>
      <c r="B636" s="1" t="s">
        <v>1706</v>
      </c>
      <c r="C636" s="1">
        <f t="shared" si="2"/>
        <v>633</v>
      </c>
      <c r="D636" s="1" t="s">
        <v>1034</v>
      </c>
      <c r="E636" s="1" t="s">
        <v>28</v>
      </c>
      <c r="F636" s="11">
        <f t="shared" si="3"/>
        <v>98.25</v>
      </c>
      <c r="G636" s="11">
        <f t="shared" si="4"/>
        <v>1.723684211</v>
      </c>
      <c r="H636" s="1">
        <v>57.0</v>
      </c>
      <c r="I636" s="1">
        <v>4.0</v>
      </c>
      <c r="J636" s="1">
        <v>11.0</v>
      </c>
      <c r="K636" s="1">
        <v>15.0</v>
      </c>
      <c r="L636" s="1">
        <v>50.0</v>
      </c>
      <c r="M636" s="1">
        <v>0.0</v>
      </c>
      <c r="N636" s="1">
        <v>0.0</v>
      </c>
      <c r="O636" s="1">
        <v>0.0</v>
      </c>
      <c r="P636" s="1">
        <v>0.0</v>
      </c>
      <c r="Q636" s="1">
        <v>19.0</v>
      </c>
      <c r="R636" s="1">
        <v>35.0</v>
      </c>
    </row>
    <row r="637">
      <c r="A637" s="1">
        <f t="shared" si="1"/>
        <v>635</v>
      </c>
      <c r="B637" s="1" t="s">
        <v>1693</v>
      </c>
      <c r="C637" s="1">
        <f t="shared" si="2"/>
        <v>635</v>
      </c>
      <c r="D637" s="1" t="s">
        <v>1042</v>
      </c>
      <c r="E637" s="1" t="s">
        <v>28</v>
      </c>
      <c r="F637" s="11">
        <f t="shared" si="3"/>
        <v>97.75</v>
      </c>
      <c r="G637" s="11">
        <f t="shared" si="4"/>
        <v>2.221590909</v>
      </c>
      <c r="H637" s="1">
        <v>44.0</v>
      </c>
      <c r="I637" s="1">
        <v>8.0</v>
      </c>
      <c r="J637" s="1">
        <v>4.0</v>
      </c>
      <c r="K637" s="1">
        <v>12.0</v>
      </c>
      <c r="L637" s="1">
        <v>54.0</v>
      </c>
      <c r="M637" s="1">
        <v>2.0</v>
      </c>
      <c r="N637" s="1">
        <v>1.0</v>
      </c>
      <c r="O637" s="1">
        <v>0.0</v>
      </c>
      <c r="P637" s="1">
        <v>0.0</v>
      </c>
      <c r="Q637" s="1">
        <v>61.0</v>
      </c>
      <c r="R637" s="1">
        <v>15.0</v>
      </c>
    </row>
    <row r="638">
      <c r="A638" s="1">
        <f t="shared" si="1"/>
        <v>635</v>
      </c>
      <c r="B638" s="1" t="s">
        <v>1703</v>
      </c>
      <c r="C638" s="1">
        <f t="shared" si="2"/>
        <v>635</v>
      </c>
      <c r="D638" s="1" t="s">
        <v>1054</v>
      </c>
      <c r="E638" s="1" t="s">
        <v>66</v>
      </c>
      <c r="F638" s="11">
        <f t="shared" si="3"/>
        <v>97.75</v>
      </c>
      <c r="G638" s="11">
        <f t="shared" si="4"/>
        <v>1.503846154</v>
      </c>
      <c r="H638" s="1">
        <v>65.0</v>
      </c>
      <c r="I638" s="1">
        <v>4.0</v>
      </c>
      <c r="J638" s="1">
        <v>7.0</v>
      </c>
      <c r="K638" s="1">
        <v>11.0</v>
      </c>
      <c r="L638" s="1">
        <v>42.0</v>
      </c>
      <c r="M638" s="1">
        <v>0.0</v>
      </c>
      <c r="N638" s="1">
        <v>0.0</v>
      </c>
      <c r="O638" s="1">
        <v>0.0</v>
      </c>
      <c r="P638" s="1">
        <v>0.0</v>
      </c>
      <c r="Q638" s="1">
        <v>37.0</v>
      </c>
      <c r="R638" s="1">
        <v>57.0</v>
      </c>
    </row>
    <row r="639">
      <c r="A639" s="1">
        <f t="shared" si="1"/>
        <v>637</v>
      </c>
      <c r="B639" s="1" t="s">
        <v>1708</v>
      </c>
      <c r="C639" s="1">
        <f t="shared" si="2"/>
        <v>637</v>
      </c>
      <c r="D639" s="1" t="s">
        <v>1080</v>
      </c>
      <c r="E639" s="1" t="s">
        <v>66</v>
      </c>
      <c r="F639" s="11">
        <f t="shared" si="3"/>
        <v>97.25</v>
      </c>
      <c r="G639" s="11">
        <f t="shared" si="4"/>
        <v>2.37195122</v>
      </c>
      <c r="H639" s="1">
        <v>41.0</v>
      </c>
      <c r="I639" s="1">
        <v>2.0</v>
      </c>
      <c r="J639" s="1">
        <v>8.0</v>
      </c>
      <c r="K639" s="1">
        <v>10.0</v>
      </c>
      <c r="L639" s="1">
        <v>67.0</v>
      </c>
      <c r="M639" s="1">
        <v>0.0</v>
      </c>
      <c r="N639" s="1">
        <v>1.0</v>
      </c>
      <c r="O639" s="1">
        <v>0.0</v>
      </c>
      <c r="P639" s="1">
        <v>0.0</v>
      </c>
      <c r="Q639" s="1">
        <v>15.0</v>
      </c>
      <c r="R639" s="1">
        <v>54.0</v>
      </c>
    </row>
    <row r="640">
      <c r="A640" s="1">
        <f t="shared" si="1"/>
        <v>638</v>
      </c>
      <c r="B640" s="1" t="s">
        <v>1702</v>
      </c>
      <c r="C640" s="1">
        <f t="shared" si="2"/>
        <v>638</v>
      </c>
      <c r="D640" s="1" t="s">
        <v>1044</v>
      </c>
      <c r="E640" s="1" t="s">
        <v>66</v>
      </c>
      <c r="F640" s="11">
        <f t="shared" si="3"/>
        <v>97</v>
      </c>
      <c r="G640" s="11">
        <f t="shared" si="4"/>
        <v>2.020833333</v>
      </c>
      <c r="H640" s="1">
        <v>48.0</v>
      </c>
      <c r="I640" s="1">
        <v>2.0</v>
      </c>
      <c r="J640" s="1">
        <v>4.0</v>
      </c>
      <c r="K640" s="1">
        <v>6.0</v>
      </c>
      <c r="L640" s="1">
        <v>50.0</v>
      </c>
      <c r="M640" s="1">
        <v>0.0</v>
      </c>
      <c r="N640" s="1">
        <v>0.0</v>
      </c>
      <c r="O640" s="1">
        <v>0.0</v>
      </c>
      <c r="P640" s="1">
        <v>0.0</v>
      </c>
      <c r="Q640" s="1">
        <v>54.0</v>
      </c>
      <c r="R640" s="1">
        <v>75.0</v>
      </c>
    </row>
    <row r="641">
      <c r="A641" s="1">
        <f t="shared" si="1"/>
        <v>638</v>
      </c>
      <c r="B641" s="1" t="s">
        <v>1668</v>
      </c>
      <c r="C641" s="1">
        <f t="shared" si="2"/>
        <v>638</v>
      </c>
      <c r="D641" s="1" t="s">
        <v>1106</v>
      </c>
      <c r="E641" s="1" t="s">
        <v>28</v>
      </c>
      <c r="F641" s="11">
        <f t="shared" si="3"/>
        <v>97</v>
      </c>
      <c r="G641" s="11">
        <f t="shared" si="4"/>
        <v>1.830188679</v>
      </c>
      <c r="H641" s="1">
        <v>53.0</v>
      </c>
      <c r="I641" s="1">
        <v>1.0</v>
      </c>
      <c r="J641" s="1">
        <v>6.0</v>
      </c>
      <c r="K641" s="1">
        <v>7.0</v>
      </c>
      <c r="L641" s="1">
        <v>33.0</v>
      </c>
      <c r="M641" s="1">
        <v>0.0</v>
      </c>
      <c r="N641" s="1">
        <v>0.0</v>
      </c>
      <c r="O641" s="1">
        <v>0.0</v>
      </c>
      <c r="P641" s="1">
        <v>0.0</v>
      </c>
      <c r="Q641" s="1">
        <v>194.0</v>
      </c>
      <c r="R641" s="1">
        <v>19.0</v>
      </c>
    </row>
    <row r="642">
      <c r="A642" s="1">
        <f t="shared" si="1"/>
        <v>640</v>
      </c>
      <c r="B642" s="1" t="s">
        <v>1701</v>
      </c>
      <c r="C642" s="1">
        <f t="shared" si="2"/>
        <v>640</v>
      </c>
      <c r="D642" s="1" t="s">
        <v>1065</v>
      </c>
      <c r="E642" s="1" t="s">
        <v>66</v>
      </c>
      <c r="F642" s="11">
        <f t="shared" si="3"/>
        <v>96.25</v>
      </c>
      <c r="G642" s="11">
        <f t="shared" si="4"/>
        <v>2.092391304</v>
      </c>
      <c r="H642" s="1">
        <v>46.0</v>
      </c>
      <c r="I642" s="1">
        <v>3.0</v>
      </c>
      <c r="J642" s="1">
        <v>7.0</v>
      </c>
      <c r="K642" s="1">
        <v>10.0</v>
      </c>
      <c r="L642" s="1">
        <v>29.0</v>
      </c>
      <c r="M642" s="1">
        <v>0.0</v>
      </c>
      <c r="N642" s="1">
        <v>0.0</v>
      </c>
      <c r="O642" s="1">
        <v>0.0</v>
      </c>
      <c r="P642" s="1">
        <v>0.0</v>
      </c>
      <c r="Q642" s="1">
        <v>63.0</v>
      </c>
      <c r="R642" s="1">
        <v>63.0</v>
      </c>
    </row>
    <row r="643">
      <c r="A643" s="1">
        <f t="shared" si="1"/>
        <v>641</v>
      </c>
      <c r="B643" s="1" t="s">
        <v>1689</v>
      </c>
      <c r="C643" s="1">
        <f t="shared" si="2"/>
        <v>641</v>
      </c>
      <c r="D643" s="1" t="s">
        <v>1080</v>
      </c>
      <c r="E643" s="1" t="s">
        <v>28</v>
      </c>
      <c r="F643" s="11">
        <f t="shared" si="3"/>
        <v>96</v>
      </c>
      <c r="G643" s="11">
        <f t="shared" si="4"/>
        <v>2.461538462</v>
      </c>
      <c r="H643" s="1">
        <v>39.0</v>
      </c>
      <c r="I643" s="1">
        <v>6.0</v>
      </c>
      <c r="J643" s="1">
        <v>2.0</v>
      </c>
      <c r="K643" s="1">
        <v>8.0</v>
      </c>
      <c r="L643" s="1">
        <v>65.0</v>
      </c>
      <c r="M643" s="1">
        <v>0.0</v>
      </c>
      <c r="N643" s="1">
        <v>0.0</v>
      </c>
      <c r="O643" s="1">
        <v>0.0</v>
      </c>
      <c r="P643" s="1">
        <v>0.0</v>
      </c>
      <c r="Q643" s="1">
        <v>90.0</v>
      </c>
      <c r="R643" s="1">
        <v>16.0</v>
      </c>
    </row>
    <row r="644">
      <c r="A644" s="1">
        <f t="shared" si="1"/>
        <v>642</v>
      </c>
      <c r="B644" s="1" t="s">
        <v>1673</v>
      </c>
      <c r="C644" s="1">
        <f t="shared" si="2"/>
        <v>642</v>
      </c>
      <c r="D644" s="1" t="s">
        <v>1091</v>
      </c>
      <c r="E644" s="1" t="s">
        <v>28</v>
      </c>
      <c r="F644" s="11">
        <f t="shared" si="3"/>
        <v>95.25</v>
      </c>
      <c r="G644" s="11">
        <f t="shared" si="4"/>
        <v>1.5875</v>
      </c>
      <c r="H644" s="1">
        <v>60.0</v>
      </c>
      <c r="I644" s="1">
        <v>1.0</v>
      </c>
      <c r="J644" s="1">
        <v>3.0</v>
      </c>
      <c r="K644" s="1">
        <v>4.0</v>
      </c>
      <c r="L644" s="1">
        <v>49.0</v>
      </c>
      <c r="M644" s="1">
        <v>0.0</v>
      </c>
      <c r="N644" s="1">
        <v>0.0</v>
      </c>
      <c r="O644" s="1">
        <v>0.0</v>
      </c>
      <c r="P644" s="1">
        <v>0.0</v>
      </c>
      <c r="Q644" s="1">
        <v>187.0</v>
      </c>
      <c r="R644" s="1">
        <v>21.0</v>
      </c>
    </row>
    <row r="645">
      <c r="A645" s="1">
        <f t="shared" si="1"/>
        <v>643</v>
      </c>
      <c r="B645" s="1" t="s">
        <v>1697</v>
      </c>
      <c r="C645" s="1">
        <f t="shared" si="2"/>
        <v>643</v>
      </c>
      <c r="D645" s="1" t="s">
        <v>1032</v>
      </c>
      <c r="E645" s="1" t="s">
        <v>66</v>
      </c>
      <c r="F645" s="11">
        <f t="shared" si="3"/>
        <v>95</v>
      </c>
      <c r="G645" s="11">
        <f t="shared" si="4"/>
        <v>1.79245283</v>
      </c>
      <c r="H645" s="1">
        <v>53.0</v>
      </c>
      <c r="I645" s="1">
        <v>1.0</v>
      </c>
      <c r="J645" s="1">
        <v>5.0</v>
      </c>
      <c r="K645" s="1">
        <v>6.0</v>
      </c>
      <c r="L645" s="1">
        <v>46.0</v>
      </c>
      <c r="M645" s="1">
        <v>0.0</v>
      </c>
      <c r="N645" s="1">
        <v>0.0</v>
      </c>
      <c r="O645" s="1">
        <v>0.0</v>
      </c>
      <c r="P645" s="1">
        <v>0.0</v>
      </c>
      <c r="Q645" s="1">
        <v>80.0</v>
      </c>
      <c r="R645" s="1">
        <v>65.0</v>
      </c>
    </row>
    <row r="646">
      <c r="A646" s="1">
        <f t="shared" si="1"/>
        <v>644</v>
      </c>
      <c r="B646" s="1" t="s">
        <v>1716</v>
      </c>
      <c r="C646" s="1">
        <f t="shared" si="2"/>
        <v>644</v>
      </c>
      <c r="D646" s="1" t="s">
        <v>1078</v>
      </c>
      <c r="E646" s="1" t="s">
        <v>28</v>
      </c>
      <c r="F646" s="11">
        <f t="shared" si="3"/>
        <v>94.5</v>
      </c>
      <c r="G646" s="11">
        <f t="shared" si="4"/>
        <v>5.25</v>
      </c>
      <c r="H646" s="1">
        <v>18.0</v>
      </c>
      <c r="I646" s="1">
        <v>6.0</v>
      </c>
      <c r="J646" s="1">
        <v>9.0</v>
      </c>
      <c r="K646" s="1">
        <v>15.0</v>
      </c>
      <c r="L646" s="1">
        <v>59.0</v>
      </c>
      <c r="M646" s="1">
        <v>1.0</v>
      </c>
      <c r="N646" s="1">
        <v>4.0</v>
      </c>
      <c r="O646" s="1">
        <v>0.0</v>
      </c>
      <c r="P646" s="1">
        <v>0.0</v>
      </c>
      <c r="Q646" s="1">
        <v>8.0</v>
      </c>
      <c r="R646" s="1">
        <v>18.0</v>
      </c>
    </row>
    <row r="647">
      <c r="A647" s="1">
        <f t="shared" si="1"/>
        <v>644</v>
      </c>
      <c r="B647" s="1" t="s">
        <v>1698</v>
      </c>
      <c r="C647" s="1">
        <f t="shared" si="2"/>
        <v>644</v>
      </c>
      <c r="D647" s="1" t="s">
        <v>1038</v>
      </c>
      <c r="E647" s="1" t="s">
        <v>66</v>
      </c>
      <c r="F647" s="11">
        <f t="shared" si="3"/>
        <v>94.5</v>
      </c>
      <c r="G647" s="11">
        <f t="shared" si="4"/>
        <v>2.304878049</v>
      </c>
      <c r="H647" s="1">
        <v>41.0</v>
      </c>
      <c r="I647" s="1">
        <v>0.0</v>
      </c>
      <c r="J647" s="1">
        <v>8.0</v>
      </c>
      <c r="K647" s="1">
        <v>8.0</v>
      </c>
      <c r="L647" s="1">
        <v>32.0</v>
      </c>
      <c r="M647" s="1">
        <v>0.0</v>
      </c>
      <c r="N647" s="1">
        <v>0.0</v>
      </c>
      <c r="O647" s="1">
        <v>0.0</v>
      </c>
      <c r="P647" s="1">
        <v>0.0</v>
      </c>
      <c r="Q647" s="1">
        <v>84.0</v>
      </c>
      <c r="R647" s="1">
        <v>67.0</v>
      </c>
    </row>
    <row r="648">
      <c r="A648" s="1">
        <f t="shared" si="1"/>
        <v>646</v>
      </c>
      <c r="B648" s="1" t="s">
        <v>1712</v>
      </c>
      <c r="C648" s="1">
        <f t="shared" si="2"/>
        <v>646</v>
      </c>
      <c r="D648" s="1" t="s">
        <v>1087</v>
      </c>
      <c r="E648" s="1" t="s">
        <v>36</v>
      </c>
      <c r="F648" s="11">
        <f t="shared" si="3"/>
        <v>94</v>
      </c>
      <c r="G648" s="11">
        <f t="shared" si="4"/>
        <v>2.088888889</v>
      </c>
      <c r="H648" s="1">
        <v>45.0</v>
      </c>
      <c r="I648" s="1">
        <v>4.0</v>
      </c>
      <c r="J648" s="1">
        <v>10.0</v>
      </c>
      <c r="K648" s="1">
        <v>14.0</v>
      </c>
      <c r="L648" s="1">
        <v>41.0</v>
      </c>
      <c r="M648" s="1">
        <v>0.0</v>
      </c>
      <c r="N648" s="1">
        <v>0.0</v>
      </c>
      <c r="O648" s="1">
        <v>0.0</v>
      </c>
      <c r="P648" s="1">
        <v>0.0</v>
      </c>
      <c r="Q648" s="1">
        <v>40.0</v>
      </c>
      <c r="R648" s="1">
        <v>31.0</v>
      </c>
    </row>
    <row r="649">
      <c r="A649" s="1">
        <f t="shared" si="1"/>
        <v>646</v>
      </c>
      <c r="B649" s="1" t="s">
        <v>1695</v>
      </c>
      <c r="C649" s="1">
        <f t="shared" si="2"/>
        <v>646</v>
      </c>
      <c r="D649" s="1" t="s">
        <v>1067</v>
      </c>
      <c r="E649" s="1" t="s">
        <v>28</v>
      </c>
      <c r="F649" s="11">
        <f t="shared" si="3"/>
        <v>94</v>
      </c>
      <c r="G649" s="11">
        <f t="shared" si="4"/>
        <v>2</v>
      </c>
      <c r="H649" s="1">
        <v>47.0</v>
      </c>
      <c r="I649" s="1">
        <v>3.0</v>
      </c>
      <c r="J649" s="1">
        <v>7.0</v>
      </c>
      <c r="K649" s="1">
        <v>10.0</v>
      </c>
      <c r="L649" s="1">
        <v>61.0</v>
      </c>
      <c r="M649" s="1">
        <v>0.0</v>
      </c>
      <c r="N649" s="1">
        <v>0.0</v>
      </c>
      <c r="O649" s="1">
        <v>0.0</v>
      </c>
      <c r="P649" s="1">
        <v>0.0</v>
      </c>
      <c r="Q649" s="1">
        <v>94.0</v>
      </c>
      <c r="R649" s="1">
        <v>11.0</v>
      </c>
    </row>
    <row r="650">
      <c r="A650" s="1">
        <f t="shared" si="1"/>
        <v>648</v>
      </c>
      <c r="B650" s="1" t="s">
        <v>1700</v>
      </c>
      <c r="C650" s="1">
        <f t="shared" si="2"/>
        <v>648</v>
      </c>
      <c r="D650" s="1" t="s">
        <v>1036</v>
      </c>
      <c r="E650" s="1" t="s">
        <v>31</v>
      </c>
      <c r="F650" s="11">
        <f t="shared" si="3"/>
        <v>93.75</v>
      </c>
      <c r="G650" s="11">
        <f t="shared" si="4"/>
        <v>2.467105263</v>
      </c>
      <c r="H650" s="1">
        <v>38.0</v>
      </c>
      <c r="I650" s="1">
        <v>6.0</v>
      </c>
      <c r="J650" s="1">
        <v>3.0</v>
      </c>
      <c r="K650" s="1">
        <v>9.0</v>
      </c>
      <c r="L650" s="1">
        <v>56.0</v>
      </c>
      <c r="M650" s="1">
        <v>1.0</v>
      </c>
      <c r="N650" s="1">
        <v>0.0</v>
      </c>
      <c r="O650" s="1">
        <v>0.0</v>
      </c>
      <c r="P650" s="1">
        <v>0.0</v>
      </c>
      <c r="Q650" s="1">
        <v>91.0</v>
      </c>
      <c r="R650" s="1">
        <v>14.0</v>
      </c>
    </row>
    <row r="651">
      <c r="A651" s="1">
        <f t="shared" si="1"/>
        <v>649</v>
      </c>
      <c r="B651" s="1" t="s">
        <v>1699</v>
      </c>
      <c r="C651" s="1">
        <f t="shared" si="2"/>
        <v>649</v>
      </c>
      <c r="D651" s="1" t="s">
        <v>1175</v>
      </c>
      <c r="E651" s="1" t="s">
        <v>66</v>
      </c>
      <c r="F651" s="11">
        <f t="shared" si="3"/>
        <v>93.5</v>
      </c>
      <c r="G651" s="11">
        <f t="shared" si="4"/>
        <v>3.116666667</v>
      </c>
      <c r="H651" s="1">
        <v>30.0</v>
      </c>
      <c r="I651" s="1">
        <v>1.0</v>
      </c>
      <c r="J651" s="1">
        <v>9.0</v>
      </c>
      <c r="K651" s="1">
        <v>10.0</v>
      </c>
      <c r="L651" s="1">
        <v>31.0</v>
      </c>
      <c r="M651" s="1">
        <v>0.0</v>
      </c>
      <c r="N651" s="1">
        <v>1.0</v>
      </c>
      <c r="O651" s="1">
        <v>0.0</v>
      </c>
      <c r="P651" s="1">
        <v>0.0</v>
      </c>
      <c r="Q651" s="1">
        <v>94.0</v>
      </c>
      <c r="R651" s="1">
        <v>46.0</v>
      </c>
    </row>
    <row r="652">
      <c r="A652" s="1">
        <f t="shared" si="1"/>
        <v>650</v>
      </c>
      <c r="B652" s="1" t="s">
        <v>1714</v>
      </c>
      <c r="C652" s="1">
        <f t="shared" si="2"/>
        <v>650</v>
      </c>
      <c r="D652" s="1" t="s">
        <v>1175</v>
      </c>
      <c r="E652" s="1" t="s">
        <v>36</v>
      </c>
      <c r="F652" s="11">
        <f t="shared" si="3"/>
        <v>92.75</v>
      </c>
      <c r="G652" s="11">
        <f t="shared" si="4"/>
        <v>2.016304348</v>
      </c>
      <c r="H652" s="1">
        <v>46.0</v>
      </c>
      <c r="I652" s="1">
        <v>4.0</v>
      </c>
      <c r="J652" s="1">
        <v>9.0</v>
      </c>
      <c r="K652" s="1">
        <v>13.0</v>
      </c>
      <c r="L652" s="1">
        <v>67.0</v>
      </c>
      <c r="M652" s="1">
        <v>0.0</v>
      </c>
      <c r="N652" s="1">
        <v>2.0</v>
      </c>
      <c r="O652" s="1">
        <v>0.0</v>
      </c>
      <c r="P652" s="1">
        <v>0.0</v>
      </c>
      <c r="Q652" s="1">
        <v>27.0</v>
      </c>
      <c r="R652" s="1">
        <v>15.0</v>
      </c>
    </row>
    <row r="653">
      <c r="A653" s="1">
        <f t="shared" si="1"/>
        <v>651</v>
      </c>
      <c r="B653" s="1" t="s">
        <v>1721</v>
      </c>
      <c r="C653" s="1">
        <f t="shared" si="2"/>
        <v>651</v>
      </c>
      <c r="D653" s="1" t="s">
        <v>1172</v>
      </c>
      <c r="E653" s="1" t="s">
        <v>5</v>
      </c>
      <c r="F653" s="11">
        <f t="shared" si="3"/>
        <v>92.4</v>
      </c>
      <c r="G653" s="11">
        <f t="shared" si="4"/>
        <v>2.8875</v>
      </c>
      <c r="H653" s="1">
        <v>32.0</v>
      </c>
      <c r="S653" s="1">
        <v>5.0</v>
      </c>
      <c r="T653" s="1">
        <v>114.0</v>
      </c>
      <c r="U653" s="1">
        <v>828.0</v>
      </c>
      <c r="V653" s="1">
        <v>0.0</v>
      </c>
    </row>
    <row r="654">
      <c r="A654" s="1">
        <f t="shared" si="1"/>
        <v>652</v>
      </c>
      <c r="B654" s="1" t="s">
        <v>1718</v>
      </c>
      <c r="C654" s="1">
        <f t="shared" si="2"/>
        <v>652</v>
      </c>
      <c r="D654" s="1" t="s">
        <v>1091</v>
      </c>
      <c r="E654" s="1" t="s">
        <v>66</v>
      </c>
      <c r="F654" s="11">
        <f t="shared" si="3"/>
        <v>92</v>
      </c>
      <c r="G654" s="11">
        <f t="shared" si="4"/>
        <v>2.705882353</v>
      </c>
      <c r="H654" s="1">
        <v>34.0</v>
      </c>
      <c r="I654" s="1">
        <v>3.0</v>
      </c>
      <c r="J654" s="1">
        <v>7.0</v>
      </c>
      <c r="K654" s="1">
        <v>10.0</v>
      </c>
      <c r="L654" s="1">
        <v>55.0</v>
      </c>
      <c r="M654" s="1">
        <v>1.0</v>
      </c>
      <c r="N654" s="1">
        <v>1.0</v>
      </c>
      <c r="O654" s="1">
        <v>0.0</v>
      </c>
      <c r="P654" s="1">
        <v>1.0</v>
      </c>
      <c r="Q654" s="1">
        <v>26.0</v>
      </c>
      <c r="R654" s="1">
        <v>43.0</v>
      </c>
    </row>
    <row r="655">
      <c r="A655" s="1">
        <f t="shared" si="1"/>
        <v>653</v>
      </c>
      <c r="B655" s="1" t="s">
        <v>1709</v>
      </c>
      <c r="C655" s="1">
        <f t="shared" si="2"/>
        <v>653</v>
      </c>
      <c r="D655" s="1" t="s">
        <v>1106</v>
      </c>
      <c r="E655" s="1" t="s">
        <v>66</v>
      </c>
      <c r="F655" s="11">
        <f t="shared" si="3"/>
        <v>91.75</v>
      </c>
      <c r="G655" s="11">
        <f t="shared" si="4"/>
        <v>1.411538462</v>
      </c>
      <c r="H655" s="1">
        <v>65.0</v>
      </c>
      <c r="I655" s="1">
        <v>2.0</v>
      </c>
      <c r="J655" s="1">
        <v>6.0</v>
      </c>
      <c r="K655" s="1">
        <v>8.0</v>
      </c>
      <c r="L655" s="1">
        <v>42.0</v>
      </c>
      <c r="M655" s="1">
        <v>0.0</v>
      </c>
      <c r="N655" s="1">
        <v>0.0</v>
      </c>
      <c r="O655" s="1">
        <v>1.0</v>
      </c>
      <c r="P655" s="1">
        <v>0.0</v>
      </c>
      <c r="Q655" s="1">
        <v>69.0</v>
      </c>
      <c r="R655" s="1">
        <v>49.0</v>
      </c>
    </row>
    <row r="656">
      <c r="A656" s="1">
        <f t="shared" si="1"/>
        <v>654</v>
      </c>
      <c r="B656" s="1" t="s">
        <v>1710</v>
      </c>
      <c r="C656" s="1">
        <f t="shared" si="2"/>
        <v>654</v>
      </c>
      <c r="D656" s="1" t="s">
        <v>1172</v>
      </c>
      <c r="E656" s="1" t="s">
        <v>66</v>
      </c>
      <c r="F656" s="11">
        <f t="shared" si="3"/>
        <v>91.5</v>
      </c>
      <c r="G656" s="11">
        <f t="shared" si="4"/>
        <v>2.407894737</v>
      </c>
      <c r="H656" s="1">
        <v>38.0</v>
      </c>
      <c r="I656" s="1">
        <v>2.0</v>
      </c>
      <c r="J656" s="1">
        <v>5.0</v>
      </c>
      <c r="K656" s="1">
        <v>7.0</v>
      </c>
      <c r="L656" s="1">
        <v>31.0</v>
      </c>
      <c r="M656" s="1">
        <v>0.0</v>
      </c>
      <c r="N656" s="1">
        <v>2.0</v>
      </c>
      <c r="O656" s="1">
        <v>0.0</v>
      </c>
      <c r="P656" s="1">
        <v>0.0</v>
      </c>
      <c r="Q656" s="1">
        <v>68.0</v>
      </c>
      <c r="R656" s="1">
        <v>70.0</v>
      </c>
    </row>
    <row r="657">
      <c r="A657" s="1">
        <f t="shared" si="1"/>
        <v>655</v>
      </c>
      <c r="B657" s="1" t="s">
        <v>1715</v>
      </c>
      <c r="C657" s="1">
        <f t="shared" si="2"/>
        <v>655</v>
      </c>
      <c r="D657" s="1" t="s">
        <v>1052</v>
      </c>
      <c r="E657" s="1" t="s">
        <v>66</v>
      </c>
      <c r="F657" s="11">
        <f t="shared" si="3"/>
        <v>90.75</v>
      </c>
      <c r="G657" s="11">
        <f t="shared" si="4"/>
        <v>1.745192308</v>
      </c>
      <c r="H657" s="1">
        <v>52.0</v>
      </c>
      <c r="I657" s="1">
        <v>2.0</v>
      </c>
      <c r="J657" s="1">
        <v>9.0</v>
      </c>
      <c r="K657" s="1">
        <v>11.0</v>
      </c>
      <c r="L657" s="1">
        <v>42.0</v>
      </c>
      <c r="M657" s="1">
        <v>0.0</v>
      </c>
      <c r="N657" s="1">
        <v>0.0</v>
      </c>
      <c r="O657" s="1">
        <v>0.0</v>
      </c>
      <c r="P657" s="1">
        <v>0.0</v>
      </c>
      <c r="Q657" s="1">
        <v>47.0</v>
      </c>
      <c r="R657" s="1">
        <v>44.0</v>
      </c>
    </row>
    <row r="658">
      <c r="A658" s="1">
        <f t="shared" si="1"/>
        <v>656</v>
      </c>
      <c r="B658" s="1" t="s">
        <v>1711</v>
      </c>
      <c r="C658" s="1">
        <f t="shared" si="2"/>
        <v>656</v>
      </c>
      <c r="D658" s="1" t="s">
        <v>1030</v>
      </c>
      <c r="E658" s="1" t="s">
        <v>36</v>
      </c>
      <c r="F658" s="11">
        <f t="shared" si="3"/>
        <v>90.5</v>
      </c>
      <c r="G658" s="11">
        <f t="shared" si="4"/>
        <v>1.616071429</v>
      </c>
      <c r="H658" s="1">
        <v>56.0</v>
      </c>
      <c r="I658" s="1">
        <v>3.0</v>
      </c>
      <c r="J658" s="1">
        <v>6.0</v>
      </c>
      <c r="K658" s="1">
        <v>9.0</v>
      </c>
      <c r="L658" s="1">
        <v>48.0</v>
      </c>
      <c r="M658" s="1">
        <v>0.0</v>
      </c>
      <c r="N658" s="1">
        <v>0.0</v>
      </c>
      <c r="O658" s="1">
        <v>0.0</v>
      </c>
      <c r="P658" s="1">
        <v>0.0</v>
      </c>
      <c r="Q658" s="1">
        <v>78.0</v>
      </c>
      <c r="R658" s="1">
        <v>31.0</v>
      </c>
    </row>
    <row r="659">
      <c r="A659" s="1">
        <f t="shared" si="1"/>
        <v>657</v>
      </c>
      <c r="B659" s="1" t="s">
        <v>1717</v>
      </c>
      <c r="C659" s="1">
        <f t="shared" si="2"/>
        <v>657</v>
      </c>
      <c r="D659" s="1" t="s">
        <v>1054</v>
      </c>
      <c r="E659" s="1" t="s">
        <v>66</v>
      </c>
      <c r="F659" s="11">
        <f t="shared" si="3"/>
        <v>90.25</v>
      </c>
      <c r="G659" s="11">
        <f t="shared" si="4"/>
        <v>1.920212766</v>
      </c>
      <c r="H659" s="1">
        <v>47.0</v>
      </c>
      <c r="I659" s="1">
        <v>3.0</v>
      </c>
      <c r="J659" s="1">
        <v>5.0</v>
      </c>
      <c r="K659" s="1">
        <v>8.0</v>
      </c>
      <c r="L659" s="1">
        <v>42.0</v>
      </c>
      <c r="M659" s="1">
        <v>0.0</v>
      </c>
      <c r="N659" s="1">
        <v>0.0</v>
      </c>
      <c r="O659" s="1">
        <v>0.0</v>
      </c>
      <c r="P659" s="1">
        <v>0.0</v>
      </c>
      <c r="Q659" s="1">
        <v>45.0</v>
      </c>
      <c r="R659" s="1">
        <v>59.0</v>
      </c>
    </row>
    <row r="660">
      <c r="A660" s="1">
        <f t="shared" si="1"/>
        <v>658</v>
      </c>
      <c r="B660" s="1" t="s">
        <v>1728</v>
      </c>
      <c r="C660" s="1">
        <f t="shared" si="2"/>
        <v>658</v>
      </c>
      <c r="D660" s="1" t="s">
        <v>1076</v>
      </c>
      <c r="E660" s="1" t="s">
        <v>5</v>
      </c>
      <c r="F660" s="11">
        <f t="shared" si="3"/>
        <v>89.4</v>
      </c>
      <c r="G660" s="11">
        <f t="shared" si="4"/>
        <v>4.257142857</v>
      </c>
      <c r="H660" s="1">
        <v>21.0</v>
      </c>
      <c r="S660" s="1">
        <v>9.0</v>
      </c>
      <c r="T660" s="1">
        <v>60.0</v>
      </c>
      <c r="U660" s="1">
        <v>508.0</v>
      </c>
      <c r="V660" s="1">
        <v>0.0</v>
      </c>
    </row>
    <row r="661">
      <c r="A661" s="1">
        <f t="shared" si="1"/>
        <v>659</v>
      </c>
      <c r="B661" s="1" t="s">
        <v>1727</v>
      </c>
      <c r="C661" s="1">
        <f t="shared" si="2"/>
        <v>659</v>
      </c>
      <c r="D661" s="1" t="s">
        <v>1042</v>
      </c>
      <c r="E661" s="1" t="s">
        <v>31</v>
      </c>
      <c r="F661" s="11">
        <f t="shared" si="3"/>
        <v>89</v>
      </c>
      <c r="G661" s="11">
        <f t="shared" si="4"/>
        <v>2.78125</v>
      </c>
      <c r="H661" s="1">
        <v>32.0</v>
      </c>
      <c r="I661" s="1">
        <v>7.0</v>
      </c>
      <c r="J661" s="1">
        <v>8.0</v>
      </c>
      <c r="K661" s="1">
        <v>15.0</v>
      </c>
      <c r="L661" s="1">
        <v>48.0</v>
      </c>
      <c r="M661" s="1">
        <v>0.0</v>
      </c>
      <c r="N661" s="1">
        <v>1.0</v>
      </c>
      <c r="O661" s="1">
        <v>1.0</v>
      </c>
      <c r="P661" s="1">
        <v>0.0</v>
      </c>
      <c r="Q661" s="1">
        <v>8.0</v>
      </c>
      <c r="R661" s="1">
        <v>11.0</v>
      </c>
    </row>
    <row r="662">
      <c r="A662" s="1">
        <f t="shared" si="1"/>
        <v>660</v>
      </c>
      <c r="B662" s="1" t="s">
        <v>1719</v>
      </c>
      <c r="C662" s="1">
        <f t="shared" si="2"/>
        <v>660</v>
      </c>
      <c r="D662" s="1" t="s">
        <v>1111</v>
      </c>
      <c r="E662" s="1" t="s">
        <v>66</v>
      </c>
      <c r="F662" s="11">
        <f t="shared" si="3"/>
        <v>88</v>
      </c>
      <c r="G662" s="11">
        <f t="shared" si="4"/>
        <v>1.76</v>
      </c>
      <c r="H662" s="1">
        <v>50.0</v>
      </c>
      <c r="I662" s="1">
        <v>2.0</v>
      </c>
      <c r="J662" s="1">
        <v>5.0</v>
      </c>
      <c r="K662" s="1">
        <v>7.0</v>
      </c>
      <c r="L662" s="1">
        <v>38.0</v>
      </c>
      <c r="M662" s="1">
        <v>0.0</v>
      </c>
      <c r="N662" s="1">
        <v>0.0</v>
      </c>
      <c r="O662" s="1">
        <v>0.0</v>
      </c>
      <c r="P662" s="1">
        <v>0.0</v>
      </c>
      <c r="Q662" s="1">
        <v>52.0</v>
      </c>
      <c r="R662" s="1">
        <v>64.0</v>
      </c>
    </row>
    <row r="663">
      <c r="A663" s="1">
        <f t="shared" si="1"/>
        <v>661</v>
      </c>
      <c r="B663" s="1" t="s">
        <v>1720</v>
      </c>
      <c r="C663" s="1">
        <f t="shared" si="2"/>
        <v>661</v>
      </c>
      <c r="D663" s="1" t="s">
        <v>1065</v>
      </c>
      <c r="E663" s="1" t="s">
        <v>28</v>
      </c>
      <c r="F663" s="11">
        <f t="shared" si="3"/>
        <v>87.75</v>
      </c>
      <c r="G663" s="11">
        <f t="shared" si="4"/>
        <v>1.907608696</v>
      </c>
      <c r="H663" s="1">
        <v>46.0</v>
      </c>
      <c r="I663" s="1">
        <v>5.0</v>
      </c>
      <c r="J663" s="1">
        <v>6.0</v>
      </c>
      <c r="K663" s="1">
        <v>11.0</v>
      </c>
      <c r="L663" s="1">
        <v>38.0</v>
      </c>
      <c r="M663" s="1">
        <v>0.0</v>
      </c>
      <c r="N663" s="1">
        <v>1.0</v>
      </c>
      <c r="O663" s="1">
        <v>1.0</v>
      </c>
      <c r="P663" s="1">
        <v>0.0</v>
      </c>
      <c r="Q663" s="1">
        <v>51.0</v>
      </c>
      <c r="R663" s="1">
        <v>27.0</v>
      </c>
    </row>
    <row r="664">
      <c r="A664" s="1">
        <f t="shared" si="1"/>
        <v>662</v>
      </c>
      <c r="B664" s="1" t="s">
        <v>1730</v>
      </c>
      <c r="C664" s="1">
        <f t="shared" si="2"/>
        <v>662</v>
      </c>
      <c r="D664" s="1" t="s">
        <v>1085</v>
      </c>
      <c r="E664" s="1" t="s">
        <v>31</v>
      </c>
      <c r="F664" s="11">
        <f t="shared" si="3"/>
        <v>87</v>
      </c>
      <c r="G664" s="11">
        <f t="shared" si="4"/>
        <v>3.625</v>
      </c>
      <c r="H664" s="1">
        <v>24.0</v>
      </c>
      <c r="I664" s="1">
        <v>6.0</v>
      </c>
      <c r="J664" s="1">
        <v>8.0</v>
      </c>
      <c r="K664" s="1">
        <v>14.0</v>
      </c>
      <c r="L664" s="1">
        <v>51.0</v>
      </c>
      <c r="M664" s="1">
        <v>1.0</v>
      </c>
      <c r="N664" s="1">
        <v>1.0</v>
      </c>
      <c r="O664" s="1">
        <v>0.0</v>
      </c>
      <c r="P664" s="1">
        <v>0.0</v>
      </c>
      <c r="Q664" s="1">
        <v>20.0</v>
      </c>
      <c r="R664" s="1">
        <v>11.0</v>
      </c>
    </row>
    <row r="665">
      <c r="A665" s="1">
        <f t="shared" si="1"/>
        <v>663</v>
      </c>
      <c r="B665" s="1" t="s">
        <v>1696</v>
      </c>
      <c r="C665" s="1">
        <f t="shared" si="2"/>
        <v>663</v>
      </c>
      <c r="D665" s="1" t="s">
        <v>1032</v>
      </c>
      <c r="E665" s="1" t="s">
        <v>36</v>
      </c>
      <c r="F665" s="11">
        <f t="shared" si="3"/>
        <v>86.75</v>
      </c>
      <c r="G665" s="11">
        <f t="shared" si="4"/>
        <v>1.770408163</v>
      </c>
      <c r="H665" s="1">
        <v>49.0</v>
      </c>
      <c r="I665" s="1">
        <v>4.0</v>
      </c>
      <c r="J665" s="1">
        <v>2.0</v>
      </c>
      <c r="K665" s="1">
        <v>6.0</v>
      </c>
      <c r="L665" s="1">
        <v>26.0</v>
      </c>
      <c r="M665" s="1">
        <v>0.0</v>
      </c>
      <c r="N665" s="1">
        <v>0.0</v>
      </c>
      <c r="O665" s="1">
        <v>0.0</v>
      </c>
      <c r="P665" s="1">
        <v>0.0</v>
      </c>
      <c r="Q665" s="1">
        <v>165.0</v>
      </c>
      <c r="R665" s="1">
        <v>17.0</v>
      </c>
    </row>
    <row r="666">
      <c r="A666" s="1">
        <f t="shared" si="1"/>
        <v>664</v>
      </c>
      <c r="B666" s="1" t="s">
        <v>1734</v>
      </c>
      <c r="C666" s="1">
        <f t="shared" si="2"/>
        <v>664</v>
      </c>
      <c r="D666" s="1" t="s">
        <v>1120</v>
      </c>
      <c r="E666" s="1" t="s">
        <v>5</v>
      </c>
      <c r="F666" s="11">
        <f t="shared" si="3"/>
        <v>85.8</v>
      </c>
      <c r="G666" s="11">
        <f t="shared" si="4"/>
        <v>4.515789474</v>
      </c>
      <c r="H666" s="1">
        <v>19.0</v>
      </c>
      <c r="S666" s="1">
        <v>9.0</v>
      </c>
      <c r="T666" s="1">
        <v>60.0</v>
      </c>
      <c r="U666" s="1">
        <v>496.0</v>
      </c>
      <c r="V666" s="1">
        <v>0.0</v>
      </c>
    </row>
    <row r="667">
      <c r="A667" s="1">
        <f t="shared" si="1"/>
        <v>665</v>
      </c>
      <c r="B667" s="1" t="s">
        <v>1723</v>
      </c>
      <c r="C667" s="1">
        <f t="shared" si="2"/>
        <v>665</v>
      </c>
      <c r="D667" s="1" t="s">
        <v>1146</v>
      </c>
      <c r="E667" s="1" t="s">
        <v>66</v>
      </c>
      <c r="F667" s="11">
        <f t="shared" si="3"/>
        <v>85</v>
      </c>
      <c r="G667" s="11">
        <f t="shared" si="4"/>
        <v>2.361111111</v>
      </c>
      <c r="H667" s="1">
        <v>36.0</v>
      </c>
      <c r="I667" s="1">
        <v>1.0</v>
      </c>
      <c r="J667" s="1">
        <v>8.0</v>
      </c>
      <c r="K667" s="1">
        <v>9.0</v>
      </c>
      <c r="L667" s="1">
        <v>44.0</v>
      </c>
      <c r="M667" s="1">
        <v>0.0</v>
      </c>
      <c r="N667" s="1">
        <v>5.0</v>
      </c>
      <c r="O667" s="1">
        <v>0.0</v>
      </c>
      <c r="P667" s="1">
        <v>0.0</v>
      </c>
      <c r="Q667" s="1">
        <v>62.0</v>
      </c>
      <c r="R667" s="1">
        <v>38.0</v>
      </c>
    </row>
    <row r="668">
      <c r="A668" s="1">
        <f t="shared" si="1"/>
        <v>666</v>
      </c>
      <c r="B668" s="1" t="s">
        <v>1725</v>
      </c>
      <c r="C668" s="1">
        <f t="shared" si="2"/>
        <v>666</v>
      </c>
      <c r="D668" s="1" t="s">
        <v>1054</v>
      </c>
      <c r="E668" s="1" t="s">
        <v>31</v>
      </c>
      <c r="F668" s="11">
        <f t="shared" si="3"/>
        <v>84.75</v>
      </c>
      <c r="G668" s="11">
        <f t="shared" si="4"/>
        <v>1.842391304</v>
      </c>
      <c r="H668" s="1">
        <v>46.0</v>
      </c>
      <c r="I668" s="1">
        <v>5.0</v>
      </c>
      <c r="J668" s="1">
        <v>4.0</v>
      </c>
      <c r="K668" s="1">
        <v>9.0</v>
      </c>
      <c r="L668" s="1">
        <v>47.0</v>
      </c>
      <c r="M668" s="1">
        <v>0.0</v>
      </c>
      <c r="N668" s="1">
        <v>0.0</v>
      </c>
      <c r="O668" s="1">
        <v>0.0</v>
      </c>
      <c r="P668" s="1">
        <v>0.0</v>
      </c>
      <c r="Q668" s="1">
        <v>53.0</v>
      </c>
      <c r="R668" s="1">
        <v>27.0</v>
      </c>
    </row>
    <row r="669">
      <c r="A669" s="1">
        <f t="shared" si="1"/>
        <v>667</v>
      </c>
      <c r="B669" s="1" t="s">
        <v>1733</v>
      </c>
      <c r="C669" s="1">
        <f t="shared" si="2"/>
        <v>667</v>
      </c>
      <c r="D669" s="1" t="s">
        <v>1038</v>
      </c>
      <c r="E669" s="1" t="s">
        <v>31</v>
      </c>
      <c r="F669" s="11">
        <f t="shared" si="3"/>
        <v>84.25</v>
      </c>
      <c r="G669" s="11">
        <f t="shared" si="4"/>
        <v>2.553030303</v>
      </c>
      <c r="H669" s="1">
        <v>33.0</v>
      </c>
      <c r="I669" s="1">
        <v>5.0</v>
      </c>
      <c r="J669" s="1">
        <v>10.0</v>
      </c>
      <c r="K669" s="1">
        <v>15.0</v>
      </c>
      <c r="L669" s="1">
        <v>40.0</v>
      </c>
      <c r="M669" s="1">
        <v>0.0</v>
      </c>
      <c r="N669" s="1">
        <v>1.0</v>
      </c>
      <c r="O669" s="1">
        <v>0.0</v>
      </c>
      <c r="P669" s="1">
        <v>0.0</v>
      </c>
      <c r="Q669" s="1">
        <v>17.0</v>
      </c>
      <c r="R669" s="1">
        <v>15.0</v>
      </c>
    </row>
    <row r="670">
      <c r="A670" s="1">
        <f t="shared" si="1"/>
        <v>668</v>
      </c>
      <c r="B670" s="1" t="s">
        <v>1724</v>
      </c>
      <c r="C670" s="1">
        <f t="shared" si="2"/>
        <v>668</v>
      </c>
      <c r="D670" s="1" t="s">
        <v>1046</v>
      </c>
      <c r="E670" s="1" t="s">
        <v>66</v>
      </c>
      <c r="F670" s="11">
        <f t="shared" si="3"/>
        <v>83.75</v>
      </c>
      <c r="G670" s="11">
        <f t="shared" si="4"/>
        <v>2.09375</v>
      </c>
      <c r="H670" s="1">
        <v>40.0</v>
      </c>
      <c r="I670" s="1">
        <v>2.0</v>
      </c>
      <c r="J670" s="1">
        <v>4.0</v>
      </c>
      <c r="K670" s="1">
        <v>6.0</v>
      </c>
      <c r="L670" s="1">
        <v>29.0</v>
      </c>
      <c r="M670" s="1">
        <v>1.0</v>
      </c>
      <c r="N670" s="1">
        <v>1.0</v>
      </c>
      <c r="O670" s="1">
        <v>0.0</v>
      </c>
      <c r="P670" s="1">
        <v>0.0</v>
      </c>
      <c r="Q670" s="1">
        <v>65.0</v>
      </c>
      <c r="R670" s="1">
        <v>64.0</v>
      </c>
    </row>
    <row r="671">
      <c r="A671" s="1">
        <f t="shared" si="1"/>
        <v>668</v>
      </c>
      <c r="B671" s="1" t="s">
        <v>1726</v>
      </c>
      <c r="C671" s="1">
        <f t="shared" si="2"/>
        <v>668</v>
      </c>
      <c r="D671" s="1" t="s">
        <v>1175</v>
      </c>
      <c r="E671" s="1" t="s">
        <v>36</v>
      </c>
      <c r="F671" s="11">
        <f t="shared" si="3"/>
        <v>83.75</v>
      </c>
      <c r="G671" s="11">
        <f t="shared" si="4"/>
        <v>1.820652174</v>
      </c>
      <c r="H671" s="1">
        <v>46.0</v>
      </c>
      <c r="I671" s="1">
        <v>2.0</v>
      </c>
      <c r="J671" s="1">
        <v>7.0</v>
      </c>
      <c r="K671" s="1">
        <v>9.0</v>
      </c>
      <c r="L671" s="1">
        <v>60.0</v>
      </c>
      <c r="M671" s="1">
        <v>0.0</v>
      </c>
      <c r="N671" s="1">
        <v>3.0</v>
      </c>
      <c r="O671" s="1">
        <v>0.0</v>
      </c>
      <c r="P671" s="1">
        <v>0.0</v>
      </c>
      <c r="Q671" s="1">
        <v>61.0</v>
      </c>
      <c r="R671" s="1">
        <v>17.0</v>
      </c>
    </row>
    <row r="672">
      <c r="A672" s="1">
        <f t="shared" si="1"/>
        <v>668</v>
      </c>
      <c r="B672" s="1" t="s">
        <v>1713</v>
      </c>
      <c r="C672" s="1">
        <f t="shared" si="2"/>
        <v>668</v>
      </c>
      <c r="D672" s="1" t="s">
        <v>1065</v>
      </c>
      <c r="E672" s="1" t="s">
        <v>28</v>
      </c>
      <c r="F672" s="11">
        <f t="shared" si="3"/>
        <v>83.75</v>
      </c>
      <c r="G672" s="11">
        <f t="shared" si="4"/>
        <v>1.231617647</v>
      </c>
      <c r="H672" s="1">
        <v>68.0</v>
      </c>
      <c r="I672" s="1">
        <v>1.0</v>
      </c>
      <c r="J672" s="1">
        <v>3.0</v>
      </c>
      <c r="K672" s="1">
        <v>4.0</v>
      </c>
      <c r="L672" s="1">
        <v>44.0</v>
      </c>
      <c r="M672" s="1">
        <v>0.0</v>
      </c>
      <c r="N672" s="1">
        <v>0.0</v>
      </c>
      <c r="O672" s="1">
        <v>0.0</v>
      </c>
      <c r="P672" s="1">
        <v>0.0</v>
      </c>
      <c r="Q672" s="1">
        <v>139.0</v>
      </c>
      <c r="R672" s="1">
        <v>27.0</v>
      </c>
    </row>
    <row r="673">
      <c r="A673" s="1">
        <f t="shared" si="1"/>
        <v>671</v>
      </c>
      <c r="B673" s="1" t="s">
        <v>1731</v>
      </c>
      <c r="C673" s="1">
        <f t="shared" si="2"/>
        <v>671</v>
      </c>
      <c r="D673" s="1" t="s">
        <v>1097</v>
      </c>
      <c r="E673" s="1" t="s">
        <v>28</v>
      </c>
      <c r="F673" s="11">
        <f t="shared" si="3"/>
        <v>83.25</v>
      </c>
      <c r="G673" s="11">
        <f t="shared" si="4"/>
        <v>1.85</v>
      </c>
      <c r="H673" s="1">
        <v>45.0</v>
      </c>
      <c r="I673" s="1">
        <v>2.0</v>
      </c>
      <c r="J673" s="1">
        <v>8.0</v>
      </c>
      <c r="K673" s="1">
        <v>10.0</v>
      </c>
      <c r="L673" s="1">
        <v>26.0</v>
      </c>
      <c r="M673" s="1">
        <v>0.0</v>
      </c>
      <c r="N673" s="1">
        <v>0.0</v>
      </c>
      <c r="O673" s="1">
        <v>0.0</v>
      </c>
      <c r="P673" s="1">
        <v>1.0</v>
      </c>
      <c r="Q673" s="1">
        <v>47.0</v>
      </c>
      <c r="R673" s="1">
        <v>47.0</v>
      </c>
    </row>
    <row r="674">
      <c r="A674" s="1">
        <f t="shared" si="1"/>
        <v>672</v>
      </c>
      <c r="B674" s="1" t="s">
        <v>1735</v>
      </c>
      <c r="C674" s="1">
        <f t="shared" si="2"/>
        <v>672</v>
      </c>
      <c r="D674" s="1" t="s">
        <v>1097</v>
      </c>
      <c r="E674" s="1" t="s">
        <v>28</v>
      </c>
      <c r="F674" s="11">
        <f t="shared" si="3"/>
        <v>81.25</v>
      </c>
      <c r="G674" s="11">
        <f t="shared" si="4"/>
        <v>1.377118644</v>
      </c>
      <c r="H674" s="1">
        <v>59.0</v>
      </c>
      <c r="I674" s="1">
        <v>4.0</v>
      </c>
      <c r="J674" s="1">
        <v>4.0</v>
      </c>
      <c r="K674" s="1">
        <v>8.0</v>
      </c>
      <c r="L674" s="1">
        <v>50.0</v>
      </c>
      <c r="M674" s="1">
        <v>0.0</v>
      </c>
      <c r="N674" s="1">
        <v>0.0</v>
      </c>
      <c r="O674" s="1">
        <v>0.0</v>
      </c>
      <c r="P674" s="1">
        <v>0.0</v>
      </c>
      <c r="Q674" s="1">
        <v>41.0</v>
      </c>
      <c r="R674" s="1">
        <v>32.0</v>
      </c>
    </row>
    <row r="675">
      <c r="A675" s="1">
        <f t="shared" si="1"/>
        <v>673</v>
      </c>
      <c r="B675" s="1" t="s">
        <v>1740</v>
      </c>
      <c r="C675" s="1">
        <f t="shared" si="2"/>
        <v>673</v>
      </c>
      <c r="D675" s="1" t="s">
        <v>1069</v>
      </c>
      <c r="E675" s="1" t="s">
        <v>66</v>
      </c>
      <c r="F675" s="11">
        <f t="shared" si="3"/>
        <v>81</v>
      </c>
      <c r="G675" s="11">
        <f t="shared" si="4"/>
        <v>2.454545455</v>
      </c>
      <c r="H675" s="1">
        <v>33.0</v>
      </c>
      <c r="I675" s="1">
        <v>3.0</v>
      </c>
      <c r="J675" s="1">
        <v>5.0</v>
      </c>
      <c r="K675" s="1">
        <v>8.0</v>
      </c>
      <c r="L675" s="1">
        <v>42.0</v>
      </c>
      <c r="M675" s="1">
        <v>0.0</v>
      </c>
      <c r="N675" s="1">
        <v>0.0</v>
      </c>
      <c r="O675" s="1">
        <v>0.0</v>
      </c>
      <c r="P675" s="1">
        <v>0.0</v>
      </c>
      <c r="Q675" s="1">
        <v>24.0</v>
      </c>
      <c r="R675" s="1">
        <v>51.0</v>
      </c>
    </row>
    <row r="676">
      <c r="A676" s="1">
        <f t="shared" si="1"/>
        <v>674</v>
      </c>
      <c r="B676" s="1" t="s">
        <v>1722</v>
      </c>
      <c r="C676" s="1">
        <f t="shared" si="2"/>
        <v>674</v>
      </c>
      <c r="D676" s="1" t="s">
        <v>1034</v>
      </c>
      <c r="E676" s="1" t="s">
        <v>66</v>
      </c>
      <c r="F676" s="11">
        <f t="shared" si="3"/>
        <v>80.75</v>
      </c>
      <c r="G676" s="11">
        <f t="shared" si="4"/>
        <v>2.182432432</v>
      </c>
      <c r="H676" s="1">
        <v>37.0</v>
      </c>
      <c r="I676" s="1">
        <v>0.0</v>
      </c>
      <c r="J676" s="1">
        <v>5.0</v>
      </c>
      <c r="K676" s="1">
        <v>5.0</v>
      </c>
      <c r="L676" s="1">
        <v>31.0</v>
      </c>
      <c r="M676" s="1">
        <v>0.0</v>
      </c>
      <c r="N676" s="1">
        <v>0.0</v>
      </c>
      <c r="O676" s="1">
        <v>0.0</v>
      </c>
      <c r="P676" s="1">
        <v>0.0</v>
      </c>
      <c r="Q676" s="1">
        <v>105.0</v>
      </c>
      <c r="R676" s="1">
        <v>48.0</v>
      </c>
    </row>
    <row r="677">
      <c r="A677" s="1">
        <f t="shared" si="1"/>
        <v>674</v>
      </c>
      <c r="B677" s="1" t="s">
        <v>1732</v>
      </c>
      <c r="C677" s="1">
        <f t="shared" si="2"/>
        <v>674</v>
      </c>
      <c r="D677" s="1" t="s">
        <v>1085</v>
      </c>
      <c r="E677" s="1" t="s">
        <v>31</v>
      </c>
      <c r="F677" s="11">
        <f t="shared" si="3"/>
        <v>80.75</v>
      </c>
      <c r="G677" s="11">
        <f t="shared" si="4"/>
        <v>1.922619048</v>
      </c>
      <c r="H677" s="1">
        <v>42.0</v>
      </c>
      <c r="I677" s="1">
        <v>2.0</v>
      </c>
      <c r="J677" s="1">
        <v>7.0</v>
      </c>
      <c r="K677" s="1">
        <v>9.0</v>
      </c>
      <c r="L677" s="1">
        <v>53.0</v>
      </c>
      <c r="M677" s="1">
        <v>0.0</v>
      </c>
      <c r="N677" s="1">
        <v>0.0</v>
      </c>
      <c r="O677" s="1">
        <v>0.0</v>
      </c>
      <c r="P677" s="1">
        <v>0.0</v>
      </c>
      <c r="Q677" s="1">
        <v>63.0</v>
      </c>
      <c r="R677" s="1">
        <v>17.0</v>
      </c>
    </row>
    <row r="678">
      <c r="A678" s="1">
        <f t="shared" si="1"/>
        <v>676</v>
      </c>
      <c r="B678" s="1" t="s">
        <v>1742</v>
      </c>
      <c r="C678" s="1">
        <f t="shared" si="2"/>
        <v>676</v>
      </c>
      <c r="D678" s="1" t="s">
        <v>1030</v>
      </c>
      <c r="E678" s="1" t="s">
        <v>28</v>
      </c>
      <c r="F678" s="11">
        <f t="shared" si="3"/>
        <v>80</v>
      </c>
      <c r="G678" s="11">
        <f t="shared" si="4"/>
        <v>2.666666667</v>
      </c>
      <c r="H678" s="1">
        <v>30.0</v>
      </c>
      <c r="I678" s="1">
        <v>5.0</v>
      </c>
      <c r="J678" s="1">
        <v>5.0</v>
      </c>
      <c r="K678" s="1">
        <v>10.0</v>
      </c>
      <c r="L678" s="1">
        <v>50.0</v>
      </c>
      <c r="M678" s="1">
        <v>0.0</v>
      </c>
      <c r="N678" s="1">
        <v>2.0</v>
      </c>
      <c r="O678" s="1">
        <v>0.0</v>
      </c>
      <c r="P678" s="1">
        <v>0.0</v>
      </c>
      <c r="Q678" s="1">
        <v>20.0</v>
      </c>
      <c r="R678" s="1">
        <v>25.0</v>
      </c>
    </row>
    <row r="679">
      <c r="A679" s="1">
        <f t="shared" si="1"/>
        <v>676</v>
      </c>
      <c r="B679" s="1" t="s">
        <v>1739</v>
      </c>
      <c r="C679" s="1">
        <f t="shared" si="2"/>
        <v>676</v>
      </c>
      <c r="D679" s="1" t="s">
        <v>1175</v>
      </c>
      <c r="E679" s="1" t="s">
        <v>66</v>
      </c>
      <c r="F679" s="11">
        <f t="shared" si="3"/>
        <v>80</v>
      </c>
      <c r="G679" s="11">
        <f t="shared" si="4"/>
        <v>2.352941176</v>
      </c>
      <c r="H679" s="1">
        <v>34.0</v>
      </c>
      <c r="I679" s="1">
        <v>7.0</v>
      </c>
      <c r="J679" s="1">
        <v>2.0</v>
      </c>
      <c r="K679" s="1">
        <v>9.0</v>
      </c>
      <c r="L679" s="1">
        <v>49.0</v>
      </c>
      <c r="M679" s="1">
        <v>3.0</v>
      </c>
      <c r="N679" s="1">
        <v>1.0</v>
      </c>
      <c r="O679" s="1">
        <v>0.0</v>
      </c>
      <c r="P679" s="1">
        <v>0.0</v>
      </c>
      <c r="Q679" s="1">
        <v>38.0</v>
      </c>
      <c r="R679" s="1">
        <v>17.0</v>
      </c>
    </row>
    <row r="680">
      <c r="A680" s="1">
        <f t="shared" si="1"/>
        <v>678</v>
      </c>
      <c r="B680" s="1" t="s">
        <v>1738</v>
      </c>
      <c r="C680" s="1">
        <f t="shared" si="2"/>
        <v>678</v>
      </c>
      <c r="D680" s="1" t="s">
        <v>1030</v>
      </c>
      <c r="E680" s="1" t="s">
        <v>31</v>
      </c>
      <c r="F680" s="11">
        <f t="shared" si="3"/>
        <v>79.75</v>
      </c>
      <c r="G680" s="11">
        <f t="shared" si="4"/>
        <v>1.399122807</v>
      </c>
      <c r="H680" s="1">
        <v>57.0</v>
      </c>
      <c r="I680" s="1">
        <v>3.0</v>
      </c>
      <c r="J680" s="1">
        <v>6.0</v>
      </c>
      <c r="K680" s="1">
        <v>9.0</v>
      </c>
      <c r="L680" s="1">
        <v>45.0</v>
      </c>
      <c r="M680" s="1">
        <v>0.0</v>
      </c>
      <c r="N680" s="1">
        <v>0.0</v>
      </c>
      <c r="O680" s="1">
        <v>0.0</v>
      </c>
      <c r="P680" s="1">
        <v>0.0</v>
      </c>
      <c r="Q680" s="1">
        <v>45.0</v>
      </c>
      <c r="R680" s="1">
        <v>29.0</v>
      </c>
    </row>
    <row r="681">
      <c r="A681" s="1">
        <f t="shared" si="1"/>
        <v>679</v>
      </c>
      <c r="B681" s="1" t="s">
        <v>1746</v>
      </c>
      <c r="C681" s="1">
        <f t="shared" si="2"/>
        <v>679</v>
      </c>
      <c r="D681" s="1" t="s">
        <v>1111</v>
      </c>
      <c r="E681" s="1" t="s">
        <v>31</v>
      </c>
      <c r="F681" s="11">
        <f t="shared" si="3"/>
        <v>79.25</v>
      </c>
      <c r="G681" s="11">
        <f t="shared" si="4"/>
        <v>2.401515152</v>
      </c>
      <c r="H681" s="1">
        <v>33.0</v>
      </c>
      <c r="I681" s="1">
        <v>3.0</v>
      </c>
      <c r="J681" s="1">
        <v>7.0</v>
      </c>
      <c r="K681" s="1">
        <v>10.0</v>
      </c>
      <c r="L681" s="1">
        <v>66.0</v>
      </c>
      <c r="M681" s="1">
        <v>1.0</v>
      </c>
      <c r="N681" s="1">
        <v>1.0</v>
      </c>
      <c r="O681" s="1">
        <v>0.0</v>
      </c>
      <c r="P681" s="1">
        <v>0.0</v>
      </c>
      <c r="Q681" s="1">
        <v>17.0</v>
      </c>
      <c r="R681" s="1">
        <v>15.0</v>
      </c>
    </row>
    <row r="682">
      <c r="A682" s="1">
        <f t="shared" si="1"/>
        <v>680</v>
      </c>
      <c r="B682" s="1" t="s">
        <v>1741</v>
      </c>
      <c r="C682" s="1">
        <f t="shared" si="2"/>
        <v>680</v>
      </c>
      <c r="D682" s="1" t="s">
        <v>1106</v>
      </c>
      <c r="E682" s="1" t="s">
        <v>66</v>
      </c>
      <c r="F682" s="11">
        <f t="shared" si="3"/>
        <v>79</v>
      </c>
      <c r="G682" s="11">
        <f t="shared" si="4"/>
        <v>2.025641026</v>
      </c>
      <c r="H682" s="1">
        <v>39.0</v>
      </c>
      <c r="I682" s="1">
        <v>1.0</v>
      </c>
      <c r="J682" s="1">
        <v>6.0</v>
      </c>
      <c r="K682" s="1">
        <v>7.0</v>
      </c>
      <c r="L682" s="1">
        <v>28.0</v>
      </c>
      <c r="M682" s="1">
        <v>0.0</v>
      </c>
      <c r="N682" s="1">
        <v>0.0</v>
      </c>
      <c r="O682" s="1">
        <v>0.0</v>
      </c>
      <c r="P682" s="1">
        <v>0.0</v>
      </c>
      <c r="Q682" s="1">
        <v>40.0</v>
      </c>
      <c r="R682" s="1">
        <v>65.0</v>
      </c>
    </row>
    <row r="683">
      <c r="A683" s="1">
        <f t="shared" si="1"/>
        <v>681</v>
      </c>
      <c r="B683" s="1" t="s">
        <v>1744</v>
      </c>
      <c r="C683" s="1">
        <f t="shared" si="2"/>
        <v>681</v>
      </c>
      <c r="D683" s="1" t="s">
        <v>1156</v>
      </c>
      <c r="E683" s="1" t="s">
        <v>66</v>
      </c>
      <c r="F683" s="11">
        <f t="shared" si="3"/>
        <v>78.75</v>
      </c>
      <c r="G683" s="11">
        <f t="shared" si="4"/>
        <v>1.831395349</v>
      </c>
      <c r="H683" s="1">
        <v>43.0</v>
      </c>
      <c r="I683" s="1">
        <v>1.0</v>
      </c>
      <c r="J683" s="1">
        <v>9.0</v>
      </c>
      <c r="K683" s="1">
        <v>10.0</v>
      </c>
      <c r="L683" s="1">
        <v>38.0</v>
      </c>
      <c r="M683" s="1">
        <v>0.0</v>
      </c>
      <c r="N683" s="1">
        <v>0.0</v>
      </c>
      <c r="O683" s="1">
        <v>0.0</v>
      </c>
      <c r="P683" s="1">
        <v>0.0</v>
      </c>
      <c r="Q683" s="1">
        <v>23.0</v>
      </c>
      <c r="R683" s="1">
        <v>45.0</v>
      </c>
    </row>
    <row r="684">
      <c r="A684" s="1">
        <f t="shared" si="1"/>
        <v>682</v>
      </c>
      <c r="B684" s="1" t="s">
        <v>1747</v>
      </c>
      <c r="C684" s="1">
        <f t="shared" si="2"/>
        <v>682</v>
      </c>
      <c r="D684" s="1" t="s">
        <v>1175</v>
      </c>
      <c r="E684" s="1" t="s">
        <v>28</v>
      </c>
      <c r="F684" s="11">
        <f t="shared" si="3"/>
        <v>78.5</v>
      </c>
      <c r="G684" s="11">
        <f t="shared" si="4"/>
        <v>2.907407407</v>
      </c>
      <c r="H684" s="1">
        <v>27.0</v>
      </c>
      <c r="I684" s="1">
        <v>6.0</v>
      </c>
      <c r="J684" s="1">
        <v>5.0</v>
      </c>
      <c r="K684" s="1">
        <v>11.0</v>
      </c>
      <c r="L684" s="1">
        <v>48.0</v>
      </c>
      <c r="M684" s="1">
        <v>4.0</v>
      </c>
      <c r="N684" s="1">
        <v>3.0</v>
      </c>
      <c r="O684" s="1">
        <v>0.0</v>
      </c>
      <c r="P684" s="1">
        <v>0.0</v>
      </c>
      <c r="Q684" s="1">
        <v>12.0</v>
      </c>
      <c r="R684" s="1">
        <v>19.0</v>
      </c>
    </row>
    <row r="685">
      <c r="A685" s="1">
        <f t="shared" si="1"/>
        <v>682</v>
      </c>
      <c r="B685" s="1" t="s">
        <v>1729</v>
      </c>
      <c r="C685" s="1">
        <f t="shared" si="2"/>
        <v>682</v>
      </c>
      <c r="D685" s="1" t="s">
        <v>1172</v>
      </c>
      <c r="E685" s="1" t="s">
        <v>36</v>
      </c>
      <c r="F685" s="11">
        <f t="shared" si="3"/>
        <v>78.5</v>
      </c>
      <c r="G685" s="11">
        <f t="shared" si="4"/>
        <v>1.869047619</v>
      </c>
      <c r="H685" s="1">
        <v>42.0</v>
      </c>
      <c r="I685" s="1">
        <v>2.0</v>
      </c>
      <c r="J685" s="1">
        <v>3.0</v>
      </c>
      <c r="K685" s="1">
        <v>5.0</v>
      </c>
      <c r="L685" s="1">
        <v>51.0</v>
      </c>
      <c r="M685" s="1">
        <v>0.0</v>
      </c>
      <c r="N685" s="1">
        <v>0.0</v>
      </c>
      <c r="O685" s="1">
        <v>0.0</v>
      </c>
      <c r="P685" s="1">
        <v>0.0</v>
      </c>
      <c r="Q685" s="1">
        <v>108.0</v>
      </c>
      <c r="R685" s="1">
        <v>16.0</v>
      </c>
    </row>
    <row r="686">
      <c r="A686" s="1">
        <f t="shared" si="1"/>
        <v>682</v>
      </c>
      <c r="B686" s="1" t="s">
        <v>1736</v>
      </c>
      <c r="C686" s="1">
        <f t="shared" si="2"/>
        <v>682</v>
      </c>
      <c r="D686" s="1" t="s">
        <v>1172</v>
      </c>
      <c r="E686" s="1" t="s">
        <v>66</v>
      </c>
      <c r="F686" s="11">
        <f t="shared" si="3"/>
        <v>78.5</v>
      </c>
      <c r="G686" s="11">
        <f t="shared" si="4"/>
        <v>1.784090909</v>
      </c>
      <c r="H686" s="1">
        <v>44.0</v>
      </c>
      <c r="I686" s="1">
        <v>0.0</v>
      </c>
      <c r="J686" s="1">
        <v>2.0</v>
      </c>
      <c r="K686" s="1">
        <v>2.0</v>
      </c>
      <c r="L686" s="1">
        <v>28.0</v>
      </c>
      <c r="M686" s="1">
        <v>0.0</v>
      </c>
      <c r="N686" s="1">
        <v>0.0</v>
      </c>
      <c r="O686" s="1">
        <v>0.0</v>
      </c>
      <c r="P686" s="1">
        <v>0.0</v>
      </c>
      <c r="Q686" s="1">
        <v>60.0</v>
      </c>
      <c r="R686" s="1">
        <v>87.0</v>
      </c>
    </row>
    <row r="687">
      <c r="A687" s="1">
        <f t="shared" si="1"/>
        <v>685</v>
      </c>
      <c r="B687" s="1" t="s">
        <v>1750</v>
      </c>
      <c r="C687" s="1">
        <f t="shared" si="2"/>
        <v>685</v>
      </c>
      <c r="D687" s="1" t="s">
        <v>1156</v>
      </c>
      <c r="E687" s="1" t="s">
        <v>66</v>
      </c>
      <c r="F687" s="11">
        <f t="shared" si="3"/>
        <v>77.75</v>
      </c>
      <c r="G687" s="11">
        <f t="shared" si="4"/>
        <v>2.221428571</v>
      </c>
      <c r="H687" s="1">
        <v>35.0</v>
      </c>
      <c r="I687" s="1">
        <v>1.0</v>
      </c>
      <c r="J687" s="1">
        <v>9.0</v>
      </c>
      <c r="K687" s="1">
        <v>10.0</v>
      </c>
      <c r="L687" s="1">
        <v>45.0</v>
      </c>
      <c r="M687" s="1">
        <v>0.0</v>
      </c>
      <c r="N687" s="1">
        <v>4.0</v>
      </c>
      <c r="O687" s="1">
        <v>0.0</v>
      </c>
      <c r="P687" s="1">
        <v>0.0</v>
      </c>
      <c r="Q687" s="1">
        <v>11.0</v>
      </c>
      <c r="R687" s="1">
        <v>42.0</v>
      </c>
    </row>
    <row r="688">
      <c r="A688" s="1">
        <f t="shared" si="1"/>
        <v>686</v>
      </c>
      <c r="B688" s="1" t="s">
        <v>1737</v>
      </c>
      <c r="C688" s="1">
        <f t="shared" si="2"/>
        <v>686</v>
      </c>
      <c r="D688" s="1" t="s">
        <v>1040</v>
      </c>
      <c r="E688" s="1" t="s">
        <v>66</v>
      </c>
      <c r="F688" s="11">
        <f t="shared" si="3"/>
        <v>75.5</v>
      </c>
      <c r="G688" s="11">
        <f t="shared" si="4"/>
        <v>1.451923077</v>
      </c>
      <c r="H688" s="1">
        <v>52.0</v>
      </c>
      <c r="I688" s="1">
        <v>1.0</v>
      </c>
      <c r="J688" s="1">
        <v>3.0</v>
      </c>
      <c r="K688" s="1">
        <v>4.0</v>
      </c>
      <c r="L688" s="1">
        <v>35.0</v>
      </c>
      <c r="M688" s="1">
        <v>0.0</v>
      </c>
      <c r="N688" s="1">
        <v>0.0</v>
      </c>
      <c r="O688" s="1">
        <v>0.0</v>
      </c>
      <c r="P688" s="1">
        <v>0.0</v>
      </c>
      <c r="Q688" s="1">
        <v>90.0</v>
      </c>
      <c r="R688" s="1">
        <v>44.0</v>
      </c>
    </row>
    <row r="689">
      <c r="A689" s="1">
        <f t="shared" si="1"/>
        <v>687</v>
      </c>
      <c r="B689" s="1" t="s">
        <v>1745</v>
      </c>
      <c r="C689" s="1">
        <f t="shared" si="2"/>
        <v>687</v>
      </c>
      <c r="D689" s="1" t="s">
        <v>1087</v>
      </c>
      <c r="E689" s="1" t="s">
        <v>36</v>
      </c>
      <c r="F689" s="11">
        <f t="shared" si="3"/>
        <v>74.75</v>
      </c>
      <c r="G689" s="11">
        <f t="shared" si="4"/>
        <v>2.768518519</v>
      </c>
      <c r="H689" s="1">
        <v>27.0</v>
      </c>
      <c r="I689" s="1">
        <v>5.0</v>
      </c>
      <c r="J689" s="1">
        <v>4.0</v>
      </c>
      <c r="K689" s="1">
        <v>9.0</v>
      </c>
      <c r="L689" s="1">
        <v>32.0</v>
      </c>
      <c r="M689" s="1">
        <v>0.0</v>
      </c>
      <c r="N689" s="1">
        <v>0.0</v>
      </c>
      <c r="O689" s="1">
        <v>0.0</v>
      </c>
      <c r="P689" s="1">
        <v>0.0</v>
      </c>
      <c r="Q689" s="1">
        <v>63.0</v>
      </c>
      <c r="R689" s="1">
        <v>17.0</v>
      </c>
    </row>
    <row r="690">
      <c r="A690" s="1">
        <f t="shared" si="1"/>
        <v>688</v>
      </c>
      <c r="B690" s="1" t="s">
        <v>1756</v>
      </c>
      <c r="C690" s="1">
        <f t="shared" si="2"/>
        <v>688</v>
      </c>
      <c r="D690" s="1" t="s">
        <v>1073</v>
      </c>
      <c r="E690" s="1" t="s">
        <v>5</v>
      </c>
      <c r="F690" s="11">
        <f t="shared" si="3"/>
        <v>74.7</v>
      </c>
      <c r="G690" s="11">
        <f t="shared" si="4"/>
        <v>3.931578947</v>
      </c>
      <c r="H690" s="1">
        <v>19.0</v>
      </c>
      <c r="S690" s="1">
        <v>7.0</v>
      </c>
      <c r="T690" s="1">
        <v>59.0</v>
      </c>
      <c r="U690" s="1">
        <v>474.0</v>
      </c>
      <c r="V690" s="1">
        <v>0.0</v>
      </c>
    </row>
    <row r="691">
      <c r="A691" s="1">
        <f t="shared" si="1"/>
        <v>689</v>
      </c>
      <c r="B691" s="1" t="s">
        <v>1753</v>
      </c>
      <c r="C691" s="1">
        <f t="shared" si="2"/>
        <v>689</v>
      </c>
      <c r="D691" s="1" t="s">
        <v>1036</v>
      </c>
      <c r="E691" s="1" t="s">
        <v>31</v>
      </c>
      <c r="F691" s="11">
        <f t="shared" si="3"/>
        <v>74.25</v>
      </c>
      <c r="G691" s="11">
        <f t="shared" si="4"/>
        <v>2.651785714</v>
      </c>
      <c r="H691" s="1">
        <v>28.0</v>
      </c>
      <c r="I691" s="1">
        <v>5.0</v>
      </c>
      <c r="J691" s="1">
        <v>5.0</v>
      </c>
      <c r="K691" s="1">
        <v>10.0</v>
      </c>
      <c r="L691" s="1">
        <v>48.0</v>
      </c>
      <c r="M691" s="1">
        <v>0.0</v>
      </c>
      <c r="N691" s="1">
        <v>1.0</v>
      </c>
      <c r="O691" s="1">
        <v>0.0</v>
      </c>
      <c r="P691" s="1">
        <v>0.0</v>
      </c>
      <c r="Q691" s="1">
        <v>17.0</v>
      </c>
      <c r="R691" s="1">
        <v>17.0</v>
      </c>
    </row>
    <row r="692">
      <c r="A692" s="1">
        <f t="shared" si="1"/>
        <v>690</v>
      </c>
      <c r="B692" s="1" t="s">
        <v>1758</v>
      </c>
      <c r="C692" s="1">
        <f t="shared" si="2"/>
        <v>690</v>
      </c>
      <c r="D692" s="1" t="s">
        <v>1069</v>
      </c>
      <c r="E692" s="1" t="s">
        <v>5</v>
      </c>
      <c r="F692" s="11">
        <f t="shared" si="3"/>
        <v>73.8</v>
      </c>
      <c r="G692" s="11">
        <f t="shared" si="4"/>
        <v>3.69</v>
      </c>
      <c r="H692" s="1">
        <v>20.0</v>
      </c>
      <c r="S692" s="1">
        <v>8.0</v>
      </c>
      <c r="T692" s="1">
        <v>68.0</v>
      </c>
      <c r="U692" s="1">
        <v>506.0</v>
      </c>
      <c r="V692" s="1">
        <v>0.0</v>
      </c>
    </row>
    <row r="693">
      <c r="A693" s="1">
        <f t="shared" si="1"/>
        <v>691</v>
      </c>
      <c r="B693" s="1" t="s">
        <v>1760</v>
      </c>
      <c r="C693" s="1">
        <f t="shared" si="2"/>
        <v>691</v>
      </c>
      <c r="D693" s="1" t="s">
        <v>1073</v>
      </c>
      <c r="E693" s="1" t="s">
        <v>5</v>
      </c>
      <c r="F693" s="11">
        <f t="shared" si="3"/>
        <v>73.5</v>
      </c>
      <c r="G693" s="11">
        <f t="shared" si="4"/>
        <v>3.0625</v>
      </c>
      <c r="H693" s="1">
        <v>24.0</v>
      </c>
      <c r="S693" s="1">
        <v>12.0</v>
      </c>
      <c r="T693" s="1">
        <v>63.0</v>
      </c>
      <c r="U693" s="1">
        <v>430.0</v>
      </c>
      <c r="V693" s="1">
        <v>1.0</v>
      </c>
    </row>
    <row r="694">
      <c r="A694" s="1">
        <f t="shared" si="1"/>
        <v>691</v>
      </c>
      <c r="B694" s="1" t="s">
        <v>1757</v>
      </c>
      <c r="C694" s="1">
        <f t="shared" si="2"/>
        <v>691</v>
      </c>
      <c r="D694" s="1" t="s">
        <v>1570</v>
      </c>
      <c r="E694" s="1" t="s">
        <v>31</v>
      </c>
      <c r="F694" s="11">
        <f t="shared" si="3"/>
        <v>73.5</v>
      </c>
      <c r="G694" s="11">
        <f t="shared" si="4"/>
        <v>1.633333333</v>
      </c>
      <c r="H694" s="1">
        <v>45.0</v>
      </c>
      <c r="I694" s="1">
        <v>1.0</v>
      </c>
      <c r="J694" s="1">
        <v>4.0</v>
      </c>
      <c r="K694" s="1">
        <v>5.0</v>
      </c>
      <c r="L694" s="1">
        <v>31.0</v>
      </c>
      <c r="M694" s="1">
        <v>0.0</v>
      </c>
      <c r="N694" s="1">
        <v>0.0</v>
      </c>
      <c r="O694" s="1">
        <v>0.0</v>
      </c>
      <c r="P694" s="1">
        <v>0.0</v>
      </c>
      <c r="Q694" s="1">
        <v>10.0</v>
      </c>
      <c r="R694" s="1">
        <v>78.0</v>
      </c>
    </row>
    <row r="695">
      <c r="A695" s="1">
        <f t="shared" si="1"/>
        <v>693</v>
      </c>
      <c r="B695" s="1" t="s">
        <v>1749</v>
      </c>
      <c r="C695" s="1">
        <f t="shared" si="2"/>
        <v>693</v>
      </c>
      <c r="D695" s="1" t="s">
        <v>1069</v>
      </c>
      <c r="E695" s="1" t="s">
        <v>66</v>
      </c>
      <c r="F695" s="11">
        <f t="shared" si="3"/>
        <v>73.25</v>
      </c>
      <c r="G695" s="11">
        <f t="shared" si="4"/>
        <v>2.154411765</v>
      </c>
      <c r="H695" s="1">
        <v>34.0</v>
      </c>
      <c r="I695" s="1">
        <v>1.0</v>
      </c>
      <c r="J695" s="1">
        <v>6.0</v>
      </c>
      <c r="K695" s="1">
        <v>7.0</v>
      </c>
      <c r="L695" s="1">
        <v>23.0</v>
      </c>
      <c r="M695" s="1">
        <v>0.0</v>
      </c>
      <c r="N695" s="1">
        <v>0.0</v>
      </c>
      <c r="O695" s="1">
        <v>0.0</v>
      </c>
      <c r="P695" s="1">
        <v>0.0</v>
      </c>
      <c r="Q695" s="1">
        <v>59.0</v>
      </c>
      <c r="R695" s="1">
        <v>49.0</v>
      </c>
    </row>
    <row r="696">
      <c r="A696" s="1">
        <f t="shared" si="1"/>
        <v>693</v>
      </c>
      <c r="B696" s="1" t="s">
        <v>1754</v>
      </c>
      <c r="C696" s="1">
        <f t="shared" si="2"/>
        <v>693</v>
      </c>
      <c r="D696" s="1" t="s">
        <v>1054</v>
      </c>
      <c r="E696" s="1" t="s">
        <v>66</v>
      </c>
      <c r="F696" s="11">
        <f t="shared" si="3"/>
        <v>73.25</v>
      </c>
      <c r="G696" s="11">
        <f t="shared" si="4"/>
        <v>2.034722222</v>
      </c>
      <c r="H696" s="1">
        <v>36.0</v>
      </c>
      <c r="I696" s="1">
        <v>0.0</v>
      </c>
      <c r="J696" s="1">
        <v>10.0</v>
      </c>
      <c r="K696" s="1">
        <v>10.0</v>
      </c>
      <c r="L696" s="1">
        <v>32.0</v>
      </c>
      <c r="M696" s="1">
        <v>0.0</v>
      </c>
      <c r="N696" s="1">
        <v>2.0</v>
      </c>
      <c r="O696" s="1">
        <v>0.0</v>
      </c>
      <c r="P696" s="1">
        <v>0.0</v>
      </c>
      <c r="Q696" s="1">
        <v>27.0</v>
      </c>
      <c r="R696" s="1">
        <v>41.0</v>
      </c>
    </row>
    <row r="697">
      <c r="A697" s="1">
        <f t="shared" si="1"/>
        <v>695</v>
      </c>
      <c r="B697" s="1" t="s">
        <v>1751</v>
      </c>
      <c r="C697" s="1">
        <f t="shared" si="2"/>
        <v>695</v>
      </c>
      <c r="D697" s="1" t="s">
        <v>1091</v>
      </c>
      <c r="E697" s="1" t="s">
        <v>66</v>
      </c>
      <c r="F697" s="11">
        <f t="shared" si="3"/>
        <v>73</v>
      </c>
      <c r="G697" s="11">
        <f t="shared" si="4"/>
        <v>2.35483871</v>
      </c>
      <c r="H697" s="1">
        <v>31.0</v>
      </c>
      <c r="I697" s="1">
        <v>1.0</v>
      </c>
      <c r="J697" s="1">
        <v>3.0</v>
      </c>
      <c r="K697" s="1">
        <v>4.0</v>
      </c>
      <c r="L697" s="1">
        <v>46.0</v>
      </c>
      <c r="M697" s="1">
        <v>0.0</v>
      </c>
      <c r="N697" s="1">
        <v>0.0</v>
      </c>
      <c r="O697" s="1">
        <v>0.0</v>
      </c>
      <c r="P697" s="1">
        <v>0.0</v>
      </c>
      <c r="Q697" s="1">
        <v>56.0</v>
      </c>
      <c r="R697" s="1">
        <v>45.0</v>
      </c>
    </row>
    <row r="698">
      <c r="A698" s="1">
        <f t="shared" si="1"/>
        <v>696</v>
      </c>
      <c r="B698" s="1" t="s">
        <v>1743</v>
      </c>
      <c r="C698" s="1">
        <f t="shared" si="2"/>
        <v>696</v>
      </c>
      <c r="D698" s="1" t="s">
        <v>1034</v>
      </c>
      <c r="E698" s="1" t="s">
        <v>36</v>
      </c>
      <c r="F698" s="11">
        <f t="shared" si="3"/>
        <v>72.5</v>
      </c>
      <c r="G698" s="11">
        <f t="shared" si="4"/>
        <v>2.416666667</v>
      </c>
      <c r="H698" s="1">
        <v>30.0</v>
      </c>
      <c r="I698" s="1">
        <v>4.0</v>
      </c>
      <c r="J698" s="1">
        <v>3.0</v>
      </c>
      <c r="K698" s="1">
        <v>7.0</v>
      </c>
      <c r="L698" s="1">
        <v>27.0</v>
      </c>
      <c r="M698" s="1">
        <v>0.0</v>
      </c>
      <c r="N698" s="1">
        <v>0.0</v>
      </c>
      <c r="O698" s="1">
        <v>0.0</v>
      </c>
      <c r="P698" s="1">
        <v>0.0</v>
      </c>
      <c r="Q698" s="1">
        <v>88.0</v>
      </c>
      <c r="R698" s="1">
        <v>20.0</v>
      </c>
    </row>
    <row r="699">
      <c r="A699" s="1">
        <f t="shared" si="1"/>
        <v>696</v>
      </c>
      <c r="B699" s="1" t="s">
        <v>1748</v>
      </c>
      <c r="C699" s="1">
        <f t="shared" si="2"/>
        <v>696</v>
      </c>
      <c r="D699" s="1" t="s">
        <v>1038</v>
      </c>
      <c r="E699" s="1" t="s">
        <v>66</v>
      </c>
      <c r="F699" s="11">
        <f t="shared" si="3"/>
        <v>72.5</v>
      </c>
      <c r="G699" s="11">
        <f t="shared" si="4"/>
        <v>2.071428571</v>
      </c>
      <c r="H699" s="1">
        <v>35.0</v>
      </c>
      <c r="I699" s="1">
        <v>0.0</v>
      </c>
      <c r="J699" s="1">
        <v>4.0</v>
      </c>
      <c r="K699" s="1">
        <v>4.0</v>
      </c>
      <c r="L699" s="1">
        <v>22.0</v>
      </c>
      <c r="M699" s="1">
        <v>0.0</v>
      </c>
      <c r="N699" s="1">
        <v>0.0</v>
      </c>
      <c r="O699" s="1">
        <v>0.0</v>
      </c>
      <c r="P699" s="1">
        <v>0.0</v>
      </c>
      <c r="Q699" s="1">
        <v>68.0</v>
      </c>
      <c r="R699" s="1">
        <v>65.0</v>
      </c>
    </row>
    <row r="700">
      <c r="A700" s="1">
        <f t="shared" si="1"/>
        <v>698</v>
      </c>
      <c r="B700" s="1" t="s">
        <v>1765</v>
      </c>
      <c r="C700" s="1">
        <f t="shared" si="2"/>
        <v>698</v>
      </c>
      <c r="D700" s="1" t="s">
        <v>1069</v>
      </c>
      <c r="E700" s="1" t="s">
        <v>5</v>
      </c>
      <c r="F700" s="11">
        <f t="shared" si="3"/>
        <v>71.1</v>
      </c>
      <c r="G700" s="11">
        <f t="shared" si="4"/>
        <v>4.182352941</v>
      </c>
      <c r="H700" s="1">
        <v>17.0</v>
      </c>
      <c r="S700" s="1">
        <v>7.0</v>
      </c>
      <c r="T700" s="1">
        <v>50.0</v>
      </c>
      <c r="U700" s="1">
        <v>417.0</v>
      </c>
      <c r="V700" s="1">
        <v>0.0</v>
      </c>
    </row>
    <row r="701">
      <c r="A701" s="1">
        <f t="shared" si="1"/>
        <v>699</v>
      </c>
      <c r="B701" s="1" t="s">
        <v>1755</v>
      </c>
      <c r="C701" s="1">
        <f t="shared" si="2"/>
        <v>699</v>
      </c>
      <c r="D701" s="1" t="s">
        <v>1080</v>
      </c>
      <c r="E701" s="1" t="s">
        <v>66</v>
      </c>
      <c r="F701" s="11">
        <f t="shared" si="3"/>
        <v>70.75</v>
      </c>
      <c r="G701" s="11">
        <f t="shared" si="4"/>
        <v>2.721153846</v>
      </c>
      <c r="H701" s="1">
        <v>26.0</v>
      </c>
      <c r="I701" s="1">
        <v>1.0</v>
      </c>
      <c r="J701" s="1">
        <v>8.0</v>
      </c>
      <c r="K701" s="1">
        <v>9.0</v>
      </c>
      <c r="L701" s="1">
        <v>32.0</v>
      </c>
      <c r="M701" s="1">
        <v>0.0</v>
      </c>
      <c r="N701" s="1">
        <v>1.0</v>
      </c>
      <c r="O701" s="1">
        <v>0.0</v>
      </c>
      <c r="P701" s="1">
        <v>0.0</v>
      </c>
      <c r="Q701" s="1">
        <v>43.0</v>
      </c>
      <c r="R701" s="1">
        <v>31.0</v>
      </c>
    </row>
    <row r="702">
      <c r="A702" s="1">
        <f t="shared" si="1"/>
        <v>700</v>
      </c>
      <c r="B702" s="1" t="s">
        <v>1767</v>
      </c>
      <c r="C702" s="1">
        <f t="shared" si="2"/>
        <v>700</v>
      </c>
      <c r="D702" s="1" t="s">
        <v>1065</v>
      </c>
      <c r="E702" s="1" t="s">
        <v>66</v>
      </c>
      <c r="F702" s="11">
        <f t="shared" si="3"/>
        <v>69.5</v>
      </c>
      <c r="G702" s="11">
        <f t="shared" si="4"/>
        <v>2.673076923</v>
      </c>
      <c r="H702" s="1">
        <v>26.0</v>
      </c>
      <c r="I702" s="1">
        <v>2.0</v>
      </c>
      <c r="J702" s="1">
        <v>7.0</v>
      </c>
      <c r="K702" s="1">
        <v>9.0</v>
      </c>
      <c r="L702" s="1">
        <v>34.0</v>
      </c>
      <c r="M702" s="1">
        <v>0.0</v>
      </c>
      <c r="N702" s="1">
        <v>2.0</v>
      </c>
      <c r="O702" s="1">
        <v>0.0</v>
      </c>
      <c r="P702" s="1">
        <v>0.0</v>
      </c>
      <c r="Q702" s="1">
        <v>14.0</v>
      </c>
      <c r="R702" s="1">
        <v>38.0</v>
      </c>
    </row>
    <row r="703">
      <c r="A703" s="1">
        <f t="shared" si="1"/>
        <v>700</v>
      </c>
      <c r="B703" s="1" t="s">
        <v>1770</v>
      </c>
      <c r="C703" s="1">
        <f t="shared" si="2"/>
        <v>700</v>
      </c>
      <c r="D703" s="1" t="s">
        <v>1073</v>
      </c>
      <c r="E703" s="1" t="s">
        <v>66</v>
      </c>
      <c r="F703" s="11">
        <f t="shared" si="3"/>
        <v>69.5</v>
      </c>
      <c r="G703" s="11">
        <f t="shared" si="4"/>
        <v>2.241935484</v>
      </c>
      <c r="H703" s="1">
        <v>31.0</v>
      </c>
      <c r="I703" s="1">
        <v>3.0</v>
      </c>
      <c r="J703" s="1">
        <v>8.0</v>
      </c>
      <c r="K703" s="1">
        <v>11.0</v>
      </c>
      <c r="L703" s="1">
        <v>44.0</v>
      </c>
      <c r="M703" s="1">
        <v>2.0</v>
      </c>
      <c r="N703" s="1">
        <v>4.0</v>
      </c>
      <c r="O703" s="1">
        <v>0.0</v>
      </c>
      <c r="P703" s="1">
        <v>0.0</v>
      </c>
      <c r="Q703" s="1">
        <v>4.0</v>
      </c>
      <c r="R703" s="1">
        <v>18.0</v>
      </c>
    </row>
    <row r="704">
      <c r="A704" s="1">
        <f t="shared" si="1"/>
        <v>700</v>
      </c>
      <c r="B704" s="1" t="s">
        <v>1763</v>
      </c>
      <c r="C704" s="1">
        <f t="shared" si="2"/>
        <v>700</v>
      </c>
      <c r="D704" s="1" t="s">
        <v>1034</v>
      </c>
      <c r="E704" s="1" t="s">
        <v>31</v>
      </c>
      <c r="F704" s="11">
        <f t="shared" si="3"/>
        <v>69.5</v>
      </c>
      <c r="G704" s="11">
        <f t="shared" si="4"/>
        <v>1.930555556</v>
      </c>
      <c r="H704" s="1">
        <v>36.0</v>
      </c>
      <c r="I704" s="1">
        <v>6.0</v>
      </c>
      <c r="J704" s="1">
        <v>3.0</v>
      </c>
      <c r="K704" s="1">
        <v>9.0</v>
      </c>
      <c r="L704" s="1">
        <v>46.0</v>
      </c>
      <c r="M704" s="1">
        <v>2.0</v>
      </c>
      <c r="N704" s="1">
        <v>0.0</v>
      </c>
      <c r="O704" s="1">
        <v>0.0</v>
      </c>
      <c r="P704" s="1">
        <v>0.0</v>
      </c>
      <c r="Q704" s="1">
        <v>26.0</v>
      </c>
      <c r="R704" s="1">
        <v>8.0</v>
      </c>
    </row>
    <row r="705">
      <c r="A705" s="1">
        <f t="shared" si="1"/>
        <v>700</v>
      </c>
      <c r="B705" s="1" t="s">
        <v>1752</v>
      </c>
      <c r="C705" s="1">
        <f t="shared" si="2"/>
        <v>700</v>
      </c>
      <c r="D705" s="1" t="s">
        <v>1065</v>
      </c>
      <c r="E705" s="1" t="s">
        <v>66</v>
      </c>
      <c r="F705" s="11">
        <f t="shared" si="3"/>
        <v>69.5</v>
      </c>
      <c r="G705" s="11">
        <f t="shared" si="4"/>
        <v>1.7375</v>
      </c>
      <c r="H705" s="1">
        <v>40.0</v>
      </c>
      <c r="I705" s="1">
        <v>0.0</v>
      </c>
      <c r="J705" s="1">
        <v>4.0</v>
      </c>
      <c r="K705" s="1">
        <v>4.0</v>
      </c>
      <c r="L705" s="1">
        <v>19.0</v>
      </c>
      <c r="M705" s="1">
        <v>0.0</v>
      </c>
      <c r="N705" s="1">
        <v>0.0</v>
      </c>
      <c r="O705" s="1">
        <v>0.0</v>
      </c>
      <c r="P705" s="1">
        <v>0.0</v>
      </c>
      <c r="Q705" s="1">
        <v>76.0</v>
      </c>
      <c r="R705" s="1">
        <v>58.0</v>
      </c>
    </row>
    <row r="706">
      <c r="A706" s="1">
        <f t="shared" si="1"/>
        <v>704</v>
      </c>
      <c r="B706" s="1" t="s">
        <v>1768</v>
      </c>
      <c r="C706" s="1">
        <f t="shared" si="2"/>
        <v>704</v>
      </c>
      <c r="D706" s="1" t="s">
        <v>1040</v>
      </c>
      <c r="E706" s="1" t="s">
        <v>66</v>
      </c>
      <c r="F706" s="11">
        <f t="shared" si="3"/>
        <v>68.5</v>
      </c>
      <c r="G706" s="11">
        <f t="shared" si="4"/>
        <v>2.209677419</v>
      </c>
      <c r="H706" s="1">
        <v>31.0</v>
      </c>
      <c r="I706" s="1">
        <v>2.0</v>
      </c>
      <c r="J706" s="1">
        <v>7.0</v>
      </c>
      <c r="K706" s="1">
        <v>9.0</v>
      </c>
      <c r="L706" s="1">
        <v>42.0</v>
      </c>
      <c r="M706" s="1">
        <v>0.0</v>
      </c>
      <c r="N706" s="1">
        <v>0.0</v>
      </c>
      <c r="O706" s="1">
        <v>0.0</v>
      </c>
      <c r="P706" s="1">
        <v>0.0</v>
      </c>
      <c r="Q706" s="1">
        <v>24.0</v>
      </c>
      <c r="R706" s="1">
        <v>23.0</v>
      </c>
    </row>
    <row r="707">
      <c r="A707" s="1">
        <f t="shared" si="1"/>
        <v>705</v>
      </c>
      <c r="B707" s="1" t="s">
        <v>1773</v>
      </c>
      <c r="C707" s="1">
        <f t="shared" si="2"/>
        <v>705</v>
      </c>
      <c r="D707" s="1" t="s">
        <v>1054</v>
      </c>
      <c r="E707" s="1" t="s">
        <v>66</v>
      </c>
      <c r="F707" s="11">
        <f t="shared" si="3"/>
        <v>68</v>
      </c>
      <c r="G707" s="11">
        <f t="shared" si="4"/>
        <v>2.193548387</v>
      </c>
      <c r="H707" s="1">
        <v>31.0</v>
      </c>
      <c r="I707" s="1">
        <v>3.0</v>
      </c>
      <c r="J707" s="1">
        <v>6.0</v>
      </c>
      <c r="K707" s="1">
        <v>9.0</v>
      </c>
      <c r="L707" s="1">
        <v>29.0</v>
      </c>
      <c r="M707" s="1">
        <v>2.0</v>
      </c>
      <c r="N707" s="1">
        <v>3.0</v>
      </c>
      <c r="O707" s="1">
        <v>0.0</v>
      </c>
      <c r="P707" s="1">
        <v>0.0</v>
      </c>
      <c r="Q707" s="1">
        <v>12.0</v>
      </c>
      <c r="R707" s="1">
        <v>38.0</v>
      </c>
    </row>
    <row r="708">
      <c r="A708" s="1">
        <f t="shared" si="1"/>
        <v>706</v>
      </c>
      <c r="B708" s="1" t="s">
        <v>1764</v>
      </c>
      <c r="C708" s="1">
        <f t="shared" si="2"/>
        <v>706</v>
      </c>
      <c r="D708" s="1" t="s">
        <v>1067</v>
      </c>
      <c r="E708" s="1" t="s">
        <v>31</v>
      </c>
      <c r="F708" s="11">
        <f t="shared" si="3"/>
        <v>67.5</v>
      </c>
      <c r="G708" s="11">
        <f t="shared" si="4"/>
        <v>1.569767442</v>
      </c>
      <c r="H708" s="1">
        <v>43.0</v>
      </c>
      <c r="I708" s="1">
        <v>3.0</v>
      </c>
      <c r="J708" s="1">
        <v>3.0</v>
      </c>
      <c r="K708" s="1">
        <v>6.0</v>
      </c>
      <c r="L708" s="1">
        <v>48.0</v>
      </c>
      <c r="M708" s="1">
        <v>0.0</v>
      </c>
      <c r="N708" s="1">
        <v>0.0</v>
      </c>
      <c r="O708" s="1">
        <v>0.0</v>
      </c>
      <c r="P708" s="1">
        <v>0.0</v>
      </c>
      <c r="Q708" s="1">
        <v>44.0</v>
      </c>
      <c r="R708" s="1">
        <v>20.0</v>
      </c>
    </row>
    <row r="709">
      <c r="A709" s="1">
        <f t="shared" si="1"/>
        <v>707</v>
      </c>
      <c r="B709" s="1" t="s">
        <v>1778</v>
      </c>
      <c r="C709" s="1">
        <f t="shared" si="2"/>
        <v>707</v>
      </c>
      <c r="D709" s="1" t="s">
        <v>1069</v>
      </c>
      <c r="E709" s="1" t="s">
        <v>66</v>
      </c>
      <c r="F709" s="11">
        <f t="shared" si="3"/>
        <v>67.25</v>
      </c>
      <c r="G709" s="11">
        <f t="shared" si="4"/>
        <v>2.802083333</v>
      </c>
      <c r="H709" s="1">
        <v>24.0</v>
      </c>
      <c r="I709" s="1">
        <v>3.0</v>
      </c>
      <c r="J709" s="1">
        <v>4.0</v>
      </c>
      <c r="K709" s="1">
        <v>7.0</v>
      </c>
      <c r="L709" s="1">
        <v>46.0</v>
      </c>
      <c r="M709" s="1">
        <v>0.0</v>
      </c>
      <c r="N709" s="1">
        <v>2.0</v>
      </c>
      <c r="O709" s="1">
        <v>0.0</v>
      </c>
      <c r="P709" s="1">
        <v>0.0</v>
      </c>
      <c r="Q709" s="1">
        <v>7.0</v>
      </c>
      <c r="R709" s="1">
        <v>34.0</v>
      </c>
    </row>
    <row r="710">
      <c r="A710" s="1">
        <f t="shared" si="1"/>
        <v>708</v>
      </c>
      <c r="B710" s="1" t="s">
        <v>1771</v>
      </c>
      <c r="C710" s="1">
        <f t="shared" si="2"/>
        <v>708</v>
      </c>
      <c r="D710" s="1" t="s">
        <v>1032</v>
      </c>
      <c r="E710" s="1" t="s">
        <v>66</v>
      </c>
      <c r="F710" s="11">
        <f t="shared" si="3"/>
        <v>66.5</v>
      </c>
      <c r="G710" s="11">
        <f t="shared" si="4"/>
        <v>2.66</v>
      </c>
      <c r="H710" s="1">
        <v>25.0</v>
      </c>
      <c r="I710" s="1">
        <v>1.0</v>
      </c>
      <c r="J710" s="1">
        <v>9.0</v>
      </c>
      <c r="K710" s="1">
        <v>10.0</v>
      </c>
      <c r="L710" s="1">
        <v>25.0</v>
      </c>
      <c r="M710" s="1">
        <v>0.0</v>
      </c>
      <c r="N710" s="1">
        <v>2.0</v>
      </c>
      <c r="O710" s="1">
        <v>0.0</v>
      </c>
      <c r="P710" s="1">
        <v>0.0</v>
      </c>
      <c r="Q710" s="1">
        <v>34.0</v>
      </c>
      <c r="R710" s="1">
        <v>28.0</v>
      </c>
    </row>
    <row r="711">
      <c r="A711" s="1">
        <f t="shared" si="1"/>
        <v>709</v>
      </c>
      <c r="B711" s="1" t="s">
        <v>1759</v>
      </c>
      <c r="C711" s="1">
        <f t="shared" si="2"/>
        <v>709</v>
      </c>
      <c r="D711" s="1" t="s">
        <v>1069</v>
      </c>
      <c r="E711" s="1" t="s">
        <v>28</v>
      </c>
      <c r="F711" s="11">
        <f t="shared" si="3"/>
        <v>66.25</v>
      </c>
      <c r="G711" s="11">
        <f t="shared" si="4"/>
        <v>2.366071429</v>
      </c>
      <c r="H711" s="1">
        <v>28.0</v>
      </c>
      <c r="I711" s="1">
        <v>3.0</v>
      </c>
      <c r="J711" s="1">
        <v>5.0</v>
      </c>
      <c r="K711" s="1">
        <v>8.0</v>
      </c>
      <c r="L711" s="1">
        <v>33.0</v>
      </c>
      <c r="M711" s="1">
        <v>0.0</v>
      </c>
      <c r="N711" s="1">
        <v>0.0</v>
      </c>
      <c r="O711" s="1">
        <v>0.0</v>
      </c>
      <c r="P711" s="1">
        <v>0.0</v>
      </c>
      <c r="Q711" s="1">
        <v>73.0</v>
      </c>
      <c r="R711" s="1">
        <v>6.0</v>
      </c>
    </row>
    <row r="712">
      <c r="A712" s="1">
        <f t="shared" si="1"/>
        <v>709</v>
      </c>
      <c r="B712" s="1" t="s">
        <v>1774</v>
      </c>
      <c r="C712" s="1">
        <f t="shared" si="2"/>
        <v>709</v>
      </c>
      <c r="D712" s="1" t="s">
        <v>1076</v>
      </c>
      <c r="E712" s="1" t="s">
        <v>66</v>
      </c>
      <c r="F712" s="11">
        <f t="shared" si="3"/>
        <v>66.25</v>
      </c>
      <c r="G712" s="11">
        <f t="shared" si="4"/>
        <v>1.948529412</v>
      </c>
      <c r="H712" s="1">
        <v>34.0</v>
      </c>
      <c r="I712" s="1">
        <v>2.0</v>
      </c>
      <c r="J712" s="1">
        <v>5.0</v>
      </c>
      <c r="K712" s="1">
        <v>7.0</v>
      </c>
      <c r="L712" s="1">
        <v>28.0</v>
      </c>
      <c r="M712" s="1">
        <v>0.0</v>
      </c>
      <c r="N712" s="1">
        <v>0.0</v>
      </c>
      <c r="O712" s="1">
        <v>0.0</v>
      </c>
      <c r="P712" s="1">
        <v>0.0</v>
      </c>
      <c r="Q712" s="1">
        <v>29.0</v>
      </c>
      <c r="R712" s="1">
        <v>42.0</v>
      </c>
    </row>
    <row r="713">
      <c r="A713" s="1">
        <f t="shared" si="1"/>
        <v>711</v>
      </c>
      <c r="B713" s="1" t="s">
        <v>1761</v>
      </c>
      <c r="C713" s="1">
        <f t="shared" si="2"/>
        <v>711</v>
      </c>
      <c r="D713" s="1" t="s">
        <v>1052</v>
      </c>
      <c r="E713" s="1" t="s">
        <v>66</v>
      </c>
      <c r="F713" s="11">
        <f t="shared" si="3"/>
        <v>66</v>
      </c>
      <c r="G713" s="11">
        <f t="shared" si="4"/>
        <v>2</v>
      </c>
      <c r="H713" s="1">
        <v>33.0</v>
      </c>
      <c r="I713" s="1">
        <v>3.0</v>
      </c>
      <c r="J713" s="1">
        <v>2.0</v>
      </c>
      <c r="K713" s="1">
        <v>5.0</v>
      </c>
      <c r="L713" s="1">
        <v>24.0</v>
      </c>
      <c r="M713" s="1">
        <v>0.0</v>
      </c>
      <c r="N713" s="1">
        <v>0.0</v>
      </c>
      <c r="O713" s="1">
        <v>0.0</v>
      </c>
      <c r="P713" s="1">
        <v>0.0</v>
      </c>
      <c r="Q713" s="1">
        <v>72.0</v>
      </c>
      <c r="R713" s="1">
        <v>33.0</v>
      </c>
    </row>
    <row r="714">
      <c r="A714" s="1">
        <f t="shared" si="1"/>
        <v>711</v>
      </c>
      <c r="B714" s="1" t="s">
        <v>1777</v>
      </c>
      <c r="C714" s="1">
        <f t="shared" si="2"/>
        <v>711</v>
      </c>
      <c r="D714" s="1" t="s">
        <v>1076</v>
      </c>
      <c r="E714" s="1" t="s">
        <v>31</v>
      </c>
      <c r="F714" s="11">
        <f t="shared" si="3"/>
        <v>66</v>
      </c>
      <c r="G714" s="11">
        <f t="shared" si="4"/>
        <v>1.269230769</v>
      </c>
      <c r="H714" s="1">
        <v>52.0</v>
      </c>
      <c r="I714" s="1">
        <v>4.0</v>
      </c>
      <c r="J714" s="1">
        <v>8.0</v>
      </c>
      <c r="K714" s="1">
        <v>12.0</v>
      </c>
      <c r="L714" s="1">
        <v>26.0</v>
      </c>
      <c r="M714" s="1">
        <v>0.0</v>
      </c>
      <c r="N714" s="1">
        <v>0.0</v>
      </c>
      <c r="O714" s="1">
        <v>0.0</v>
      </c>
      <c r="P714" s="1">
        <v>0.0</v>
      </c>
      <c r="Q714" s="1">
        <v>20.0</v>
      </c>
      <c r="R714" s="1">
        <v>12.0</v>
      </c>
    </row>
    <row r="715">
      <c r="A715" s="1">
        <f t="shared" si="1"/>
        <v>713</v>
      </c>
      <c r="B715" s="1" t="s">
        <v>1783</v>
      </c>
      <c r="C715" s="1">
        <f t="shared" si="2"/>
        <v>713</v>
      </c>
      <c r="D715" s="1" t="s">
        <v>1069</v>
      </c>
      <c r="E715" s="1" t="s">
        <v>28</v>
      </c>
      <c r="F715" s="11">
        <f t="shared" si="3"/>
        <v>65.75</v>
      </c>
      <c r="G715" s="11">
        <f t="shared" si="4"/>
        <v>1.933823529</v>
      </c>
      <c r="H715" s="1">
        <v>34.0</v>
      </c>
      <c r="I715" s="1">
        <v>3.0</v>
      </c>
      <c r="J715" s="1">
        <v>6.0</v>
      </c>
      <c r="K715" s="1">
        <v>9.0</v>
      </c>
      <c r="L715" s="1">
        <v>58.0</v>
      </c>
      <c r="M715" s="1">
        <v>1.0</v>
      </c>
      <c r="N715" s="1">
        <v>0.0</v>
      </c>
      <c r="O715" s="1">
        <v>0.0</v>
      </c>
      <c r="P715" s="1">
        <v>0.0</v>
      </c>
      <c r="Q715" s="1">
        <v>7.0</v>
      </c>
      <c r="R715" s="1">
        <v>7.0</v>
      </c>
    </row>
    <row r="716">
      <c r="A716" s="1">
        <f t="shared" si="1"/>
        <v>714</v>
      </c>
      <c r="B716" s="1" t="s">
        <v>1789</v>
      </c>
      <c r="C716" s="1">
        <f t="shared" si="2"/>
        <v>714</v>
      </c>
      <c r="D716" s="1" t="s">
        <v>1076</v>
      </c>
      <c r="E716" s="1" t="s">
        <v>5</v>
      </c>
      <c r="F716" s="11">
        <f t="shared" si="3"/>
        <v>65.7</v>
      </c>
      <c r="G716" s="11">
        <f t="shared" si="4"/>
        <v>3.457894737</v>
      </c>
      <c r="H716" s="1">
        <v>19.0</v>
      </c>
      <c r="S716" s="1">
        <v>5.0</v>
      </c>
      <c r="T716" s="1">
        <v>48.0</v>
      </c>
      <c r="U716" s="1">
        <v>409.0</v>
      </c>
      <c r="V716" s="1">
        <v>0.0</v>
      </c>
    </row>
    <row r="717">
      <c r="A717" s="1">
        <f t="shared" si="1"/>
        <v>715</v>
      </c>
      <c r="B717" s="1" t="s">
        <v>1781</v>
      </c>
      <c r="C717" s="1">
        <f t="shared" si="2"/>
        <v>715</v>
      </c>
      <c r="D717" s="1" t="s">
        <v>1097</v>
      </c>
      <c r="E717" s="1" t="s">
        <v>28</v>
      </c>
      <c r="F717" s="11">
        <f t="shared" si="3"/>
        <v>65.5</v>
      </c>
      <c r="G717" s="11">
        <f t="shared" si="4"/>
        <v>2.183333333</v>
      </c>
      <c r="H717" s="1">
        <v>30.0</v>
      </c>
      <c r="I717" s="1">
        <v>5.0</v>
      </c>
      <c r="J717" s="1">
        <v>4.0</v>
      </c>
      <c r="K717" s="1">
        <v>9.0</v>
      </c>
      <c r="L717" s="1">
        <v>35.0</v>
      </c>
      <c r="M717" s="1">
        <v>1.0</v>
      </c>
      <c r="N717" s="1">
        <v>0.0</v>
      </c>
      <c r="O717" s="1">
        <v>0.0</v>
      </c>
      <c r="P717" s="1">
        <v>0.0</v>
      </c>
      <c r="Q717" s="1">
        <v>16.0</v>
      </c>
      <c r="R717" s="1">
        <v>19.0</v>
      </c>
    </row>
    <row r="718">
      <c r="A718" s="1">
        <f t="shared" si="1"/>
        <v>715</v>
      </c>
      <c r="B718" s="1" t="s">
        <v>1766</v>
      </c>
      <c r="C718" s="1">
        <f t="shared" si="2"/>
        <v>715</v>
      </c>
      <c r="D718" s="1" t="s">
        <v>1172</v>
      </c>
      <c r="E718" s="1" t="s">
        <v>66</v>
      </c>
      <c r="F718" s="11">
        <f t="shared" si="3"/>
        <v>65.5</v>
      </c>
      <c r="G718" s="11">
        <f t="shared" si="4"/>
        <v>1.984848485</v>
      </c>
      <c r="H718" s="1">
        <v>33.0</v>
      </c>
      <c r="I718" s="1">
        <v>0.0</v>
      </c>
      <c r="J718" s="1">
        <v>6.0</v>
      </c>
      <c r="K718" s="1">
        <v>6.0</v>
      </c>
      <c r="L718" s="1">
        <v>31.0</v>
      </c>
      <c r="M718" s="1">
        <v>0.0</v>
      </c>
      <c r="N718" s="1">
        <v>0.0</v>
      </c>
      <c r="O718" s="1">
        <v>0.0</v>
      </c>
      <c r="P718" s="1">
        <v>0.0</v>
      </c>
      <c r="Q718" s="1">
        <v>56.0</v>
      </c>
      <c r="R718" s="1">
        <v>36.0</v>
      </c>
    </row>
    <row r="719">
      <c r="A719" s="1">
        <f t="shared" si="1"/>
        <v>717</v>
      </c>
      <c r="B719" s="1" t="s">
        <v>1785</v>
      </c>
      <c r="C719" s="1">
        <f t="shared" si="2"/>
        <v>717</v>
      </c>
      <c r="D719" s="1" t="s">
        <v>1172</v>
      </c>
      <c r="E719" s="1" t="s">
        <v>31</v>
      </c>
      <c r="F719" s="11">
        <f t="shared" si="3"/>
        <v>65.25</v>
      </c>
      <c r="G719" s="11">
        <f t="shared" si="4"/>
        <v>2.330357143</v>
      </c>
      <c r="H719" s="1">
        <v>28.0</v>
      </c>
      <c r="I719" s="1">
        <v>2.0</v>
      </c>
      <c r="J719" s="1">
        <v>7.0</v>
      </c>
      <c r="K719" s="1">
        <v>9.0</v>
      </c>
      <c r="L719" s="1">
        <v>44.0</v>
      </c>
      <c r="M719" s="1">
        <v>0.0</v>
      </c>
      <c r="N719" s="1">
        <v>2.0</v>
      </c>
      <c r="O719" s="1">
        <v>0.0</v>
      </c>
      <c r="P719" s="1">
        <v>0.0</v>
      </c>
      <c r="Q719" s="1">
        <v>11.0</v>
      </c>
      <c r="R719" s="1">
        <v>21.0</v>
      </c>
    </row>
    <row r="720">
      <c r="A720" s="1">
        <f t="shared" si="1"/>
        <v>718</v>
      </c>
      <c r="B720" s="1" t="s">
        <v>1775</v>
      </c>
      <c r="C720" s="1">
        <f t="shared" si="2"/>
        <v>718</v>
      </c>
      <c r="D720" s="1" t="s">
        <v>1048</v>
      </c>
      <c r="E720" s="1" t="s">
        <v>66</v>
      </c>
      <c r="F720" s="11">
        <f t="shared" si="3"/>
        <v>65</v>
      </c>
      <c r="G720" s="11">
        <f t="shared" si="4"/>
        <v>2.166666667</v>
      </c>
      <c r="H720" s="1">
        <v>30.0</v>
      </c>
      <c r="I720" s="1">
        <v>0.0</v>
      </c>
      <c r="J720" s="1">
        <v>9.0</v>
      </c>
      <c r="K720" s="1">
        <v>9.0</v>
      </c>
      <c r="L720" s="1">
        <v>25.0</v>
      </c>
      <c r="M720" s="1">
        <v>0.0</v>
      </c>
      <c r="N720" s="1">
        <v>0.0</v>
      </c>
      <c r="O720" s="1">
        <v>0.0</v>
      </c>
      <c r="P720" s="1">
        <v>1.0</v>
      </c>
      <c r="Q720" s="1">
        <v>40.0</v>
      </c>
      <c r="R720" s="1">
        <v>27.0</v>
      </c>
    </row>
    <row r="721">
      <c r="A721" s="1">
        <f t="shared" si="1"/>
        <v>718</v>
      </c>
      <c r="B721" s="1" t="s">
        <v>1772</v>
      </c>
      <c r="C721" s="1">
        <f t="shared" si="2"/>
        <v>718</v>
      </c>
      <c r="D721" s="1" t="s">
        <v>1087</v>
      </c>
      <c r="E721" s="1" t="s">
        <v>66</v>
      </c>
      <c r="F721" s="11">
        <f t="shared" si="3"/>
        <v>65</v>
      </c>
      <c r="G721" s="11">
        <f t="shared" si="4"/>
        <v>1.911764706</v>
      </c>
      <c r="H721" s="1">
        <v>34.0</v>
      </c>
      <c r="I721" s="1">
        <v>2.0</v>
      </c>
      <c r="J721" s="1">
        <v>3.0</v>
      </c>
      <c r="K721" s="1">
        <v>5.0</v>
      </c>
      <c r="L721" s="1">
        <v>32.0</v>
      </c>
      <c r="M721" s="1">
        <v>1.0</v>
      </c>
      <c r="N721" s="1">
        <v>0.0</v>
      </c>
      <c r="O721" s="1">
        <v>0.0</v>
      </c>
      <c r="P721" s="1">
        <v>0.0</v>
      </c>
      <c r="Q721" s="1">
        <v>44.0</v>
      </c>
      <c r="R721" s="1">
        <v>40.0</v>
      </c>
    </row>
    <row r="722">
      <c r="A722" s="1">
        <f t="shared" si="1"/>
        <v>720</v>
      </c>
      <c r="B722" s="1" t="s">
        <v>1791</v>
      </c>
      <c r="C722" s="1">
        <f t="shared" si="2"/>
        <v>720</v>
      </c>
      <c r="D722" s="1" t="s">
        <v>1156</v>
      </c>
      <c r="E722" s="1" t="s">
        <v>36</v>
      </c>
      <c r="F722" s="11">
        <f t="shared" si="3"/>
        <v>64.75</v>
      </c>
      <c r="G722" s="11">
        <f t="shared" si="4"/>
        <v>3.597222222</v>
      </c>
      <c r="H722" s="1">
        <v>18.0</v>
      </c>
      <c r="I722" s="1">
        <v>6.0</v>
      </c>
      <c r="J722" s="1">
        <v>3.0</v>
      </c>
      <c r="K722" s="1">
        <v>9.0</v>
      </c>
      <c r="L722" s="1">
        <v>41.0</v>
      </c>
      <c r="M722" s="1">
        <v>1.0</v>
      </c>
      <c r="N722" s="1">
        <v>1.0</v>
      </c>
      <c r="O722" s="1">
        <v>0.0</v>
      </c>
      <c r="P722" s="1">
        <v>0.0</v>
      </c>
      <c r="Q722" s="1">
        <v>5.0</v>
      </c>
      <c r="R722" s="1">
        <v>14.0</v>
      </c>
    </row>
    <row r="723">
      <c r="A723" s="1">
        <f t="shared" si="1"/>
        <v>720</v>
      </c>
      <c r="B723" s="1" t="s">
        <v>1788</v>
      </c>
      <c r="C723" s="1">
        <f t="shared" si="2"/>
        <v>720</v>
      </c>
      <c r="D723" s="1" t="s">
        <v>1172</v>
      </c>
      <c r="E723" s="1" t="s">
        <v>31</v>
      </c>
      <c r="F723" s="11">
        <f t="shared" si="3"/>
        <v>64.75</v>
      </c>
      <c r="G723" s="11">
        <f t="shared" si="4"/>
        <v>2.398148148</v>
      </c>
      <c r="H723" s="1">
        <v>27.0</v>
      </c>
      <c r="I723" s="1">
        <v>4.0</v>
      </c>
      <c r="J723" s="1">
        <v>4.0</v>
      </c>
      <c r="K723" s="1">
        <v>8.0</v>
      </c>
      <c r="L723" s="1">
        <v>50.0</v>
      </c>
      <c r="M723" s="1">
        <v>2.0</v>
      </c>
      <c r="N723" s="1">
        <v>1.0</v>
      </c>
      <c r="O723" s="1">
        <v>0.0</v>
      </c>
      <c r="P723" s="1">
        <v>0.0</v>
      </c>
      <c r="Q723" s="1">
        <v>11.0</v>
      </c>
      <c r="R723" s="1">
        <v>14.0</v>
      </c>
    </row>
    <row r="724">
      <c r="A724" s="1">
        <f t="shared" si="1"/>
        <v>722</v>
      </c>
      <c r="B724" s="1" t="s">
        <v>1787</v>
      </c>
      <c r="C724" s="1">
        <f t="shared" si="2"/>
        <v>722</v>
      </c>
      <c r="D724" s="1" t="s">
        <v>1030</v>
      </c>
      <c r="E724" s="1" t="s">
        <v>66</v>
      </c>
      <c r="F724" s="11">
        <f t="shared" si="3"/>
        <v>64.5</v>
      </c>
      <c r="G724" s="11">
        <f t="shared" si="4"/>
        <v>2.804347826</v>
      </c>
      <c r="H724" s="1">
        <v>23.0</v>
      </c>
      <c r="I724" s="1">
        <v>3.0</v>
      </c>
      <c r="J724" s="1">
        <v>7.0</v>
      </c>
      <c r="K724" s="1">
        <v>10.0</v>
      </c>
      <c r="L724" s="1">
        <v>31.0</v>
      </c>
      <c r="M724" s="1">
        <v>1.0</v>
      </c>
      <c r="N724" s="1">
        <v>1.0</v>
      </c>
      <c r="O724" s="1">
        <v>0.0</v>
      </c>
      <c r="P724" s="1">
        <v>0.0</v>
      </c>
      <c r="Q724" s="1">
        <v>14.0</v>
      </c>
      <c r="R724" s="1">
        <v>22.0</v>
      </c>
    </row>
    <row r="725">
      <c r="A725" s="1">
        <f t="shared" si="1"/>
        <v>723</v>
      </c>
      <c r="B725" s="1" t="s">
        <v>1779</v>
      </c>
      <c r="C725" s="1">
        <f t="shared" si="2"/>
        <v>723</v>
      </c>
      <c r="D725" s="1" t="s">
        <v>1069</v>
      </c>
      <c r="E725" s="1" t="s">
        <v>31</v>
      </c>
      <c r="F725" s="11">
        <f t="shared" si="3"/>
        <v>64.25</v>
      </c>
      <c r="G725" s="11">
        <f t="shared" si="4"/>
        <v>1.494186047</v>
      </c>
      <c r="H725" s="1">
        <v>43.0</v>
      </c>
      <c r="I725" s="1">
        <v>3.0</v>
      </c>
      <c r="J725" s="1">
        <v>4.0</v>
      </c>
      <c r="K725" s="1">
        <v>7.0</v>
      </c>
      <c r="L725" s="1">
        <v>42.0</v>
      </c>
      <c r="M725" s="1">
        <v>1.0</v>
      </c>
      <c r="N725" s="1">
        <v>0.0</v>
      </c>
      <c r="O725" s="1">
        <v>0.0</v>
      </c>
      <c r="P725" s="1">
        <v>0.0</v>
      </c>
      <c r="Q725" s="1">
        <v>35.0</v>
      </c>
      <c r="R725" s="1">
        <v>18.0</v>
      </c>
    </row>
    <row r="726">
      <c r="A726" s="1">
        <f t="shared" si="1"/>
        <v>724</v>
      </c>
      <c r="B726" s="1" t="s">
        <v>1769</v>
      </c>
      <c r="C726" s="1">
        <f t="shared" si="2"/>
        <v>724</v>
      </c>
      <c r="D726" s="1" t="s">
        <v>1087</v>
      </c>
      <c r="E726" s="1" t="s">
        <v>31</v>
      </c>
      <c r="F726" s="11">
        <f t="shared" si="3"/>
        <v>64</v>
      </c>
      <c r="G726" s="11">
        <f t="shared" si="4"/>
        <v>2</v>
      </c>
      <c r="H726" s="1">
        <v>32.0</v>
      </c>
      <c r="I726" s="1">
        <v>4.0</v>
      </c>
      <c r="J726" s="1">
        <v>5.0</v>
      </c>
      <c r="K726" s="1">
        <v>9.0</v>
      </c>
      <c r="L726" s="1">
        <v>26.0</v>
      </c>
      <c r="M726" s="1">
        <v>0.0</v>
      </c>
      <c r="N726" s="1">
        <v>0.0</v>
      </c>
      <c r="O726" s="1">
        <v>0.0</v>
      </c>
      <c r="P726" s="1">
        <v>0.0</v>
      </c>
      <c r="Q726" s="1">
        <v>60.0</v>
      </c>
      <c r="R726" s="1">
        <v>6.0</v>
      </c>
    </row>
    <row r="727">
      <c r="A727" s="1">
        <f t="shared" si="1"/>
        <v>725</v>
      </c>
      <c r="B727" s="1" t="s">
        <v>1796</v>
      </c>
      <c r="C727" s="1">
        <f t="shared" si="2"/>
        <v>725</v>
      </c>
      <c r="D727" s="1" t="s">
        <v>1097</v>
      </c>
      <c r="E727" s="1" t="s">
        <v>31</v>
      </c>
      <c r="F727" s="11">
        <f t="shared" si="3"/>
        <v>63.5</v>
      </c>
      <c r="G727" s="11">
        <f t="shared" si="4"/>
        <v>2.760869565</v>
      </c>
      <c r="H727" s="1">
        <v>23.0</v>
      </c>
      <c r="I727" s="1">
        <v>4.0</v>
      </c>
      <c r="J727" s="1">
        <v>5.0</v>
      </c>
      <c r="K727" s="1">
        <v>9.0</v>
      </c>
      <c r="L727" s="1">
        <v>34.0</v>
      </c>
      <c r="M727" s="1">
        <v>0.0</v>
      </c>
      <c r="N727" s="1">
        <v>0.0</v>
      </c>
      <c r="O727" s="1">
        <v>0.0</v>
      </c>
      <c r="P727" s="1">
        <v>0.0</v>
      </c>
      <c r="Q727" s="1">
        <v>12.0</v>
      </c>
      <c r="R727" s="1">
        <v>21.0</v>
      </c>
    </row>
    <row r="728">
      <c r="A728" s="1">
        <f t="shared" si="1"/>
        <v>726</v>
      </c>
      <c r="B728" s="1" t="s">
        <v>1794</v>
      </c>
      <c r="C728" s="1">
        <f t="shared" si="2"/>
        <v>726</v>
      </c>
      <c r="D728" s="1" t="s">
        <v>1146</v>
      </c>
      <c r="E728" s="1" t="s">
        <v>31</v>
      </c>
      <c r="F728" s="11">
        <f t="shared" si="3"/>
        <v>63</v>
      </c>
      <c r="G728" s="11">
        <f t="shared" si="4"/>
        <v>1.575</v>
      </c>
      <c r="H728" s="1">
        <v>40.0</v>
      </c>
      <c r="I728" s="1">
        <v>4.0</v>
      </c>
      <c r="J728" s="1">
        <v>3.0</v>
      </c>
      <c r="K728" s="1">
        <v>7.0</v>
      </c>
      <c r="L728" s="1">
        <v>36.0</v>
      </c>
      <c r="M728" s="1">
        <v>0.0</v>
      </c>
      <c r="N728" s="1">
        <v>0.0</v>
      </c>
      <c r="O728" s="1">
        <v>1.0</v>
      </c>
      <c r="P728" s="1">
        <v>0.0</v>
      </c>
      <c r="Q728" s="1">
        <v>20.0</v>
      </c>
      <c r="R728" s="1">
        <v>22.0</v>
      </c>
    </row>
    <row r="729">
      <c r="A729" s="1">
        <f t="shared" si="1"/>
        <v>727</v>
      </c>
      <c r="B729" s="1" t="s">
        <v>1797</v>
      </c>
      <c r="C729" s="1">
        <f t="shared" si="2"/>
        <v>727</v>
      </c>
      <c r="D729" s="1" t="s">
        <v>1106</v>
      </c>
      <c r="E729" s="1" t="s">
        <v>31</v>
      </c>
      <c r="F729" s="11">
        <f t="shared" si="3"/>
        <v>62.5</v>
      </c>
      <c r="G729" s="11">
        <f t="shared" si="4"/>
        <v>2.5</v>
      </c>
      <c r="H729" s="1">
        <v>25.0</v>
      </c>
      <c r="I729" s="1">
        <v>5.0</v>
      </c>
      <c r="J729" s="1">
        <v>4.0</v>
      </c>
      <c r="K729" s="1">
        <v>9.0</v>
      </c>
      <c r="L729" s="1">
        <v>38.0</v>
      </c>
      <c r="M729" s="1">
        <v>0.0</v>
      </c>
      <c r="N729" s="1">
        <v>0.0</v>
      </c>
      <c r="O729" s="1">
        <v>0.0</v>
      </c>
      <c r="P729" s="1">
        <v>0.0</v>
      </c>
      <c r="Q729" s="1">
        <v>12.0</v>
      </c>
      <c r="R729" s="1">
        <v>12.0</v>
      </c>
    </row>
    <row r="730">
      <c r="A730" s="1">
        <f t="shared" si="1"/>
        <v>728</v>
      </c>
      <c r="B730" s="1" t="s">
        <v>1762</v>
      </c>
      <c r="C730" s="1">
        <f t="shared" si="2"/>
        <v>728</v>
      </c>
      <c r="D730" s="1" t="s">
        <v>1065</v>
      </c>
      <c r="E730" s="1" t="s">
        <v>31</v>
      </c>
      <c r="F730" s="11">
        <f t="shared" si="3"/>
        <v>62.25</v>
      </c>
      <c r="G730" s="11">
        <f t="shared" si="4"/>
        <v>1.383333333</v>
      </c>
      <c r="H730" s="1">
        <v>45.0</v>
      </c>
      <c r="I730" s="1">
        <v>0.0</v>
      </c>
      <c r="J730" s="1">
        <v>2.0</v>
      </c>
      <c r="K730" s="1">
        <v>2.0</v>
      </c>
      <c r="L730" s="1">
        <v>32.0</v>
      </c>
      <c r="M730" s="1">
        <v>0.0</v>
      </c>
      <c r="N730" s="1">
        <v>0.0</v>
      </c>
      <c r="O730" s="1">
        <v>0.0</v>
      </c>
      <c r="P730" s="1">
        <v>0.0</v>
      </c>
      <c r="Q730" s="1">
        <v>101.0</v>
      </c>
      <c r="R730" s="1">
        <v>30.0</v>
      </c>
    </row>
    <row r="731">
      <c r="A731" s="1">
        <f t="shared" si="1"/>
        <v>729</v>
      </c>
      <c r="B731" s="1" t="s">
        <v>1782</v>
      </c>
      <c r="C731" s="1">
        <f t="shared" si="2"/>
        <v>729</v>
      </c>
      <c r="D731" s="1" t="s">
        <v>1082</v>
      </c>
      <c r="E731" s="1" t="s">
        <v>66</v>
      </c>
      <c r="F731" s="11">
        <f t="shared" si="3"/>
        <v>62</v>
      </c>
      <c r="G731" s="11">
        <f t="shared" si="4"/>
        <v>1.58974359</v>
      </c>
      <c r="H731" s="1">
        <v>39.0</v>
      </c>
      <c r="I731" s="1">
        <v>1.0</v>
      </c>
      <c r="J731" s="1">
        <v>2.0</v>
      </c>
      <c r="K731" s="1">
        <v>3.0</v>
      </c>
      <c r="L731" s="1">
        <v>20.0</v>
      </c>
      <c r="M731" s="1">
        <v>0.0</v>
      </c>
      <c r="N731" s="1">
        <v>0.0</v>
      </c>
      <c r="O731" s="1">
        <v>0.0</v>
      </c>
      <c r="P731" s="1">
        <v>0.0</v>
      </c>
      <c r="Q731" s="1">
        <v>48.0</v>
      </c>
      <c r="R731" s="1">
        <v>59.0</v>
      </c>
    </row>
    <row r="732">
      <c r="A732" s="1">
        <f t="shared" si="1"/>
        <v>730</v>
      </c>
      <c r="B732" s="1" t="s">
        <v>1776</v>
      </c>
      <c r="C732" s="1">
        <f t="shared" si="2"/>
        <v>730</v>
      </c>
      <c r="D732" s="1" t="s">
        <v>1069</v>
      </c>
      <c r="E732" s="1" t="s">
        <v>36</v>
      </c>
      <c r="F732" s="11">
        <f t="shared" si="3"/>
        <v>61.75</v>
      </c>
      <c r="G732" s="11">
        <f t="shared" si="4"/>
        <v>1.54375</v>
      </c>
      <c r="H732" s="1">
        <v>40.0</v>
      </c>
      <c r="I732" s="1">
        <v>2.0</v>
      </c>
      <c r="J732" s="1">
        <v>5.0</v>
      </c>
      <c r="K732" s="1">
        <v>7.0</v>
      </c>
      <c r="L732" s="1">
        <v>29.0</v>
      </c>
      <c r="M732" s="1">
        <v>0.0</v>
      </c>
      <c r="N732" s="1">
        <v>0.0</v>
      </c>
      <c r="O732" s="1">
        <v>0.0</v>
      </c>
      <c r="P732" s="1">
        <v>0.0</v>
      </c>
      <c r="Q732" s="1">
        <v>67.0</v>
      </c>
      <c r="R732" s="1">
        <v>13.0</v>
      </c>
    </row>
    <row r="733">
      <c r="A733" s="1">
        <f t="shared" si="1"/>
        <v>731</v>
      </c>
      <c r="B733" s="1" t="s">
        <v>1786</v>
      </c>
      <c r="C733" s="1">
        <f t="shared" si="2"/>
        <v>731</v>
      </c>
      <c r="D733" s="1" t="s">
        <v>1069</v>
      </c>
      <c r="E733" s="1" t="s">
        <v>66</v>
      </c>
      <c r="F733" s="11">
        <f t="shared" si="3"/>
        <v>61.5</v>
      </c>
      <c r="G733" s="11">
        <f t="shared" si="4"/>
        <v>1.464285714</v>
      </c>
      <c r="H733" s="1">
        <v>42.0</v>
      </c>
      <c r="I733" s="1">
        <v>1.0</v>
      </c>
      <c r="J733" s="1">
        <v>4.0</v>
      </c>
      <c r="K733" s="1">
        <v>5.0</v>
      </c>
      <c r="L733" s="1">
        <v>19.0</v>
      </c>
      <c r="M733" s="1">
        <v>0.0</v>
      </c>
      <c r="N733" s="1">
        <v>0.0</v>
      </c>
      <c r="O733" s="1">
        <v>0.0</v>
      </c>
      <c r="P733" s="1">
        <v>0.0</v>
      </c>
      <c r="Q733" s="1">
        <v>48.0</v>
      </c>
      <c r="R733" s="1">
        <v>47.0</v>
      </c>
    </row>
    <row r="734">
      <c r="A734" s="1">
        <f t="shared" si="1"/>
        <v>732</v>
      </c>
      <c r="B734" s="1" t="s">
        <v>1795</v>
      </c>
      <c r="C734" s="1">
        <f t="shared" si="2"/>
        <v>732</v>
      </c>
      <c r="D734" s="1" t="s">
        <v>1087</v>
      </c>
      <c r="E734" s="1" t="s">
        <v>36</v>
      </c>
      <c r="F734" s="11">
        <f t="shared" si="3"/>
        <v>61.25</v>
      </c>
      <c r="G734" s="11">
        <f t="shared" si="4"/>
        <v>1.9140625</v>
      </c>
      <c r="H734" s="1">
        <v>32.0</v>
      </c>
      <c r="I734" s="1">
        <v>2.0</v>
      </c>
      <c r="J734" s="1">
        <v>4.0</v>
      </c>
      <c r="K734" s="1">
        <v>6.0</v>
      </c>
      <c r="L734" s="1">
        <v>41.0</v>
      </c>
      <c r="M734" s="1">
        <v>1.0</v>
      </c>
      <c r="N734" s="1">
        <v>1.0</v>
      </c>
      <c r="O734" s="1">
        <v>0.0</v>
      </c>
      <c r="P734" s="1">
        <v>0.0</v>
      </c>
      <c r="Q734" s="1">
        <v>35.0</v>
      </c>
      <c r="R734" s="1">
        <v>22.0</v>
      </c>
    </row>
    <row r="735">
      <c r="A735" s="1">
        <f t="shared" si="1"/>
        <v>733</v>
      </c>
      <c r="B735" s="1" t="s">
        <v>1793</v>
      </c>
      <c r="C735" s="1">
        <f t="shared" si="2"/>
        <v>733</v>
      </c>
      <c r="D735" s="1" t="s">
        <v>1038</v>
      </c>
      <c r="E735" s="1" t="s">
        <v>28</v>
      </c>
      <c r="F735" s="11">
        <f t="shared" si="3"/>
        <v>60.75</v>
      </c>
      <c r="G735" s="11">
        <f t="shared" si="4"/>
        <v>3.197368421</v>
      </c>
      <c r="H735" s="1">
        <v>19.0</v>
      </c>
      <c r="I735" s="1">
        <v>5.0</v>
      </c>
      <c r="J735" s="1">
        <v>2.0</v>
      </c>
      <c r="K735" s="1">
        <v>7.0</v>
      </c>
      <c r="L735" s="1">
        <v>31.0</v>
      </c>
      <c r="M735" s="1">
        <v>2.0</v>
      </c>
      <c r="N735" s="1">
        <v>0.0</v>
      </c>
      <c r="O735" s="1">
        <v>0.0</v>
      </c>
      <c r="P735" s="1">
        <v>0.0</v>
      </c>
      <c r="Q735" s="1">
        <v>43.0</v>
      </c>
      <c r="R735" s="1">
        <v>12.0</v>
      </c>
    </row>
    <row r="736">
      <c r="A736" s="1">
        <f t="shared" si="1"/>
        <v>733</v>
      </c>
      <c r="B736" s="1" t="s">
        <v>1780</v>
      </c>
      <c r="C736" s="1">
        <f t="shared" si="2"/>
        <v>733</v>
      </c>
      <c r="D736" s="1" t="s">
        <v>1069</v>
      </c>
      <c r="E736" s="1" t="s">
        <v>31</v>
      </c>
      <c r="F736" s="11">
        <f t="shared" si="3"/>
        <v>60.75</v>
      </c>
      <c r="G736" s="11">
        <f t="shared" si="4"/>
        <v>1.840909091</v>
      </c>
      <c r="H736" s="1">
        <v>33.0</v>
      </c>
      <c r="I736" s="1">
        <v>3.0</v>
      </c>
      <c r="J736" s="1">
        <v>1.0</v>
      </c>
      <c r="K736" s="1">
        <v>4.0</v>
      </c>
      <c r="L736" s="1">
        <v>27.0</v>
      </c>
      <c r="M736" s="1">
        <v>0.0</v>
      </c>
      <c r="N736" s="1">
        <v>0.0</v>
      </c>
      <c r="O736" s="1">
        <v>0.0</v>
      </c>
      <c r="P736" s="1">
        <v>0.0</v>
      </c>
      <c r="Q736" s="1">
        <v>65.0</v>
      </c>
      <c r="R736" s="1">
        <v>29.0</v>
      </c>
    </row>
    <row r="737">
      <c r="A737" s="1">
        <f t="shared" si="1"/>
        <v>735</v>
      </c>
      <c r="B737" s="1" t="s">
        <v>1807</v>
      </c>
      <c r="C737" s="1">
        <f t="shared" si="2"/>
        <v>735</v>
      </c>
      <c r="D737" s="1" t="s">
        <v>1067</v>
      </c>
      <c r="E737" s="1" t="s">
        <v>66</v>
      </c>
      <c r="F737" s="11">
        <f t="shared" si="3"/>
        <v>60</v>
      </c>
      <c r="G737" s="11">
        <f t="shared" si="4"/>
        <v>1.463414634</v>
      </c>
      <c r="H737" s="1">
        <v>41.0</v>
      </c>
      <c r="I737" s="1">
        <v>0.0</v>
      </c>
      <c r="J737" s="1">
        <v>7.0</v>
      </c>
      <c r="K737" s="1">
        <v>7.0</v>
      </c>
      <c r="L737" s="1">
        <v>35.0</v>
      </c>
      <c r="M737" s="1">
        <v>0.0</v>
      </c>
      <c r="N737" s="1">
        <v>0.0</v>
      </c>
      <c r="O737" s="1">
        <v>0.0</v>
      </c>
      <c r="P737" s="1">
        <v>0.0</v>
      </c>
      <c r="Q737" s="1">
        <v>8.0</v>
      </c>
      <c r="R737" s="1">
        <v>39.0</v>
      </c>
    </row>
    <row r="738">
      <c r="A738" s="1">
        <f t="shared" si="1"/>
        <v>736</v>
      </c>
      <c r="B738" s="1" t="s">
        <v>1809</v>
      </c>
      <c r="C738" s="1">
        <f t="shared" si="2"/>
        <v>736</v>
      </c>
      <c r="D738" s="1" t="s">
        <v>1570</v>
      </c>
      <c r="E738" s="1" t="s">
        <v>31</v>
      </c>
      <c r="F738" s="11">
        <f t="shared" si="3"/>
        <v>59.5</v>
      </c>
      <c r="G738" s="11">
        <f t="shared" si="4"/>
        <v>1.416666667</v>
      </c>
      <c r="H738" s="1">
        <v>42.0</v>
      </c>
      <c r="I738" s="1">
        <v>3.0</v>
      </c>
      <c r="J738" s="1">
        <v>6.0</v>
      </c>
      <c r="K738" s="1">
        <v>9.0</v>
      </c>
      <c r="L738" s="1">
        <v>35.0</v>
      </c>
      <c r="M738" s="1">
        <v>0.0</v>
      </c>
      <c r="N738" s="1">
        <v>4.0</v>
      </c>
      <c r="O738" s="1">
        <v>0.0</v>
      </c>
      <c r="P738" s="1">
        <v>0.0</v>
      </c>
      <c r="Q738" s="1">
        <v>10.0</v>
      </c>
      <c r="R738" s="1">
        <v>16.0</v>
      </c>
    </row>
    <row r="739">
      <c r="A739" s="1">
        <f t="shared" si="1"/>
        <v>737</v>
      </c>
      <c r="B739" s="1" t="s">
        <v>1798</v>
      </c>
      <c r="C739" s="1">
        <f t="shared" si="2"/>
        <v>737</v>
      </c>
      <c r="D739" s="1" t="s">
        <v>1052</v>
      </c>
      <c r="E739" s="1" t="s">
        <v>36</v>
      </c>
      <c r="F739" s="11">
        <f t="shared" si="3"/>
        <v>59.25</v>
      </c>
      <c r="G739" s="11">
        <f t="shared" si="4"/>
        <v>1.795454545</v>
      </c>
      <c r="H739" s="1">
        <v>33.0</v>
      </c>
      <c r="I739" s="1">
        <v>4.0</v>
      </c>
      <c r="J739" s="1">
        <v>3.0</v>
      </c>
      <c r="K739" s="1">
        <v>7.0</v>
      </c>
      <c r="L739" s="1">
        <v>38.0</v>
      </c>
      <c r="M739" s="1">
        <v>0.0</v>
      </c>
      <c r="N739" s="1">
        <v>0.0</v>
      </c>
      <c r="O739" s="1">
        <v>0.0</v>
      </c>
      <c r="P739" s="1">
        <v>0.0</v>
      </c>
      <c r="Q739" s="1">
        <v>43.0</v>
      </c>
      <c r="R739" s="1">
        <v>5.0</v>
      </c>
    </row>
    <row r="740">
      <c r="A740" s="1">
        <f t="shared" si="1"/>
        <v>738</v>
      </c>
      <c r="B740" s="1" t="s">
        <v>1808</v>
      </c>
      <c r="C740" s="1">
        <f t="shared" si="2"/>
        <v>738</v>
      </c>
      <c r="D740" s="1" t="s">
        <v>1172</v>
      </c>
      <c r="E740" s="1" t="s">
        <v>66</v>
      </c>
      <c r="F740" s="11">
        <f t="shared" si="3"/>
        <v>58.5</v>
      </c>
      <c r="G740" s="11">
        <f t="shared" si="4"/>
        <v>1.828125</v>
      </c>
      <c r="H740" s="1">
        <v>32.0</v>
      </c>
      <c r="I740" s="1">
        <v>0.0</v>
      </c>
      <c r="J740" s="1">
        <v>7.0</v>
      </c>
      <c r="K740" s="1">
        <v>7.0</v>
      </c>
      <c r="L740" s="1">
        <v>18.0</v>
      </c>
      <c r="M740" s="1">
        <v>0.0</v>
      </c>
      <c r="N740" s="1">
        <v>0.0</v>
      </c>
      <c r="O740" s="1">
        <v>0.0</v>
      </c>
      <c r="P740" s="1">
        <v>0.0</v>
      </c>
      <c r="Q740" s="1">
        <v>22.0</v>
      </c>
      <c r="R740" s="1">
        <v>46.0</v>
      </c>
    </row>
    <row r="741">
      <c r="A741" s="1">
        <f t="shared" si="1"/>
        <v>739</v>
      </c>
      <c r="B741" s="1" t="s">
        <v>1804</v>
      </c>
      <c r="C741" s="1">
        <f t="shared" si="2"/>
        <v>739</v>
      </c>
      <c r="D741" s="1" t="s">
        <v>1076</v>
      </c>
      <c r="E741" s="1" t="s">
        <v>28</v>
      </c>
      <c r="F741" s="11">
        <f t="shared" si="3"/>
        <v>58.25</v>
      </c>
      <c r="G741" s="11">
        <f t="shared" si="4"/>
        <v>1.618055556</v>
      </c>
      <c r="H741" s="1">
        <v>36.0</v>
      </c>
      <c r="I741" s="1">
        <v>2.0</v>
      </c>
      <c r="J741" s="1">
        <v>4.0</v>
      </c>
      <c r="K741" s="1">
        <v>6.0</v>
      </c>
      <c r="L741" s="1">
        <v>38.0</v>
      </c>
      <c r="M741" s="1">
        <v>0.0</v>
      </c>
      <c r="N741" s="1">
        <v>0.0</v>
      </c>
      <c r="O741" s="1">
        <v>0.0</v>
      </c>
      <c r="P741" s="1">
        <v>0.0</v>
      </c>
      <c r="Q741" s="1">
        <v>33.0</v>
      </c>
      <c r="R741" s="1">
        <v>20.0</v>
      </c>
    </row>
    <row r="742">
      <c r="A742" s="1">
        <f t="shared" si="1"/>
        <v>739</v>
      </c>
      <c r="B742" s="1" t="s">
        <v>1805</v>
      </c>
      <c r="C742" s="1">
        <f t="shared" si="2"/>
        <v>739</v>
      </c>
      <c r="D742" s="1" t="s">
        <v>1046</v>
      </c>
      <c r="E742" s="1" t="s">
        <v>31</v>
      </c>
      <c r="F742" s="11">
        <f t="shared" si="3"/>
        <v>58.25</v>
      </c>
      <c r="G742" s="11">
        <f t="shared" si="4"/>
        <v>1.354651163</v>
      </c>
      <c r="H742" s="1">
        <v>43.0</v>
      </c>
      <c r="I742" s="1">
        <v>3.0</v>
      </c>
      <c r="J742" s="1">
        <v>4.0</v>
      </c>
      <c r="K742" s="1">
        <v>7.0</v>
      </c>
      <c r="L742" s="1">
        <v>28.0</v>
      </c>
      <c r="M742" s="1">
        <v>0.0</v>
      </c>
      <c r="N742" s="1">
        <v>0.0</v>
      </c>
      <c r="O742" s="1">
        <v>0.0</v>
      </c>
      <c r="P742" s="1">
        <v>0.0</v>
      </c>
      <c r="Q742" s="1">
        <v>31.0</v>
      </c>
      <c r="R742" s="1">
        <v>22.0</v>
      </c>
    </row>
    <row r="743">
      <c r="A743" s="1">
        <f t="shared" si="1"/>
        <v>741</v>
      </c>
      <c r="B743" s="1" t="s">
        <v>1784</v>
      </c>
      <c r="C743" s="1">
        <f t="shared" si="2"/>
        <v>741</v>
      </c>
      <c r="D743" s="1" t="s">
        <v>1040</v>
      </c>
      <c r="E743" s="1" t="s">
        <v>31</v>
      </c>
      <c r="F743" s="11">
        <f t="shared" si="3"/>
        <v>58</v>
      </c>
      <c r="G743" s="11">
        <f t="shared" si="4"/>
        <v>1.705882353</v>
      </c>
      <c r="H743" s="1">
        <v>34.0</v>
      </c>
      <c r="I743" s="1">
        <v>1.0</v>
      </c>
      <c r="J743" s="1">
        <v>3.0</v>
      </c>
      <c r="K743" s="1">
        <v>4.0</v>
      </c>
      <c r="L743" s="1">
        <v>32.0</v>
      </c>
      <c r="M743" s="1">
        <v>0.0</v>
      </c>
      <c r="N743" s="1">
        <v>0.0</v>
      </c>
      <c r="O743" s="1">
        <v>0.0</v>
      </c>
      <c r="P743" s="1">
        <v>0.0</v>
      </c>
      <c r="Q743" s="1">
        <v>84.0</v>
      </c>
      <c r="R743" s="1">
        <v>15.0</v>
      </c>
    </row>
    <row r="744">
      <c r="A744" s="1">
        <f t="shared" si="1"/>
        <v>741</v>
      </c>
      <c r="B744" s="1" t="s">
        <v>1806</v>
      </c>
      <c r="C744" s="1">
        <f t="shared" si="2"/>
        <v>741</v>
      </c>
      <c r="D744" s="1" t="s">
        <v>1116</v>
      </c>
      <c r="E744" s="1" t="s">
        <v>31</v>
      </c>
      <c r="F744" s="11">
        <f t="shared" si="3"/>
        <v>58</v>
      </c>
      <c r="G744" s="11">
        <f t="shared" si="4"/>
        <v>1.487179487</v>
      </c>
      <c r="H744" s="1">
        <v>39.0</v>
      </c>
      <c r="I744" s="1">
        <v>3.0</v>
      </c>
      <c r="J744" s="1">
        <v>4.0</v>
      </c>
      <c r="K744" s="1">
        <v>7.0</v>
      </c>
      <c r="L744" s="1">
        <v>27.0</v>
      </c>
      <c r="M744" s="1">
        <v>0.0</v>
      </c>
      <c r="N744" s="1">
        <v>0.0</v>
      </c>
      <c r="O744" s="1">
        <v>0.0</v>
      </c>
      <c r="P744" s="1">
        <v>0.0</v>
      </c>
      <c r="Q744" s="1">
        <v>30.0</v>
      </c>
      <c r="R744" s="1">
        <v>23.0</v>
      </c>
    </row>
    <row r="745">
      <c r="A745" s="1">
        <f t="shared" si="1"/>
        <v>743</v>
      </c>
      <c r="B745" s="1" t="s">
        <v>1812</v>
      </c>
      <c r="C745" s="1">
        <f t="shared" si="2"/>
        <v>743</v>
      </c>
      <c r="D745" s="1" t="s">
        <v>1067</v>
      </c>
      <c r="E745" s="1" t="s">
        <v>66</v>
      </c>
      <c r="F745" s="11">
        <f t="shared" si="3"/>
        <v>57.25</v>
      </c>
      <c r="G745" s="11">
        <f t="shared" si="4"/>
        <v>1.590277778</v>
      </c>
      <c r="H745" s="1">
        <v>36.0</v>
      </c>
      <c r="I745" s="1">
        <v>1.0</v>
      </c>
      <c r="J745" s="1">
        <v>7.0</v>
      </c>
      <c r="K745" s="1">
        <v>8.0</v>
      </c>
      <c r="L745" s="1">
        <v>15.0</v>
      </c>
      <c r="M745" s="1">
        <v>0.0</v>
      </c>
      <c r="N745" s="1">
        <v>0.0</v>
      </c>
      <c r="O745" s="1">
        <v>0.0</v>
      </c>
      <c r="P745" s="1">
        <v>0.0</v>
      </c>
      <c r="Q745" s="1">
        <v>17.0</v>
      </c>
      <c r="R745" s="1">
        <v>40.0</v>
      </c>
    </row>
    <row r="746">
      <c r="A746" s="1">
        <f t="shared" si="1"/>
        <v>744</v>
      </c>
      <c r="B746" s="1" t="s">
        <v>1792</v>
      </c>
      <c r="C746" s="1">
        <f t="shared" si="2"/>
        <v>744</v>
      </c>
      <c r="D746" s="1" t="s">
        <v>1048</v>
      </c>
      <c r="E746" s="1" t="s">
        <v>28</v>
      </c>
      <c r="F746" s="11">
        <f t="shared" si="3"/>
        <v>57</v>
      </c>
      <c r="G746" s="11">
        <f t="shared" si="4"/>
        <v>1.461538462</v>
      </c>
      <c r="H746" s="1">
        <v>39.0</v>
      </c>
      <c r="I746" s="1">
        <v>2.0</v>
      </c>
      <c r="J746" s="1">
        <v>2.0</v>
      </c>
      <c r="K746" s="1">
        <v>4.0</v>
      </c>
      <c r="L746" s="1">
        <v>29.0</v>
      </c>
      <c r="M746" s="1">
        <v>0.0</v>
      </c>
      <c r="N746" s="1">
        <v>0.0</v>
      </c>
      <c r="O746" s="1">
        <v>0.0</v>
      </c>
      <c r="P746" s="1">
        <v>0.0</v>
      </c>
      <c r="Q746" s="1">
        <v>82.0</v>
      </c>
      <c r="R746" s="1">
        <v>14.0</v>
      </c>
    </row>
    <row r="747">
      <c r="A747" s="1">
        <f t="shared" si="1"/>
        <v>745</v>
      </c>
      <c r="B747" s="1" t="s">
        <v>1810</v>
      </c>
      <c r="C747" s="1">
        <f t="shared" si="2"/>
        <v>745</v>
      </c>
      <c r="D747" s="1" t="s">
        <v>1034</v>
      </c>
      <c r="E747" s="1" t="s">
        <v>66</v>
      </c>
      <c r="F747" s="11">
        <f t="shared" si="3"/>
        <v>56.75</v>
      </c>
      <c r="G747" s="11">
        <f t="shared" si="4"/>
        <v>2.364583333</v>
      </c>
      <c r="H747" s="1">
        <v>24.0</v>
      </c>
      <c r="I747" s="1">
        <v>1.0</v>
      </c>
      <c r="J747" s="1">
        <v>4.0</v>
      </c>
      <c r="K747" s="1">
        <v>5.0</v>
      </c>
      <c r="L747" s="1">
        <v>25.0</v>
      </c>
      <c r="M747" s="1">
        <v>0.0</v>
      </c>
      <c r="N747" s="1">
        <v>0.0</v>
      </c>
      <c r="O747" s="1">
        <v>0.0</v>
      </c>
      <c r="P747" s="1">
        <v>0.0</v>
      </c>
      <c r="Q747" s="1">
        <v>31.0</v>
      </c>
      <c r="R747" s="1">
        <v>40.0</v>
      </c>
    </row>
    <row r="748">
      <c r="A748" s="1">
        <f t="shared" si="1"/>
        <v>745</v>
      </c>
      <c r="B748" s="1" t="s">
        <v>1790</v>
      </c>
      <c r="C748" s="1">
        <f t="shared" si="2"/>
        <v>745</v>
      </c>
      <c r="D748" s="1" t="s">
        <v>1175</v>
      </c>
      <c r="E748" s="1" t="s">
        <v>28</v>
      </c>
      <c r="F748" s="11">
        <f t="shared" si="3"/>
        <v>56.75</v>
      </c>
      <c r="G748" s="11">
        <f t="shared" si="4"/>
        <v>1.576388889</v>
      </c>
      <c r="H748" s="1">
        <v>36.0</v>
      </c>
      <c r="I748" s="1">
        <v>1.0</v>
      </c>
      <c r="J748" s="1">
        <v>3.0</v>
      </c>
      <c r="K748" s="1">
        <v>4.0</v>
      </c>
      <c r="L748" s="1">
        <v>31.0</v>
      </c>
      <c r="M748" s="1">
        <v>0.0</v>
      </c>
      <c r="N748" s="1">
        <v>0.0</v>
      </c>
      <c r="O748" s="1">
        <v>0.0</v>
      </c>
      <c r="P748" s="1">
        <v>0.0</v>
      </c>
      <c r="Q748" s="1">
        <v>87.0</v>
      </c>
      <c r="R748" s="1">
        <v>12.0</v>
      </c>
    </row>
    <row r="749">
      <c r="A749" s="1">
        <f t="shared" si="1"/>
        <v>747</v>
      </c>
      <c r="B749" s="1" t="s">
        <v>1811</v>
      </c>
      <c r="C749" s="1">
        <f t="shared" si="2"/>
        <v>747</v>
      </c>
      <c r="D749" s="1" t="s">
        <v>1091</v>
      </c>
      <c r="E749" s="1" t="s">
        <v>66</v>
      </c>
      <c r="F749" s="11">
        <f t="shared" si="3"/>
        <v>56.25</v>
      </c>
      <c r="G749" s="11">
        <f t="shared" si="4"/>
        <v>1.607142857</v>
      </c>
      <c r="H749" s="1">
        <v>35.0</v>
      </c>
      <c r="I749" s="1">
        <v>1.0</v>
      </c>
      <c r="J749" s="1">
        <v>4.0</v>
      </c>
      <c r="K749" s="1">
        <v>5.0</v>
      </c>
      <c r="L749" s="1">
        <v>20.0</v>
      </c>
      <c r="M749" s="1">
        <v>0.0</v>
      </c>
      <c r="N749" s="1">
        <v>0.0</v>
      </c>
      <c r="O749" s="1">
        <v>0.0</v>
      </c>
      <c r="P749" s="1">
        <v>0.0</v>
      </c>
      <c r="Q749" s="1">
        <v>31.0</v>
      </c>
      <c r="R749" s="1">
        <v>44.0</v>
      </c>
    </row>
    <row r="750">
      <c r="A750" s="1">
        <f t="shared" si="1"/>
        <v>747</v>
      </c>
      <c r="B750" s="1" t="s">
        <v>1801</v>
      </c>
      <c r="C750" s="1">
        <f t="shared" si="2"/>
        <v>747</v>
      </c>
      <c r="D750" s="1" t="s">
        <v>1120</v>
      </c>
      <c r="E750" s="1" t="s">
        <v>66</v>
      </c>
      <c r="F750" s="11">
        <f t="shared" si="3"/>
        <v>56.25</v>
      </c>
      <c r="G750" s="11">
        <f t="shared" si="4"/>
        <v>1.480263158</v>
      </c>
      <c r="H750" s="1">
        <v>38.0</v>
      </c>
      <c r="I750" s="1">
        <v>0.0</v>
      </c>
      <c r="J750" s="1">
        <v>5.0</v>
      </c>
      <c r="K750" s="1">
        <v>5.0</v>
      </c>
      <c r="L750" s="1">
        <v>14.0</v>
      </c>
      <c r="M750" s="1">
        <v>0.0</v>
      </c>
      <c r="N750" s="1">
        <v>0.0</v>
      </c>
      <c r="O750" s="1">
        <v>0.0</v>
      </c>
      <c r="P750" s="1">
        <v>0.0</v>
      </c>
      <c r="Q750" s="1">
        <v>59.0</v>
      </c>
      <c r="R750" s="1">
        <v>39.0</v>
      </c>
    </row>
    <row r="751">
      <c r="A751" s="1">
        <f t="shared" si="1"/>
        <v>749</v>
      </c>
      <c r="B751" s="1" t="s">
        <v>1803</v>
      </c>
      <c r="C751" s="1">
        <f t="shared" si="2"/>
        <v>749</v>
      </c>
      <c r="D751" s="1" t="s">
        <v>1042</v>
      </c>
      <c r="E751" s="1" t="s">
        <v>31</v>
      </c>
      <c r="F751" s="11">
        <f t="shared" si="3"/>
        <v>56</v>
      </c>
      <c r="G751" s="11">
        <f t="shared" si="4"/>
        <v>1.806451613</v>
      </c>
      <c r="H751" s="1">
        <v>31.0</v>
      </c>
      <c r="I751" s="1">
        <v>1.0</v>
      </c>
      <c r="J751" s="1">
        <v>3.0</v>
      </c>
      <c r="K751" s="1">
        <v>4.0</v>
      </c>
      <c r="L751" s="1">
        <v>31.0</v>
      </c>
      <c r="M751" s="1">
        <v>0.0</v>
      </c>
      <c r="N751" s="1">
        <v>0.0</v>
      </c>
      <c r="O751" s="1">
        <v>1.0</v>
      </c>
      <c r="P751" s="1">
        <v>0.0</v>
      </c>
      <c r="Q751" s="1">
        <v>56.0</v>
      </c>
      <c r="R751" s="1">
        <v>22.0</v>
      </c>
    </row>
    <row r="752">
      <c r="A752" s="1">
        <f t="shared" si="1"/>
        <v>750</v>
      </c>
      <c r="B752" s="1" t="s">
        <v>1800</v>
      </c>
      <c r="C752" s="1">
        <f t="shared" si="2"/>
        <v>750</v>
      </c>
      <c r="D752" s="1" t="s">
        <v>1052</v>
      </c>
      <c r="E752" s="1" t="s">
        <v>31</v>
      </c>
      <c r="F752" s="11">
        <f t="shared" si="3"/>
        <v>55.25</v>
      </c>
      <c r="G752" s="11">
        <f t="shared" si="4"/>
        <v>1.227777778</v>
      </c>
      <c r="H752" s="1">
        <v>45.0</v>
      </c>
      <c r="I752" s="1">
        <v>0.0</v>
      </c>
      <c r="J752" s="1">
        <v>4.0</v>
      </c>
      <c r="K752" s="1">
        <v>4.0</v>
      </c>
      <c r="L752" s="1">
        <v>37.0</v>
      </c>
      <c r="M752" s="1">
        <v>0.0</v>
      </c>
      <c r="N752" s="1">
        <v>0.0</v>
      </c>
      <c r="O752" s="1">
        <v>0.0</v>
      </c>
      <c r="P752" s="1">
        <v>0.0</v>
      </c>
      <c r="Q752" s="1">
        <v>73.0</v>
      </c>
      <c r="R752" s="1">
        <v>13.0</v>
      </c>
    </row>
    <row r="753">
      <c r="A753" s="1">
        <f t="shared" si="1"/>
        <v>751</v>
      </c>
      <c r="B753" s="1" t="s">
        <v>1802</v>
      </c>
      <c r="C753" s="1">
        <f t="shared" si="2"/>
        <v>751</v>
      </c>
      <c r="D753" s="1" t="s">
        <v>1073</v>
      </c>
      <c r="E753" s="1" t="s">
        <v>28</v>
      </c>
      <c r="F753" s="11">
        <f t="shared" si="3"/>
        <v>54.75</v>
      </c>
      <c r="G753" s="11">
        <f t="shared" si="4"/>
        <v>1.7109375</v>
      </c>
      <c r="H753" s="1">
        <v>32.0</v>
      </c>
      <c r="I753" s="1">
        <v>3.0</v>
      </c>
      <c r="J753" s="1">
        <v>2.0</v>
      </c>
      <c r="K753" s="1">
        <v>5.0</v>
      </c>
      <c r="L753" s="1">
        <v>29.0</v>
      </c>
      <c r="M753" s="1">
        <v>0.0</v>
      </c>
      <c r="N753" s="1">
        <v>0.0</v>
      </c>
      <c r="O753" s="1">
        <v>0.0</v>
      </c>
      <c r="P753" s="1">
        <v>0.0</v>
      </c>
      <c r="Q753" s="1">
        <v>71.0</v>
      </c>
      <c r="R753" s="1">
        <v>6.0</v>
      </c>
    </row>
    <row r="754">
      <c r="A754" s="1">
        <f t="shared" si="1"/>
        <v>751</v>
      </c>
      <c r="B754" s="1" t="s">
        <v>1799</v>
      </c>
      <c r="C754" s="1">
        <f t="shared" si="2"/>
        <v>751</v>
      </c>
      <c r="D754" s="1" t="s">
        <v>1034</v>
      </c>
      <c r="E754" s="1" t="s">
        <v>28</v>
      </c>
      <c r="F754" s="11">
        <f t="shared" si="3"/>
        <v>54.75</v>
      </c>
      <c r="G754" s="11">
        <f t="shared" si="4"/>
        <v>1.659090909</v>
      </c>
      <c r="H754" s="1">
        <v>33.0</v>
      </c>
      <c r="I754" s="1">
        <v>2.0</v>
      </c>
      <c r="J754" s="1">
        <v>2.0</v>
      </c>
      <c r="K754" s="1">
        <v>4.0</v>
      </c>
      <c r="L754" s="1">
        <v>17.0</v>
      </c>
      <c r="M754" s="1">
        <v>0.0</v>
      </c>
      <c r="N754" s="1">
        <v>0.0</v>
      </c>
      <c r="O754" s="1">
        <v>0.0</v>
      </c>
      <c r="P754" s="1">
        <v>0.0</v>
      </c>
      <c r="Q754" s="1">
        <v>85.0</v>
      </c>
      <c r="R754" s="1">
        <v>20.0</v>
      </c>
    </row>
    <row r="755">
      <c r="A755" s="1">
        <f t="shared" si="1"/>
        <v>753</v>
      </c>
      <c r="B755" s="1" t="s">
        <v>1813</v>
      </c>
      <c r="C755" s="1">
        <f t="shared" si="2"/>
        <v>753</v>
      </c>
      <c r="D755" s="1" t="s">
        <v>1116</v>
      </c>
      <c r="E755" s="1" t="s">
        <v>66</v>
      </c>
      <c r="F755" s="11">
        <f t="shared" si="3"/>
        <v>53.25</v>
      </c>
      <c r="G755" s="11">
        <f t="shared" si="4"/>
        <v>2.13</v>
      </c>
      <c r="H755" s="1">
        <v>25.0</v>
      </c>
      <c r="I755" s="1">
        <v>1.0</v>
      </c>
      <c r="J755" s="1">
        <v>1.0</v>
      </c>
      <c r="K755" s="1">
        <v>2.0</v>
      </c>
      <c r="L755" s="1">
        <v>29.0</v>
      </c>
      <c r="M755" s="1">
        <v>0.0</v>
      </c>
      <c r="N755" s="1">
        <v>0.0</v>
      </c>
      <c r="O755" s="1">
        <v>0.0</v>
      </c>
      <c r="P755" s="1">
        <v>0.0</v>
      </c>
      <c r="Q755" s="1">
        <v>45.0</v>
      </c>
      <c r="R755" s="1">
        <v>40.0</v>
      </c>
    </row>
    <row r="756">
      <c r="A756" s="1">
        <f t="shared" si="1"/>
        <v>754</v>
      </c>
      <c r="B756" s="1" t="s">
        <v>1819</v>
      </c>
      <c r="C756" s="1">
        <f t="shared" si="2"/>
        <v>754</v>
      </c>
      <c r="D756" s="1" t="s">
        <v>1156</v>
      </c>
      <c r="E756" s="1" t="s">
        <v>5</v>
      </c>
      <c r="F756" s="11">
        <f t="shared" si="3"/>
        <v>53.1</v>
      </c>
      <c r="G756" s="11">
        <f t="shared" si="4"/>
        <v>5.9</v>
      </c>
      <c r="H756" s="1">
        <v>9.0</v>
      </c>
      <c r="S756" s="1">
        <v>3.0</v>
      </c>
      <c r="T756" s="1">
        <v>30.0</v>
      </c>
      <c r="U756" s="1">
        <v>297.0</v>
      </c>
      <c r="V756" s="1">
        <v>0.0</v>
      </c>
    </row>
    <row r="757">
      <c r="A757" s="1">
        <f t="shared" si="1"/>
        <v>755</v>
      </c>
      <c r="B757" s="1" t="s">
        <v>1820</v>
      </c>
      <c r="C757" s="1">
        <f t="shared" si="2"/>
        <v>755</v>
      </c>
      <c r="D757" s="1" t="s">
        <v>1111</v>
      </c>
      <c r="E757" s="1" t="s">
        <v>36</v>
      </c>
      <c r="F757" s="11">
        <f t="shared" si="3"/>
        <v>51.25</v>
      </c>
      <c r="G757" s="11">
        <f t="shared" si="4"/>
        <v>4.659090909</v>
      </c>
      <c r="H757" s="1">
        <v>11.0</v>
      </c>
      <c r="I757" s="1">
        <v>5.0</v>
      </c>
      <c r="J757" s="1">
        <v>4.0</v>
      </c>
      <c r="K757" s="1">
        <v>9.0</v>
      </c>
      <c r="L757" s="1">
        <v>23.0</v>
      </c>
      <c r="M757" s="1">
        <v>0.0</v>
      </c>
      <c r="N757" s="1">
        <v>0.0</v>
      </c>
      <c r="O757" s="1">
        <v>0.0</v>
      </c>
      <c r="P757" s="1">
        <v>0.0</v>
      </c>
      <c r="Q757" s="1">
        <v>7.0</v>
      </c>
      <c r="R757" s="1">
        <v>7.0</v>
      </c>
    </row>
    <row r="758">
      <c r="A758" s="1">
        <f t="shared" si="1"/>
        <v>756</v>
      </c>
      <c r="B758" s="1" t="s">
        <v>1815</v>
      </c>
      <c r="C758" s="1">
        <f t="shared" si="2"/>
        <v>756</v>
      </c>
      <c r="D758" s="1" t="s">
        <v>1082</v>
      </c>
      <c r="E758" s="1" t="s">
        <v>28</v>
      </c>
      <c r="F758" s="11">
        <f t="shared" si="3"/>
        <v>51</v>
      </c>
      <c r="G758" s="11">
        <f t="shared" si="4"/>
        <v>2.428571429</v>
      </c>
      <c r="H758" s="1">
        <v>21.0</v>
      </c>
      <c r="I758" s="1">
        <v>2.0</v>
      </c>
      <c r="J758" s="1">
        <v>4.0</v>
      </c>
      <c r="K758" s="1">
        <v>6.0</v>
      </c>
      <c r="L758" s="1">
        <v>30.0</v>
      </c>
      <c r="M758" s="1">
        <v>0.0</v>
      </c>
      <c r="N758" s="1">
        <v>1.0</v>
      </c>
      <c r="O758" s="1">
        <v>0.0</v>
      </c>
      <c r="P758" s="1">
        <v>0.0</v>
      </c>
      <c r="Q758" s="1">
        <v>50.0</v>
      </c>
      <c r="R758" s="1">
        <v>5.0</v>
      </c>
    </row>
    <row r="759">
      <c r="A759" s="1">
        <f t="shared" si="1"/>
        <v>757</v>
      </c>
      <c r="B759" s="1" t="s">
        <v>1818</v>
      </c>
      <c r="C759" s="1">
        <f t="shared" si="2"/>
        <v>757</v>
      </c>
      <c r="D759" s="1" t="s">
        <v>1172</v>
      </c>
      <c r="E759" s="1" t="s">
        <v>66</v>
      </c>
      <c r="F759" s="11">
        <f t="shared" si="3"/>
        <v>50.5</v>
      </c>
      <c r="G759" s="11">
        <f t="shared" si="4"/>
        <v>2.104166667</v>
      </c>
      <c r="H759" s="1">
        <v>24.0</v>
      </c>
      <c r="I759" s="1">
        <v>0.0</v>
      </c>
      <c r="J759" s="1">
        <v>3.0</v>
      </c>
      <c r="K759" s="1">
        <v>3.0</v>
      </c>
      <c r="L759" s="1">
        <v>18.0</v>
      </c>
      <c r="M759" s="1">
        <v>0.0</v>
      </c>
      <c r="N759" s="1">
        <v>0.0</v>
      </c>
      <c r="O759" s="1">
        <v>0.0</v>
      </c>
      <c r="P759" s="1">
        <v>0.0</v>
      </c>
      <c r="Q759" s="1">
        <v>30.0</v>
      </c>
      <c r="R759" s="1">
        <v>50.0</v>
      </c>
    </row>
    <row r="760">
      <c r="A760" s="1">
        <f t="shared" si="1"/>
        <v>758</v>
      </c>
      <c r="B760" s="1" t="s">
        <v>1814</v>
      </c>
      <c r="C760" s="1">
        <f t="shared" si="2"/>
        <v>758</v>
      </c>
      <c r="D760" s="1" t="s">
        <v>1048</v>
      </c>
      <c r="E760" s="1" t="s">
        <v>31</v>
      </c>
      <c r="F760" s="11">
        <f t="shared" si="3"/>
        <v>50</v>
      </c>
      <c r="G760" s="11">
        <f t="shared" si="4"/>
        <v>1.315789474</v>
      </c>
      <c r="H760" s="1">
        <v>38.0</v>
      </c>
      <c r="I760" s="1">
        <v>1.0</v>
      </c>
      <c r="J760" s="1">
        <v>2.0</v>
      </c>
      <c r="K760" s="1">
        <v>3.0</v>
      </c>
      <c r="L760" s="1">
        <v>30.0</v>
      </c>
      <c r="M760" s="1">
        <v>0.0</v>
      </c>
      <c r="N760" s="1">
        <v>0.0</v>
      </c>
      <c r="O760" s="1">
        <v>0.0</v>
      </c>
      <c r="P760" s="1">
        <v>0.0</v>
      </c>
      <c r="Q760" s="1">
        <v>70.0</v>
      </c>
      <c r="R760" s="1">
        <v>14.0</v>
      </c>
    </row>
    <row r="761">
      <c r="A761" s="1">
        <f t="shared" si="1"/>
        <v>759</v>
      </c>
      <c r="B761" s="1" t="s">
        <v>1823</v>
      </c>
      <c r="C761" s="1">
        <f t="shared" si="2"/>
        <v>759</v>
      </c>
      <c r="D761" s="1" t="s">
        <v>1078</v>
      </c>
      <c r="E761" s="1" t="s">
        <v>66</v>
      </c>
      <c r="F761" s="11">
        <f t="shared" si="3"/>
        <v>48.5</v>
      </c>
      <c r="G761" s="11">
        <f t="shared" si="4"/>
        <v>3.03125</v>
      </c>
      <c r="H761" s="1">
        <v>16.0</v>
      </c>
      <c r="I761" s="1">
        <v>2.0</v>
      </c>
      <c r="J761" s="1">
        <v>4.0</v>
      </c>
      <c r="K761" s="1">
        <v>6.0</v>
      </c>
      <c r="L761" s="1">
        <v>31.0</v>
      </c>
      <c r="M761" s="1">
        <v>0.0</v>
      </c>
      <c r="N761" s="1">
        <v>3.0</v>
      </c>
      <c r="O761" s="1">
        <v>0.0</v>
      </c>
      <c r="P761" s="1">
        <v>0.0</v>
      </c>
      <c r="Q761" s="1">
        <v>6.0</v>
      </c>
      <c r="R761" s="1">
        <v>21.0</v>
      </c>
    </row>
    <row r="762">
      <c r="A762" s="1">
        <f t="shared" si="1"/>
        <v>760</v>
      </c>
      <c r="B762" s="1" t="s">
        <v>1829</v>
      </c>
      <c r="C762" s="1">
        <f t="shared" si="2"/>
        <v>760</v>
      </c>
      <c r="D762" s="1" t="s">
        <v>1106</v>
      </c>
      <c r="E762" s="1" t="s">
        <v>36</v>
      </c>
      <c r="F762" s="11">
        <f t="shared" si="3"/>
        <v>46.25</v>
      </c>
      <c r="G762" s="11">
        <f t="shared" si="4"/>
        <v>2.202380952</v>
      </c>
      <c r="H762" s="1">
        <v>21.0</v>
      </c>
      <c r="I762" s="1">
        <v>2.0</v>
      </c>
      <c r="J762" s="1">
        <v>4.0</v>
      </c>
      <c r="K762" s="1">
        <v>6.0</v>
      </c>
      <c r="L762" s="1">
        <v>42.0</v>
      </c>
      <c r="M762" s="1">
        <v>0.0</v>
      </c>
      <c r="N762" s="1">
        <v>0.0</v>
      </c>
      <c r="O762" s="1">
        <v>0.0</v>
      </c>
      <c r="P762" s="1">
        <v>0.0</v>
      </c>
      <c r="Q762" s="1">
        <v>9.0</v>
      </c>
      <c r="R762" s="1">
        <v>4.0</v>
      </c>
    </row>
    <row r="763">
      <c r="A763" s="1">
        <f t="shared" si="1"/>
        <v>760</v>
      </c>
      <c r="B763" s="1" t="s">
        <v>1816</v>
      </c>
      <c r="C763" s="1">
        <f t="shared" si="2"/>
        <v>760</v>
      </c>
      <c r="D763" s="1" t="s">
        <v>1076</v>
      </c>
      <c r="E763" s="1" t="s">
        <v>28</v>
      </c>
      <c r="F763" s="11">
        <f t="shared" si="3"/>
        <v>46.25</v>
      </c>
      <c r="G763" s="11">
        <f t="shared" si="4"/>
        <v>1.027777778</v>
      </c>
      <c r="H763" s="1">
        <v>45.0</v>
      </c>
      <c r="I763" s="1">
        <v>2.0</v>
      </c>
      <c r="J763" s="1">
        <v>1.0</v>
      </c>
      <c r="K763" s="1">
        <v>3.0</v>
      </c>
      <c r="L763" s="1">
        <v>16.0</v>
      </c>
      <c r="M763" s="1">
        <v>0.0</v>
      </c>
      <c r="N763" s="1">
        <v>0.0</v>
      </c>
      <c r="O763" s="1">
        <v>0.0</v>
      </c>
      <c r="P763" s="1">
        <v>0.0</v>
      </c>
      <c r="Q763" s="1">
        <v>83.0</v>
      </c>
      <c r="R763" s="1">
        <v>11.0</v>
      </c>
    </row>
    <row r="764">
      <c r="A764" s="1">
        <f t="shared" si="1"/>
        <v>762</v>
      </c>
      <c r="B764" s="1" t="s">
        <v>1827</v>
      </c>
      <c r="C764" s="1">
        <f t="shared" si="2"/>
        <v>762</v>
      </c>
      <c r="D764" s="1" t="s">
        <v>1082</v>
      </c>
      <c r="E764" s="1" t="s">
        <v>28</v>
      </c>
      <c r="F764" s="11">
        <f t="shared" si="3"/>
        <v>46</v>
      </c>
      <c r="G764" s="11">
        <f t="shared" si="4"/>
        <v>1.84</v>
      </c>
      <c r="H764" s="1">
        <v>25.0</v>
      </c>
      <c r="I764" s="1">
        <v>4.0</v>
      </c>
      <c r="J764" s="1">
        <v>3.0</v>
      </c>
      <c r="K764" s="1">
        <v>7.0</v>
      </c>
      <c r="L764" s="1">
        <v>27.0</v>
      </c>
      <c r="M764" s="1">
        <v>0.0</v>
      </c>
      <c r="N764" s="1">
        <v>1.0</v>
      </c>
      <c r="O764" s="1">
        <v>0.0</v>
      </c>
      <c r="P764" s="1">
        <v>0.0</v>
      </c>
      <c r="Q764" s="1">
        <v>16.0</v>
      </c>
      <c r="R764" s="1">
        <v>3.0</v>
      </c>
    </row>
    <row r="765">
      <c r="A765" s="1">
        <f t="shared" si="1"/>
        <v>762</v>
      </c>
      <c r="B765" s="1" t="s">
        <v>1822</v>
      </c>
      <c r="C765" s="1">
        <f t="shared" si="2"/>
        <v>762</v>
      </c>
      <c r="D765" s="1" t="s">
        <v>1030</v>
      </c>
      <c r="E765" s="1" t="s">
        <v>66</v>
      </c>
      <c r="F765" s="11">
        <f t="shared" si="3"/>
        <v>46</v>
      </c>
      <c r="G765" s="11">
        <f t="shared" si="4"/>
        <v>1.84</v>
      </c>
      <c r="H765" s="1">
        <v>25.0</v>
      </c>
      <c r="I765" s="1">
        <v>0.0</v>
      </c>
      <c r="J765" s="1">
        <v>5.0</v>
      </c>
      <c r="K765" s="1">
        <v>5.0</v>
      </c>
      <c r="L765" s="1">
        <v>19.0</v>
      </c>
      <c r="M765" s="1">
        <v>0.0</v>
      </c>
      <c r="N765" s="1">
        <v>0.0</v>
      </c>
      <c r="O765" s="1">
        <v>0.0</v>
      </c>
      <c r="P765" s="1">
        <v>0.0</v>
      </c>
      <c r="Q765" s="1">
        <v>34.0</v>
      </c>
      <c r="R765" s="1">
        <v>26.0</v>
      </c>
    </row>
    <row r="766">
      <c r="A766" s="1">
        <f t="shared" si="1"/>
        <v>764</v>
      </c>
      <c r="B766" s="1" t="s">
        <v>1817</v>
      </c>
      <c r="C766" s="1">
        <f t="shared" si="2"/>
        <v>764</v>
      </c>
      <c r="D766" s="1" t="s">
        <v>1038</v>
      </c>
      <c r="E766" s="1" t="s">
        <v>31</v>
      </c>
      <c r="F766" s="11">
        <f t="shared" si="3"/>
        <v>45.75</v>
      </c>
      <c r="G766" s="11">
        <f t="shared" si="4"/>
        <v>1.345588235</v>
      </c>
      <c r="H766" s="1">
        <v>34.0</v>
      </c>
      <c r="I766" s="1">
        <v>1.0</v>
      </c>
      <c r="J766" s="1">
        <v>0.0</v>
      </c>
      <c r="K766" s="1">
        <v>1.0</v>
      </c>
      <c r="L766" s="1">
        <v>24.0</v>
      </c>
      <c r="M766" s="1">
        <v>0.0</v>
      </c>
      <c r="N766" s="1">
        <v>0.0</v>
      </c>
      <c r="O766" s="1">
        <v>0.0</v>
      </c>
      <c r="P766" s="1">
        <v>0.0</v>
      </c>
      <c r="Q766" s="1">
        <v>79.0</v>
      </c>
      <c r="R766" s="1">
        <v>19.0</v>
      </c>
    </row>
    <row r="767">
      <c r="A767" s="1">
        <f t="shared" si="1"/>
        <v>765</v>
      </c>
      <c r="B767" s="1" t="s">
        <v>1821</v>
      </c>
      <c r="C767" s="1">
        <f t="shared" si="2"/>
        <v>765</v>
      </c>
      <c r="D767" s="1" t="s">
        <v>1106</v>
      </c>
      <c r="E767" s="1" t="s">
        <v>66</v>
      </c>
      <c r="F767" s="11">
        <f t="shared" si="3"/>
        <v>45.5</v>
      </c>
      <c r="G767" s="11">
        <f t="shared" si="4"/>
        <v>1.75</v>
      </c>
      <c r="H767" s="1">
        <v>26.0</v>
      </c>
      <c r="I767" s="1">
        <v>1.0</v>
      </c>
      <c r="J767" s="1">
        <v>1.0</v>
      </c>
      <c r="K767" s="1">
        <v>2.0</v>
      </c>
      <c r="L767" s="1">
        <v>17.0</v>
      </c>
      <c r="M767" s="1">
        <v>0.0</v>
      </c>
      <c r="N767" s="1">
        <v>0.0</v>
      </c>
      <c r="O767" s="1">
        <v>0.0</v>
      </c>
      <c r="P767" s="1">
        <v>0.0</v>
      </c>
      <c r="Q767" s="1">
        <v>64.0</v>
      </c>
      <c r="R767" s="1">
        <v>27.0</v>
      </c>
    </row>
    <row r="768">
      <c r="A768" s="1">
        <f t="shared" si="1"/>
        <v>765</v>
      </c>
      <c r="B768" s="1" t="s">
        <v>1824</v>
      </c>
      <c r="C768" s="1">
        <f t="shared" si="2"/>
        <v>765</v>
      </c>
      <c r="D768" s="1" t="s">
        <v>1044</v>
      </c>
      <c r="E768" s="1" t="s">
        <v>31</v>
      </c>
      <c r="F768" s="11">
        <f t="shared" si="3"/>
        <v>45.5</v>
      </c>
      <c r="G768" s="11">
        <f t="shared" si="4"/>
        <v>1.22972973</v>
      </c>
      <c r="H768" s="1">
        <v>37.0</v>
      </c>
      <c r="I768" s="1">
        <v>2.0</v>
      </c>
      <c r="J768" s="1">
        <v>1.0</v>
      </c>
      <c r="K768" s="1">
        <v>3.0</v>
      </c>
      <c r="L768" s="1">
        <v>40.0</v>
      </c>
      <c r="M768" s="1">
        <v>0.0</v>
      </c>
      <c r="N768" s="1">
        <v>0.0</v>
      </c>
      <c r="O768" s="1">
        <v>0.0</v>
      </c>
      <c r="P768" s="1">
        <v>0.0</v>
      </c>
      <c r="Q768" s="1">
        <v>32.0</v>
      </c>
      <c r="R768" s="1">
        <v>11.0</v>
      </c>
    </row>
    <row r="769">
      <c r="A769" s="1">
        <f t="shared" si="1"/>
        <v>767</v>
      </c>
      <c r="B769" s="1" t="s">
        <v>1830</v>
      </c>
      <c r="C769" s="1">
        <f t="shared" si="2"/>
        <v>767</v>
      </c>
      <c r="D769" s="1" t="s">
        <v>1082</v>
      </c>
      <c r="E769" s="1" t="s">
        <v>66</v>
      </c>
      <c r="F769" s="11">
        <f t="shared" si="3"/>
        <v>45</v>
      </c>
      <c r="G769" s="11">
        <f t="shared" si="4"/>
        <v>1.875</v>
      </c>
      <c r="H769" s="1">
        <v>24.0</v>
      </c>
      <c r="I769" s="1">
        <v>1.0</v>
      </c>
      <c r="J769" s="1">
        <v>3.0</v>
      </c>
      <c r="K769" s="1">
        <v>4.0</v>
      </c>
      <c r="L769" s="1">
        <v>24.0</v>
      </c>
      <c r="M769" s="1">
        <v>0.0</v>
      </c>
      <c r="N769" s="1">
        <v>0.0</v>
      </c>
      <c r="O769" s="1">
        <v>0.0</v>
      </c>
      <c r="P769" s="1">
        <v>0.0</v>
      </c>
      <c r="Q769" s="1">
        <v>16.0</v>
      </c>
      <c r="R769" s="1">
        <v>31.0</v>
      </c>
    </row>
    <row r="770">
      <c r="A770" s="1">
        <f t="shared" si="1"/>
        <v>767</v>
      </c>
      <c r="B770" s="1" t="s">
        <v>1828</v>
      </c>
      <c r="C770" s="1">
        <f t="shared" si="2"/>
        <v>767</v>
      </c>
      <c r="D770" s="1" t="s">
        <v>1172</v>
      </c>
      <c r="E770" s="1" t="s">
        <v>28</v>
      </c>
      <c r="F770" s="11">
        <f t="shared" si="3"/>
        <v>45</v>
      </c>
      <c r="G770" s="11">
        <f t="shared" si="4"/>
        <v>1.551724138</v>
      </c>
      <c r="H770" s="1">
        <v>29.0</v>
      </c>
      <c r="I770" s="1">
        <v>0.0</v>
      </c>
      <c r="J770" s="1">
        <v>6.0</v>
      </c>
      <c r="K770" s="1">
        <v>6.0</v>
      </c>
      <c r="L770" s="1">
        <v>24.0</v>
      </c>
      <c r="M770" s="1">
        <v>0.0</v>
      </c>
      <c r="N770" s="1">
        <v>1.0</v>
      </c>
      <c r="O770" s="1">
        <v>0.0</v>
      </c>
      <c r="P770" s="1">
        <v>0.0</v>
      </c>
      <c r="Q770" s="1">
        <v>22.0</v>
      </c>
      <c r="R770" s="1">
        <v>19.0</v>
      </c>
    </row>
    <row r="771">
      <c r="A771" s="1">
        <f t="shared" si="1"/>
        <v>769</v>
      </c>
      <c r="B771" s="1" t="s">
        <v>1826</v>
      </c>
      <c r="C771" s="1">
        <f t="shared" si="2"/>
        <v>769</v>
      </c>
      <c r="D771" s="1" t="s">
        <v>1052</v>
      </c>
      <c r="E771" s="1" t="s">
        <v>36</v>
      </c>
      <c r="F771" s="11">
        <f t="shared" si="3"/>
        <v>44</v>
      </c>
      <c r="G771" s="11">
        <f t="shared" si="4"/>
        <v>2</v>
      </c>
      <c r="H771" s="1">
        <v>22.0</v>
      </c>
      <c r="I771" s="1">
        <v>3.0</v>
      </c>
      <c r="J771" s="1">
        <v>1.0</v>
      </c>
      <c r="K771" s="1">
        <v>4.0</v>
      </c>
      <c r="L771" s="1">
        <v>29.0</v>
      </c>
      <c r="M771" s="1">
        <v>0.0</v>
      </c>
      <c r="N771" s="1">
        <v>0.0</v>
      </c>
      <c r="O771" s="1">
        <v>0.0</v>
      </c>
      <c r="P771" s="1">
        <v>0.0</v>
      </c>
      <c r="Q771" s="1">
        <v>40.0</v>
      </c>
      <c r="R771" s="1">
        <v>6.0</v>
      </c>
    </row>
    <row r="772">
      <c r="A772" s="1">
        <f t="shared" si="1"/>
        <v>770</v>
      </c>
      <c r="B772" s="1" t="s">
        <v>1831</v>
      </c>
      <c r="C772" s="1">
        <f t="shared" si="2"/>
        <v>770</v>
      </c>
      <c r="D772" s="1" t="s">
        <v>1054</v>
      </c>
      <c r="E772" s="1" t="s">
        <v>66</v>
      </c>
      <c r="F772" s="11">
        <f t="shared" si="3"/>
        <v>43.5</v>
      </c>
      <c r="G772" s="11">
        <f t="shared" si="4"/>
        <v>2.71875</v>
      </c>
      <c r="H772" s="1">
        <v>16.0</v>
      </c>
      <c r="I772" s="1">
        <v>0.0</v>
      </c>
      <c r="J772" s="1">
        <v>5.0</v>
      </c>
      <c r="K772" s="1">
        <v>5.0</v>
      </c>
      <c r="L772" s="1">
        <v>21.0</v>
      </c>
      <c r="M772" s="1">
        <v>0.0</v>
      </c>
      <c r="N772" s="1">
        <v>3.0</v>
      </c>
      <c r="O772" s="1">
        <v>0.0</v>
      </c>
      <c r="P772" s="1">
        <v>0.0</v>
      </c>
      <c r="Q772" s="1">
        <v>14.0</v>
      </c>
      <c r="R772" s="1">
        <v>29.0</v>
      </c>
    </row>
    <row r="773">
      <c r="A773" s="1">
        <f t="shared" si="1"/>
        <v>771</v>
      </c>
      <c r="B773" s="1" t="s">
        <v>1825</v>
      </c>
      <c r="C773" s="1">
        <f t="shared" si="2"/>
        <v>771</v>
      </c>
      <c r="D773" s="1" t="s">
        <v>1156</v>
      </c>
      <c r="E773" s="1" t="s">
        <v>31</v>
      </c>
      <c r="F773" s="11">
        <f t="shared" si="3"/>
        <v>43.25</v>
      </c>
      <c r="G773" s="11">
        <f t="shared" si="4"/>
        <v>1.802083333</v>
      </c>
      <c r="H773" s="1">
        <v>24.0</v>
      </c>
      <c r="I773" s="1">
        <v>2.0</v>
      </c>
      <c r="J773" s="1">
        <v>2.0</v>
      </c>
      <c r="K773" s="1">
        <v>4.0</v>
      </c>
      <c r="L773" s="1">
        <v>24.0</v>
      </c>
      <c r="M773" s="1">
        <v>0.0</v>
      </c>
      <c r="N773" s="1">
        <v>0.0</v>
      </c>
      <c r="O773" s="1">
        <v>0.0</v>
      </c>
      <c r="P773" s="1">
        <v>0.0</v>
      </c>
      <c r="Q773" s="1">
        <v>49.0</v>
      </c>
      <c r="R773" s="1">
        <v>8.0</v>
      </c>
    </row>
    <row r="774">
      <c r="A774" s="1">
        <f t="shared" si="1"/>
        <v>772</v>
      </c>
      <c r="B774" s="1" t="s">
        <v>1834</v>
      </c>
      <c r="C774" s="1">
        <f t="shared" si="2"/>
        <v>772</v>
      </c>
      <c r="D774" s="1" t="s">
        <v>1080</v>
      </c>
      <c r="E774" s="1" t="s">
        <v>31</v>
      </c>
      <c r="F774" s="11">
        <f t="shared" si="3"/>
        <v>42.25</v>
      </c>
      <c r="G774" s="11">
        <f t="shared" si="4"/>
        <v>2.816666667</v>
      </c>
      <c r="H774" s="1">
        <v>15.0</v>
      </c>
      <c r="I774" s="1">
        <v>2.0</v>
      </c>
      <c r="J774" s="1">
        <v>6.0</v>
      </c>
      <c r="K774" s="1">
        <v>8.0</v>
      </c>
      <c r="L774" s="1">
        <v>20.0</v>
      </c>
      <c r="M774" s="1">
        <v>1.0</v>
      </c>
      <c r="N774" s="1">
        <v>1.0</v>
      </c>
      <c r="O774" s="1">
        <v>0.0</v>
      </c>
      <c r="P774" s="1">
        <v>0.0</v>
      </c>
      <c r="Q774" s="1">
        <v>13.0</v>
      </c>
      <c r="R774" s="1">
        <v>4.0</v>
      </c>
    </row>
    <row r="775">
      <c r="A775" s="1">
        <f t="shared" si="1"/>
        <v>773</v>
      </c>
      <c r="B775" s="1" t="s">
        <v>1833</v>
      </c>
      <c r="C775" s="1">
        <f t="shared" si="2"/>
        <v>773</v>
      </c>
      <c r="D775" s="1" t="s">
        <v>1054</v>
      </c>
      <c r="E775" s="1" t="s">
        <v>28</v>
      </c>
      <c r="F775" s="11">
        <f t="shared" si="3"/>
        <v>41.5</v>
      </c>
      <c r="G775" s="11">
        <f t="shared" si="4"/>
        <v>1.0375</v>
      </c>
      <c r="H775" s="1">
        <v>40.0</v>
      </c>
      <c r="I775" s="1">
        <v>2.0</v>
      </c>
      <c r="J775" s="1">
        <v>3.0</v>
      </c>
      <c r="K775" s="1">
        <v>5.0</v>
      </c>
      <c r="L775" s="1">
        <v>22.0</v>
      </c>
      <c r="M775" s="1">
        <v>0.0</v>
      </c>
      <c r="N775" s="1">
        <v>0.0</v>
      </c>
      <c r="O775" s="1">
        <v>0.0</v>
      </c>
      <c r="P775" s="1">
        <v>0.0</v>
      </c>
      <c r="Q775" s="1">
        <v>22.0</v>
      </c>
      <c r="R775" s="1">
        <v>14.0</v>
      </c>
    </row>
    <row r="776">
      <c r="A776" s="1">
        <f t="shared" si="1"/>
        <v>774</v>
      </c>
      <c r="B776" s="1" t="s">
        <v>1838</v>
      </c>
      <c r="C776" s="1">
        <f t="shared" si="2"/>
        <v>774</v>
      </c>
      <c r="D776" s="1" t="s">
        <v>1111</v>
      </c>
      <c r="E776" s="1" t="s">
        <v>31</v>
      </c>
      <c r="F776" s="11">
        <f t="shared" si="3"/>
        <v>40.5</v>
      </c>
      <c r="G776" s="11">
        <f t="shared" si="4"/>
        <v>2.53125</v>
      </c>
      <c r="H776" s="1">
        <v>16.0</v>
      </c>
      <c r="I776" s="1">
        <v>2.0</v>
      </c>
      <c r="J776" s="1">
        <v>6.0</v>
      </c>
      <c r="K776" s="1">
        <v>8.0</v>
      </c>
      <c r="L776" s="1">
        <v>12.0</v>
      </c>
      <c r="M776" s="1">
        <v>0.0</v>
      </c>
      <c r="N776" s="1">
        <v>0.0</v>
      </c>
      <c r="O776" s="1">
        <v>0.0</v>
      </c>
      <c r="P776" s="1">
        <v>0.0</v>
      </c>
      <c r="Q776" s="1">
        <v>10.0</v>
      </c>
      <c r="R776" s="1">
        <v>10.0</v>
      </c>
    </row>
    <row r="777">
      <c r="A777" s="1">
        <f t="shared" si="1"/>
        <v>774</v>
      </c>
      <c r="B777" s="1" t="s">
        <v>1835</v>
      </c>
      <c r="C777" s="1">
        <f t="shared" si="2"/>
        <v>774</v>
      </c>
      <c r="D777" s="1" t="s">
        <v>1116</v>
      </c>
      <c r="E777" s="1" t="s">
        <v>28</v>
      </c>
      <c r="F777" s="11">
        <f t="shared" si="3"/>
        <v>40.5</v>
      </c>
      <c r="G777" s="11">
        <f t="shared" si="4"/>
        <v>1.557692308</v>
      </c>
      <c r="H777" s="1">
        <v>26.0</v>
      </c>
      <c r="I777" s="1">
        <v>2.0</v>
      </c>
      <c r="J777" s="1">
        <v>3.0</v>
      </c>
      <c r="K777" s="1">
        <v>5.0</v>
      </c>
      <c r="L777" s="1">
        <v>23.0</v>
      </c>
      <c r="M777" s="1">
        <v>0.0</v>
      </c>
      <c r="N777" s="1">
        <v>0.0</v>
      </c>
      <c r="O777" s="1">
        <v>0.0</v>
      </c>
      <c r="P777" s="1">
        <v>0.0</v>
      </c>
      <c r="Q777" s="1">
        <v>30.0</v>
      </c>
      <c r="R777" s="1">
        <v>7.0</v>
      </c>
    </row>
    <row r="778">
      <c r="A778" s="1">
        <f t="shared" si="1"/>
        <v>774</v>
      </c>
      <c r="B778" s="1" t="s">
        <v>1832</v>
      </c>
      <c r="C778" s="1">
        <f t="shared" si="2"/>
        <v>774</v>
      </c>
      <c r="D778" s="1" t="s">
        <v>1087</v>
      </c>
      <c r="E778" s="1" t="s">
        <v>66</v>
      </c>
      <c r="F778" s="11">
        <f t="shared" si="3"/>
        <v>40.5</v>
      </c>
      <c r="G778" s="11">
        <f t="shared" si="4"/>
        <v>1.5</v>
      </c>
      <c r="H778" s="1">
        <v>27.0</v>
      </c>
      <c r="I778" s="1">
        <v>0.0</v>
      </c>
      <c r="J778" s="1">
        <v>0.0</v>
      </c>
      <c r="K778" s="1">
        <v>0.0</v>
      </c>
      <c r="L778" s="1">
        <v>11.0</v>
      </c>
      <c r="M778" s="1">
        <v>0.0</v>
      </c>
      <c r="N778" s="1">
        <v>0.0</v>
      </c>
      <c r="O778" s="1">
        <v>0.0</v>
      </c>
      <c r="P778" s="1">
        <v>0.0</v>
      </c>
      <c r="Q778" s="1">
        <v>38.0</v>
      </c>
      <c r="R778" s="1">
        <v>51.0</v>
      </c>
    </row>
    <row r="779">
      <c r="A779" s="1">
        <f t="shared" si="1"/>
        <v>777</v>
      </c>
      <c r="B779" s="1" t="s">
        <v>1842</v>
      </c>
      <c r="C779" s="1">
        <f t="shared" si="2"/>
        <v>777</v>
      </c>
      <c r="D779" s="1" t="s">
        <v>1030</v>
      </c>
      <c r="E779" s="1" t="s">
        <v>5</v>
      </c>
      <c r="F779" s="11">
        <f t="shared" si="3"/>
        <v>39.6</v>
      </c>
      <c r="G779" s="11">
        <f t="shared" si="4"/>
        <v>3.6</v>
      </c>
      <c r="H779" s="1">
        <v>11.0</v>
      </c>
      <c r="S779" s="1">
        <v>4.0</v>
      </c>
      <c r="T779" s="1">
        <v>26.0</v>
      </c>
      <c r="U779" s="1">
        <v>222.0</v>
      </c>
      <c r="V779" s="1">
        <v>0.0</v>
      </c>
    </row>
    <row r="780">
      <c r="A780" s="1">
        <f t="shared" si="1"/>
        <v>778</v>
      </c>
      <c r="B780" s="1" t="s">
        <v>1836</v>
      </c>
      <c r="C780" s="1">
        <f t="shared" si="2"/>
        <v>778</v>
      </c>
      <c r="D780" s="1" t="s">
        <v>1044</v>
      </c>
      <c r="E780" s="1" t="s">
        <v>31</v>
      </c>
      <c r="F780" s="11">
        <f t="shared" si="3"/>
        <v>37.75</v>
      </c>
      <c r="G780" s="11">
        <f t="shared" si="4"/>
        <v>1.258333333</v>
      </c>
      <c r="H780" s="1">
        <v>30.0</v>
      </c>
      <c r="I780" s="1">
        <v>2.0</v>
      </c>
      <c r="J780" s="1">
        <v>1.0</v>
      </c>
      <c r="K780" s="1">
        <v>3.0</v>
      </c>
      <c r="L780" s="1">
        <v>17.0</v>
      </c>
      <c r="M780" s="1">
        <v>0.0</v>
      </c>
      <c r="N780" s="1">
        <v>0.0</v>
      </c>
      <c r="O780" s="1">
        <v>0.0</v>
      </c>
      <c r="P780" s="1">
        <v>0.0</v>
      </c>
      <c r="Q780" s="1">
        <v>55.0</v>
      </c>
      <c r="R780" s="1">
        <v>7.0</v>
      </c>
    </row>
    <row r="781">
      <c r="A781" s="1">
        <f t="shared" si="1"/>
        <v>779</v>
      </c>
      <c r="B781" s="1" t="s">
        <v>1840</v>
      </c>
      <c r="C781" s="1">
        <f t="shared" si="2"/>
        <v>779</v>
      </c>
      <c r="D781" s="1" t="s">
        <v>1048</v>
      </c>
      <c r="E781" s="1" t="s">
        <v>66</v>
      </c>
      <c r="F781" s="11">
        <f t="shared" si="3"/>
        <v>37.25</v>
      </c>
      <c r="G781" s="11">
        <f t="shared" si="4"/>
        <v>1.432692308</v>
      </c>
      <c r="H781" s="1">
        <v>26.0</v>
      </c>
      <c r="I781" s="1">
        <v>1.0</v>
      </c>
      <c r="J781" s="1">
        <v>2.0</v>
      </c>
      <c r="K781" s="1">
        <v>3.0</v>
      </c>
      <c r="L781" s="1">
        <v>22.0</v>
      </c>
      <c r="M781" s="1">
        <v>0.0</v>
      </c>
      <c r="N781" s="1">
        <v>0.0</v>
      </c>
      <c r="O781" s="1">
        <v>0.0</v>
      </c>
      <c r="P781" s="1">
        <v>0.0</v>
      </c>
      <c r="Q781" s="1">
        <v>33.0</v>
      </c>
      <c r="R781" s="1">
        <v>15.0</v>
      </c>
    </row>
    <row r="782">
      <c r="A782" s="1">
        <f t="shared" si="1"/>
        <v>780</v>
      </c>
      <c r="B782" s="1" t="s">
        <v>1844</v>
      </c>
      <c r="C782" s="1">
        <f t="shared" si="2"/>
        <v>780</v>
      </c>
      <c r="D782" s="1" t="s">
        <v>1069</v>
      </c>
      <c r="E782" s="1" t="s">
        <v>66</v>
      </c>
      <c r="F782" s="11">
        <f t="shared" si="3"/>
        <v>37</v>
      </c>
      <c r="G782" s="11">
        <f t="shared" si="4"/>
        <v>1.681818182</v>
      </c>
      <c r="H782" s="1">
        <v>22.0</v>
      </c>
      <c r="I782" s="1">
        <v>0.0</v>
      </c>
      <c r="J782" s="1">
        <v>2.0</v>
      </c>
      <c r="K782" s="1">
        <v>2.0</v>
      </c>
      <c r="L782" s="1">
        <v>18.0</v>
      </c>
      <c r="M782" s="1">
        <v>0.0</v>
      </c>
      <c r="N782" s="1">
        <v>0.0</v>
      </c>
      <c r="O782" s="1">
        <v>0.0</v>
      </c>
      <c r="P782" s="1">
        <v>0.0</v>
      </c>
      <c r="Q782" s="1">
        <v>22.0</v>
      </c>
      <c r="R782" s="1">
        <v>33.0</v>
      </c>
    </row>
    <row r="783">
      <c r="A783" s="1">
        <f t="shared" si="1"/>
        <v>780</v>
      </c>
      <c r="B783" s="1" t="s">
        <v>1839</v>
      </c>
      <c r="C783" s="1">
        <f t="shared" si="2"/>
        <v>780</v>
      </c>
      <c r="D783" s="1" t="s">
        <v>1065</v>
      </c>
      <c r="E783" s="1" t="s">
        <v>28</v>
      </c>
      <c r="F783" s="11">
        <f t="shared" si="3"/>
        <v>37</v>
      </c>
      <c r="G783" s="11">
        <f t="shared" si="4"/>
        <v>1.541666667</v>
      </c>
      <c r="H783" s="1">
        <v>24.0</v>
      </c>
      <c r="I783" s="1">
        <v>1.0</v>
      </c>
      <c r="J783" s="1">
        <v>2.0</v>
      </c>
      <c r="K783" s="1">
        <v>3.0</v>
      </c>
      <c r="L783" s="1">
        <v>24.0</v>
      </c>
      <c r="M783" s="1">
        <v>0.0</v>
      </c>
      <c r="N783" s="1">
        <v>0.0</v>
      </c>
      <c r="O783" s="1">
        <v>0.0</v>
      </c>
      <c r="P783" s="1">
        <v>0.0</v>
      </c>
      <c r="Q783" s="1">
        <v>36.0</v>
      </c>
      <c r="R783" s="1">
        <v>11.0</v>
      </c>
    </row>
    <row r="784">
      <c r="A784" s="1">
        <f t="shared" si="1"/>
        <v>782</v>
      </c>
      <c r="B784" s="1" t="s">
        <v>1841</v>
      </c>
      <c r="C784" s="1">
        <f t="shared" si="2"/>
        <v>782</v>
      </c>
      <c r="D784" s="1" t="s">
        <v>1046</v>
      </c>
      <c r="E784" s="1" t="s">
        <v>66</v>
      </c>
      <c r="F784" s="11">
        <f t="shared" si="3"/>
        <v>36.75</v>
      </c>
      <c r="G784" s="11">
        <f t="shared" si="4"/>
        <v>1.597826087</v>
      </c>
      <c r="H784" s="1">
        <v>23.0</v>
      </c>
      <c r="I784" s="1">
        <v>0.0</v>
      </c>
      <c r="J784" s="1">
        <v>1.0</v>
      </c>
      <c r="K784" s="1">
        <v>1.0</v>
      </c>
      <c r="L784" s="1">
        <v>16.0</v>
      </c>
      <c r="M784" s="1">
        <v>0.0</v>
      </c>
      <c r="N784" s="1">
        <v>0.0</v>
      </c>
      <c r="O784" s="1">
        <v>0.0</v>
      </c>
      <c r="P784" s="1">
        <v>0.0</v>
      </c>
      <c r="Q784" s="1">
        <v>33.0</v>
      </c>
      <c r="R784" s="1">
        <v>35.0</v>
      </c>
    </row>
    <row r="785">
      <c r="A785" s="1">
        <f t="shared" si="1"/>
        <v>783</v>
      </c>
      <c r="B785" s="1" t="s">
        <v>1845</v>
      </c>
      <c r="C785" s="1">
        <f t="shared" si="2"/>
        <v>783</v>
      </c>
      <c r="D785" s="1" t="s">
        <v>1082</v>
      </c>
      <c r="E785" s="1" t="s">
        <v>31</v>
      </c>
      <c r="F785" s="11">
        <f t="shared" si="3"/>
        <v>36.5</v>
      </c>
      <c r="G785" s="11">
        <f t="shared" si="4"/>
        <v>1.177419355</v>
      </c>
      <c r="H785" s="1">
        <v>31.0</v>
      </c>
      <c r="I785" s="1">
        <v>1.0</v>
      </c>
      <c r="J785" s="1">
        <v>4.0</v>
      </c>
      <c r="K785" s="1">
        <v>5.0</v>
      </c>
      <c r="L785" s="1">
        <v>21.0</v>
      </c>
      <c r="M785" s="1">
        <v>0.0</v>
      </c>
      <c r="N785" s="1">
        <v>0.0</v>
      </c>
      <c r="O785" s="1">
        <v>0.0</v>
      </c>
      <c r="P785" s="1">
        <v>0.0</v>
      </c>
      <c r="Q785" s="1">
        <v>8.0</v>
      </c>
      <c r="R785" s="1">
        <v>15.0</v>
      </c>
    </row>
    <row r="786">
      <c r="A786" s="1">
        <f t="shared" si="1"/>
        <v>784</v>
      </c>
      <c r="B786" s="1" t="s">
        <v>1850</v>
      </c>
      <c r="C786" s="1">
        <f t="shared" si="2"/>
        <v>784</v>
      </c>
      <c r="D786" s="1" t="s">
        <v>1042</v>
      </c>
      <c r="E786" s="1" t="s">
        <v>66</v>
      </c>
      <c r="F786" s="11">
        <f t="shared" si="3"/>
        <v>35.5</v>
      </c>
      <c r="G786" s="11">
        <f t="shared" si="4"/>
        <v>1.775</v>
      </c>
      <c r="H786" s="1">
        <v>20.0</v>
      </c>
      <c r="I786" s="1">
        <v>2.0</v>
      </c>
      <c r="J786" s="1">
        <v>2.0</v>
      </c>
      <c r="K786" s="1">
        <v>4.0</v>
      </c>
      <c r="L786" s="1">
        <v>11.0</v>
      </c>
      <c r="M786" s="1">
        <v>0.0</v>
      </c>
      <c r="N786" s="1">
        <v>0.0</v>
      </c>
      <c r="O786" s="1">
        <v>0.0</v>
      </c>
      <c r="P786" s="1">
        <v>0.0</v>
      </c>
      <c r="Q786" s="1">
        <v>2.0</v>
      </c>
      <c r="R786" s="1">
        <v>29.0</v>
      </c>
    </row>
    <row r="787">
      <c r="A787" s="1">
        <f t="shared" si="1"/>
        <v>785</v>
      </c>
      <c r="B787" s="1" t="s">
        <v>1837</v>
      </c>
      <c r="C787" s="1">
        <f t="shared" si="2"/>
        <v>785</v>
      </c>
      <c r="D787" s="1" t="s">
        <v>1046</v>
      </c>
      <c r="E787" s="1" t="s">
        <v>36</v>
      </c>
      <c r="F787" s="11">
        <f t="shared" si="3"/>
        <v>35.25</v>
      </c>
      <c r="G787" s="11">
        <f t="shared" si="4"/>
        <v>1.855263158</v>
      </c>
      <c r="H787" s="1">
        <v>19.0</v>
      </c>
      <c r="I787" s="1">
        <v>0.0</v>
      </c>
      <c r="J787" s="1">
        <v>2.0</v>
      </c>
      <c r="K787" s="1">
        <v>2.0</v>
      </c>
      <c r="L787" s="1">
        <v>20.0</v>
      </c>
      <c r="M787" s="1">
        <v>0.0</v>
      </c>
      <c r="N787" s="1">
        <v>0.0</v>
      </c>
      <c r="O787" s="1">
        <v>0.0</v>
      </c>
      <c r="P787" s="1">
        <v>0.0</v>
      </c>
      <c r="Q787" s="1">
        <v>71.0</v>
      </c>
      <c r="R787" s="1">
        <v>3.0</v>
      </c>
    </row>
    <row r="788">
      <c r="A788" s="1">
        <f t="shared" si="1"/>
        <v>786</v>
      </c>
      <c r="B788" s="1" t="s">
        <v>1847</v>
      </c>
      <c r="C788" s="1">
        <f t="shared" si="2"/>
        <v>786</v>
      </c>
      <c r="D788" s="1" t="s">
        <v>1036</v>
      </c>
      <c r="E788" s="1" t="s">
        <v>31</v>
      </c>
      <c r="F788" s="11">
        <f t="shared" si="3"/>
        <v>35</v>
      </c>
      <c r="G788" s="11">
        <f t="shared" si="4"/>
        <v>1.129032258</v>
      </c>
      <c r="H788" s="1">
        <v>31.0</v>
      </c>
      <c r="I788" s="1">
        <v>2.0</v>
      </c>
      <c r="J788" s="1">
        <v>1.0</v>
      </c>
      <c r="K788" s="1">
        <v>3.0</v>
      </c>
      <c r="L788" s="1">
        <v>18.0</v>
      </c>
      <c r="M788" s="1">
        <v>0.0</v>
      </c>
      <c r="N788" s="1">
        <v>0.0</v>
      </c>
      <c r="O788" s="1">
        <v>0.0</v>
      </c>
      <c r="P788" s="1">
        <v>0.0</v>
      </c>
      <c r="Q788" s="1">
        <v>14.0</v>
      </c>
      <c r="R788" s="1">
        <v>21.0</v>
      </c>
    </row>
    <row r="789">
      <c r="A789" s="1">
        <f t="shared" si="1"/>
        <v>787</v>
      </c>
      <c r="B789" s="1" t="s">
        <v>1846</v>
      </c>
      <c r="C789" s="1">
        <f t="shared" si="2"/>
        <v>787</v>
      </c>
      <c r="D789" s="1" t="s">
        <v>1076</v>
      </c>
      <c r="E789" s="1" t="s">
        <v>28</v>
      </c>
      <c r="F789" s="11">
        <f t="shared" si="3"/>
        <v>34.25</v>
      </c>
      <c r="G789" s="11">
        <f t="shared" si="4"/>
        <v>1.902777778</v>
      </c>
      <c r="H789" s="1">
        <v>18.0</v>
      </c>
      <c r="I789" s="1">
        <v>3.0</v>
      </c>
      <c r="J789" s="1">
        <v>1.0</v>
      </c>
      <c r="K789" s="1">
        <v>4.0</v>
      </c>
      <c r="L789" s="1">
        <v>17.0</v>
      </c>
      <c r="M789" s="1">
        <v>0.0</v>
      </c>
      <c r="N789" s="1">
        <v>0.0</v>
      </c>
      <c r="O789" s="1">
        <v>0.0</v>
      </c>
      <c r="P789" s="1">
        <v>0.0</v>
      </c>
      <c r="Q789" s="1">
        <v>23.0</v>
      </c>
      <c r="R789" s="1">
        <v>7.0</v>
      </c>
    </row>
    <row r="790">
      <c r="A790" s="1">
        <f t="shared" si="1"/>
        <v>788</v>
      </c>
      <c r="B790" s="1" t="s">
        <v>1851</v>
      </c>
      <c r="C790" s="1">
        <f t="shared" si="2"/>
        <v>788</v>
      </c>
      <c r="D790" s="1" t="s">
        <v>1091</v>
      </c>
      <c r="E790" s="1" t="s">
        <v>66</v>
      </c>
      <c r="F790" s="11">
        <f t="shared" si="3"/>
        <v>34</v>
      </c>
      <c r="G790" s="11">
        <f t="shared" si="4"/>
        <v>2.833333333</v>
      </c>
      <c r="H790" s="1">
        <v>12.0</v>
      </c>
      <c r="I790" s="1">
        <v>2.0</v>
      </c>
      <c r="J790" s="1">
        <v>2.0</v>
      </c>
      <c r="K790" s="1">
        <v>4.0</v>
      </c>
      <c r="L790" s="1">
        <v>12.0</v>
      </c>
      <c r="M790" s="1">
        <v>0.0</v>
      </c>
      <c r="N790" s="1">
        <v>0.0</v>
      </c>
      <c r="O790" s="1">
        <v>0.0</v>
      </c>
      <c r="P790" s="1">
        <v>0.0</v>
      </c>
      <c r="Q790" s="1">
        <v>16.0</v>
      </c>
      <c r="R790" s="1">
        <v>18.0</v>
      </c>
    </row>
    <row r="791">
      <c r="A791" s="1">
        <f t="shared" si="1"/>
        <v>788</v>
      </c>
      <c r="B791" s="1" t="s">
        <v>1855</v>
      </c>
      <c r="C791" s="1">
        <f t="shared" si="2"/>
        <v>788</v>
      </c>
      <c r="D791" s="1" t="s">
        <v>1091</v>
      </c>
      <c r="E791" s="1" t="s">
        <v>36</v>
      </c>
      <c r="F791" s="11">
        <f t="shared" si="3"/>
        <v>34</v>
      </c>
      <c r="G791" s="11">
        <f t="shared" si="4"/>
        <v>1.888888889</v>
      </c>
      <c r="H791" s="1">
        <v>18.0</v>
      </c>
      <c r="I791" s="1">
        <v>1.0</v>
      </c>
      <c r="J791" s="1">
        <v>4.0</v>
      </c>
      <c r="K791" s="1">
        <v>5.0</v>
      </c>
      <c r="L791" s="1">
        <v>29.0</v>
      </c>
      <c r="M791" s="1">
        <v>0.0</v>
      </c>
      <c r="N791" s="1">
        <v>0.0</v>
      </c>
      <c r="O791" s="1">
        <v>0.0</v>
      </c>
      <c r="P791" s="1">
        <v>0.0</v>
      </c>
      <c r="Q791" s="1">
        <v>4.0</v>
      </c>
      <c r="R791" s="1">
        <v>4.0</v>
      </c>
    </row>
    <row r="792">
      <c r="A792" s="1">
        <f t="shared" si="1"/>
        <v>790</v>
      </c>
      <c r="B792" s="1" t="s">
        <v>1849</v>
      </c>
      <c r="C792" s="1">
        <f t="shared" si="2"/>
        <v>790</v>
      </c>
      <c r="D792" s="1" t="s">
        <v>1116</v>
      </c>
      <c r="E792" s="1" t="s">
        <v>28</v>
      </c>
      <c r="F792" s="11">
        <f t="shared" si="3"/>
        <v>33.5</v>
      </c>
      <c r="G792" s="11">
        <f t="shared" si="4"/>
        <v>2.233333333</v>
      </c>
      <c r="H792" s="1">
        <v>15.0</v>
      </c>
      <c r="I792" s="1">
        <v>1.0</v>
      </c>
      <c r="J792" s="1">
        <v>4.0</v>
      </c>
      <c r="K792" s="1">
        <v>5.0</v>
      </c>
      <c r="L792" s="1">
        <v>12.0</v>
      </c>
      <c r="M792" s="1">
        <v>0.0</v>
      </c>
      <c r="N792" s="1">
        <v>0.0</v>
      </c>
      <c r="O792" s="1">
        <v>0.0</v>
      </c>
      <c r="P792" s="1">
        <v>0.0</v>
      </c>
      <c r="Q792" s="1">
        <v>26.0</v>
      </c>
      <c r="R792" s="1">
        <v>9.0</v>
      </c>
    </row>
    <row r="793">
      <c r="A793" s="1">
        <f t="shared" si="1"/>
        <v>791</v>
      </c>
      <c r="B793" s="1" t="s">
        <v>1852</v>
      </c>
      <c r="C793" s="1">
        <f t="shared" si="2"/>
        <v>791</v>
      </c>
      <c r="D793" s="1" t="s">
        <v>1120</v>
      </c>
      <c r="E793" s="1" t="s">
        <v>66</v>
      </c>
      <c r="F793" s="11">
        <f t="shared" si="3"/>
        <v>33</v>
      </c>
      <c r="G793" s="11">
        <f t="shared" si="4"/>
        <v>2.0625</v>
      </c>
      <c r="H793" s="1">
        <v>16.0</v>
      </c>
      <c r="I793" s="1">
        <v>1.0</v>
      </c>
      <c r="J793" s="1">
        <v>1.0</v>
      </c>
      <c r="K793" s="1">
        <v>2.0</v>
      </c>
      <c r="L793" s="1">
        <v>13.0</v>
      </c>
      <c r="M793" s="1">
        <v>0.0</v>
      </c>
      <c r="N793" s="1">
        <v>0.0</v>
      </c>
      <c r="O793" s="1">
        <v>0.0</v>
      </c>
      <c r="P793" s="1">
        <v>0.0</v>
      </c>
      <c r="Q793" s="1">
        <v>26.0</v>
      </c>
      <c r="R793" s="1">
        <v>25.0</v>
      </c>
    </row>
    <row r="794">
      <c r="A794" s="1">
        <f t="shared" si="1"/>
        <v>791</v>
      </c>
      <c r="B794" s="1" t="s">
        <v>1843</v>
      </c>
      <c r="C794" s="1">
        <f t="shared" si="2"/>
        <v>791</v>
      </c>
      <c r="D794" s="1" t="s">
        <v>1036</v>
      </c>
      <c r="E794" s="1" t="s">
        <v>36</v>
      </c>
      <c r="F794" s="11">
        <f t="shared" si="3"/>
        <v>33</v>
      </c>
      <c r="G794" s="11">
        <f t="shared" si="4"/>
        <v>1.375</v>
      </c>
      <c r="H794" s="1">
        <v>24.0</v>
      </c>
      <c r="I794" s="1">
        <v>1.0</v>
      </c>
      <c r="J794" s="1">
        <v>1.0</v>
      </c>
      <c r="K794" s="1">
        <v>2.0</v>
      </c>
      <c r="L794" s="1">
        <v>13.0</v>
      </c>
      <c r="M794" s="1">
        <v>0.0</v>
      </c>
      <c r="N794" s="1">
        <v>0.0</v>
      </c>
      <c r="O794" s="1">
        <v>0.0</v>
      </c>
      <c r="P794" s="1">
        <v>0.0</v>
      </c>
      <c r="Q794" s="1">
        <v>66.0</v>
      </c>
      <c r="R794" s="1">
        <v>5.0</v>
      </c>
    </row>
    <row r="795">
      <c r="A795" s="1">
        <f t="shared" si="1"/>
        <v>793</v>
      </c>
      <c r="B795" s="1" t="s">
        <v>1857</v>
      </c>
      <c r="C795" s="1">
        <f t="shared" si="2"/>
        <v>793</v>
      </c>
      <c r="D795" s="1" t="s">
        <v>1032</v>
      </c>
      <c r="E795" s="1" t="s">
        <v>66</v>
      </c>
      <c r="F795" s="11">
        <f t="shared" si="3"/>
        <v>32.75</v>
      </c>
      <c r="G795" s="11">
        <f t="shared" si="4"/>
        <v>2.339285714</v>
      </c>
      <c r="H795" s="1">
        <v>14.0</v>
      </c>
      <c r="I795" s="1">
        <v>0.0</v>
      </c>
      <c r="J795" s="1">
        <v>5.0</v>
      </c>
      <c r="K795" s="1">
        <v>5.0</v>
      </c>
      <c r="L795" s="1">
        <v>14.0</v>
      </c>
      <c r="M795" s="1">
        <v>0.0</v>
      </c>
      <c r="N795" s="1">
        <v>2.0</v>
      </c>
      <c r="O795" s="1">
        <v>0.0</v>
      </c>
      <c r="P795" s="1">
        <v>0.0</v>
      </c>
      <c r="Q795" s="1">
        <v>13.0</v>
      </c>
      <c r="R795" s="1">
        <v>15.0</v>
      </c>
    </row>
    <row r="796">
      <c r="A796" s="1">
        <f t="shared" si="1"/>
        <v>794</v>
      </c>
      <c r="B796" s="1" t="s">
        <v>1848</v>
      </c>
      <c r="C796" s="1">
        <f t="shared" si="2"/>
        <v>794</v>
      </c>
      <c r="D796" s="1" t="s">
        <v>1156</v>
      </c>
      <c r="E796" s="1" t="s">
        <v>28</v>
      </c>
      <c r="F796" s="11">
        <f t="shared" si="3"/>
        <v>32.25</v>
      </c>
      <c r="G796" s="11">
        <f t="shared" si="4"/>
        <v>2.931818182</v>
      </c>
      <c r="H796" s="1">
        <v>11.0</v>
      </c>
      <c r="I796" s="1">
        <v>2.0</v>
      </c>
      <c r="J796" s="1">
        <v>2.0</v>
      </c>
      <c r="K796" s="1">
        <v>4.0</v>
      </c>
      <c r="L796" s="1">
        <v>12.0</v>
      </c>
      <c r="M796" s="1">
        <v>0.0</v>
      </c>
      <c r="N796" s="1">
        <v>0.0</v>
      </c>
      <c r="O796" s="1">
        <v>0.0</v>
      </c>
      <c r="P796" s="1">
        <v>0.0</v>
      </c>
      <c r="Q796" s="1">
        <v>41.0</v>
      </c>
      <c r="R796" s="1">
        <v>2.0</v>
      </c>
    </row>
    <row r="797">
      <c r="A797" s="1">
        <f t="shared" si="1"/>
        <v>794</v>
      </c>
      <c r="B797" s="1" t="s">
        <v>1854</v>
      </c>
      <c r="C797" s="1">
        <f t="shared" si="2"/>
        <v>794</v>
      </c>
      <c r="D797" s="1" t="s">
        <v>1146</v>
      </c>
      <c r="E797" s="1" t="s">
        <v>31</v>
      </c>
      <c r="F797" s="11">
        <f t="shared" si="3"/>
        <v>32.25</v>
      </c>
      <c r="G797" s="11">
        <f t="shared" si="4"/>
        <v>1.535714286</v>
      </c>
      <c r="H797" s="1">
        <v>21.0</v>
      </c>
      <c r="I797" s="1">
        <v>1.0</v>
      </c>
      <c r="J797" s="1">
        <v>3.0</v>
      </c>
      <c r="K797" s="1">
        <v>4.0</v>
      </c>
      <c r="L797" s="1">
        <v>15.0</v>
      </c>
      <c r="M797" s="1">
        <v>0.0</v>
      </c>
      <c r="N797" s="1">
        <v>0.0</v>
      </c>
      <c r="O797" s="1">
        <v>0.0</v>
      </c>
      <c r="P797" s="1">
        <v>0.0</v>
      </c>
      <c r="Q797" s="1">
        <v>27.0</v>
      </c>
      <c r="R797" s="1">
        <v>9.0</v>
      </c>
    </row>
    <row r="798">
      <c r="A798" s="1">
        <f t="shared" si="1"/>
        <v>796</v>
      </c>
      <c r="B798" s="1" t="s">
        <v>1863</v>
      </c>
      <c r="C798" s="1">
        <f t="shared" si="2"/>
        <v>796</v>
      </c>
      <c r="D798" s="1" t="s">
        <v>1040</v>
      </c>
      <c r="E798" s="1" t="s">
        <v>31</v>
      </c>
      <c r="F798" s="11">
        <f t="shared" si="3"/>
        <v>32</v>
      </c>
      <c r="G798" s="11">
        <f t="shared" si="4"/>
        <v>3.2</v>
      </c>
      <c r="H798" s="1">
        <v>10.0</v>
      </c>
      <c r="I798" s="1">
        <v>0.0</v>
      </c>
      <c r="J798" s="1">
        <v>6.0</v>
      </c>
      <c r="K798" s="1">
        <v>6.0</v>
      </c>
      <c r="L798" s="1">
        <v>22.0</v>
      </c>
      <c r="M798" s="1">
        <v>0.0</v>
      </c>
      <c r="N798" s="1">
        <v>1.0</v>
      </c>
      <c r="O798" s="1">
        <v>0.0</v>
      </c>
      <c r="P798" s="1">
        <v>0.0</v>
      </c>
      <c r="Q798" s="1">
        <v>4.0</v>
      </c>
      <c r="R798" s="1">
        <v>4.0</v>
      </c>
    </row>
    <row r="799">
      <c r="A799" s="1">
        <f t="shared" si="1"/>
        <v>796</v>
      </c>
      <c r="B799" s="1" t="s">
        <v>1864</v>
      </c>
      <c r="C799" s="1">
        <f t="shared" si="2"/>
        <v>796</v>
      </c>
      <c r="D799" s="1" t="s">
        <v>1120</v>
      </c>
      <c r="E799" s="1" t="s">
        <v>36</v>
      </c>
      <c r="F799" s="11">
        <f t="shared" si="3"/>
        <v>32</v>
      </c>
      <c r="G799" s="11">
        <f t="shared" si="4"/>
        <v>2.666666667</v>
      </c>
      <c r="H799" s="1">
        <v>12.0</v>
      </c>
      <c r="I799" s="1">
        <v>2.0</v>
      </c>
      <c r="J799" s="1">
        <v>4.0</v>
      </c>
      <c r="K799" s="1">
        <v>6.0</v>
      </c>
      <c r="L799" s="1">
        <v>14.0</v>
      </c>
      <c r="M799" s="1">
        <v>0.0</v>
      </c>
      <c r="N799" s="1">
        <v>0.0</v>
      </c>
      <c r="O799" s="1">
        <v>0.0</v>
      </c>
      <c r="P799" s="1">
        <v>0.0</v>
      </c>
      <c r="Q799" s="1">
        <v>2.0</v>
      </c>
      <c r="R799" s="1">
        <v>7.0</v>
      </c>
    </row>
    <row r="800">
      <c r="A800" s="1">
        <f t="shared" si="1"/>
        <v>798</v>
      </c>
      <c r="B800" s="1" t="s">
        <v>1858</v>
      </c>
      <c r="C800" s="1">
        <f t="shared" si="2"/>
        <v>798</v>
      </c>
      <c r="D800" s="1" t="s">
        <v>1175</v>
      </c>
      <c r="E800" s="1" t="s">
        <v>66</v>
      </c>
      <c r="F800" s="11">
        <f t="shared" si="3"/>
        <v>31.75</v>
      </c>
      <c r="G800" s="11">
        <f t="shared" si="4"/>
        <v>2.267857143</v>
      </c>
      <c r="H800" s="1">
        <v>14.0</v>
      </c>
      <c r="I800" s="1">
        <v>0.0</v>
      </c>
      <c r="J800" s="1">
        <v>2.0</v>
      </c>
      <c r="K800" s="1">
        <v>2.0</v>
      </c>
      <c r="L800" s="1">
        <v>13.0</v>
      </c>
      <c r="M800" s="1">
        <v>0.0</v>
      </c>
      <c r="N800" s="1">
        <v>0.0</v>
      </c>
      <c r="O800" s="1">
        <v>0.0</v>
      </c>
      <c r="P800" s="1">
        <v>0.0</v>
      </c>
      <c r="Q800" s="1">
        <v>19.0</v>
      </c>
      <c r="R800" s="1">
        <v>29.0</v>
      </c>
    </row>
    <row r="801">
      <c r="A801" s="1">
        <f t="shared" si="1"/>
        <v>799</v>
      </c>
      <c r="B801" s="1" t="s">
        <v>1856</v>
      </c>
      <c r="C801" s="1">
        <f t="shared" si="2"/>
        <v>799</v>
      </c>
      <c r="D801" s="1" t="s">
        <v>1054</v>
      </c>
      <c r="E801" s="1" t="s">
        <v>31</v>
      </c>
      <c r="F801" s="11">
        <f t="shared" si="3"/>
        <v>31.25</v>
      </c>
      <c r="G801" s="11">
        <f t="shared" si="4"/>
        <v>1.5625</v>
      </c>
      <c r="H801" s="1">
        <v>20.0</v>
      </c>
      <c r="I801" s="1">
        <v>1.0</v>
      </c>
      <c r="J801" s="1">
        <v>2.0</v>
      </c>
      <c r="K801" s="1">
        <v>3.0</v>
      </c>
      <c r="L801" s="1">
        <v>21.0</v>
      </c>
      <c r="M801" s="1">
        <v>0.0</v>
      </c>
      <c r="N801" s="1">
        <v>0.0</v>
      </c>
      <c r="O801" s="1">
        <v>0.0</v>
      </c>
      <c r="P801" s="1">
        <v>0.0</v>
      </c>
      <c r="Q801" s="1">
        <v>29.0</v>
      </c>
      <c r="R801" s="1">
        <v>6.0</v>
      </c>
    </row>
    <row r="802">
      <c r="A802" s="1">
        <f t="shared" si="1"/>
        <v>800</v>
      </c>
      <c r="B802" s="1" t="s">
        <v>1861</v>
      </c>
      <c r="C802" s="1">
        <f t="shared" si="2"/>
        <v>800</v>
      </c>
      <c r="D802" s="1" t="s">
        <v>1044</v>
      </c>
      <c r="E802" s="1" t="s">
        <v>28</v>
      </c>
      <c r="F802" s="11">
        <f t="shared" si="3"/>
        <v>31</v>
      </c>
      <c r="G802" s="11">
        <f t="shared" si="4"/>
        <v>2.384615385</v>
      </c>
      <c r="H802" s="1">
        <v>13.0</v>
      </c>
      <c r="I802" s="1">
        <v>2.0</v>
      </c>
      <c r="J802" s="1">
        <v>1.0</v>
      </c>
      <c r="K802" s="1">
        <v>3.0</v>
      </c>
      <c r="L802" s="1">
        <v>20.0</v>
      </c>
      <c r="M802" s="1">
        <v>0.0</v>
      </c>
      <c r="N802" s="1">
        <v>0.0</v>
      </c>
      <c r="O802" s="1">
        <v>0.0</v>
      </c>
      <c r="P802" s="1">
        <v>0.0</v>
      </c>
      <c r="Q802" s="1">
        <v>20.0</v>
      </c>
      <c r="R802" s="1">
        <v>8.0</v>
      </c>
    </row>
    <row r="803">
      <c r="A803" s="1">
        <f t="shared" si="1"/>
        <v>800</v>
      </c>
      <c r="B803" s="1" t="s">
        <v>1860</v>
      </c>
      <c r="C803" s="1">
        <f t="shared" si="2"/>
        <v>800</v>
      </c>
      <c r="D803" s="1" t="s">
        <v>1052</v>
      </c>
      <c r="E803" s="1" t="s">
        <v>66</v>
      </c>
      <c r="F803" s="11">
        <f t="shared" si="3"/>
        <v>31</v>
      </c>
      <c r="G803" s="11">
        <f t="shared" si="4"/>
        <v>1</v>
      </c>
      <c r="H803" s="1">
        <v>31.0</v>
      </c>
      <c r="I803" s="1">
        <v>1.0</v>
      </c>
      <c r="J803" s="1">
        <v>0.0</v>
      </c>
      <c r="K803" s="1">
        <v>1.0</v>
      </c>
      <c r="L803" s="1">
        <v>17.0</v>
      </c>
      <c r="M803" s="1">
        <v>0.0</v>
      </c>
      <c r="N803" s="1">
        <v>0.0</v>
      </c>
      <c r="O803" s="1">
        <v>0.0</v>
      </c>
      <c r="P803" s="1">
        <v>0.0</v>
      </c>
      <c r="Q803" s="1">
        <v>24.0</v>
      </c>
      <c r="R803" s="1">
        <v>24.0</v>
      </c>
    </row>
    <row r="804">
      <c r="A804" s="1">
        <f t="shared" si="1"/>
        <v>802</v>
      </c>
      <c r="B804" s="1" t="s">
        <v>1869</v>
      </c>
      <c r="C804" s="1">
        <f t="shared" si="2"/>
        <v>802</v>
      </c>
      <c r="D804" s="1" t="s">
        <v>1146</v>
      </c>
      <c r="E804" s="1" t="s">
        <v>31</v>
      </c>
      <c r="F804" s="11">
        <f t="shared" si="3"/>
        <v>30.25</v>
      </c>
      <c r="G804" s="11">
        <f t="shared" si="4"/>
        <v>3.78125</v>
      </c>
      <c r="H804" s="1">
        <v>8.0</v>
      </c>
      <c r="I804" s="1">
        <v>4.0</v>
      </c>
      <c r="J804" s="1">
        <v>1.0</v>
      </c>
      <c r="K804" s="1">
        <v>5.0</v>
      </c>
      <c r="L804" s="1">
        <v>12.0</v>
      </c>
      <c r="M804" s="1">
        <v>0.0</v>
      </c>
      <c r="N804" s="1">
        <v>1.0</v>
      </c>
      <c r="O804" s="1">
        <v>0.0</v>
      </c>
      <c r="P804" s="1">
        <v>0.0</v>
      </c>
      <c r="Q804" s="1">
        <v>1.0</v>
      </c>
      <c r="R804" s="1">
        <v>6.0</v>
      </c>
    </row>
    <row r="805">
      <c r="A805" s="1">
        <f t="shared" si="1"/>
        <v>802</v>
      </c>
      <c r="B805" s="1" t="s">
        <v>1865</v>
      </c>
      <c r="C805" s="1">
        <f t="shared" si="2"/>
        <v>802</v>
      </c>
      <c r="D805" s="1" t="s">
        <v>1052</v>
      </c>
      <c r="E805" s="1" t="s">
        <v>36</v>
      </c>
      <c r="F805" s="11">
        <f t="shared" si="3"/>
        <v>30.25</v>
      </c>
      <c r="G805" s="11">
        <f t="shared" si="4"/>
        <v>2.160714286</v>
      </c>
      <c r="H805" s="1">
        <v>14.0</v>
      </c>
      <c r="I805" s="1">
        <v>1.0</v>
      </c>
      <c r="J805" s="1">
        <v>2.0</v>
      </c>
      <c r="K805" s="1">
        <v>3.0</v>
      </c>
      <c r="L805" s="1">
        <v>27.0</v>
      </c>
      <c r="M805" s="1">
        <v>0.0</v>
      </c>
      <c r="N805" s="1">
        <v>0.0</v>
      </c>
      <c r="O805" s="1">
        <v>0.0</v>
      </c>
      <c r="P805" s="1">
        <v>0.0</v>
      </c>
      <c r="Q805" s="1">
        <v>11.0</v>
      </c>
      <c r="R805" s="1">
        <v>7.0</v>
      </c>
    </row>
    <row r="806">
      <c r="A806" s="1">
        <f t="shared" si="1"/>
        <v>804</v>
      </c>
      <c r="B806" s="1" t="s">
        <v>1853</v>
      </c>
      <c r="C806" s="1">
        <f t="shared" si="2"/>
        <v>804</v>
      </c>
      <c r="D806" s="1" t="s">
        <v>1048</v>
      </c>
      <c r="E806" s="1" t="s">
        <v>36</v>
      </c>
      <c r="F806" s="11">
        <f t="shared" si="3"/>
        <v>30</v>
      </c>
      <c r="G806" s="11">
        <f t="shared" si="4"/>
        <v>1.153846154</v>
      </c>
      <c r="H806" s="1">
        <v>26.0</v>
      </c>
      <c r="I806" s="1">
        <v>0.0</v>
      </c>
      <c r="J806" s="1">
        <v>1.0</v>
      </c>
      <c r="K806" s="1">
        <v>1.0</v>
      </c>
      <c r="L806" s="1">
        <v>19.0</v>
      </c>
      <c r="M806" s="1">
        <v>0.0</v>
      </c>
      <c r="N806" s="1">
        <v>0.0</v>
      </c>
      <c r="O806" s="1">
        <v>0.0</v>
      </c>
      <c r="P806" s="1">
        <v>0.0</v>
      </c>
      <c r="Q806" s="1">
        <v>54.0</v>
      </c>
      <c r="R806" s="1">
        <v>8.0</v>
      </c>
    </row>
    <row r="807">
      <c r="A807" s="1">
        <f t="shared" si="1"/>
        <v>805</v>
      </c>
      <c r="B807" s="1" t="s">
        <v>1867</v>
      </c>
      <c r="C807" s="1">
        <f t="shared" si="2"/>
        <v>805</v>
      </c>
      <c r="D807" s="1" t="s">
        <v>1080</v>
      </c>
      <c r="E807" s="1" t="s">
        <v>36</v>
      </c>
      <c r="F807" s="11">
        <f t="shared" si="3"/>
        <v>29.75</v>
      </c>
      <c r="G807" s="11">
        <f t="shared" si="4"/>
        <v>1.4875</v>
      </c>
      <c r="H807" s="1">
        <v>20.0</v>
      </c>
      <c r="I807" s="1">
        <v>1.0</v>
      </c>
      <c r="J807" s="1">
        <v>2.0</v>
      </c>
      <c r="K807" s="1">
        <v>3.0</v>
      </c>
      <c r="L807" s="1">
        <v>25.0</v>
      </c>
      <c r="M807" s="1">
        <v>0.0</v>
      </c>
      <c r="N807" s="1">
        <v>0.0</v>
      </c>
      <c r="O807" s="1">
        <v>0.0</v>
      </c>
      <c r="P807" s="1">
        <v>0.0</v>
      </c>
      <c r="Q807" s="1">
        <v>7.0</v>
      </c>
      <c r="R807" s="1">
        <v>10.0</v>
      </c>
    </row>
    <row r="808">
      <c r="A808" s="1">
        <f t="shared" si="1"/>
        <v>806</v>
      </c>
      <c r="B808" s="1" t="s">
        <v>1866</v>
      </c>
      <c r="C808" s="1">
        <f t="shared" si="2"/>
        <v>806</v>
      </c>
      <c r="D808" s="1" t="s">
        <v>1080</v>
      </c>
      <c r="E808" s="1" t="s">
        <v>31</v>
      </c>
      <c r="F808" s="11">
        <f t="shared" si="3"/>
        <v>29.25</v>
      </c>
      <c r="G808" s="11">
        <f t="shared" si="4"/>
        <v>3.25</v>
      </c>
      <c r="H808" s="1">
        <v>9.0</v>
      </c>
      <c r="I808" s="1">
        <v>3.0</v>
      </c>
      <c r="J808" s="1">
        <v>1.0</v>
      </c>
      <c r="K808" s="1">
        <v>4.0</v>
      </c>
      <c r="L808" s="1">
        <v>9.0</v>
      </c>
      <c r="M808" s="1">
        <v>1.0</v>
      </c>
      <c r="N808" s="1">
        <v>0.0</v>
      </c>
      <c r="O808" s="1">
        <v>0.0</v>
      </c>
      <c r="P808" s="1">
        <v>0.0</v>
      </c>
      <c r="Q808" s="1">
        <v>21.0</v>
      </c>
      <c r="R808" s="1">
        <v>6.0</v>
      </c>
    </row>
    <row r="809">
      <c r="A809" s="1">
        <f t="shared" si="1"/>
        <v>806</v>
      </c>
      <c r="B809" s="1" t="s">
        <v>1871</v>
      </c>
      <c r="C809" s="1">
        <f t="shared" si="2"/>
        <v>806</v>
      </c>
      <c r="D809" s="1" t="s">
        <v>1156</v>
      </c>
      <c r="E809" s="1" t="s">
        <v>28</v>
      </c>
      <c r="F809" s="11">
        <f t="shared" si="3"/>
        <v>29.25</v>
      </c>
      <c r="G809" s="11">
        <f t="shared" si="4"/>
        <v>1.720588235</v>
      </c>
      <c r="H809" s="1">
        <v>17.0</v>
      </c>
      <c r="I809" s="1">
        <v>0.0</v>
      </c>
      <c r="J809" s="1">
        <v>2.0</v>
      </c>
      <c r="K809" s="1">
        <v>2.0</v>
      </c>
      <c r="L809" s="1">
        <v>22.0</v>
      </c>
      <c r="M809" s="1">
        <v>0.0</v>
      </c>
      <c r="N809" s="1">
        <v>0.0</v>
      </c>
      <c r="O809" s="1">
        <v>0.0</v>
      </c>
      <c r="P809" s="1">
        <v>0.0</v>
      </c>
      <c r="Q809" s="1">
        <v>9.0</v>
      </c>
      <c r="R809" s="1">
        <v>20.0</v>
      </c>
    </row>
    <row r="810">
      <c r="A810" s="1">
        <f t="shared" si="1"/>
        <v>808</v>
      </c>
      <c r="B810" s="1" t="s">
        <v>1862</v>
      </c>
      <c r="C810" s="1">
        <f t="shared" si="2"/>
        <v>808</v>
      </c>
      <c r="D810" s="1" t="s">
        <v>1175</v>
      </c>
      <c r="E810" s="1" t="s">
        <v>31</v>
      </c>
      <c r="F810" s="11">
        <f t="shared" si="3"/>
        <v>29</v>
      </c>
      <c r="G810" s="11">
        <f t="shared" si="4"/>
        <v>1.318181818</v>
      </c>
      <c r="H810" s="1">
        <v>22.0</v>
      </c>
      <c r="I810" s="1">
        <v>1.0</v>
      </c>
      <c r="J810" s="1">
        <v>0.0</v>
      </c>
      <c r="K810" s="1">
        <v>1.0</v>
      </c>
      <c r="L810" s="1">
        <v>20.0</v>
      </c>
      <c r="M810" s="1">
        <v>0.0</v>
      </c>
      <c r="N810" s="1">
        <v>0.0</v>
      </c>
      <c r="O810" s="1">
        <v>0.0</v>
      </c>
      <c r="P810" s="1">
        <v>0.0</v>
      </c>
      <c r="Q810" s="1">
        <v>36.0</v>
      </c>
      <c r="R810" s="1">
        <v>11.0</v>
      </c>
    </row>
    <row r="811">
      <c r="A811" s="1">
        <f t="shared" si="1"/>
        <v>809</v>
      </c>
      <c r="B811" s="1" t="s">
        <v>1878</v>
      </c>
      <c r="C811" s="1">
        <f t="shared" si="2"/>
        <v>809</v>
      </c>
      <c r="D811" s="1" t="s">
        <v>1034</v>
      </c>
      <c r="E811" s="1" t="s">
        <v>5</v>
      </c>
      <c r="F811" s="11">
        <f t="shared" si="3"/>
        <v>28.5</v>
      </c>
      <c r="G811" s="11">
        <f t="shared" si="4"/>
        <v>4.75</v>
      </c>
      <c r="H811" s="1">
        <v>6.0</v>
      </c>
      <c r="S811" s="1">
        <v>3.0</v>
      </c>
      <c r="T811" s="1">
        <v>20.0</v>
      </c>
      <c r="U811" s="1">
        <v>165.0</v>
      </c>
      <c r="V811" s="1">
        <v>0.0</v>
      </c>
    </row>
    <row r="812">
      <c r="A812" s="1">
        <f t="shared" si="1"/>
        <v>809</v>
      </c>
      <c r="B812" s="1" t="s">
        <v>1859</v>
      </c>
      <c r="C812" s="1">
        <f t="shared" si="2"/>
        <v>809</v>
      </c>
      <c r="D812" s="1" t="s">
        <v>1040</v>
      </c>
      <c r="E812" s="1" t="s">
        <v>31</v>
      </c>
      <c r="F812" s="11">
        <f t="shared" si="3"/>
        <v>28.5</v>
      </c>
      <c r="G812" s="11">
        <f t="shared" si="4"/>
        <v>1.676470588</v>
      </c>
      <c r="H812" s="1">
        <v>17.0</v>
      </c>
      <c r="I812" s="1">
        <v>1.0</v>
      </c>
      <c r="J812" s="1">
        <v>1.0</v>
      </c>
      <c r="K812" s="1">
        <v>2.0</v>
      </c>
      <c r="L812" s="1">
        <v>12.0</v>
      </c>
      <c r="M812" s="1">
        <v>0.0</v>
      </c>
      <c r="N812" s="1">
        <v>0.0</v>
      </c>
      <c r="O812" s="1">
        <v>0.0</v>
      </c>
      <c r="P812" s="1">
        <v>0.0</v>
      </c>
      <c r="Q812" s="1">
        <v>50.0</v>
      </c>
      <c r="R812" s="1">
        <v>5.0</v>
      </c>
    </row>
    <row r="813">
      <c r="A813" s="1">
        <f t="shared" si="1"/>
        <v>811</v>
      </c>
      <c r="B813" s="1" t="s">
        <v>1877</v>
      </c>
      <c r="C813" s="1">
        <f t="shared" si="2"/>
        <v>811</v>
      </c>
      <c r="D813" s="1" t="s">
        <v>1172</v>
      </c>
      <c r="E813" s="1" t="s">
        <v>28</v>
      </c>
      <c r="F813" s="11">
        <f t="shared" si="3"/>
        <v>28.25</v>
      </c>
      <c r="G813" s="11">
        <f t="shared" si="4"/>
        <v>2.825</v>
      </c>
      <c r="H813" s="1">
        <v>10.0</v>
      </c>
      <c r="I813" s="1">
        <v>2.0</v>
      </c>
      <c r="J813" s="1">
        <v>2.0</v>
      </c>
      <c r="K813" s="1">
        <v>4.0</v>
      </c>
      <c r="L813" s="1">
        <v>20.0</v>
      </c>
      <c r="M813" s="1">
        <v>0.0</v>
      </c>
      <c r="N813" s="1">
        <v>1.0</v>
      </c>
      <c r="O813" s="1">
        <v>0.0</v>
      </c>
      <c r="P813" s="1">
        <v>0.0</v>
      </c>
      <c r="Q813" s="1">
        <v>7.0</v>
      </c>
      <c r="R813" s="1">
        <v>3.0</v>
      </c>
    </row>
    <row r="814">
      <c r="A814" s="1">
        <f t="shared" si="1"/>
        <v>812</v>
      </c>
      <c r="B814" s="1" t="s">
        <v>1874</v>
      </c>
      <c r="C814" s="1">
        <f t="shared" si="2"/>
        <v>812</v>
      </c>
      <c r="D814" s="1" t="s">
        <v>1069</v>
      </c>
      <c r="E814" s="1" t="s">
        <v>66</v>
      </c>
      <c r="F814" s="11">
        <f t="shared" si="3"/>
        <v>28</v>
      </c>
      <c r="G814" s="11">
        <f t="shared" si="4"/>
        <v>2.8</v>
      </c>
      <c r="H814" s="1">
        <v>10.0</v>
      </c>
      <c r="I814" s="1">
        <v>0.0</v>
      </c>
      <c r="J814" s="1">
        <v>3.0</v>
      </c>
      <c r="K814" s="1">
        <v>3.0</v>
      </c>
      <c r="L814" s="1">
        <v>10.0</v>
      </c>
      <c r="M814" s="1">
        <v>0.0</v>
      </c>
      <c r="N814" s="1">
        <v>0.0</v>
      </c>
      <c r="O814" s="1">
        <v>0.0</v>
      </c>
      <c r="P814" s="1">
        <v>1.0</v>
      </c>
      <c r="Q814" s="1">
        <v>14.0</v>
      </c>
      <c r="R814" s="1">
        <v>17.0</v>
      </c>
    </row>
    <row r="815">
      <c r="A815" s="1">
        <f t="shared" si="1"/>
        <v>812</v>
      </c>
      <c r="B815" s="1" t="s">
        <v>1875</v>
      </c>
      <c r="C815" s="1">
        <f t="shared" si="2"/>
        <v>812</v>
      </c>
      <c r="D815" s="1" t="s">
        <v>1052</v>
      </c>
      <c r="E815" s="1" t="s">
        <v>28</v>
      </c>
      <c r="F815" s="11">
        <f t="shared" si="3"/>
        <v>28</v>
      </c>
      <c r="G815" s="11">
        <f t="shared" si="4"/>
        <v>1.272727273</v>
      </c>
      <c r="H815" s="1">
        <v>22.0</v>
      </c>
      <c r="I815" s="1">
        <v>1.0</v>
      </c>
      <c r="J815" s="1">
        <v>3.0</v>
      </c>
      <c r="K815" s="1">
        <v>4.0</v>
      </c>
      <c r="L815" s="1">
        <v>13.0</v>
      </c>
      <c r="M815" s="1">
        <v>0.0</v>
      </c>
      <c r="N815" s="1">
        <v>0.0</v>
      </c>
      <c r="O815" s="1">
        <v>0.0</v>
      </c>
      <c r="P815" s="1">
        <v>0.0</v>
      </c>
      <c r="Q815" s="1">
        <v>14.0</v>
      </c>
      <c r="R815" s="1">
        <v>9.0</v>
      </c>
    </row>
    <row r="816">
      <c r="A816" s="1">
        <f t="shared" si="1"/>
        <v>812</v>
      </c>
      <c r="B816" s="1" t="s">
        <v>1868</v>
      </c>
      <c r="C816" s="1">
        <f t="shared" si="2"/>
        <v>812</v>
      </c>
      <c r="D816" s="1" t="s">
        <v>1116</v>
      </c>
      <c r="E816" s="1" t="s">
        <v>31</v>
      </c>
      <c r="F816" s="11">
        <f t="shared" si="3"/>
        <v>28</v>
      </c>
      <c r="G816" s="11">
        <f t="shared" si="4"/>
        <v>1</v>
      </c>
      <c r="H816" s="1">
        <v>28.0</v>
      </c>
      <c r="I816" s="1">
        <v>0.0</v>
      </c>
      <c r="J816" s="1">
        <v>1.0</v>
      </c>
      <c r="K816" s="1">
        <v>1.0</v>
      </c>
      <c r="L816" s="1">
        <v>28.0</v>
      </c>
      <c r="M816" s="1">
        <v>0.0</v>
      </c>
      <c r="N816" s="1">
        <v>0.0</v>
      </c>
      <c r="O816" s="1">
        <v>0.0</v>
      </c>
      <c r="P816" s="1">
        <v>0.0</v>
      </c>
      <c r="Q816" s="1">
        <v>24.0</v>
      </c>
      <c r="R816" s="1">
        <v>10.0</v>
      </c>
    </row>
    <row r="817">
      <c r="A817" s="1">
        <f t="shared" si="1"/>
        <v>815</v>
      </c>
      <c r="B817" s="1" t="s">
        <v>1873</v>
      </c>
      <c r="C817" s="1">
        <f t="shared" si="2"/>
        <v>815</v>
      </c>
      <c r="D817" s="1" t="s">
        <v>1120</v>
      </c>
      <c r="E817" s="1" t="s">
        <v>31</v>
      </c>
      <c r="F817" s="11">
        <f t="shared" si="3"/>
        <v>27.75</v>
      </c>
      <c r="G817" s="11">
        <f t="shared" si="4"/>
        <v>0.8161764706</v>
      </c>
      <c r="H817" s="1">
        <v>34.0</v>
      </c>
      <c r="I817" s="1">
        <v>0.0</v>
      </c>
      <c r="J817" s="1">
        <v>1.0</v>
      </c>
      <c r="K817" s="1">
        <v>1.0</v>
      </c>
      <c r="L817" s="1">
        <v>24.0</v>
      </c>
      <c r="M817" s="1">
        <v>0.0</v>
      </c>
      <c r="N817" s="1">
        <v>0.0</v>
      </c>
      <c r="O817" s="1">
        <v>0.0</v>
      </c>
      <c r="P817" s="1">
        <v>0.0</v>
      </c>
      <c r="Q817" s="1">
        <v>19.0</v>
      </c>
      <c r="R817" s="1">
        <v>16.0</v>
      </c>
    </row>
    <row r="818">
      <c r="A818" s="1">
        <f t="shared" si="1"/>
        <v>816</v>
      </c>
      <c r="B818" s="1" t="s">
        <v>1876</v>
      </c>
      <c r="C818" s="1">
        <f t="shared" si="2"/>
        <v>816</v>
      </c>
      <c r="D818" s="1" t="s">
        <v>1172</v>
      </c>
      <c r="E818" s="1" t="s">
        <v>36</v>
      </c>
      <c r="F818" s="11">
        <f t="shared" si="3"/>
        <v>27.5</v>
      </c>
      <c r="G818" s="11">
        <f t="shared" si="4"/>
        <v>1.71875</v>
      </c>
      <c r="H818" s="1">
        <v>16.0</v>
      </c>
      <c r="I818" s="1">
        <v>1.0</v>
      </c>
      <c r="J818" s="1">
        <v>3.0</v>
      </c>
      <c r="K818" s="1">
        <v>4.0</v>
      </c>
      <c r="L818" s="1">
        <v>14.0</v>
      </c>
      <c r="M818" s="1">
        <v>0.0</v>
      </c>
      <c r="N818" s="1">
        <v>0.0</v>
      </c>
      <c r="O818" s="1">
        <v>0.0</v>
      </c>
      <c r="P818" s="1">
        <v>0.0</v>
      </c>
      <c r="Q818" s="1">
        <v>16.0</v>
      </c>
      <c r="R818" s="1">
        <v>6.0</v>
      </c>
    </row>
    <row r="819">
      <c r="A819" s="1">
        <f t="shared" si="1"/>
        <v>817</v>
      </c>
      <c r="B819" s="1" t="s">
        <v>1881</v>
      </c>
      <c r="C819" s="1">
        <f t="shared" si="2"/>
        <v>817</v>
      </c>
      <c r="D819" s="1" t="s">
        <v>1078</v>
      </c>
      <c r="E819" s="1" t="s">
        <v>31</v>
      </c>
      <c r="F819" s="11">
        <f t="shared" si="3"/>
        <v>27.25</v>
      </c>
      <c r="G819" s="11">
        <f t="shared" si="4"/>
        <v>1.3625</v>
      </c>
      <c r="H819" s="1">
        <v>20.0</v>
      </c>
      <c r="I819" s="1">
        <v>1.0</v>
      </c>
      <c r="J819" s="1">
        <v>3.0</v>
      </c>
      <c r="K819" s="1">
        <v>4.0</v>
      </c>
      <c r="L819" s="1">
        <v>14.0</v>
      </c>
      <c r="M819" s="1">
        <v>0.0</v>
      </c>
      <c r="N819" s="1">
        <v>0.0</v>
      </c>
      <c r="O819" s="1">
        <v>0.0</v>
      </c>
      <c r="P819" s="1">
        <v>0.0</v>
      </c>
      <c r="Q819" s="1">
        <v>7.0</v>
      </c>
      <c r="R819" s="1">
        <v>10.0</v>
      </c>
    </row>
    <row r="820">
      <c r="A820" s="1">
        <f t="shared" si="1"/>
        <v>818</v>
      </c>
      <c r="B820" s="1" t="s">
        <v>1880</v>
      </c>
      <c r="C820" s="1">
        <f t="shared" si="2"/>
        <v>818</v>
      </c>
      <c r="D820" s="1" t="s">
        <v>1091</v>
      </c>
      <c r="E820" s="1" t="s">
        <v>36</v>
      </c>
      <c r="F820" s="11">
        <f t="shared" si="3"/>
        <v>27</v>
      </c>
      <c r="G820" s="11">
        <f t="shared" si="4"/>
        <v>1.5</v>
      </c>
      <c r="H820" s="1">
        <v>18.0</v>
      </c>
      <c r="I820" s="1">
        <v>1.0</v>
      </c>
      <c r="J820" s="1">
        <v>1.0</v>
      </c>
      <c r="K820" s="1">
        <v>2.0</v>
      </c>
      <c r="L820" s="1">
        <v>26.0</v>
      </c>
      <c r="M820" s="1">
        <v>0.0</v>
      </c>
      <c r="N820" s="1">
        <v>0.0</v>
      </c>
      <c r="O820" s="1">
        <v>0.0</v>
      </c>
      <c r="P820" s="1">
        <v>0.0</v>
      </c>
      <c r="Q820" s="1">
        <v>14.0</v>
      </c>
      <c r="R820" s="1">
        <v>6.0</v>
      </c>
    </row>
    <row r="821">
      <c r="A821" s="1">
        <f t="shared" si="1"/>
        <v>818</v>
      </c>
      <c r="B821" s="1" t="s">
        <v>1870</v>
      </c>
      <c r="C821" s="1">
        <f t="shared" si="2"/>
        <v>818</v>
      </c>
      <c r="D821" s="1" t="s">
        <v>1044</v>
      </c>
      <c r="E821" s="1" t="s">
        <v>28</v>
      </c>
      <c r="F821" s="11">
        <f t="shared" si="3"/>
        <v>27</v>
      </c>
      <c r="G821" s="11">
        <f t="shared" si="4"/>
        <v>1.35</v>
      </c>
      <c r="H821" s="1">
        <v>20.0</v>
      </c>
      <c r="I821" s="1">
        <v>1.0</v>
      </c>
      <c r="J821" s="1">
        <v>1.0</v>
      </c>
      <c r="K821" s="1">
        <v>2.0</v>
      </c>
      <c r="L821" s="1">
        <v>10.0</v>
      </c>
      <c r="M821" s="1">
        <v>0.0</v>
      </c>
      <c r="N821" s="1">
        <v>0.0</v>
      </c>
      <c r="O821" s="1">
        <v>0.0</v>
      </c>
      <c r="P821" s="1">
        <v>0.0</v>
      </c>
      <c r="Q821" s="1">
        <v>32.0</v>
      </c>
      <c r="R821" s="1">
        <v>13.0</v>
      </c>
    </row>
    <row r="822">
      <c r="A822" s="1">
        <f t="shared" si="1"/>
        <v>820</v>
      </c>
      <c r="B822" s="1" t="s">
        <v>1886</v>
      </c>
      <c r="C822" s="1">
        <f t="shared" si="2"/>
        <v>820</v>
      </c>
      <c r="D822" s="1" t="s">
        <v>1078</v>
      </c>
      <c r="E822" s="1" t="s">
        <v>5</v>
      </c>
      <c r="F822" s="11">
        <f t="shared" si="3"/>
        <v>26.7</v>
      </c>
      <c r="G822" s="11">
        <f t="shared" si="4"/>
        <v>3.3375</v>
      </c>
      <c r="H822" s="1">
        <v>8.0</v>
      </c>
      <c r="S822" s="1">
        <v>4.0</v>
      </c>
      <c r="T822" s="1">
        <v>23.0</v>
      </c>
      <c r="U822" s="1">
        <v>154.0</v>
      </c>
      <c r="V822" s="1">
        <v>1.0</v>
      </c>
    </row>
    <row r="823">
      <c r="A823" s="1">
        <f t="shared" si="1"/>
        <v>821</v>
      </c>
      <c r="B823" s="1" t="s">
        <v>1872</v>
      </c>
      <c r="C823" s="1">
        <f t="shared" si="2"/>
        <v>821</v>
      </c>
      <c r="D823" s="1" t="s">
        <v>1065</v>
      </c>
      <c r="E823" s="1" t="s">
        <v>28</v>
      </c>
      <c r="F823" s="11">
        <f t="shared" si="3"/>
        <v>26.5</v>
      </c>
      <c r="G823" s="11">
        <f t="shared" si="4"/>
        <v>1.152173913</v>
      </c>
      <c r="H823" s="1">
        <v>23.0</v>
      </c>
      <c r="I823" s="1">
        <v>1.0</v>
      </c>
      <c r="J823" s="1">
        <v>2.0</v>
      </c>
      <c r="K823" s="1">
        <v>3.0</v>
      </c>
      <c r="L823" s="1">
        <v>12.0</v>
      </c>
      <c r="M823" s="1">
        <v>0.0</v>
      </c>
      <c r="N823" s="1">
        <v>0.0</v>
      </c>
      <c r="O823" s="1">
        <v>0.0</v>
      </c>
      <c r="P823" s="1">
        <v>0.0</v>
      </c>
      <c r="Q823" s="1">
        <v>34.0</v>
      </c>
      <c r="R823" s="1">
        <v>3.0</v>
      </c>
    </row>
    <row r="824">
      <c r="A824" s="1">
        <f t="shared" si="1"/>
        <v>822</v>
      </c>
      <c r="B824" s="1" t="s">
        <v>1883</v>
      </c>
      <c r="C824" s="1">
        <f t="shared" si="2"/>
        <v>822</v>
      </c>
      <c r="D824" s="1" t="s">
        <v>1156</v>
      </c>
      <c r="E824" s="1" t="s">
        <v>36</v>
      </c>
      <c r="F824" s="11">
        <f t="shared" si="3"/>
        <v>26.25</v>
      </c>
      <c r="G824" s="11">
        <f t="shared" si="4"/>
        <v>2.386363636</v>
      </c>
      <c r="H824" s="1">
        <v>11.0</v>
      </c>
      <c r="I824" s="1">
        <v>2.0</v>
      </c>
      <c r="J824" s="1">
        <v>1.0</v>
      </c>
      <c r="K824" s="1">
        <v>3.0</v>
      </c>
      <c r="L824" s="1">
        <v>17.0</v>
      </c>
      <c r="M824" s="1">
        <v>0.0</v>
      </c>
      <c r="N824" s="1">
        <v>0.0</v>
      </c>
      <c r="O824" s="1">
        <v>0.0</v>
      </c>
      <c r="P824" s="1">
        <v>0.0</v>
      </c>
      <c r="Q824" s="1">
        <v>11.0</v>
      </c>
      <c r="R824" s="1">
        <v>6.0</v>
      </c>
    </row>
    <row r="825">
      <c r="A825" s="1">
        <f t="shared" si="1"/>
        <v>823</v>
      </c>
      <c r="B825" s="1" t="s">
        <v>1882</v>
      </c>
      <c r="C825" s="1">
        <f t="shared" si="2"/>
        <v>823</v>
      </c>
      <c r="D825" s="1" t="s">
        <v>1091</v>
      </c>
      <c r="E825" s="1" t="s">
        <v>66</v>
      </c>
      <c r="F825" s="11">
        <f t="shared" si="3"/>
        <v>25.5</v>
      </c>
      <c r="G825" s="11">
        <f t="shared" si="4"/>
        <v>2.125</v>
      </c>
      <c r="H825" s="1">
        <v>12.0</v>
      </c>
      <c r="I825" s="1">
        <v>0.0</v>
      </c>
      <c r="J825" s="1">
        <v>2.0</v>
      </c>
      <c r="K825" s="1">
        <v>2.0</v>
      </c>
      <c r="L825" s="1">
        <v>14.0</v>
      </c>
      <c r="M825" s="1">
        <v>0.0</v>
      </c>
      <c r="N825" s="1">
        <v>0.0</v>
      </c>
      <c r="O825" s="1">
        <v>0.0</v>
      </c>
      <c r="P825" s="1">
        <v>0.0</v>
      </c>
      <c r="Q825" s="1">
        <v>22.0</v>
      </c>
      <c r="R825" s="1">
        <v>14.0</v>
      </c>
    </row>
    <row r="826">
      <c r="A826" s="1">
        <f t="shared" si="1"/>
        <v>823</v>
      </c>
      <c r="B826" s="1" t="s">
        <v>1879</v>
      </c>
      <c r="C826" s="1">
        <f t="shared" si="2"/>
        <v>823</v>
      </c>
      <c r="D826" s="1" t="s">
        <v>1030</v>
      </c>
      <c r="E826" s="1" t="s">
        <v>36</v>
      </c>
      <c r="F826" s="11">
        <f t="shared" si="3"/>
        <v>25.5</v>
      </c>
      <c r="G826" s="11">
        <f t="shared" si="4"/>
        <v>1.961538462</v>
      </c>
      <c r="H826" s="1">
        <v>13.0</v>
      </c>
      <c r="I826" s="1">
        <v>1.0</v>
      </c>
      <c r="J826" s="1">
        <v>1.0</v>
      </c>
      <c r="K826" s="1">
        <v>2.0</v>
      </c>
      <c r="L826" s="1">
        <v>16.0</v>
      </c>
      <c r="M826" s="1">
        <v>0.0</v>
      </c>
      <c r="N826" s="1">
        <v>0.0</v>
      </c>
      <c r="O826" s="1">
        <v>0.0</v>
      </c>
      <c r="P826" s="1">
        <v>0.0</v>
      </c>
      <c r="Q826" s="1">
        <v>30.0</v>
      </c>
      <c r="R826" s="1">
        <v>5.0</v>
      </c>
    </row>
    <row r="827">
      <c r="A827" s="1">
        <f t="shared" si="1"/>
        <v>823</v>
      </c>
      <c r="B827" s="1" t="s">
        <v>1889</v>
      </c>
      <c r="C827" s="1">
        <f t="shared" si="2"/>
        <v>823</v>
      </c>
      <c r="D827" s="1" t="s">
        <v>1097</v>
      </c>
      <c r="E827" s="1" t="s">
        <v>31</v>
      </c>
      <c r="F827" s="11">
        <f t="shared" si="3"/>
        <v>25.5</v>
      </c>
      <c r="G827" s="11">
        <f t="shared" si="4"/>
        <v>1.108695652</v>
      </c>
      <c r="H827" s="1">
        <v>23.0</v>
      </c>
      <c r="I827" s="1">
        <v>2.0</v>
      </c>
      <c r="J827" s="1">
        <v>1.0</v>
      </c>
      <c r="K827" s="1">
        <v>3.0</v>
      </c>
      <c r="L827" s="1">
        <v>16.0</v>
      </c>
      <c r="M827" s="1">
        <v>0.0</v>
      </c>
      <c r="N827" s="1">
        <v>0.0</v>
      </c>
      <c r="O827" s="1">
        <v>0.0</v>
      </c>
      <c r="P827" s="1">
        <v>0.0</v>
      </c>
      <c r="Q827" s="1">
        <v>8.0</v>
      </c>
      <c r="R827" s="1">
        <v>7.0</v>
      </c>
    </row>
    <row r="828">
      <c r="A828" s="1">
        <f t="shared" si="1"/>
        <v>826</v>
      </c>
      <c r="B828" s="1" t="s">
        <v>1887</v>
      </c>
      <c r="C828" s="1">
        <f t="shared" si="2"/>
        <v>826</v>
      </c>
      <c r="D828" s="1" t="s">
        <v>1054</v>
      </c>
      <c r="E828" s="1" t="s">
        <v>31</v>
      </c>
      <c r="F828" s="11">
        <f t="shared" si="3"/>
        <v>25</v>
      </c>
      <c r="G828" s="11">
        <f t="shared" si="4"/>
        <v>1.5625</v>
      </c>
      <c r="H828" s="1">
        <v>16.0</v>
      </c>
      <c r="I828" s="1">
        <v>1.0</v>
      </c>
      <c r="J828" s="1">
        <v>3.0</v>
      </c>
      <c r="K828" s="1">
        <v>4.0</v>
      </c>
      <c r="L828" s="1">
        <v>6.0</v>
      </c>
      <c r="M828" s="1">
        <v>1.0</v>
      </c>
      <c r="N828" s="1">
        <v>0.0</v>
      </c>
      <c r="O828" s="1">
        <v>0.0</v>
      </c>
      <c r="P828" s="1">
        <v>0.0</v>
      </c>
      <c r="Q828" s="1">
        <v>16.0</v>
      </c>
      <c r="R828" s="1">
        <v>9.0</v>
      </c>
    </row>
    <row r="829">
      <c r="A829" s="1">
        <f t="shared" si="1"/>
        <v>827</v>
      </c>
      <c r="B829" s="1" t="s">
        <v>1895</v>
      </c>
      <c r="C829" s="1">
        <f t="shared" si="2"/>
        <v>827</v>
      </c>
      <c r="D829" s="1" t="s">
        <v>1067</v>
      </c>
      <c r="E829" s="1" t="s">
        <v>5</v>
      </c>
      <c r="F829" s="11">
        <f t="shared" si="3"/>
        <v>24.6</v>
      </c>
      <c r="G829" s="11">
        <f t="shared" si="4"/>
        <v>2.46</v>
      </c>
      <c r="H829" s="1">
        <v>10.0</v>
      </c>
      <c r="S829" s="1">
        <v>2.0</v>
      </c>
      <c r="T829" s="1">
        <v>32.0</v>
      </c>
      <c r="U829" s="1">
        <v>222.0</v>
      </c>
      <c r="V829" s="1">
        <v>0.0</v>
      </c>
    </row>
    <row r="830">
      <c r="A830" s="1">
        <f t="shared" si="1"/>
        <v>828</v>
      </c>
      <c r="B830" s="1" t="s">
        <v>1892</v>
      </c>
      <c r="C830" s="1">
        <f t="shared" si="2"/>
        <v>828</v>
      </c>
      <c r="D830" s="1" t="s">
        <v>1078</v>
      </c>
      <c r="E830" s="1" t="s">
        <v>31</v>
      </c>
      <c r="F830" s="11">
        <f t="shared" si="3"/>
        <v>24.5</v>
      </c>
      <c r="G830" s="11">
        <f t="shared" si="4"/>
        <v>3.5</v>
      </c>
      <c r="H830" s="1">
        <v>7.0</v>
      </c>
      <c r="I830" s="1">
        <v>3.0</v>
      </c>
      <c r="J830" s="1">
        <v>1.0</v>
      </c>
      <c r="K830" s="1">
        <v>4.0</v>
      </c>
      <c r="L830" s="1">
        <v>9.0</v>
      </c>
      <c r="M830" s="1">
        <v>0.0</v>
      </c>
      <c r="N830" s="1">
        <v>0.0</v>
      </c>
      <c r="O830" s="1">
        <v>0.0</v>
      </c>
      <c r="P830" s="1">
        <v>0.0</v>
      </c>
      <c r="Q830" s="1">
        <v>8.0</v>
      </c>
      <c r="R830" s="1">
        <v>3.0</v>
      </c>
    </row>
    <row r="831">
      <c r="A831" s="1">
        <f t="shared" si="1"/>
        <v>828</v>
      </c>
      <c r="B831" s="1" t="s">
        <v>1891</v>
      </c>
      <c r="C831" s="1">
        <f t="shared" si="2"/>
        <v>828</v>
      </c>
      <c r="D831" s="1" t="s">
        <v>1078</v>
      </c>
      <c r="E831" s="1" t="s">
        <v>66</v>
      </c>
      <c r="F831" s="11">
        <f t="shared" si="3"/>
        <v>24.5</v>
      </c>
      <c r="G831" s="11">
        <f t="shared" si="4"/>
        <v>1.020833333</v>
      </c>
      <c r="H831" s="1">
        <v>24.0</v>
      </c>
      <c r="I831" s="1">
        <v>1.0</v>
      </c>
      <c r="J831" s="1">
        <v>0.0</v>
      </c>
      <c r="K831" s="1">
        <v>1.0</v>
      </c>
      <c r="L831" s="1">
        <v>11.0</v>
      </c>
      <c r="M831" s="1">
        <v>0.0</v>
      </c>
      <c r="N831" s="1">
        <v>0.0</v>
      </c>
      <c r="O831" s="1">
        <v>0.0</v>
      </c>
      <c r="P831" s="1">
        <v>0.0</v>
      </c>
      <c r="Q831" s="1">
        <v>12.0</v>
      </c>
      <c r="R831" s="1">
        <v>23.0</v>
      </c>
    </row>
    <row r="832">
      <c r="A832" s="1">
        <f t="shared" si="1"/>
        <v>830</v>
      </c>
      <c r="B832" s="1" t="s">
        <v>1885</v>
      </c>
      <c r="C832" s="1">
        <f t="shared" si="2"/>
        <v>830</v>
      </c>
      <c r="D832" s="1" t="s">
        <v>1106</v>
      </c>
      <c r="E832" s="1" t="s">
        <v>31</v>
      </c>
      <c r="F832" s="11">
        <f t="shared" si="3"/>
        <v>24.25</v>
      </c>
      <c r="G832" s="11">
        <f t="shared" si="4"/>
        <v>1.054347826</v>
      </c>
      <c r="H832" s="1">
        <v>23.0</v>
      </c>
      <c r="I832" s="1">
        <v>0.0</v>
      </c>
      <c r="J832" s="1">
        <v>2.0</v>
      </c>
      <c r="K832" s="1">
        <v>2.0</v>
      </c>
      <c r="L832" s="1">
        <v>15.0</v>
      </c>
      <c r="M832" s="1">
        <v>0.0</v>
      </c>
      <c r="N832" s="1">
        <v>0.0</v>
      </c>
      <c r="O832" s="1">
        <v>0.0</v>
      </c>
      <c r="P832" s="1">
        <v>0.0</v>
      </c>
      <c r="Q832" s="1">
        <v>29.0</v>
      </c>
      <c r="R832" s="1">
        <v>7.0</v>
      </c>
    </row>
    <row r="833">
      <c r="A833" s="1">
        <f t="shared" si="1"/>
        <v>831</v>
      </c>
      <c r="B833" s="1" t="s">
        <v>1897</v>
      </c>
      <c r="C833" s="1">
        <f t="shared" si="2"/>
        <v>831</v>
      </c>
      <c r="D833" s="1" t="s">
        <v>1080</v>
      </c>
      <c r="E833" s="1" t="s">
        <v>5</v>
      </c>
      <c r="F833" s="11">
        <f t="shared" si="3"/>
        <v>24</v>
      </c>
      <c r="G833" s="11">
        <f t="shared" si="4"/>
        <v>4</v>
      </c>
      <c r="H833" s="1">
        <v>6.0</v>
      </c>
      <c r="S833" s="1">
        <v>1.0</v>
      </c>
      <c r="T833" s="1">
        <v>21.0</v>
      </c>
      <c r="U833" s="1">
        <v>175.0</v>
      </c>
      <c r="V833" s="1">
        <v>0.0</v>
      </c>
    </row>
    <row r="834">
      <c r="A834" s="1">
        <f t="shared" si="1"/>
        <v>831</v>
      </c>
      <c r="B834" s="1" t="s">
        <v>1884</v>
      </c>
      <c r="C834" s="1">
        <f t="shared" si="2"/>
        <v>831</v>
      </c>
      <c r="D834" s="1" t="s">
        <v>1034</v>
      </c>
      <c r="E834" s="1" t="s">
        <v>36</v>
      </c>
      <c r="F834" s="11">
        <f t="shared" si="3"/>
        <v>24</v>
      </c>
      <c r="G834" s="11">
        <f t="shared" si="4"/>
        <v>1.263157895</v>
      </c>
      <c r="H834" s="1">
        <v>19.0</v>
      </c>
      <c r="I834" s="1">
        <v>1.0</v>
      </c>
      <c r="J834" s="1">
        <v>0.0</v>
      </c>
      <c r="K834" s="1">
        <v>1.0</v>
      </c>
      <c r="L834" s="1">
        <v>17.0</v>
      </c>
      <c r="M834" s="1">
        <v>0.0</v>
      </c>
      <c r="N834" s="1">
        <v>0.0</v>
      </c>
      <c r="O834" s="1">
        <v>0.0</v>
      </c>
      <c r="P834" s="1">
        <v>0.0</v>
      </c>
      <c r="Q834" s="1">
        <v>32.0</v>
      </c>
      <c r="R834" s="1">
        <v>6.0</v>
      </c>
    </row>
    <row r="835">
      <c r="A835" s="1">
        <f t="shared" si="1"/>
        <v>833</v>
      </c>
      <c r="B835" s="1" t="s">
        <v>1893</v>
      </c>
      <c r="C835" s="1">
        <f t="shared" si="2"/>
        <v>833</v>
      </c>
      <c r="D835" s="1" t="s">
        <v>1042</v>
      </c>
      <c r="E835" s="1" t="s">
        <v>66</v>
      </c>
      <c r="F835" s="11">
        <f t="shared" si="3"/>
        <v>23</v>
      </c>
      <c r="G835" s="11">
        <f t="shared" si="4"/>
        <v>2.555555556</v>
      </c>
      <c r="H835" s="1">
        <v>9.0</v>
      </c>
      <c r="I835" s="1">
        <v>0.0</v>
      </c>
      <c r="J835" s="1">
        <v>3.0</v>
      </c>
      <c r="K835" s="1">
        <v>3.0</v>
      </c>
      <c r="L835" s="1">
        <v>8.0</v>
      </c>
      <c r="M835" s="1">
        <v>0.0</v>
      </c>
      <c r="N835" s="1">
        <v>0.0</v>
      </c>
      <c r="O835" s="1">
        <v>0.0</v>
      </c>
      <c r="P835" s="1">
        <v>0.0</v>
      </c>
      <c r="Q835" s="1">
        <v>20.0</v>
      </c>
      <c r="R835" s="1">
        <v>10.0</v>
      </c>
    </row>
    <row r="836">
      <c r="A836" s="1">
        <f t="shared" si="1"/>
        <v>833</v>
      </c>
      <c r="B836" s="1" t="s">
        <v>1890</v>
      </c>
      <c r="C836" s="1">
        <f t="shared" si="2"/>
        <v>833</v>
      </c>
      <c r="D836" s="1" t="s">
        <v>1052</v>
      </c>
      <c r="E836" s="1" t="s">
        <v>66</v>
      </c>
      <c r="F836" s="11">
        <f t="shared" si="3"/>
        <v>23</v>
      </c>
      <c r="G836" s="11">
        <f t="shared" si="4"/>
        <v>1.642857143</v>
      </c>
      <c r="H836" s="1">
        <v>14.0</v>
      </c>
      <c r="I836" s="1">
        <v>0.0</v>
      </c>
      <c r="J836" s="1">
        <v>1.0</v>
      </c>
      <c r="K836" s="1">
        <v>1.0</v>
      </c>
      <c r="L836" s="1">
        <v>11.0</v>
      </c>
      <c r="M836" s="1">
        <v>0.0</v>
      </c>
      <c r="N836" s="1">
        <v>0.0</v>
      </c>
      <c r="O836" s="1">
        <v>0.0</v>
      </c>
      <c r="P836" s="1">
        <v>0.0</v>
      </c>
      <c r="Q836" s="1">
        <v>30.0</v>
      </c>
      <c r="R836" s="1">
        <v>14.0</v>
      </c>
    </row>
    <row r="837">
      <c r="A837" s="1">
        <f t="shared" si="1"/>
        <v>835</v>
      </c>
      <c r="B837" s="1" t="s">
        <v>1888</v>
      </c>
      <c r="C837" s="1">
        <f t="shared" si="2"/>
        <v>835</v>
      </c>
      <c r="D837" s="1" t="s">
        <v>1156</v>
      </c>
      <c r="E837" s="1" t="s">
        <v>36</v>
      </c>
      <c r="F837" s="11">
        <f t="shared" si="3"/>
        <v>22.75</v>
      </c>
      <c r="G837" s="11">
        <f t="shared" si="4"/>
        <v>1.625</v>
      </c>
      <c r="H837" s="1">
        <v>14.0</v>
      </c>
      <c r="I837" s="1">
        <v>1.0</v>
      </c>
      <c r="J837" s="1">
        <v>1.0</v>
      </c>
      <c r="K837" s="1">
        <v>2.0</v>
      </c>
      <c r="L837" s="1">
        <v>10.0</v>
      </c>
      <c r="M837" s="1">
        <v>0.0</v>
      </c>
      <c r="N837" s="1">
        <v>0.0</v>
      </c>
      <c r="O837" s="1">
        <v>0.0</v>
      </c>
      <c r="P837" s="1">
        <v>0.0</v>
      </c>
      <c r="Q837" s="1">
        <v>37.0</v>
      </c>
      <c r="R837" s="1">
        <v>2.0</v>
      </c>
    </row>
    <row r="838">
      <c r="A838" s="1">
        <f t="shared" si="1"/>
        <v>836</v>
      </c>
      <c r="B838" s="1" t="s">
        <v>1894</v>
      </c>
      <c r="C838" s="1">
        <f t="shared" si="2"/>
        <v>836</v>
      </c>
      <c r="D838" s="1" t="s">
        <v>1038</v>
      </c>
      <c r="E838" s="1" t="s">
        <v>31</v>
      </c>
      <c r="F838" s="11">
        <f t="shared" si="3"/>
        <v>22.25</v>
      </c>
      <c r="G838" s="11">
        <f t="shared" si="4"/>
        <v>2.472222222</v>
      </c>
      <c r="H838" s="1">
        <v>9.0</v>
      </c>
      <c r="I838" s="1">
        <v>1.0</v>
      </c>
      <c r="J838" s="1">
        <v>2.0</v>
      </c>
      <c r="K838" s="1">
        <v>3.0</v>
      </c>
      <c r="L838" s="1">
        <v>6.0</v>
      </c>
      <c r="M838" s="1">
        <v>0.0</v>
      </c>
      <c r="N838" s="1">
        <v>0.0</v>
      </c>
      <c r="O838" s="1">
        <v>0.0</v>
      </c>
      <c r="P838" s="1">
        <v>0.0</v>
      </c>
      <c r="Q838" s="1">
        <v>25.0</v>
      </c>
      <c r="R838" s="1">
        <v>5.0</v>
      </c>
    </row>
    <row r="839">
      <c r="A839" s="1">
        <f t="shared" si="1"/>
        <v>836</v>
      </c>
      <c r="B839" s="1" t="s">
        <v>1896</v>
      </c>
      <c r="C839" s="1">
        <f t="shared" si="2"/>
        <v>836</v>
      </c>
      <c r="D839" s="1" t="s">
        <v>1156</v>
      </c>
      <c r="E839" s="1" t="s">
        <v>66</v>
      </c>
      <c r="F839" s="11">
        <f t="shared" si="3"/>
        <v>22.25</v>
      </c>
      <c r="G839" s="11">
        <f t="shared" si="4"/>
        <v>1.854166667</v>
      </c>
      <c r="H839" s="1">
        <v>12.0</v>
      </c>
      <c r="I839" s="1">
        <v>1.0</v>
      </c>
      <c r="J839" s="1">
        <v>0.0</v>
      </c>
      <c r="K839" s="1">
        <v>1.0</v>
      </c>
      <c r="L839" s="1">
        <v>10.0</v>
      </c>
      <c r="M839" s="1">
        <v>0.0</v>
      </c>
      <c r="N839" s="1">
        <v>0.0</v>
      </c>
      <c r="O839" s="1">
        <v>0.0</v>
      </c>
      <c r="P839" s="1">
        <v>0.0</v>
      </c>
      <c r="Q839" s="1">
        <v>21.0</v>
      </c>
      <c r="R839" s="1">
        <v>15.0</v>
      </c>
    </row>
    <row r="840">
      <c r="A840" s="1">
        <f t="shared" si="1"/>
        <v>838</v>
      </c>
      <c r="B840" s="1" t="s">
        <v>1900</v>
      </c>
      <c r="C840" s="1">
        <f t="shared" si="2"/>
        <v>838</v>
      </c>
      <c r="D840" s="1" t="s">
        <v>1034</v>
      </c>
      <c r="E840" s="1" t="s">
        <v>66</v>
      </c>
      <c r="F840" s="11">
        <f t="shared" si="3"/>
        <v>22</v>
      </c>
      <c r="G840" s="11">
        <f t="shared" si="4"/>
        <v>1.692307692</v>
      </c>
      <c r="H840" s="1">
        <v>13.0</v>
      </c>
      <c r="I840" s="1">
        <v>0.0</v>
      </c>
      <c r="J840" s="1">
        <v>2.0</v>
      </c>
      <c r="K840" s="1">
        <v>2.0</v>
      </c>
      <c r="L840" s="1">
        <v>13.0</v>
      </c>
      <c r="M840" s="1">
        <v>0.0</v>
      </c>
      <c r="N840" s="1">
        <v>0.0</v>
      </c>
      <c r="O840" s="1">
        <v>0.0</v>
      </c>
      <c r="P840" s="1">
        <v>0.0</v>
      </c>
      <c r="Q840" s="1">
        <v>16.0</v>
      </c>
      <c r="R840" s="1">
        <v>11.0</v>
      </c>
    </row>
    <row r="841">
      <c r="A841" s="1">
        <f t="shared" si="1"/>
        <v>839</v>
      </c>
      <c r="B841" s="1" t="s">
        <v>1904</v>
      </c>
      <c r="C841" s="1">
        <f t="shared" si="2"/>
        <v>839</v>
      </c>
      <c r="D841" s="1" t="s">
        <v>1080</v>
      </c>
      <c r="E841" s="1" t="s">
        <v>28</v>
      </c>
      <c r="F841" s="11">
        <f t="shared" si="3"/>
        <v>21.5</v>
      </c>
      <c r="G841" s="11">
        <f t="shared" si="4"/>
        <v>2.388888889</v>
      </c>
      <c r="H841" s="1">
        <v>9.0</v>
      </c>
      <c r="I841" s="1">
        <v>2.0</v>
      </c>
      <c r="J841" s="1">
        <v>1.0</v>
      </c>
      <c r="K841" s="1">
        <v>3.0</v>
      </c>
      <c r="L841" s="1">
        <v>16.0</v>
      </c>
      <c r="M841" s="1">
        <v>1.0</v>
      </c>
      <c r="N841" s="1">
        <v>0.0</v>
      </c>
      <c r="O841" s="1">
        <v>0.0</v>
      </c>
      <c r="P841" s="1">
        <v>0.0</v>
      </c>
      <c r="Q841" s="1">
        <v>0.0</v>
      </c>
      <c r="R841" s="1">
        <v>3.0</v>
      </c>
    </row>
    <row r="842">
      <c r="A842" s="1">
        <f t="shared" si="1"/>
        <v>839</v>
      </c>
      <c r="B842" s="1" t="s">
        <v>1902</v>
      </c>
      <c r="C842" s="1">
        <f t="shared" si="2"/>
        <v>839</v>
      </c>
      <c r="D842" s="1" t="s">
        <v>1076</v>
      </c>
      <c r="E842" s="1" t="s">
        <v>66</v>
      </c>
      <c r="F842" s="11">
        <f t="shared" si="3"/>
        <v>21.5</v>
      </c>
      <c r="G842" s="11">
        <f t="shared" si="4"/>
        <v>1.791666667</v>
      </c>
      <c r="H842" s="1">
        <v>12.0</v>
      </c>
      <c r="I842" s="1">
        <v>0.0</v>
      </c>
      <c r="J842" s="1">
        <v>2.0</v>
      </c>
      <c r="K842" s="1">
        <v>2.0</v>
      </c>
      <c r="L842" s="1">
        <v>12.0</v>
      </c>
      <c r="M842" s="1">
        <v>0.0</v>
      </c>
      <c r="N842" s="1">
        <v>0.0</v>
      </c>
      <c r="O842" s="1">
        <v>0.0</v>
      </c>
      <c r="P842" s="1">
        <v>0.0</v>
      </c>
      <c r="Q842" s="1">
        <v>14.0</v>
      </c>
      <c r="R842" s="1">
        <v>12.0</v>
      </c>
    </row>
    <row r="843">
      <c r="A843" s="1">
        <f t="shared" si="1"/>
        <v>841</v>
      </c>
      <c r="B843" s="1" t="s">
        <v>1898</v>
      </c>
      <c r="C843" s="1">
        <f t="shared" si="2"/>
        <v>841</v>
      </c>
      <c r="D843" s="1" t="s">
        <v>1040</v>
      </c>
      <c r="E843" s="1" t="s">
        <v>31</v>
      </c>
      <c r="F843" s="11">
        <f t="shared" si="3"/>
        <v>21</v>
      </c>
      <c r="G843" s="11">
        <f t="shared" si="4"/>
        <v>1.909090909</v>
      </c>
      <c r="H843" s="1">
        <v>11.0</v>
      </c>
      <c r="I843" s="1">
        <v>2.0</v>
      </c>
      <c r="J843" s="1">
        <v>0.0</v>
      </c>
      <c r="K843" s="1">
        <v>2.0</v>
      </c>
      <c r="L843" s="1">
        <v>7.0</v>
      </c>
      <c r="M843" s="1">
        <v>0.0</v>
      </c>
      <c r="N843" s="1">
        <v>0.0</v>
      </c>
      <c r="O843" s="1">
        <v>0.0</v>
      </c>
      <c r="P843" s="1">
        <v>0.0</v>
      </c>
      <c r="Q843" s="1">
        <v>30.0</v>
      </c>
      <c r="R843" s="1">
        <v>2.0</v>
      </c>
    </row>
    <row r="844">
      <c r="A844" s="1">
        <f t="shared" si="1"/>
        <v>841</v>
      </c>
      <c r="B844" s="1" t="s">
        <v>1901</v>
      </c>
      <c r="C844" s="1">
        <f t="shared" si="2"/>
        <v>841</v>
      </c>
      <c r="D844" s="1" t="s">
        <v>1080</v>
      </c>
      <c r="E844" s="1" t="s">
        <v>31</v>
      </c>
      <c r="F844" s="11">
        <f t="shared" si="3"/>
        <v>21</v>
      </c>
      <c r="G844" s="11">
        <f t="shared" si="4"/>
        <v>1.3125</v>
      </c>
      <c r="H844" s="1">
        <v>16.0</v>
      </c>
      <c r="I844" s="1">
        <v>0.0</v>
      </c>
      <c r="J844" s="1">
        <v>1.0</v>
      </c>
      <c r="K844" s="1">
        <v>1.0</v>
      </c>
      <c r="L844" s="1">
        <v>17.0</v>
      </c>
      <c r="M844" s="1">
        <v>0.0</v>
      </c>
      <c r="N844" s="1">
        <v>0.0</v>
      </c>
      <c r="O844" s="1">
        <v>0.0</v>
      </c>
      <c r="P844" s="1">
        <v>0.0</v>
      </c>
      <c r="Q844" s="1">
        <v>22.0</v>
      </c>
      <c r="R844" s="1">
        <v>8.0</v>
      </c>
    </row>
    <row r="845">
      <c r="A845" s="1">
        <f t="shared" si="1"/>
        <v>843</v>
      </c>
      <c r="B845" s="1" t="s">
        <v>1905</v>
      </c>
      <c r="C845" s="1">
        <f t="shared" si="2"/>
        <v>843</v>
      </c>
      <c r="D845" s="1" t="s">
        <v>1065</v>
      </c>
      <c r="E845" s="1" t="s">
        <v>66</v>
      </c>
      <c r="F845" s="11">
        <f t="shared" si="3"/>
        <v>20.25</v>
      </c>
      <c r="G845" s="11">
        <f t="shared" si="4"/>
        <v>2.892857143</v>
      </c>
      <c r="H845" s="1">
        <v>7.0</v>
      </c>
      <c r="I845" s="1">
        <v>1.0</v>
      </c>
      <c r="J845" s="1">
        <v>2.0</v>
      </c>
      <c r="K845" s="1">
        <v>3.0</v>
      </c>
      <c r="L845" s="1">
        <v>11.0</v>
      </c>
      <c r="M845" s="1">
        <v>0.0</v>
      </c>
      <c r="N845" s="1">
        <v>0.0</v>
      </c>
      <c r="O845" s="1">
        <v>0.0</v>
      </c>
      <c r="P845" s="1">
        <v>0.0</v>
      </c>
      <c r="Q845" s="1">
        <v>9.0</v>
      </c>
      <c r="R845" s="1">
        <v>4.0</v>
      </c>
    </row>
    <row r="846">
      <c r="A846" s="1">
        <f t="shared" si="1"/>
        <v>843</v>
      </c>
      <c r="B846" s="1" t="s">
        <v>1899</v>
      </c>
      <c r="C846" s="1">
        <f t="shared" si="2"/>
        <v>843</v>
      </c>
      <c r="D846" s="1" t="s">
        <v>1052</v>
      </c>
      <c r="E846" s="1" t="s">
        <v>28</v>
      </c>
      <c r="F846" s="11">
        <f t="shared" si="3"/>
        <v>20.25</v>
      </c>
      <c r="G846" s="11">
        <f t="shared" si="4"/>
        <v>1.557692308</v>
      </c>
      <c r="H846" s="1">
        <v>13.0</v>
      </c>
      <c r="I846" s="1">
        <v>1.0</v>
      </c>
      <c r="J846" s="1">
        <v>0.0</v>
      </c>
      <c r="K846" s="1">
        <v>1.0</v>
      </c>
      <c r="L846" s="1">
        <v>9.0</v>
      </c>
      <c r="M846" s="1">
        <v>0.0</v>
      </c>
      <c r="N846" s="1">
        <v>0.0</v>
      </c>
      <c r="O846" s="1">
        <v>0.0</v>
      </c>
      <c r="P846" s="1">
        <v>0.0</v>
      </c>
      <c r="Q846" s="1">
        <v>35.0</v>
      </c>
      <c r="R846" s="1">
        <v>5.0</v>
      </c>
    </row>
    <row r="847">
      <c r="A847" s="1">
        <f t="shared" si="1"/>
        <v>845</v>
      </c>
      <c r="B847" s="1" t="s">
        <v>1907</v>
      </c>
      <c r="C847" s="1">
        <f t="shared" si="2"/>
        <v>845</v>
      </c>
      <c r="D847" s="1" t="s">
        <v>1111</v>
      </c>
      <c r="E847" s="1" t="s">
        <v>66</v>
      </c>
      <c r="F847" s="11">
        <f t="shared" si="3"/>
        <v>20</v>
      </c>
      <c r="G847" s="11">
        <f t="shared" si="4"/>
        <v>4</v>
      </c>
      <c r="H847" s="1">
        <v>5.0</v>
      </c>
      <c r="I847" s="1">
        <v>1.0</v>
      </c>
      <c r="J847" s="1">
        <v>3.0</v>
      </c>
      <c r="K847" s="1">
        <v>4.0</v>
      </c>
      <c r="L847" s="1">
        <v>5.0</v>
      </c>
      <c r="M847" s="1">
        <v>0.0</v>
      </c>
      <c r="N847" s="1">
        <v>0.0</v>
      </c>
      <c r="O847" s="1">
        <v>0.0</v>
      </c>
      <c r="P847" s="1">
        <v>0.0</v>
      </c>
      <c r="Q847" s="1">
        <v>4.0</v>
      </c>
      <c r="R847" s="1">
        <v>6.0</v>
      </c>
    </row>
    <row r="848">
      <c r="A848" s="1">
        <f t="shared" si="1"/>
        <v>846</v>
      </c>
      <c r="B848" s="1" t="s">
        <v>1909</v>
      </c>
      <c r="C848" s="1">
        <f t="shared" si="2"/>
        <v>846</v>
      </c>
      <c r="D848" s="1" t="s">
        <v>1082</v>
      </c>
      <c r="E848" s="1" t="s">
        <v>5</v>
      </c>
      <c r="F848" s="11">
        <f t="shared" si="3"/>
        <v>19.5</v>
      </c>
      <c r="G848" s="11">
        <f t="shared" si="4"/>
        <v>4.875</v>
      </c>
      <c r="H848" s="1">
        <v>4.0</v>
      </c>
      <c r="S848" s="1">
        <v>2.0</v>
      </c>
      <c r="T848" s="1">
        <v>13.0</v>
      </c>
      <c r="U848" s="1">
        <v>110.0</v>
      </c>
      <c r="V848" s="1">
        <v>0.0</v>
      </c>
    </row>
    <row r="849">
      <c r="A849" s="1">
        <f t="shared" si="1"/>
        <v>846</v>
      </c>
      <c r="B849" s="1" t="s">
        <v>1906</v>
      </c>
      <c r="C849" s="1">
        <f t="shared" si="2"/>
        <v>846</v>
      </c>
      <c r="D849" s="1" t="s">
        <v>1156</v>
      </c>
      <c r="E849" s="1" t="s">
        <v>66</v>
      </c>
      <c r="F849" s="11">
        <f t="shared" si="3"/>
        <v>19.5</v>
      </c>
      <c r="G849" s="11">
        <f t="shared" si="4"/>
        <v>1.625</v>
      </c>
      <c r="H849" s="1">
        <v>12.0</v>
      </c>
      <c r="I849" s="1">
        <v>0.0</v>
      </c>
      <c r="J849" s="1">
        <v>2.0</v>
      </c>
      <c r="K849" s="1">
        <v>2.0</v>
      </c>
      <c r="L849" s="1">
        <v>7.0</v>
      </c>
      <c r="M849" s="1">
        <v>0.0</v>
      </c>
      <c r="N849" s="1">
        <v>0.0</v>
      </c>
      <c r="O849" s="1">
        <v>0.0</v>
      </c>
      <c r="P849" s="1">
        <v>0.0</v>
      </c>
      <c r="Q849" s="1">
        <v>10.0</v>
      </c>
      <c r="R849" s="1">
        <v>15.0</v>
      </c>
    </row>
    <row r="850">
      <c r="A850" s="1">
        <f t="shared" si="1"/>
        <v>846</v>
      </c>
      <c r="B850" s="1" t="s">
        <v>1903</v>
      </c>
      <c r="C850" s="1">
        <f t="shared" si="2"/>
        <v>846</v>
      </c>
      <c r="D850" s="1" t="s">
        <v>1097</v>
      </c>
      <c r="E850" s="1" t="s">
        <v>31</v>
      </c>
      <c r="F850" s="11">
        <f t="shared" si="3"/>
        <v>19.5</v>
      </c>
      <c r="G850" s="11">
        <f t="shared" si="4"/>
        <v>0.6964285714</v>
      </c>
      <c r="H850" s="1">
        <v>28.0</v>
      </c>
      <c r="I850" s="1">
        <v>0.0</v>
      </c>
      <c r="J850" s="1">
        <v>0.0</v>
      </c>
      <c r="K850" s="1">
        <v>0.0</v>
      </c>
      <c r="L850" s="1">
        <v>16.0</v>
      </c>
      <c r="M850" s="1">
        <v>0.0</v>
      </c>
      <c r="N850" s="1">
        <v>0.0</v>
      </c>
      <c r="O850" s="1">
        <v>0.0</v>
      </c>
      <c r="P850" s="1">
        <v>0.0</v>
      </c>
      <c r="Q850" s="1">
        <v>22.0</v>
      </c>
      <c r="R850" s="1">
        <v>12.0</v>
      </c>
    </row>
    <row r="851">
      <c r="A851" s="1">
        <f t="shared" si="1"/>
        <v>849</v>
      </c>
      <c r="B851" s="1" t="s">
        <v>1908</v>
      </c>
      <c r="C851" s="1">
        <f t="shared" si="2"/>
        <v>849</v>
      </c>
      <c r="D851" s="1" t="s">
        <v>1069</v>
      </c>
      <c r="E851" s="1" t="s">
        <v>28</v>
      </c>
      <c r="F851" s="11">
        <f t="shared" si="3"/>
        <v>19</v>
      </c>
      <c r="G851" s="11">
        <f t="shared" si="4"/>
        <v>1.461538462</v>
      </c>
      <c r="H851" s="1">
        <v>13.0</v>
      </c>
      <c r="I851" s="1">
        <v>1.0</v>
      </c>
      <c r="J851" s="1">
        <v>2.0</v>
      </c>
      <c r="K851" s="1">
        <v>3.0</v>
      </c>
      <c r="L851" s="1">
        <v>9.0</v>
      </c>
      <c r="M851" s="1">
        <v>0.0</v>
      </c>
      <c r="N851" s="1">
        <v>0.0</v>
      </c>
      <c r="O851" s="1">
        <v>0.0</v>
      </c>
      <c r="P851" s="1">
        <v>0.0</v>
      </c>
      <c r="Q851" s="1">
        <v>10.0</v>
      </c>
      <c r="R851" s="1">
        <v>3.0</v>
      </c>
    </row>
    <row r="852">
      <c r="A852" s="1">
        <f t="shared" si="1"/>
        <v>850</v>
      </c>
      <c r="B852" s="1" t="s">
        <v>1913</v>
      </c>
      <c r="C852" s="1">
        <f t="shared" si="2"/>
        <v>850</v>
      </c>
      <c r="D852" s="1" t="s">
        <v>1054</v>
      </c>
      <c r="E852" s="1" t="s">
        <v>5</v>
      </c>
      <c r="F852" s="11">
        <f t="shared" si="3"/>
        <v>18.9</v>
      </c>
      <c r="G852" s="11">
        <f t="shared" si="4"/>
        <v>6.3</v>
      </c>
      <c r="H852" s="1">
        <v>3.0</v>
      </c>
      <c r="S852" s="1">
        <v>2.0</v>
      </c>
      <c r="T852" s="1">
        <v>9.0</v>
      </c>
      <c r="U852" s="1">
        <v>78.0</v>
      </c>
      <c r="V852" s="1">
        <v>1.0</v>
      </c>
    </row>
    <row r="853">
      <c r="A853" s="1">
        <f t="shared" si="1"/>
        <v>851</v>
      </c>
      <c r="B853" s="1" t="s">
        <v>1910</v>
      </c>
      <c r="C853" s="1">
        <f t="shared" si="2"/>
        <v>851</v>
      </c>
      <c r="D853" s="1" t="s">
        <v>1038</v>
      </c>
      <c r="E853" s="1" t="s">
        <v>66</v>
      </c>
      <c r="F853" s="11">
        <f t="shared" si="3"/>
        <v>18.75</v>
      </c>
      <c r="G853" s="11">
        <f t="shared" si="4"/>
        <v>1.442307692</v>
      </c>
      <c r="H853" s="1">
        <v>13.0</v>
      </c>
      <c r="I853" s="1">
        <v>0.0</v>
      </c>
      <c r="J853" s="1">
        <v>2.0</v>
      </c>
      <c r="K853" s="1">
        <v>2.0</v>
      </c>
      <c r="L853" s="1">
        <v>11.0</v>
      </c>
      <c r="M853" s="1">
        <v>0.0</v>
      </c>
      <c r="N853" s="1">
        <v>0.0</v>
      </c>
      <c r="O853" s="1">
        <v>0.0</v>
      </c>
      <c r="P853" s="1">
        <v>0.0</v>
      </c>
      <c r="Q853" s="1">
        <v>3.0</v>
      </c>
      <c r="R853" s="1">
        <v>13.0</v>
      </c>
    </row>
    <row r="854">
      <c r="A854" s="1">
        <f t="shared" si="1"/>
        <v>852</v>
      </c>
      <c r="B854" s="1" t="s">
        <v>1914</v>
      </c>
      <c r="C854" s="1">
        <f t="shared" si="2"/>
        <v>852</v>
      </c>
      <c r="D854" s="1" t="s">
        <v>1175</v>
      </c>
      <c r="E854" s="1" t="s">
        <v>5</v>
      </c>
      <c r="F854" s="11">
        <f t="shared" si="3"/>
        <v>18.6</v>
      </c>
      <c r="G854" s="11">
        <f t="shared" si="4"/>
        <v>3.1</v>
      </c>
      <c r="H854" s="1">
        <v>6.0</v>
      </c>
      <c r="S854" s="1">
        <v>2.0</v>
      </c>
      <c r="T854" s="1">
        <v>25.0</v>
      </c>
      <c r="U854" s="1">
        <v>167.0</v>
      </c>
      <c r="V854" s="1">
        <v>0.0</v>
      </c>
    </row>
    <row r="855">
      <c r="A855" s="1">
        <f t="shared" si="1"/>
        <v>853</v>
      </c>
      <c r="B855" s="1" t="s">
        <v>1911</v>
      </c>
      <c r="C855" s="1">
        <f t="shared" si="2"/>
        <v>853</v>
      </c>
      <c r="D855" s="1" t="s">
        <v>1175</v>
      </c>
      <c r="E855" s="1" t="s">
        <v>66</v>
      </c>
      <c r="F855" s="11">
        <f t="shared" si="3"/>
        <v>17.75</v>
      </c>
      <c r="G855" s="11">
        <f t="shared" si="4"/>
        <v>1.775</v>
      </c>
      <c r="H855" s="1">
        <v>10.0</v>
      </c>
      <c r="I855" s="1">
        <v>0.0</v>
      </c>
      <c r="J855" s="1">
        <v>1.0</v>
      </c>
      <c r="K855" s="1">
        <v>1.0</v>
      </c>
      <c r="L855" s="1">
        <v>6.0</v>
      </c>
      <c r="M855" s="1">
        <v>0.0</v>
      </c>
      <c r="N855" s="1">
        <v>0.0</v>
      </c>
      <c r="O855" s="1">
        <v>0.0</v>
      </c>
      <c r="P855" s="1">
        <v>0.0</v>
      </c>
      <c r="Q855" s="1">
        <v>13.0</v>
      </c>
      <c r="R855" s="1">
        <v>17.0</v>
      </c>
    </row>
    <row r="856">
      <c r="A856" s="1">
        <f t="shared" si="1"/>
        <v>854</v>
      </c>
      <c r="B856" s="1" t="s">
        <v>1916</v>
      </c>
      <c r="C856" s="1">
        <f t="shared" si="2"/>
        <v>854</v>
      </c>
      <c r="D856" s="1" t="s">
        <v>1054</v>
      </c>
      <c r="E856" s="1" t="s">
        <v>66</v>
      </c>
      <c r="F856" s="11">
        <f t="shared" si="3"/>
        <v>17</v>
      </c>
      <c r="G856" s="11">
        <f t="shared" si="4"/>
        <v>1.416666667</v>
      </c>
      <c r="H856" s="1">
        <v>12.0</v>
      </c>
      <c r="I856" s="1">
        <v>0.0</v>
      </c>
      <c r="J856" s="1">
        <v>1.0</v>
      </c>
      <c r="K856" s="1">
        <v>1.0</v>
      </c>
      <c r="L856" s="1">
        <v>7.0</v>
      </c>
      <c r="M856" s="1">
        <v>0.0</v>
      </c>
      <c r="N856" s="1">
        <v>0.0</v>
      </c>
      <c r="O856" s="1">
        <v>0.0</v>
      </c>
      <c r="P856" s="1">
        <v>0.0</v>
      </c>
      <c r="Q856" s="1">
        <v>8.0</v>
      </c>
      <c r="R856" s="1">
        <v>17.0</v>
      </c>
    </row>
    <row r="857">
      <c r="A857" s="1">
        <f t="shared" si="1"/>
        <v>855</v>
      </c>
      <c r="B857" s="1" t="s">
        <v>1912</v>
      </c>
      <c r="C857" s="1">
        <f t="shared" si="2"/>
        <v>855</v>
      </c>
      <c r="D857" s="1" t="s">
        <v>1034</v>
      </c>
      <c r="E857" s="1" t="s">
        <v>28</v>
      </c>
      <c r="F857" s="11">
        <f t="shared" si="3"/>
        <v>16.75</v>
      </c>
      <c r="G857" s="11">
        <f t="shared" si="4"/>
        <v>1.861111111</v>
      </c>
      <c r="H857" s="1">
        <v>9.0</v>
      </c>
      <c r="I857" s="1">
        <v>0.0</v>
      </c>
      <c r="J857" s="1">
        <v>2.0</v>
      </c>
      <c r="K857" s="1">
        <v>2.0</v>
      </c>
      <c r="L857" s="1">
        <v>9.0</v>
      </c>
      <c r="M857" s="1">
        <v>0.0</v>
      </c>
      <c r="N857" s="1">
        <v>0.0</v>
      </c>
      <c r="O857" s="1">
        <v>0.0</v>
      </c>
      <c r="P857" s="1">
        <v>0.0</v>
      </c>
      <c r="Q857" s="1">
        <v>23.0</v>
      </c>
      <c r="R857" s="1">
        <v>1.0</v>
      </c>
    </row>
    <row r="858">
      <c r="A858" s="1">
        <f t="shared" si="1"/>
        <v>856</v>
      </c>
      <c r="B858" s="1" t="s">
        <v>1915</v>
      </c>
      <c r="C858" s="1">
        <f t="shared" si="2"/>
        <v>856</v>
      </c>
      <c r="D858" s="1" t="s">
        <v>1091</v>
      </c>
      <c r="E858" s="1" t="s">
        <v>66</v>
      </c>
      <c r="F858" s="11">
        <f t="shared" si="3"/>
        <v>16.5</v>
      </c>
      <c r="G858" s="11">
        <f t="shared" si="4"/>
        <v>1.833333333</v>
      </c>
      <c r="H858" s="1">
        <v>9.0</v>
      </c>
      <c r="I858" s="1">
        <v>1.0</v>
      </c>
      <c r="J858" s="1">
        <v>0.0</v>
      </c>
      <c r="K858" s="1">
        <v>1.0</v>
      </c>
      <c r="L858" s="1">
        <v>6.0</v>
      </c>
      <c r="M858" s="1">
        <v>0.0</v>
      </c>
      <c r="N858" s="1">
        <v>0.0</v>
      </c>
      <c r="O858" s="1">
        <v>0.0</v>
      </c>
      <c r="P858" s="1">
        <v>0.0</v>
      </c>
      <c r="Q858" s="1">
        <v>18.0</v>
      </c>
      <c r="R858" s="1">
        <v>9.0</v>
      </c>
    </row>
    <row r="859">
      <c r="A859" s="1">
        <f t="shared" si="1"/>
        <v>856</v>
      </c>
      <c r="B859" s="1" t="s">
        <v>1917</v>
      </c>
      <c r="C859" s="1">
        <f t="shared" si="2"/>
        <v>856</v>
      </c>
      <c r="D859" s="1" t="s">
        <v>1042</v>
      </c>
      <c r="E859" s="1" t="s">
        <v>31</v>
      </c>
      <c r="F859" s="11">
        <f t="shared" si="3"/>
        <v>16.5</v>
      </c>
      <c r="G859" s="11">
        <f t="shared" si="4"/>
        <v>1.269230769</v>
      </c>
      <c r="H859" s="1">
        <v>13.0</v>
      </c>
      <c r="I859" s="1">
        <v>0.0</v>
      </c>
      <c r="J859" s="1">
        <v>3.0</v>
      </c>
      <c r="K859" s="1">
        <v>3.0</v>
      </c>
      <c r="L859" s="1">
        <v>7.0</v>
      </c>
      <c r="M859" s="1">
        <v>0.0</v>
      </c>
      <c r="N859" s="1">
        <v>0.0</v>
      </c>
      <c r="O859" s="1">
        <v>0.0</v>
      </c>
      <c r="P859" s="1">
        <v>0.0</v>
      </c>
      <c r="Q859" s="1">
        <v>8.0</v>
      </c>
      <c r="R859" s="1">
        <v>4.0</v>
      </c>
    </row>
    <row r="860">
      <c r="A860" s="1">
        <f t="shared" si="1"/>
        <v>858</v>
      </c>
      <c r="B860" s="1" t="s">
        <v>1920</v>
      </c>
      <c r="C860" s="1">
        <f t="shared" si="2"/>
        <v>858</v>
      </c>
      <c r="D860" s="1" t="s">
        <v>1046</v>
      </c>
      <c r="E860" s="1" t="s">
        <v>5</v>
      </c>
      <c r="F860" s="11">
        <f t="shared" si="3"/>
        <v>16.2</v>
      </c>
      <c r="G860" s="11">
        <f t="shared" si="4"/>
        <v>4.05</v>
      </c>
      <c r="H860" s="1">
        <v>4.0</v>
      </c>
      <c r="S860" s="1">
        <v>3.0</v>
      </c>
      <c r="T860" s="1">
        <v>10.0</v>
      </c>
      <c r="U860" s="1">
        <v>74.0</v>
      </c>
      <c r="V860" s="1">
        <v>0.0</v>
      </c>
    </row>
    <row r="861">
      <c r="A861" s="1">
        <f t="shared" si="1"/>
        <v>859</v>
      </c>
      <c r="B861" s="1" t="s">
        <v>1918</v>
      </c>
      <c r="C861" s="1">
        <f t="shared" si="2"/>
        <v>859</v>
      </c>
      <c r="D861" s="1" t="s">
        <v>1054</v>
      </c>
      <c r="E861" s="1" t="s">
        <v>28</v>
      </c>
      <c r="F861" s="11">
        <f t="shared" si="3"/>
        <v>15.75</v>
      </c>
      <c r="G861" s="11">
        <f t="shared" si="4"/>
        <v>1.431818182</v>
      </c>
      <c r="H861" s="1">
        <v>11.0</v>
      </c>
      <c r="I861" s="1">
        <v>0.0</v>
      </c>
      <c r="J861" s="1">
        <v>2.0</v>
      </c>
      <c r="K861" s="1">
        <v>2.0</v>
      </c>
      <c r="L861" s="1">
        <v>10.0</v>
      </c>
      <c r="M861" s="1">
        <v>0.0</v>
      </c>
      <c r="N861" s="1">
        <v>0.0</v>
      </c>
      <c r="O861" s="1">
        <v>0.0</v>
      </c>
      <c r="P861" s="1">
        <v>0.0</v>
      </c>
      <c r="Q861" s="1">
        <v>13.0</v>
      </c>
      <c r="R861" s="1">
        <v>3.0</v>
      </c>
    </row>
    <row r="862">
      <c r="A862" s="1">
        <f t="shared" si="1"/>
        <v>860</v>
      </c>
      <c r="B862" s="1" t="s">
        <v>1924</v>
      </c>
      <c r="C862" s="1">
        <f t="shared" si="2"/>
        <v>860</v>
      </c>
      <c r="D862" s="1" t="s">
        <v>1175</v>
      </c>
      <c r="E862" s="1" t="s">
        <v>5</v>
      </c>
      <c r="F862" s="11">
        <f t="shared" si="3"/>
        <v>15</v>
      </c>
      <c r="G862" s="11">
        <f t="shared" si="4"/>
        <v>1.666666667</v>
      </c>
      <c r="H862" s="1">
        <v>9.0</v>
      </c>
      <c r="S862" s="1">
        <v>1.0</v>
      </c>
      <c r="T862" s="1">
        <v>37.0</v>
      </c>
      <c r="U862" s="1">
        <v>225.0</v>
      </c>
      <c r="V862" s="1">
        <v>0.0</v>
      </c>
    </row>
    <row r="863">
      <c r="A863" s="1">
        <f t="shared" si="1"/>
        <v>860</v>
      </c>
      <c r="B863" s="1" t="s">
        <v>1921</v>
      </c>
      <c r="C863" s="1">
        <f t="shared" si="2"/>
        <v>860</v>
      </c>
      <c r="D863" s="1" t="s">
        <v>1036</v>
      </c>
      <c r="E863" s="1" t="s">
        <v>66</v>
      </c>
      <c r="F863" s="11">
        <f t="shared" si="3"/>
        <v>15</v>
      </c>
      <c r="G863" s="11">
        <f t="shared" si="4"/>
        <v>1.25</v>
      </c>
      <c r="H863" s="1">
        <v>12.0</v>
      </c>
      <c r="I863" s="1">
        <v>0.0</v>
      </c>
      <c r="J863" s="1">
        <v>2.0</v>
      </c>
      <c r="K863" s="1">
        <v>2.0</v>
      </c>
      <c r="L863" s="1">
        <v>6.0</v>
      </c>
      <c r="M863" s="1">
        <v>0.0</v>
      </c>
      <c r="N863" s="1">
        <v>1.0</v>
      </c>
      <c r="O863" s="1">
        <v>0.0</v>
      </c>
      <c r="P863" s="1">
        <v>0.0</v>
      </c>
      <c r="Q863" s="1">
        <v>4.0</v>
      </c>
      <c r="R863" s="1">
        <v>10.0</v>
      </c>
    </row>
    <row r="864">
      <c r="A864" s="1">
        <f t="shared" si="1"/>
        <v>862</v>
      </c>
      <c r="B864" s="1" t="s">
        <v>1926</v>
      </c>
      <c r="C864" s="1">
        <f t="shared" si="2"/>
        <v>862</v>
      </c>
      <c r="D864" s="1" t="s">
        <v>1175</v>
      </c>
      <c r="E864" s="1" t="s">
        <v>36</v>
      </c>
      <c r="F864" s="11">
        <f t="shared" si="3"/>
        <v>14.25</v>
      </c>
      <c r="G864" s="11">
        <f t="shared" si="4"/>
        <v>2.035714286</v>
      </c>
      <c r="H864" s="1">
        <v>7.0</v>
      </c>
      <c r="I864" s="1">
        <v>0.0</v>
      </c>
      <c r="J864" s="1">
        <v>2.0</v>
      </c>
      <c r="K864" s="1">
        <v>2.0</v>
      </c>
      <c r="L864" s="1">
        <v>7.0</v>
      </c>
      <c r="M864" s="1">
        <v>0.0</v>
      </c>
      <c r="N864" s="1">
        <v>1.0</v>
      </c>
      <c r="O864" s="1">
        <v>0.0</v>
      </c>
      <c r="P864" s="1">
        <v>0.0</v>
      </c>
      <c r="Q864" s="1">
        <v>5.0</v>
      </c>
      <c r="R864" s="1">
        <v>7.0</v>
      </c>
    </row>
    <row r="865">
      <c r="A865" s="1">
        <f t="shared" si="1"/>
        <v>862</v>
      </c>
      <c r="B865" s="1" t="s">
        <v>1919</v>
      </c>
      <c r="C865" s="1">
        <f t="shared" si="2"/>
        <v>862</v>
      </c>
      <c r="D865" s="1" t="s">
        <v>1038</v>
      </c>
      <c r="E865" s="1" t="s">
        <v>31</v>
      </c>
      <c r="F865" s="11">
        <f t="shared" si="3"/>
        <v>14.25</v>
      </c>
      <c r="G865" s="11">
        <f t="shared" si="4"/>
        <v>1.295454545</v>
      </c>
      <c r="H865" s="1">
        <v>11.0</v>
      </c>
      <c r="I865" s="1">
        <v>0.0</v>
      </c>
      <c r="J865" s="1">
        <v>1.0</v>
      </c>
      <c r="K865" s="1">
        <v>1.0</v>
      </c>
      <c r="L865" s="1">
        <v>7.0</v>
      </c>
      <c r="M865" s="1">
        <v>0.0</v>
      </c>
      <c r="N865" s="1">
        <v>0.0</v>
      </c>
      <c r="O865" s="1">
        <v>0.0</v>
      </c>
      <c r="P865" s="1">
        <v>0.0</v>
      </c>
      <c r="Q865" s="1">
        <v>25.0</v>
      </c>
      <c r="R865" s="1">
        <v>3.0</v>
      </c>
    </row>
    <row r="866">
      <c r="A866" s="1">
        <f t="shared" si="1"/>
        <v>864</v>
      </c>
      <c r="B866" s="1" t="s">
        <v>1928</v>
      </c>
      <c r="C866" s="1">
        <f t="shared" si="2"/>
        <v>864</v>
      </c>
      <c r="D866" s="1" t="s">
        <v>1036</v>
      </c>
      <c r="E866" s="1" t="s">
        <v>5</v>
      </c>
      <c r="F866" s="11">
        <f t="shared" si="3"/>
        <v>14.1</v>
      </c>
      <c r="G866" s="11">
        <f t="shared" si="4"/>
        <v>2.82</v>
      </c>
      <c r="H866" s="1">
        <v>5.0</v>
      </c>
      <c r="S866" s="1">
        <v>1.0</v>
      </c>
      <c r="T866" s="1">
        <v>20.0</v>
      </c>
      <c r="U866" s="1">
        <v>137.0</v>
      </c>
      <c r="V866" s="1">
        <v>0.0</v>
      </c>
    </row>
    <row r="867">
      <c r="A867" s="1">
        <f t="shared" si="1"/>
        <v>865</v>
      </c>
      <c r="B867" s="1" t="s">
        <v>1925</v>
      </c>
      <c r="C867" s="1">
        <f t="shared" si="2"/>
        <v>865</v>
      </c>
      <c r="D867" s="1" t="s">
        <v>1030</v>
      </c>
      <c r="E867" s="1" t="s">
        <v>28</v>
      </c>
      <c r="F867" s="11">
        <f t="shared" si="3"/>
        <v>14</v>
      </c>
      <c r="G867" s="11">
        <f t="shared" si="4"/>
        <v>2.8</v>
      </c>
      <c r="H867" s="1">
        <v>5.0</v>
      </c>
      <c r="I867" s="1">
        <v>1.0</v>
      </c>
      <c r="J867" s="1">
        <v>1.0</v>
      </c>
      <c r="K867" s="1">
        <v>2.0</v>
      </c>
      <c r="L867" s="1">
        <v>7.0</v>
      </c>
      <c r="M867" s="1">
        <v>0.0</v>
      </c>
      <c r="N867" s="1">
        <v>0.0</v>
      </c>
      <c r="O867" s="1">
        <v>0.0</v>
      </c>
      <c r="P867" s="1">
        <v>0.0</v>
      </c>
      <c r="Q867" s="1">
        <v>8.0</v>
      </c>
      <c r="R867" s="1">
        <v>2.0</v>
      </c>
    </row>
    <row r="868">
      <c r="A868" s="1">
        <f t="shared" si="1"/>
        <v>866</v>
      </c>
      <c r="B868" s="1" t="s">
        <v>1927</v>
      </c>
      <c r="C868" s="1">
        <f t="shared" si="2"/>
        <v>866</v>
      </c>
      <c r="D868" s="1" t="s">
        <v>1078</v>
      </c>
      <c r="E868" s="1" t="s">
        <v>28</v>
      </c>
      <c r="F868" s="11">
        <f t="shared" si="3"/>
        <v>13.75</v>
      </c>
      <c r="G868" s="11">
        <f t="shared" si="4"/>
        <v>1.71875</v>
      </c>
      <c r="H868" s="1">
        <v>8.0</v>
      </c>
      <c r="I868" s="1">
        <v>1.0</v>
      </c>
      <c r="J868" s="1">
        <v>0.0</v>
      </c>
      <c r="K868" s="1">
        <v>1.0</v>
      </c>
      <c r="L868" s="1">
        <v>13.0</v>
      </c>
      <c r="M868" s="1">
        <v>1.0</v>
      </c>
      <c r="N868" s="1">
        <v>0.0</v>
      </c>
      <c r="O868" s="1">
        <v>0.0</v>
      </c>
      <c r="P868" s="1">
        <v>0.0</v>
      </c>
      <c r="Q868" s="1">
        <v>5.0</v>
      </c>
      <c r="R868" s="1">
        <v>3.0</v>
      </c>
    </row>
    <row r="869">
      <c r="A869" s="1">
        <f t="shared" si="1"/>
        <v>867</v>
      </c>
      <c r="B869" s="1" t="s">
        <v>1932</v>
      </c>
      <c r="C869" s="1">
        <f t="shared" si="2"/>
        <v>867</v>
      </c>
      <c r="D869" s="1" t="s">
        <v>1175</v>
      </c>
      <c r="E869" s="1" t="s">
        <v>36</v>
      </c>
      <c r="F869" s="11">
        <f t="shared" si="3"/>
        <v>13.5</v>
      </c>
      <c r="G869" s="11">
        <f t="shared" si="4"/>
        <v>3.375</v>
      </c>
      <c r="H869" s="1">
        <v>4.0</v>
      </c>
      <c r="I869" s="1">
        <v>1.0</v>
      </c>
      <c r="J869" s="1">
        <v>1.0</v>
      </c>
      <c r="K869" s="1">
        <v>2.0</v>
      </c>
      <c r="L869" s="1">
        <v>4.0</v>
      </c>
      <c r="M869" s="1">
        <v>0.0</v>
      </c>
      <c r="N869" s="1">
        <v>0.0</v>
      </c>
      <c r="O869" s="1">
        <v>0.0</v>
      </c>
      <c r="P869" s="1">
        <v>0.0</v>
      </c>
      <c r="Q869" s="1">
        <v>2.0</v>
      </c>
      <c r="R869" s="1">
        <v>7.0</v>
      </c>
    </row>
    <row r="870">
      <c r="A870" s="1">
        <f t="shared" si="1"/>
        <v>868</v>
      </c>
      <c r="B870" s="1" t="s">
        <v>1922</v>
      </c>
      <c r="C870" s="1">
        <f t="shared" si="2"/>
        <v>868</v>
      </c>
      <c r="D870" s="1" t="s">
        <v>1065</v>
      </c>
      <c r="E870" s="1" t="s">
        <v>66</v>
      </c>
      <c r="F870" s="11">
        <f t="shared" si="3"/>
        <v>13.25</v>
      </c>
      <c r="G870" s="11">
        <f t="shared" si="4"/>
        <v>2.65</v>
      </c>
      <c r="H870" s="1">
        <v>5.0</v>
      </c>
      <c r="I870" s="1">
        <v>0.0</v>
      </c>
      <c r="J870" s="1">
        <v>0.0</v>
      </c>
      <c r="K870" s="1">
        <v>0.0</v>
      </c>
      <c r="L870" s="1">
        <v>6.0</v>
      </c>
      <c r="M870" s="1">
        <v>0.0</v>
      </c>
      <c r="N870" s="1">
        <v>0.0</v>
      </c>
      <c r="O870" s="1">
        <v>0.0</v>
      </c>
      <c r="P870" s="1">
        <v>0.0</v>
      </c>
      <c r="Q870" s="1">
        <v>21.0</v>
      </c>
      <c r="R870" s="1">
        <v>10.0</v>
      </c>
    </row>
    <row r="871">
      <c r="A871" s="1">
        <f t="shared" si="1"/>
        <v>868</v>
      </c>
      <c r="B871" s="1" t="s">
        <v>1923</v>
      </c>
      <c r="C871" s="1">
        <f t="shared" si="2"/>
        <v>868</v>
      </c>
      <c r="D871" s="1" t="s">
        <v>1069</v>
      </c>
      <c r="E871" s="1" t="s">
        <v>36</v>
      </c>
      <c r="F871" s="11">
        <f t="shared" si="3"/>
        <v>13.25</v>
      </c>
      <c r="G871" s="11">
        <f t="shared" si="4"/>
        <v>2.208333333</v>
      </c>
      <c r="H871" s="1">
        <v>6.0</v>
      </c>
      <c r="I871" s="1">
        <v>1.0</v>
      </c>
      <c r="J871" s="1">
        <v>0.0</v>
      </c>
      <c r="K871" s="1">
        <v>1.0</v>
      </c>
      <c r="L871" s="1">
        <v>4.0</v>
      </c>
      <c r="M871" s="1">
        <v>0.0</v>
      </c>
      <c r="N871" s="1">
        <v>0.0</v>
      </c>
      <c r="O871" s="1">
        <v>0.0</v>
      </c>
      <c r="P871" s="1">
        <v>0.0</v>
      </c>
      <c r="Q871" s="1">
        <v>21.0</v>
      </c>
      <c r="R871" s="1">
        <v>3.0</v>
      </c>
    </row>
    <row r="872">
      <c r="A872" s="1">
        <f t="shared" si="1"/>
        <v>868</v>
      </c>
      <c r="B872" s="1" t="s">
        <v>1931</v>
      </c>
      <c r="C872" s="1">
        <f t="shared" si="2"/>
        <v>868</v>
      </c>
      <c r="D872" s="1" t="s">
        <v>1040</v>
      </c>
      <c r="E872" s="1" t="s">
        <v>31</v>
      </c>
      <c r="F872" s="11">
        <f t="shared" si="3"/>
        <v>13.25</v>
      </c>
      <c r="G872" s="11">
        <f t="shared" si="4"/>
        <v>2.208333333</v>
      </c>
      <c r="H872" s="1">
        <v>6.0</v>
      </c>
      <c r="I872" s="1">
        <v>0.0</v>
      </c>
      <c r="J872" s="1">
        <v>2.0</v>
      </c>
      <c r="K872" s="1">
        <v>2.0</v>
      </c>
      <c r="L872" s="1">
        <v>11.0</v>
      </c>
      <c r="M872" s="1">
        <v>0.0</v>
      </c>
      <c r="N872" s="1">
        <v>1.0</v>
      </c>
      <c r="O872" s="1">
        <v>0.0</v>
      </c>
      <c r="P872" s="1">
        <v>0.0</v>
      </c>
      <c r="Q872" s="1">
        <v>5.0</v>
      </c>
      <c r="R872" s="1">
        <v>1.0</v>
      </c>
    </row>
    <row r="873">
      <c r="A873" s="1">
        <f t="shared" si="1"/>
        <v>871</v>
      </c>
      <c r="B873" s="1" t="s">
        <v>1936</v>
      </c>
      <c r="C873" s="1">
        <f t="shared" si="2"/>
        <v>871</v>
      </c>
      <c r="D873" s="1" t="s">
        <v>1048</v>
      </c>
      <c r="E873" s="1" t="s">
        <v>5</v>
      </c>
      <c r="F873" s="11">
        <f t="shared" si="3"/>
        <v>13.2</v>
      </c>
      <c r="G873" s="11">
        <f t="shared" si="4"/>
        <v>4.4</v>
      </c>
      <c r="H873" s="1">
        <v>3.0</v>
      </c>
      <c r="S873" s="1">
        <v>1.0</v>
      </c>
      <c r="T873" s="1">
        <v>5.0</v>
      </c>
      <c r="U873" s="1">
        <v>59.0</v>
      </c>
      <c r="V873" s="1">
        <v>0.0</v>
      </c>
    </row>
    <row r="874">
      <c r="A874" s="1">
        <f t="shared" si="1"/>
        <v>872</v>
      </c>
      <c r="B874" s="1" t="s">
        <v>1937</v>
      </c>
      <c r="C874" s="1">
        <f t="shared" si="2"/>
        <v>872</v>
      </c>
      <c r="D874" s="1" t="s">
        <v>1091</v>
      </c>
      <c r="E874" s="1" t="s">
        <v>5</v>
      </c>
      <c r="F874" s="11">
        <f t="shared" si="3"/>
        <v>13.2</v>
      </c>
      <c r="G874" s="11">
        <f t="shared" si="4"/>
        <v>2.64</v>
      </c>
      <c r="H874" s="1">
        <v>5.0</v>
      </c>
      <c r="S874" s="1">
        <v>2.0</v>
      </c>
      <c r="T874" s="1">
        <v>18.0</v>
      </c>
      <c r="U874" s="1">
        <v>114.0</v>
      </c>
      <c r="V874" s="1">
        <v>0.0</v>
      </c>
    </row>
    <row r="875">
      <c r="A875" s="1">
        <f t="shared" si="1"/>
        <v>873</v>
      </c>
      <c r="B875" s="1" t="s">
        <v>1930</v>
      </c>
      <c r="C875" s="1">
        <f t="shared" si="2"/>
        <v>873</v>
      </c>
      <c r="D875" s="1" t="s">
        <v>1044</v>
      </c>
      <c r="E875" s="1" t="s">
        <v>66</v>
      </c>
      <c r="F875" s="11">
        <f t="shared" si="3"/>
        <v>13</v>
      </c>
      <c r="G875" s="11">
        <f t="shared" si="4"/>
        <v>1.444444444</v>
      </c>
      <c r="H875" s="1">
        <v>9.0</v>
      </c>
      <c r="I875" s="1">
        <v>0.0</v>
      </c>
      <c r="J875" s="1">
        <v>1.0</v>
      </c>
      <c r="K875" s="1">
        <v>1.0</v>
      </c>
      <c r="L875" s="1">
        <v>7.0</v>
      </c>
      <c r="M875" s="1">
        <v>0.0</v>
      </c>
      <c r="N875" s="1">
        <v>0.0</v>
      </c>
      <c r="O875" s="1">
        <v>0.0</v>
      </c>
      <c r="P875" s="1">
        <v>0.0</v>
      </c>
      <c r="Q875" s="1">
        <v>8.0</v>
      </c>
      <c r="R875" s="1">
        <v>9.0</v>
      </c>
    </row>
    <row r="876">
      <c r="A876" s="1">
        <f t="shared" si="1"/>
        <v>874</v>
      </c>
      <c r="B876" s="1" t="s">
        <v>1938</v>
      </c>
      <c r="C876" s="1">
        <f t="shared" si="2"/>
        <v>874</v>
      </c>
      <c r="D876" s="1" t="s">
        <v>1085</v>
      </c>
      <c r="E876" s="1" t="s">
        <v>5</v>
      </c>
      <c r="F876" s="11">
        <f t="shared" si="3"/>
        <v>12.9</v>
      </c>
      <c r="G876" s="11">
        <f t="shared" si="4"/>
        <v>12.9</v>
      </c>
      <c r="H876" s="1">
        <v>1.0</v>
      </c>
      <c r="S876" s="1">
        <v>1.0</v>
      </c>
      <c r="T876" s="1">
        <v>0.0</v>
      </c>
      <c r="U876" s="1">
        <v>23.0</v>
      </c>
      <c r="V876" s="1">
        <v>1.0</v>
      </c>
    </row>
    <row r="877">
      <c r="A877" s="1">
        <f t="shared" si="1"/>
        <v>875</v>
      </c>
      <c r="B877" s="1" t="s">
        <v>1934</v>
      </c>
      <c r="C877" s="1">
        <f t="shared" si="2"/>
        <v>875</v>
      </c>
      <c r="D877" s="1" t="s">
        <v>1097</v>
      </c>
      <c r="E877" s="1" t="s">
        <v>31</v>
      </c>
      <c r="F877" s="11">
        <f t="shared" si="3"/>
        <v>12.75</v>
      </c>
      <c r="G877" s="11">
        <f t="shared" si="4"/>
        <v>1.821428571</v>
      </c>
      <c r="H877" s="1">
        <v>7.0</v>
      </c>
      <c r="I877" s="1">
        <v>1.0</v>
      </c>
      <c r="J877" s="1">
        <v>0.0</v>
      </c>
      <c r="K877" s="1">
        <v>1.0</v>
      </c>
      <c r="L877" s="1">
        <v>7.0</v>
      </c>
      <c r="M877" s="1">
        <v>0.0</v>
      </c>
      <c r="N877" s="1">
        <v>0.0</v>
      </c>
      <c r="O877" s="1">
        <v>0.0</v>
      </c>
      <c r="P877" s="1">
        <v>0.0</v>
      </c>
      <c r="Q877" s="1">
        <v>5.0</v>
      </c>
      <c r="R877" s="1">
        <v>7.0</v>
      </c>
    </row>
    <row r="878">
      <c r="A878" s="1">
        <f t="shared" si="1"/>
        <v>875</v>
      </c>
      <c r="B878" s="1" t="s">
        <v>1935</v>
      </c>
      <c r="C878" s="1">
        <f t="shared" si="2"/>
        <v>875</v>
      </c>
      <c r="D878" s="1" t="s">
        <v>1067</v>
      </c>
      <c r="E878" s="1" t="s">
        <v>28</v>
      </c>
      <c r="F878" s="11">
        <f t="shared" si="3"/>
        <v>12.75</v>
      </c>
      <c r="G878" s="11">
        <f t="shared" si="4"/>
        <v>0.85</v>
      </c>
      <c r="H878" s="1">
        <v>15.0</v>
      </c>
      <c r="I878" s="1">
        <v>0.0</v>
      </c>
      <c r="J878" s="1">
        <v>2.0</v>
      </c>
      <c r="K878" s="1">
        <v>2.0</v>
      </c>
      <c r="L878" s="1">
        <v>4.0</v>
      </c>
      <c r="M878" s="1">
        <v>0.0</v>
      </c>
      <c r="N878" s="1">
        <v>0.0</v>
      </c>
      <c r="O878" s="1">
        <v>0.0</v>
      </c>
      <c r="P878" s="1">
        <v>0.0</v>
      </c>
      <c r="Q878" s="1">
        <v>5.0</v>
      </c>
      <c r="R878" s="1">
        <v>7.0</v>
      </c>
    </row>
    <row r="879">
      <c r="A879" s="1">
        <f t="shared" si="1"/>
        <v>877</v>
      </c>
      <c r="B879" s="1" t="s">
        <v>1933</v>
      </c>
      <c r="C879" s="1">
        <f t="shared" si="2"/>
        <v>877</v>
      </c>
      <c r="D879" s="1" t="s">
        <v>1175</v>
      </c>
      <c r="E879" s="1" t="s">
        <v>31</v>
      </c>
      <c r="F879" s="11">
        <f t="shared" si="3"/>
        <v>12.5</v>
      </c>
      <c r="G879" s="11">
        <f t="shared" si="4"/>
        <v>2.083333333</v>
      </c>
      <c r="H879" s="1">
        <v>6.0</v>
      </c>
      <c r="I879" s="1">
        <v>0.0</v>
      </c>
      <c r="J879" s="1">
        <v>1.0</v>
      </c>
      <c r="K879" s="1">
        <v>1.0</v>
      </c>
      <c r="L879" s="1">
        <v>7.0</v>
      </c>
      <c r="M879" s="1">
        <v>0.0</v>
      </c>
      <c r="N879" s="1">
        <v>0.0</v>
      </c>
      <c r="O879" s="1">
        <v>0.0</v>
      </c>
      <c r="P879" s="1">
        <v>0.0</v>
      </c>
      <c r="Q879" s="1">
        <v>8.0</v>
      </c>
      <c r="R879" s="1">
        <v>8.0</v>
      </c>
    </row>
    <row r="880">
      <c r="A880" s="1">
        <f t="shared" si="1"/>
        <v>878</v>
      </c>
      <c r="B880" s="1" t="s">
        <v>1940</v>
      </c>
      <c r="C880" s="1">
        <f t="shared" si="2"/>
        <v>878</v>
      </c>
      <c r="D880" s="1" t="s">
        <v>1175</v>
      </c>
      <c r="E880" s="1" t="s">
        <v>66</v>
      </c>
      <c r="F880" s="11">
        <f t="shared" si="3"/>
        <v>12.25</v>
      </c>
      <c r="G880" s="11">
        <f t="shared" si="4"/>
        <v>4.083333333</v>
      </c>
      <c r="H880" s="1">
        <v>3.0</v>
      </c>
      <c r="I880" s="1">
        <v>0.0</v>
      </c>
      <c r="J880" s="1">
        <v>1.0</v>
      </c>
      <c r="K880" s="1">
        <v>1.0</v>
      </c>
      <c r="L880" s="1">
        <v>5.0</v>
      </c>
      <c r="M880" s="1">
        <v>0.0</v>
      </c>
      <c r="N880" s="1">
        <v>1.0</v>
      </c>
      <c r="O880" s="1">
        <v>0.0</v>
      </c>
      <c r="P880" s="1">
        <v>0.0</v>
      </c>
      <c r="Q880" s="1">
        <v>5.0</v>
      </c>
      <c r="R880" s="1">
        <v>11.0</v>
      </c>
    </row>
    <row r="881">
      <c r="A881" s="1">
        <f t="shared" si="1"/>
        <v>879</v>
      </c>
      <c r="B881" s="1" t="s">
        <v>1944</v>
      </c>
      <c r="C881" s="1">
        <f t="shared" si="2"/>
        <v>879</v>
      </c>
      <c r="D881" s="1" t="s">
        <v>1146</v>
      </c>
      <c r="E881" s="1" t="s">
        <v>5</v>
      </c>
      <c r="F881" s="11">
        <f t="shared" si="3"/>
        <v>12</v>
      </c>
      <c r="G881" s="11">
        <f t="shared" si="4"/>
        <v>6</v>
      </c>
      <c r="H881" s="1">
        <v>2.0</v>
      </c>
      <c r="S881" s="1">
        <v>1.0</v>
      </c>
      <c r="T881" s="1">
        <v>5.0</v>
      </c>
      <c r="U881" s="1">
        <v>55.0</v>
      </c>
      <c r="V881" s="1">
        <v>0.0</v>
      </c>
    </row>
    <row r="882">
      <c r="A882" s="1">
        <f t="shared" si="1"/>
        <v>879</v>
      </c>
      <c r="B882" s="1" t="s">
        <v>1942</v>
      </c>
      <c r="C882" s="1">
        <f t="shared" si="2"/>
        <v>879</v>
      </c>
      <c r="D882" s="1" t="s">
        <v>1054</v>
      </c>
      <c r="E882" s="1" t="s">
        <v>28</v>
      </c>
      <c r="F882" s="11">
        <f t="shared" si="3"/>
        <v>12</v>
      </c>
      <c r="G882" s="11">
        <f t="shared" si="4"/>
        <v>3</v>
      </c>
      <c r="H882" s="1">
        <v>4.0</v>
      </c>
      <c r="I882" s="1">
        <v>1.0</v>
      </c>
      <c r="J882" s="1">
        <v>1.0</v>
      </c>
      <c r="K882" s="1">
        <v>2.0</v>
      </c>
      <c r="L882" s="1">
        <v>8.0</v>
      </c>
      <c r="M882" s="1">
        <v>0.0</v>
      </c>
      <c r="N882" s="1">
        <v>0.0</v>
      </c>
      <c r="O882" s="1">
        <v>0.0</v>
      </c>
      <c r="P882" s="1">
        <v>0.0</v>
      </c>
      <c r="Q882" s="1">
        <v>2.0</v>
      </c>
      <c r="R882" s="1">
        <v>0.0</v>
      </c>
    </row>
    <row r="883">
      <c r="A883" s="1">
        <f t="shared" si="1"/>
        <v>879</v>
      </c>
      <c r="B883" s="1" t="s">
        <v>1943</v>
      </c>
      <c r="C883" s="1">
        <f t="shared" si="2"/>
        <v>879</v>
      </c>
      <c r="D883" s="1" t="s">
        <v>1082</v>
      </c>
      <c r="E883" s="1" t="s">
        <v>31</v>
      </c>
      <c r="F883" s="11">
        <f t="shared" si="3"/>
        <v>12</v>
      </c>
      <c r="G883" s="11">
        <f t="shared" si="4"/>
        <v>1.5</v>
      </c>
      <c r="H883" s="1">
        <v>8.0</v>
      </c>
      <c r="I883" s="1">
        <v>0.0</v>
      </c>
      <c r="J883" s="1">
        <v>1.0</v>
      </c>
      <c r="K883" s="1">
        <v>1.0</v>
      </c>
      <c r="L883" s="1">
        <v>12.0</v>
      </c>
      <c r="M883" s="1">
        <v>0.0</v>
      </c>
      <c r="N883" s="1">
        <v>0.0</v>
      </c>
      <c r="O883" s="1">
        <v>0.0</v>
      </c>
      <c r="P883" s="1">
        <v>0.0</v>
      </c>
      <c r="Q883" s="1">
        <v>2.0</v>
      </c>
      <c r="R883" s="1">
        <v>5.0</v>
      </c>
    </row>
    <row r="884">
      <c r="A884" s="1">
        <f t="shared" si="1"/>
        <v>879</v>
      </c>
      <c r="B884" s="1" t="s">
        <v>1929</v>
      </c>
      <c r="C884" s="1">
        <f t="shared" si="2"/>
        <v>879</v>
      </c>
      <c r="D884" s="1" t="s">
        <v>1111</v>
      </c>
      <c r="E884" s="1" t="s">
        <v>28</v>
      </c>
      <c r="F884" s="11">
        <f t="shared" si="3"/>
        <v>12</v>
      </c>
      <c r="G884" s="11">
        <f t="shared" si="4"/>
        <v>1.2</v>
      </c>
      <c r="H884" s="1">
        <v>10.0</v>
      </c>
      <c r="I884" s="1">
        <v>0.0</v>
      </c>
      <c r="J884" s="1">
        <v>1.0</v>
      </c>
      <c r="K884" s="1">
        <v>1.0</v>
      </c>
      <c r="L884" s="1">
        <v>5.0</v>
      </c>
      <c r="M884" s="1">
        <v>0.0</v>
      </c>
      <c r="N884" s="1">
        <v>0.0</v>
      </c>
      <c r="O884" s="1">
        <v>0.0</v>
      </c>
      <c r="P884" s="1">
        <v>0.0</v>
      </c>
      <c r="Q884" s="1">
        <v>20.0</v>
      </c>
      <c r="R884" s="1">
        <v>3.0</v>
      </c>
    </row>
    <row r="885">
      <c r="A885" s="1">
        <f t="shared" si="1"/>
        <v>883</v>
      </c>
      <c r="B885" s="1" t="s">
        <v>1941</v>
      </c>
      <c r="C885" s="1">
        <f t="shared" si="2"/>
        <v>883</v>
      </c>
      <c r="D885" s="1" t="s">
        <v>1172</v>
      </c>
      <c r="E885" s="1" t="s">
        <v>31</v>
      </c>
      <c r="F885" s="11">
        <f t="shared" si="3"/>
        <v>11.75</v>
      </c>
      <c r="G885" s="11">
        <f t="shared" si="4"/>
        <v>1.305555556</v>
      </c>
      <c r="H885" s="1">
        <v>9.0</v>
      </c>
      <c r="I885" s="1">
        <v>0.0</v>
      </c>
      <c r="J885" s="1">
        <v>0.0</v>
      </c>
      <c r="K885" s="1">
        <v>0.0</v>
      </c>
      <c r="L885" s="1">
        <v>13.0</v>
      </c>
      <c r="M885" s="1">
        <v>0.0</v>
      </c>
      <c r="N885" s="1">
        <v>0.0</v>
      </c>
      <c r="O885" s="1">
        <v>0.0</v>
      </c>
      <c r="P885" s="1">
        <v>0.0</v>
      </c>
      <c r="Q885" s="1">
        <v>9.0</v>
      </c>
      <c r="R885" s="1">
        <v>6.0</v>
      </c>
    </row>
    <row r="886">
      <c r="A886" s="1">
        <f t="shared" si="1"/>
        <v>884</v>
      </c>
      <c r="B886" s="1" t="s">
        <v>1939</v>
      </c>
      <c r="C886" s="1">
        <f t="shared" si="2"/>
        <v>884</v>
      </c>
      <c r="D886" s="1" t="s">
        <v>1030</v>
      </c>
      <c r="E886" s="1" t="s">
        <v>36</v>
      </c>
      <c r="F886" s="11">
        <f t="shared" si="3"/>
        <v>11.5</v>
      </c>
      <c r="G886" s="11">
        <f t="shared" si="4"/>
        <v>1.642857143</v>
      </c>
      <c r="H886" s="1">
        <v>7.0</v>
      </c>
      <c r="I886" s="1">
        <v>1.0</v>
      </c>
      <c r="J886" s="1">
        <v>0.0</v>
      </c>
      <c r="K886" s="1">
        <v>1.0</v>
      </c>
      <c r="L886" s="1">
        <v>6.0</v>
      </c>
      <c r="M886" s="1">
        <v>0.0</v>
      </c>
      <c r="N886" s="1">
        <v>0.0</v>
      </c>
      <c r="O886" s="1">
        <v>0.0</v>
      </c>
      <c r="P886" s="1">
        <v>0.0</v>
      </c>
      <c r="Q886" s="1">
        <v>14.0</v>
      </c>
      <c r="R886" s="1">
        <v>1.0</v>
      </c>
    </row>
    <row r="887">
      <c r="A887" s="1">
        <f t="shared" si="1"/>
        <v>885</v>
      </c>
      <c r="B887" s="1" t="s">
        <v>1948</v>
      </c>
      <c r="C887" s="1">
        <f t="shared" si="2"/>
        <v>885</v>
      </c>
      <c r="D887" s="1" t="s">
        <v>1067</v>
      </c>
      <c r="E887" s="1" t="s">
        <v>28</v>
      </c>
      <c r="F887" s="11">
        <f t="shared" si="3"/>
        <v>11</v>
      </c>
      <c r="G887" s="11">
        <f t="shared" si="4"/>
        <v>2.2</v>
      </c>
      <c r="H887" s="1">
        <v>5.0</v>
      </c>
      <c r="I887" s="1">
        <v>2.0</v>
      </c>
      <c r="J887" s="1">
        <v>0.0</v>
      </c>
      <c r="K887" s="1">
        <v>2.0</v>
      </c>
      <c r="L887" s="1">
        <v>2.0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2.0</v>
      </c>
    </row>
    <row r="888">
      <c r="A888" s="1">
        <f t="shared" si="1"/>
        <v>886</v>
      </c>
      <c r="B888" s="1" t="s">
        <v>1945</v>
      </c>
      <c r="C888" s="1">
        <f t="shared" si="2"/>
        <v>886</v>
      </c>
      <c r="D888" s="1" t="s">
        <v>1082</v>
      </c>
      <c r="E888" s="1" t="s">
        <v>66</v>
      </c>
      <c r="F888" s="11">
        <f t="shared" si="3"/>
        <v>10.75</v>
      </c>
      <c r="G888" s="11">
        <f t="shared" si="4"/>
        <v>1.791666667</v>
      </c>
      <c r="H888" s="1">
        <v>6.0</v>
      </c>
      <c r="I888" s="1">
        <v>0.0</v>
      </c>
      <c r="J888" s="1">
        <v>1.0</v>
      </c>
      <c r="K888" s="1">
        <v>1.0</v>
      </c>
      <c r="L888" s="1">
        <v>5.0</v>
      </c>
      <c r="M888" s="1">
        <v>0.0</v>
      </c>
      <c r="N888" s="1">
        <v>0.0</v>
      </c>
      <c r="O888" s="1">
        <v>0.0</v>
      </c>
      <c r="P888" s="1">
        <v>0.0</v>
      </c>
      <c r="Q888" s="1">
        <v>11.0</v>
      </c>
      <c r="R888" s="1">
        <v>5.0</v>
      </c>
    </row>
    <row r="889">
      <c r="A889" s="1">
        <f t="shared" si="1"/>
        <v>887</v>
      </c>
      <c r="B889" s="1" t="s">
        <v>1946</v>
      </c>
      <c r="C889" s="1">
        <f t="shared" si="2"/>
        <v>887</v>
      </c>
      <c r="D889" s="1" t="s">
        <v>1038</v>
      </c>
      <c r="E889" s="1" t="s">
        <v>28</v>
      </c>
      <c r="F889" s="11">
        <f t="shared" si="3"/>
        <v>10.5</v>
      </c>
      <c r="G889" s="11">
        <f t="shared" si="4"/>
        <v>2.625</v>
      </c>
      <c r="H889" s="1">
        <v>4.0</v>
      </c>
      <c r="I889" s="1">
        <v>0.0</v>
      </c>
      <c r="J889" s="1">
        <v>2.0</v>
      </c>
      <c r="K889" s="1">
        <v>2.0</v>
      </c>
      <c r="L889" s="1">
        <v>1.0</v>
      </c>
      <c r="M889" s="1">
        <v>0.0</v>
      </c>
      <c r="N889" s="1">
        <v>0.0</v>
      </c>
      <c r="O889" s="1">
        <v>0.0</v>
      </c>
      <c r="P889" s="1">
        <v>0.0</v>
      </c>
      <c r="Q889" s="1">
        <v>12.0</v>
      </c>
      <c r="R889" s="1">
        <v>2.0</v>
      </c>
    </row>
    <row r="890">
      <c r="A890" s="1">
        <f t="shared" si="1"/>
        <v>888</v>
      </c>
      <c r="B890" s="1" t="s">
        <v>1947</v>
      </c>
      <c r="C890" s="1">
        <f t="shared" si="2"/>
        <v>888</v>
      </c>
      <c r="D890" s="1" t="s">
        <v>1032</v>
      </c>
      <c r="E890" s="1" t="s">
        <v>66</v>
      </c>
      <c r="F890" s="11">
        <f t="shared" si="3"/>
        <v>10</v>
      </c>
      <c r="G890" s="11">
        <f t="shared" si="4"/>
        <v>1.428571429</v>
      </c>
      <c r="H890" s="1">
        <v>7.0</v>
      </c>
      <c r="I890" s="1">
        <v>0.0</v>
      </c>
      <c r="J890" s="1">
        <v>1.0</v>
      </c>
      <c r="K890" s="1">
        <v>1.0</v>
      </c>
      <c r="L890" s="1">
        <v>1.0</v>
      </c>
      <c r="M890" s="1">
        <v>0.0</v>
      </c>
      <c r="N890" s="1">
        <v>1.0</v>
      </c>
      <c r="O890" s="1">
        <v>0.0</v>
      </c>
      <c r="P890" s="1">
        <v>0.0</v>
      </c>
      <c r="Q890" s="1">
        <v>12.0</v>
      </c>
      <c r="R890" s="1">
        <v>7.0</v>
      </c>
    </row>
    <row r="891">
      <c r="A891" s="1">
        <f t="shared" si="1"/>
        <v>888</v>
      </c>
      <c r="B891" s="1" t="s">
        <v>1949</v>
      </c>
      <c r="C891" s="1">
        <f t="shared" si="2"/>
        <v>888</v>
      </c>
      <c r="D891" s="1" t="s">
        <v>1106</v>
      </c>
      <c r="E891" s="1" t="s">
        <v>31</v>
      </c>
      <c r="F891" s="11">
        <f t="shared" si="3"/>
        <v>10</v>
      </c>
      <c r="G891" s="11">
        <f t="shared" si="4"/>
        <v>1.111111111</v>
      </c>
      <c r="H891" s="1">
        <v>9.0</v>
      </c>
      <c r="I891" s="1">
        <v>0.0</v>
      </c>
      <c r="J891" s="1">
        <v>0.0</v>
      </c>
      <c r="K891" s="1">
        <v>0.0</v>
      </c>
      <c r="L891" s="1">
        <v>10.0</v>
      </c>
      <c r="M891" s="1">
        <v>0.0</v>
      </c>
      <c r="N891" s="1">
        <v>0.0</v>
      </c>
      <c r="O891" s="1">
        <v>0.0</v>
      </c>
      <c r="P891" s="1">
        <v>0.0</v>
      </c>
      <c r="Q891" s="1">
        <v>10.0</v>
      </c>
      <c r="R891" s="1">
        <v>5.0</v>
      </c>
    </row>
    <row r="892">
      <c r="A892" s="1">
        <f t="shared" si="1"/>
        <v>890</v>
      </c>
      <c r="B892" s="1" t="s">
        <v>1955</v>
      </c>
      <c r="C892" s="1">
        <f t="shared" si="2"/>
        <v>890</v>
      </c>
      <c r="D892" s="1" t="s">
        <v>1042</v>
      </c>
      <c r="E892" s="1" t="s">
        <v>5</v>
      </c>
      <c r="F892" s="11">
        <f t="shared" si="3"/>
        <v>9.9</v>
      </c>
      <c r="G892" s="11">
        <f t="shared" si="4"/>
        <v>4.95</v>
      </c>
      <c r="H892" s="1">
        <v>2.0</v>
      </c>
      <c r="S892" s="1">
        <v>1.0</v>
      </c>
      <c r="T892" s="1">
        <v>2.0</v>
      </c>
      <c r="U892" s="1">
        <v>33.0</v>
      </c>
      <c r="V892" s="1">
        <v>0.0</v>
      </c>
    </row>
    <row r="893">
      <c r="A893" s="1">
        <f t="shared" si="1"/>
        <v>891</v>
      </c>
      <c r="B893" s="1" t="s">
        <v>1951</v>
      </c>
      <c r="C893" s="1">
        <f t="shared" si="2"/>
        <v>891</v>
      </c>
      <c r="D893" s="1" t="s">
        <v>1065</v>
      </c>
      <c r="E893" s="1" t="s">
        <v>28</v>
      </c>
      <c r="F893" s="11">
        <f t="shared" si="3"/>
        <v>9.75</v>
      </c>
      <c r="G893" s="11">
        <f t="shared" si="4"/>
        <v>3.25</v>
      </c>
      <c r="H893" s="1">
        <v>3.0</v>
      </c>
      <c r="I893" s="1">
        <v>1.0</v>
      </c>
      <c r="J893" s="1">
        <v>0.0</v>
      </c>
      <c r="K893" s="1">
        <v>1.0</v>
      </c>
      <c r="L893" s="1">
        <v>7.0</v>
      </c>
      <c r="M893" s="1">
        <v>0.0</v>
      </c>
      <c r="N893" s="1">
        <v>0.0</v>
      </c>
      <c r="O893" s="1">
        <v>0.0</v>
      </c>
      <c r="P893" s="1">
        <v>0.0</v>
      </c>
      <c r="Q893" s="1">
        <v>7.0</v>
      </c>
      <c r="R893" s="1">
        <v>0.0</v>
      </c>
    </row>
    <row r="894">
      <c r="A894" s="1">
        <f t="shared" si="1"/>
        <v>891</v>
      </c>
      <c r="B894" s="1" t="s">
        <v>1953</v>
      </c>
      <c r="C894" s="1">
        <f t="shared" si="2"/>
        <v>891</v>
      </c>
      <c r="D894" s="1" t="s">
        <v>1065</v>
      </c>
      <c r="E894" s="1" t="s">
        <v>36</v>
      </c>
      <c r="F894" s="11">
        <f t="shared" si="3"/>
        <v>9.75</v>
      </c>
      <c r="G894" s="11">
        <f t="shared" si="4"/>
        <v>3.25</v>
      </c>
      <c r="H894" s="1">
        <v>3.0</v>
      </c>
      <c r="I894" s="1">
        <v>1.0</v>
      </c>
      <c r="J894" s="1">
        <v>0.0</v>
      </c>
      <c r="K894" s="1">
        <v>1.0</v>
      </c>
      <c r="L894" s="1">
        <v>7.0</v>
      </c>
      <c r="M894" s="1">
        <v>0.0</v>
      </c>
      <c r="N894" s="1">
        <v>0.0</v>
      </c>
      <c r="O894" s="1">
        <v>0.0</v>
      </c>
      <c r="P894" s="1">
        <v>0.0</v>
      </c>
      <c r="Q894" s="1">
        <v>3.0</v>
      </c>
      <c r="R894" s="1">
        <v>2.0</v>
      </c>
    </row>
    <row r="895">
      <c r="A895" s="1">
        <f t="shared" si="1"/>
        <v>891</v>
      </c>
      <c r="B895" s="1" t="s">
        <v>1956</v>
      </c>
      <c r="C895" s="1">
        <f t="shared" si="2"/>
        <v>891</v>
      </c>
      <c r="D895" s="1" t="s">
        <v>1111</v>
      </c>
      <c r="E895" s="1" t="s">
        <v>31</v>
      </c>
      <c r="F895" s="11">
        <f t="shared" si="3"/>
        <v>9.75</v>
      </c>
      <c r="G895" s="11">
        <f t="shared" si="4"/>
        <v>1.625</v>
      </c>
      <c r="H895" s="1">
        <v>6.0</v>
      </c>
      <c r="I895" s="1">
        <v>1.0</v>
      </c>
      <c r="J895" s="1">
        <v>0.0</v>
      </c>
      <c r="K895" s="1">
        <v>1.0</v>
      </c>
      <c r="L895" s="1">
        <v>5.0</v>
      </c>
      <c r="M895" s="1">
        <v>0.0</v>
      </c>
      <c r="N895" s="1">
        <v>0.0</v>
      </c>
      <c r="O895" s="1">
        <v>0.0</v>
      </c>
      <c r="P895" s="1">
        <v>0.0</v>
      </c>
      <c r="Q895" s="1">
        <v>1.0</v>
      </c>
      <c r="R895" s="1">
        <v>5.0</v>
      </c>
    </row>
    <row r="896">
      <c r="A896" s="1">
        <f t="shared" si="1"/>
        <v>891</v>
      </c>
      <c r="B896" s="1" t="s">
        <v>1952</v>
      </c>
      <c r="C896" s="1">
        <f t="shared" si="2"/>
        <v>891</v>
      </c>
      <c r="D896" s="1" t="s">
        <v>1044</v>
      </c>
      <c r="E896" s="1" t="s">
        <v>28</v>
      </c>
      <c r="F896" s="11">
        <f t="shared" si="3"/>
        <v>9.75</v>
      </c>
      <c r="G896" s="11">
        <f t="shared" si="4"/>
        <v>1.392857143</v>
      </c>
      <c r="H896" s="1">
        <v>7.0</v>
      </c>
      <c r="I896" s="1">
        <v>0.0</v>
      </c>
      <c r="J896" s="1">
        <v>1.0</v>
      </c>
      <c r="K896" s="1">
        <v>1.0</v>
      </c>
      <c r="L896" s="1">
        <v>5.0</v>
      </c>
      <c r="M896" s="1">
        <v>0.0</v>
      </c>
      <c r="N896" s="1">
        <v>0.0</v>
      </c>
      <c r="O896" s="1">
        <v>0.0</v>
      </c>
      <c r="P896" s="1">
        <v>0.0</v>
      </c>
      <c r="Q896" s="1">
        <v>5.0</v>
      </c>
      <c r="R896" s="1">
        <v>6.0</v>
      </c>
    </row>
    <row r="897">
      <c r="A897" s="1">
        <f t="shared" si="1"/>
        <v>895</v>
      </c>
      <c r="B897" s="1" t="s">
        <v>1958</v>
      </c>
      <c r="C897" s="1">
        <f t="shared" si="2"/>
        <v>895</v>
      </c>
      <c r="D897" s="1" t="s">
        <v>1106</v>
      </c>
      <c r="E897" s="1" t="s">
        <v>66</v>
      </c>
      <c r="F897" s="11">
        <f t="shared" si="3"/>
        <v>9.5</v>
      </c>
      <c r="G897" s="11">
        <f t="shared" si="4"/>
        <v>1.583333333</v>
      </c>
      <c r="H897" s="1">
        <v>6.0</v>
      </c>
      <c r="I897" s="1">
        <v>0.0</v>
      </c>
      <c r="J897" s="1">
        <v>1.0</v>
      </c>
      <c r="K897" s="1">
        <v>1.0</v>
      </c>
      <c r="L897" s="1">
        <v>5.0</v>
      </c>
      <c r="M897" s="1">
        <v>0.0</v>
      </c>
      <c r="N897" s="1">
        <v>0.0</v>
      </c>
      <c r="O897" s="1">
        <v>0.0</v>
      </c>
      <c r="P897" s="1">
        <v>0.0</v>
      </c>
      <c r="Q897" s="1">
        <v>2.0</v>
      </c>
      <c r="R897" s="1">
        <v>7.0</v>
      </c>
    </row>
    <row r="898">
      <c r="A898" s="1">
        <f t="shared" si="1"/>
        <v>895</v>
      </c>
      <c r="B898" s="1" t="s">
        <v>1950</v>
      </c>
      <c r="C898" s="1">
        <f t="shared" si="2"/>
        <v>895</v>
      </c>
      <c r="D898" s="1" t="s">
        <v>1146</v>
      </c>
      <c r="E898" s="1" t="s">
        <v>31</v>
      </c>
      <c r="F898" s="11">
        <f t="shared" si="3"/>
        <v>9.5</v>
      </c>
      <c r="G898" s="11">
        <f t="shared" si="4"/>
        <v>1.055555556</v>
      </c>
      <c r="H898" s="1">
        <v>9.0</v>
      </c>
      <c r="I898" s="1">
        <v>0.0</v>
      </c>
      <c r="J898" s="1">
        <v>0.0</v>
      </c>
      <c r="K898" s="1">
        <v>0.0</v>
      </c>
      <c r="L898" s="1">
        <v>10.0</v>
      </c>
      <c r="M898" s="1">
        <v>0.0</v>
      </c>
      <c r="N898" s="1">
        <v>0.0</v>
      </c>
      <c r="O898" s="1">
        <v>0.0</v>
      </c>
      <c r="P898" s="1">
        <v>0.0</v>
      </c>
      <c r="Q898" s="1">
        <v>10.0</v>
      </c>
      <c r="R898" s="1">
        <v>4.0</v>
      </c>
    </row>
    <row r="899">
      <c r="A899" s="1">
        <f t="shared" si="1"/>
        <v>897</v>
      </c>
      <c r="B899" s="1" t="s">
        <v>1963</v>
      </c>
      <c r="C899" s="1">
        <f t="shared" si="2"/>
        <v>897</v>
      </c>
      <c r="D899" s="1" t="s">
        <v>1044</v>
      </c>
      <c r="E899" s="1" t="s">
        <v>5</v>
      </c>
      <c r="F899" s="11">
        <f t="shared" si="3"/>
        <v>9.3</v>
      </c>
      <c r="G899" s="11">
        <f t="shared" si="4"/>
        <v>1.55</v>
      </c>
      <c r="H899" s="1">
        <v>6.0</v>
      </c>
      <c r="S899" s="1">
        <v>1.0</v>
      </c>
      <c r="T899" s="1">
        <v>19.0</v>
      </c>
      <c r="U899" s="1">
        <v>116.0</v>
      </c>
      <c r="V899" s="1">
        <v>0.0</v>
      </c>
    </row>
    <row r="900">
      <c r="A900" s="1">
        <f t="shared" si="1"/>
        <v>898</v>
      </c>
      <c r="B900" s="1" t="s">
        <v>1960</v>
      </c>
      <c r="C900" s="1">
        <f t="shared" si="2"/>
        <v>898</v>
      </c>
      <c r="D900" s="1" t="s">
        <v>1076</v>
      </c>
      <c r="E900" s="1" t="s">
        <v>28</v>
      </c>
      <c r="F900" s="11">
        <f t="shared" si="3"/>
        <v>9.25</v>
      </c>
      <c r="G900" s="11">
        <f t="shared" si="4"/>
        <v>2.3125</v>
      </c>
      <c r="H900" s="1">
        <v>4.0</v>
      </c>
      <c r="I900" s="1">
        <v>1.0</v>
      </c>
      <c r="J900" s="1">
        <v>0.0</v>
      </c>
      <c r="K900" s="1">
        <v>1.0</v>
      </c>
      <c r="L900" s="1">
        <v>6.0</v>
      </c>
      <c r="M900" s="1">
        <v>0.0</v>
      </c>
      <c r="N900" s="1">
        <v>0.0</v>
      </c>
      <c r="O900" s="1">
        <v>0.0</v>
      </c>
      <c r="P900" s="1">
        <v>0.0</v>
      </c>
      <c r="Q900" s="1">
        <v>3.0</v>
      </c>
      <c r="R900" s="1">
        <v>2.0</v>
      </c>
    </row>
    <row r="901">
      <c r="A901" s="1">
        <f t="shared" si="1"/>
        <v>898</v>
      </c>
      <c r="B901" s="1" t="s">
        <v>1961</v>
      </c>
      <c r="C901" s="1">
        <f t="shared" si="2"/>
        <v>898</v>
      </c>
      <c r="D901" s="1" t="s">
        <v>1044</v>
      </c>
      <c r="E901" s="1" t="s">
        <v>31</v>
      </c>
      <c r="F901" s="11">
        <f t="shared" si="3"/>
        <v>9.25</v>
      </c>
      <c r="G901" s="11">
        <f t="shared" si="4"/>
        <v>1.321428571</v>
      </c>
      <c r="H901" s="1">
        <v>7.0</v>
      </c>
      <c r="I901" s="1">
        <v>0.0</v>
      </c>
      <c r="J901" s="1">
        <v>2.0</v>
      </c>
      <c r="K901" s="1">
        <v>2.0</v>
      </c>
      <c r="L901" s="1">
        <v>1.0</v>
      </c>
      <c r="M901" s="1">
        <v>0.0</v>
      </c>
      <c r="N901" s="1">
        <v>0.0</v>
      </c>
      <c r="O901" s="1">
        <v>0.0</v>
      </c>
      <c r="P901" s="1">
        <v>0.0</v>
      </c>
      <c r="Q901" s="1">
        <v>3.0</v>
      </c>
      <c r="R901" s="1">
        <v>4.0</v>
      </c>
    </row>
    <row r="902">
      <c r="A902" s="1">
        <f t="shared" si="1"/>
        <v>900</v>
      </c>
      <c r="B902" s="1" t="s">
        <v>1964</v>
      </c>
      <c r="C902" s="1">
        <f t="shared" si="2"/>
        <v>900</v>
      </c>
      <c r="D902" s="1" t="s">
        <v>1040</v>
      </c>
      <c r="E902" s="1" t="s">
        <v>5</v>
      </c>
      <c r="F902" s="11">
        <f t="shared" si="3"/>
        <v>9</v>
      </c>
      <c r="G902" s="11">
        <f t="shared" si="4"/>
        <v>9</v>
      </c>
      <c r="H902" s="1">
        <v>1.0</v>
      </c>
      <c r="S902" s="1">
        <v>1.0</v>
      </c>
      <c r="T902" s="1">
        <v>1.0</v>
      </c>
      <c r="U902" s="1">
        <v>25.0</v>
      </c>
      <c r="V902" s="1">
        <v>0.0</v>
      </c>
    </row>
    <row r="903">
      <c r="A903" s="1">
        <f t="shared" si="1"/>
        <v>900</v>
      </c>
      <c r="B903" s="1" t="s">
        <v>1959</v>
      </c>
      <c r="C903" s="1">
        <f t="shared" si="2"/>
        <v>900</v>
      </c>
      <c r="D903" s="1" t="s">
        <v>1111</v>
      </c>
      <c r="E903" s="1" t="s">
        <v>31</v>
      </c>
      <c r="F903" s="11">
        <f t="shared" si="3"/>
        <v>9</v>
      </c>
      <c r="G903" s="11">
        <f t="shared" si="4"/>
        <v>1.8</v>
      </c>
      <c r="H903" s="1">
        <v>5.0</v>
      </c>
      <c r="I903" s="1">
        <v>0.0</v>
      </c>
      <c r="J903" s="1">
        <v>1.0</v>
      </c>
      <c r="K903" s="1">
        <v>1.0</v>
      </c>
      <c r="L903" s="1">
        <v>2.0</v>
      </c>
      <c r="M903" s="1">
        <v>0.0</v>
      </c>
      <c r="N903" s="1">
        <v>0.0</v>
      </c>
      <c r="O903" s="1">
        <v>0.0</v>
      </c>
      <c r="P903" s="1">
        <v>0.0</v>
      </c>
      <c r="Q903" s="1">
        <v>6.0</v>
      </c>
      <c r="R903" s="1">
        <v>7.0</v>
      </c>
    </row>
    <row r="904">
      <c r="A904" s="1">
        <f t="shared" si="1"/>
        <v>902</v>
      </c>
      <c r="B904" s="1" t="s">
        <v>1957</v>
      </c>
      <c r="C904" s="1">
        <f t="shared" si="2"/>
        <v>902</v>
      </c>
      <c r="D904" s="1" t="s">
        <v>1065</v>
      </c>
      <c r="E904" s="1" t="s">
        <v>28</v>
      </c>
      <c r="F904" s="11">
        <f t="shared" si="3"/>
        <v>8.75</v>
      </c>
      <c r="G904" s="11">
        <f t="shared" si="4"/>
        <v>1.75</v>
      </c>
      <c r="H904" s="1">
        <v>5.0</v>
      </c>
      <c r="I904" s="1">
        <v>0.0</v>
      </c>
      <c r="J904" s="1">
        <v>0.0</v>
      </c>
      <c r="K904" s="1">
        <v>0.0</v>
      </c>
      <c r="L904" s="1">
        <v>7.0</v>
      </c>
      <c r="M904" s="1">
        <v>0.0</v>
      </c>
      <c r="N904" s="1">
        <v>0.0</v>
      </c>
      <c r="O904" s="1">
        <v>0.0</v>
      </c>
      <c r="P904" s="1">
        <v>0.0</v>
      </c>
      <c r="Q904" s="1">
        <v>11.0</v>
      </c>
      <c r="R904" s="1">
        <v>5.0</v>
      </c>
    </row>
    <row r="905">
      <c r="A905" s="1">
        <f t="shared" si="1"/>
        <v>902</v>
      </c>
      <c r="B905" s="1" t="s">
        <v>1965</v>
      </c>
      <c r="C905" s="1">
        <f t="shared" si="2"/>
        <v>902</v>
      </c>
      <c r="D905" s="1" t="s">
        <v>1082</v>
      </c>
      <c r="E905" s="1" t="s">
        <v>66</v>
      </c>
      <c r="F905" s="11">
        <f t="shared" si="3"/>
        <v>8.75</v>
      </c>
      <c r="G905" s="11">
        <f t="shared" si="4"/>
        <v>1.458333333</v>
      </c>
      <c r="H905" s="1">
        <v>6.0</v>
      </c>
      <c r="I905" s="1">
        <v>0.0</v>
      </c>
      <c r="J905" s="1">
        <v>1.0</v>
      </c>
      <c r="K905" s="1">
        <v>1.0</v>
      </c>
      <c r="L905" s="1">
        <v>4.0</v>
      </c>
      <c r="M905" s="1">
        <v>0.0</v>
      </c>
      <c r="N905" s="1">
        <v>0.0</v>
      </c>
      <c r="O905" s="1">
        <v>0.0</v>
      </c>
      <c r="P905" s="1">
        <v>0.0</v>
      </c>
      <c r="Q905" s="1">
        <v>1.0</v>
      </c>
      <c r="R905" s="1">
        <v>7.0</v>
      </c>
    </row>
    <row r="906">
      <c r="A906" s="1">
        <f t="shared" si="1"/>
        <v>902</v>
      </c>
      <c r="B906" s="1" t="s">
        <v>1954</v>
      </c>
      <c r="C906" s="1">
        <f t="shared" si="2"/>
        <v>902</v>
      </c>
      <c r="D906" s="1" t="s">
        <v>1044</v>
      </c>
      <c r="E906" s="1" t="s">
        <v>31</v>
      </c>
      <c r="F906" s="11">
        <f t="shared" si="3"/>
        <v>8.75</v>
      </c>
      <c r="G906" s="11">
        <f t="shared" si="4"/>
        <v>1.25</v>
      </c>
      <c r="H906" s="1">
        <v>7.0</v>
      </c>
      <c r="I906" s="1">
        <v>0.0</v>
      </c>
      <c r="J906" s="1">
        <v>0.0</v>
      </c>
      <c r="K906" s="1">
        <v>0.0</v>
      </c>
      <c r="L906" s="1">
        <v>5.0</v>
      </c>
      <c r="M906" s="1">
        <v>0.0</v>
      </c>
      <c r="N906" s="1">
        <v>0.0</v>
      </c>
      <c r="O906" s="1">
        <v>0.0</v>
      </c>
      <c r="P906" s="1">
        <v>0.0</v>
      </c>
      <c r="Q906" s="1">
        <v>13.0</v>
      </c>
      <c r="R906" s="1">
        <v>6.0</v>
      </c>
    </row>
    <row r="907">
      <c r="A907" s="1">
        <f t="shared" si="1"/>
        <v>905</v>
      </c>
      <c r="B907" s="1" t="s">
        <v>1971</v>
      </c>
      <c r="C907" s="1">
        <f t="shared" si="2"/>
        <v>905</v>
      </c>
      <c r="D907" s="1" t="s">
        <v>1052</v>
      </c>
      <c r="E907" s="1" t="s">
        <v>31</v>
      </c>
      <c r="F907" s="11">
        <f t="shared" si="3"/>
        <v>8.5</v>
      </c>
      <c r="G907" s="11">
        <f t="shared" si="4"/>
        <v>4.25</v>
      </c>
      <c r="H907" s="1">
        <v>2.0</v>
      </c>
      <c r="I907" s="1">
        <v>1.0</v>
      </c>
      <c r="J907" s="1">
        <v>1.0</v>
      </c>
      <c r="K907" s="1">
        <v>2.0</v>
      </c>
      <c r="L907" s="1">
        <v>1.0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1.0</v>
      </c>
    </row>
    <row r="908">
      <c r="A908" s="1">
        <f t="shared" si="1"/>
        <v>905</v>
      </c>
      <c r="B908" s="1" t="s">
        <v>1962</v>
      </c>
      <c r="C908" s="1">
        <f t="shared" si="2"/>
        <v>905</v>
      </c>
      <c r="D908" s="1" t="s">
        <v>1106</v>
      </c>
      <c r="E908" s="1" t="s">
        <v>28</v>
      </c>
      <c r="F908" s="11">
        <f t="shared" si="3"/>
        <v>8.5</v>
      </c>
      <c r="G908" s="11">
        <f t="shared" si="4"/>
        <v>1.0625</v>
      </c>
      <c r="H908" s="1">
        <v>8.0</v>
      </c>
      <c r="I908" s="1">
        <v>0.0</v>
      </c>
      <c r="J908" s="1">
        <v>1.0</v>
      </c>
      <c r="K908" s="1">
        <v>1.0</v>
      </c>
      <c r="L908" s="1">
        <v>4.0</v>
      </c>
      <c r="M908" s="1">
        <v>0.0</v>
      </c>
      <c r="N908" s="1">
        <v>0.0</v>
      </c>
      <c r="O908" s="1">
        <v>0.0</v>
      </c>
      <c r="P908" s="1">
        <v>0.0</v>
      </c>
      <c r="Q908" s="1">
        <v>10.0</v>
      </c>
      <c r="R908" s="1">
        <v>2.0</v>
      </c>
    </row>
    <row r="909">
      <c r="A909" s="1">
        <f t="shared" si="1"/>
        <v>907</v>
      </c>
      <c r="B909" s="1" t="s">
        <v>1969</v>
      </c>
      <c r="C909" s="1">
        <f t="shared" si="2"/>
        <v>907</v>
      </c>
      <c r="D909" s="1" t="s">
        <v>1097</v>
      </c>
      <c r="E909" s="1" t="s">
        <v>31</v>
      </c>
      <c r="F909" s="11">
        <f t="shared" si="3"/>
        <v>8.25</v>
      </c>
      <c r="G909" s="11">
        <f t="shared" si="4"/>
        <v>4.125</v>
      </c>
      <c r="H909" s="1">
        <v>2.0</v>
      </c>
      <c r="I909" s="1">
        <v>0.0</v>
      </c>
      <c r="J909" s="1">
        <v>2.0</v>
      </c>
      <c r="K909" s="1">
        <v>2.0</v>
      </c>
      <c r="L909" s="1">
        <v>3.0</v>
      </c>
      <c r="M909" s="1">
        <v>0.0</v>
      </c>
      <c r="N909" s="1">
        <v>0.0</v>
      </c>
      <c r="O909" s="1">
        <v>0.0</v>
      </c>
      <c r="P909" s="1">
        <v>0.0</v>
      </c>
      <c r="Q909" s="1">
        <v>3.0</v>
      </c>
      <c r="R909" s="1">
        <v>0.0</v>
      </c>
    </row>
    <row r="910">
      <c r="A910" s="1">
        <f t="shared" si="1"/>
        <v>907</v>
      </c>
      <c r="B910" s="1" t="s">
        <v>1970</v>
      </c>
      <c r="C910" s="1">
        <f t="shared" si="2"/>
        <v>907</v>
      </c>
      <c r="D910" s="1" t="s">
        <v>1076</v>
      </c>
      <c r="E910" s="1" t="s">
        <v>66</v>
      </c>
      <c r="F910" s="11">
        <f t="shared" si="3"/>
        <v>8.25</v>
      </c>
      <c r="G910" s="11">
        <f t="shared" si="4"/>
        <v>2.0625</v>
      </c>
      <c r="H910" s="1">
        <v>4.0</v>
      </c>
      <c r="I910" s="1">
        <v>0.0</v>
      </c>
      <c r="J910" s="1">
        <v>1.0</v>
      </c>
      <c r="K910" s="1">
        <v>1.0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3.0</v>
      </c>
      <c r="R910" s="1">
        <v>9.0</v>
      </c>
    </row>
    <row r="911">
      <c r="A911" s="1">
        <f t="shared" si="1"/>
        <v>907</v>
      </c>
      <c r="B911" s="1" t="s">
        <v>1967</v>
      </c>
      <c r="C911" s="1">
        <f t="shared" si="2"/>
        <v>907</v>
      </c>
      <c r="D911" s="1" t="s">
        <v>1048</v>
      </c>
      <c r="E911" s="1" t="s">
        <v>31</v>
      </c>
      <c r="F911" s="11">
        <f t="shared" si="3"/>
        <v>8.25</v>
      </c>
      <c r="G911" s="11">
        <f t="shared" si="4"/>
        <v>1.178571429</v>
      </c>
      <c r="H911" s="1">
        <v>7.0</v>
      </c>
      <c r="I911" s="1">
        <v>0.0</v>
      </c>
      <c r="J911" s="1">
        <v>0.0</v>
      </c>
      <c r="K911" s="1">
        <v>0.0</v>
      </c>
      <c r="L911" s="1">
        <v>11.0</v>
      </c>
      <c r="M911" s="1">
        <v>0.0</v>
      </c>
      <c r="N911" s="1">
        <v>0.0</v>
      </c>
      <c r="O911" s="1">
        <v>0.0</v>
      </c>
      <c r="P911" s="1">
        <v>0.0</v>
      </c>
      <c r="Q911" s="1">
        <v>5.0</v>
      </c>
      <c r="R911" s="1">
        <v>3.0</v>
      </c>
    </row>
    <row r="912">
      <c r="A912" s="1">
        <f t="shared" si="1"/>
        <v>910</v>
      </c>
      <c r="B912" s="1" t="s">
        <v>1966</v>
      </c>
      <c r="C912" s="1">
        <f t="shared" si="2"/>
        <v>910</v>
      </c>
      <c r="D912" s="1" t="s">
        <v>1034</v>
      </c>
      <c r="E912" s="1" t="s">
        <v>66</v>
      </c>
      <c r="F912" s="11">
        <f t="shared" si="3"/>
        <v>8</v>
      </c>
      <c r="G912" s="11">
        <f t="shared" si="4"/>
        <v>1.6</v>
      </c>
      <c r="H912" s="1">
        <v>5.0</v>
      </c>
      <c r="I912" s="1">
        <v>0.0</v>
      </c>
      <c r="J912" s="1">
        <v>0.0</v>
      </c>
      <c r="K912" s="1">
        <v>0.0</v>
      </c>
      <c r="L912" s="1">
        <v>6.0</v>
      </c>
      <c r="M912" s="1">
        <v>0.0</v>
      </c>
      <c r="N912" s="1">
        <v>0.0</v>
      </c>
      <c r="O912" s="1">
        <v>0.0</v>
      </c>
      <c r="P912" s="1">
        <v>0.0</v>
      </c>
      <c r="Q912" s="1">
        <v>8.0</v>
      </c>
      <c r="R912" s="1">
        <v>6.0</v>
      </c>
    </row>
    <row r="913">
      <c r="A913" s="1">
        <f t="shared" si="1"/>
        <v>911</v>
      </c>
      <c r="B913" s="1" t="s">
        <v>1974</v>
      </c>
      <c r="C913" s="1">
        <f t="shared" si="2"/>
        <v>911</v>
      </c>
      <c r="D913" s="1" t="s">
        <v>1097</v>
      </c>
      <c r="E913" s="1" t="s">
        <v>66</v>
      </c>
      <c r="F913" s="11">
        <f t="shared" si="3"/>
        <v>7.75</v>
      </c>
      <c r="G913" s="11">
        <f t="shared" si="4"/>
        <v>3.875</v>
      </c>
      <c r="H913" s="1">
        <v>2.0</v>
      </c>
      <c r="I913" s="1">
        <v>0.0</v>
      </c>
      <c r="J913" s="1">
        <v>2.0</v>
      </c>
      <c r="K913" s="1">
        <v>2.0</v>
      </c>
      <c r="L913" s="1">
        <v>3.0</v>
      </c>
      <c r="M913" s="1">
        <v>0.0</v>
      </c>
      <c r="N913" s="1">
        <v>0.0</v>
      </c>
      <c r="O913" s="1">
        <v>0.0</v>
      </c>
      <c r="P913" s="1">
        <v>0.0</v>
      </c>
      <c r="Q913" s="1">
        <v>1.0</v>
      </c>
      <c r="R913" s="1">
        <v>0.0</v>
      </c>
    </row>
    <row r="914">
      <c r="A914" s="1">
        <f t="shared" si="1"/>
        <v>912</v>
      </c>
      <c r="B914" s="1" t="s">
        <v>1976</v>
      </c>
      <c r="C914" s="1">
        <f t="shared" si="2"/>
        <v>912</v>
      </c>
      <c r="D914" s="1" t="s">
        <v>1146</v>
      </c>
      <c r="E914" s="1" t="s">
        <v>31</v>
      </c>
      <c r="F914" s="11">
        <f t="shared" si="3"/>
        <v>7.5</v>
      </c>
      <c r="G914" s="11">
        <f t="shared" si="4"/>
        <v>1.875</v>
      </c>
      <c r="H914" s="1">
        <v>4.0</v>
      </c>
      <c r="I914" s="1">
        <v>0.0</v>
      </c>
      <c r="J914" s="1">
        <v>0.0</v>
      </c>
      <c r="K914" s="1">
        <v>0.0</v>
      </c>
      <c r="L914" s="1">
        <v>6.0</v>
      </c>
      <c r="M914" s="1">
        <v>0.0</v>
      </c>
      <c r="N914" s="1">
        <v>0.0</v>
      </c>
      <c r="O914" s="1">
        <v>0.0</v>
      </c>
      <c r="P914" s="1">
        <v>0.0</v>
      </c>
      <c r="Q914" s="1">
        <v>2.0</v>
      </c>
      <c r="R914" s="1">
        <v>8.0</v>
      </c>
    </row>
    <row r="915">
      <c r="A915" s="1">
        <f t="shared" si="1"/>
        <v>912</v>
      </c>
      <c r="B915" s="1" t="s">
        <v>1973</v>
      </c>
      <c r="C915" s="1">
        <f t="shared" si="2"/>
        <v>912</v>
      </c>
      <c r="D915" s="1" t="s">
        <v>1044</v>
      </c>
      <c r="E915" s="1" t="s">
        <v>66</v>
      </c>
      <c r="F915" s="11">
        <f t="shared" si="3"/>
        <v>7.5</v>
      </c>
      <c r="G915" s="11">
        <f t="shared" si="4"/>
        <v>1.071428571</v>
      </c>
      <c r="H915" s="1">
        <v>7.0</v>
      </c>
      <c r="I915" s="1">
        <v>0.0</v>
      </c>
      <c r="J915" s="1">
        <v>0.0</v>
      </c>
      <c r="K915" s="1">
        <v>0.0</v>
      </c>
      <c r="L915" s="1">
        <v>6.0</v>
      </c>
      <c r="M915" s="1">
        <v>0.0</v>
      </c>
      <c r="N915" s="1">
        <v>0.0</v>
      </c>
      <c r="O915" s="1">
        <v>0.0</v>
      </c>
      <c r="P915" s="1">
        <v>0.0</v>
      </c>
      <c r="Q915" s="1">
        <v>6.0</v>
      </c>
      <c r="R915" s="1">
        <v>6.0</v>
      </c>
    </row>
    <row r="916">
      <c r="A916" s="1">
        <f t="shared" si="1"/>
        <v>914</v>
      </c>
      <c r="B916" s="1" t="s">
        <v>1975</v>
      </c>
      <c r="C916" s="1">
        <f t="shared" si="2"/>
        <v>914</v>
      </c>
      <c r="D916" s="1" t="s">
        <v>1116</v>
      </c>
      <c r="E916" s="1" t="s">
        <v>36</v>
      </c>
      <c r="F916" s="11">
        <f t="shared" si="3"/>
        <v>7.25</v>
      </c>
      <c r="G916" s="11">
        <f t="shared" si="4"/>
        <v>7.25</v>
      </c>
      <c r="H916" s="1">
        <v>1.0</v>
      </c>
      <c r="I916" s="1">
        <v>1.0</v>
      </c>
      <c r="J916" s="1">
        <v>0.0</v>
      </c>
      <c r="K916" s="1">
        <v>1.0</v>
      </c>
      <c r="L916" s="1">
        <v>3.0</v>
      </c>
      <c r="M916" s="1">
        <v>0.0</v>
      </c>
      <c r="N916" s="1">
        <v>0.0</v>
      </c>
      <c r="O916" s="1">
        <v>0.0</v>
      </c>
      <c r="P916" s="1">
        <v>0.0</v>
      </c>
      <c r="Q916" s="1">
        <v>5.0</v>
      </c>
      <c r="R916" s="1">
        <v>0.0</v>
      </c>
    </row>
    <row r="917">
      <c r="A917" s="1">
        <f t="shared" si="1"/>
        <v>915</v>
      </c>
      <c r="B917" s="1" t="s">
        <v>1978</v>
      </c>
      <c r="C917" s="1">
        <f t="shared" si="2"/>
        <v>915</v>
      </c>
      <c r="D917" s="1" t="s">
        <v>1175</v>
      </c>
      <c r="E917" s="1" t="s">
        <v>5</v>
      </c>
      <c r="F917" s="11">
        <f t="shared" si="3"/>
        <v>7.2</v>
      </c>
      <c r="G917" s="11">
        <f t="shared" si="4"/>
        <v>3.6</v>
      </c>
      <c r="H917" s="1">
        <v>2.0</v>
      </c>
      <c r="S917" s="1">
        <v>0.0</v>
      </c>
      <c r="T917" s="1">
        <v>1.0</v>
      </c>
      <c r="U917" s="1">
        <v>29.0</v>
      </c>
      <c r="V917" s="1">
        <v>0.0</v>
      </c>
    </row>
    <row r="918">
      <c r="A918" s="1">
        <f t="shared" si="1"/>
        <v>916</v>
      </c>
      <c r="B918" s="1" t="s">
        <v>1977</v>
      </c>
      <c r="C918" s="1">
        <f t="shared" si="2"/>
        <v>916</v>
      </c>
      <c r="D918" s="1" t="s">
        <v>1038</v>
      </c>
      <c r="E918" s="1" t="s">
        <v>31</v>
      </c>
      <c r="F918" s="11">
        <f t="shared" si="3"/>
        <v>7</v>
      </c>
      <c r="G918" s="11">
        <f t="shared" si="4"/>
        <v>7</v>
      </c>
      <c r="H918" s="1">
        <v>1.0</v>
      </c>
      <c r="I918" s="1">
        <v>1.0</v>
      </c>
      <c r="J918" s="1">
        <v>0.0</v>
      </c>
      <c r="K918" s="1">
        <v>1.0</v>
      </c>
      <c r="L918" s="1">
        <v>2.0</v>
      </c>
      <c r="M918" s="1">
        <v>0.0</v>
      </c>
      <c r="N918" s="1">
        <v>0.0</v>
      </c>
      <c r="O918" s="1">
        <v>0.0</v>
      </c>
      <c r="P918" s="1">
        <v>0.0</v>
      </c>
      <c r="Q918" s="1">
        <v>4.0</v>
      </c>
      <c r="R918" s="1">
        <v>1.0</v>
      </c>
    </row>
    <row r="919">
      <c r="A919" s="1">
        <f t="shared" si="1"/>
        <v>916</v>
      </c>
      <c r="B919" s="1" t="s">
        <v>1972</v>
      </c>
      <c r="C919" s="1">
        <f t="shared" si="2"/>
        <v>916</v>
      </c>
      <c r="D919" s="1" t="s">
        <v>1080</v>
      </c>
      <c r="E919" s="1" t="s">
        <v>28</v>
      </c>
      <c r="F919" s="11">
        <f t="shared" si="3"/>
        <v>7</v>
      </c>
      <c r="G919" s="11">
        <f t="shared" si="4"/>
        <v>1.166666667</v>
      </c>
      <c r="H919" s="1">
        <v>6.0</v>
      </c>
      <c r="I919" s="1">
        <v>0.0</v>
      </c>
      <c r="J919" s="1">
        <v>0.0</v>
      </c>
      <c r="K919" s="1">
        <v>0.0</v>
      </c>
      <c r="L919" s="1">
        <v>5.0</v>
      </c>
      <c r="M919" s="1">
        <v>0.0</v>
      </c>
      <c r="N919" s="1">
        <v>0.0</v>
      </c>
      <c r="O919" s="1">
        <v>0.0</v>
      </c>
      <c r="P919" s="1">
        <v>0.0</v>
      </c>
      <c r="Q919" s="1">
        <v>14.0</v>
      </c>
      <c r="R919" s="1">
        <v>2.0</v>
      </c>
    </row>
    <row r="920">
      <c r="A920" s="1">
        <f t="shared" si="1"/>
        <v>918</v>
      </c>
      <c r="B920" s="1" t="s">
        <v>1981</v>
      </c>
      <c r="C920" s="1">
        <f t="shared" si="2"/>
        <v>918</v>
      </c>
      <c r="D920" s="1" t="s">
        <v>1076</v>
      </c>
      <c r="E920" s="1" t="s">
        <v>31</v>
      </c>
      <c r="F920" s="11">
        <f t="shared" si="3"/>
        <v>6.75</v>
      </c>
      <c r="G920" s="11">
        <f t="shared" si="4"/>
        <v>3.375</v>
      </c>
      <c r="H920" s="1">
        <v>2.0</v>
      </c>
      <c r="I920" s="1">
        <v>1.0</v>
      </c>
      <c r="J920" s="1">
        <v>0.0</v>
      </c>
      <c r="K920" s="1">
        <v>1.0</v>
      </c>
      <c r="L920" s="1">
        <v>3.0</v>
      </c>
      <c r="M920" s="1">
        <v>0.0</v>
      </c>
      <c r="N920" s="1">
        <v>0.0</v>
      </c>
      <c r="O920" s="1">
        <v>0.0</v>
      </c>
      <c r="P920" s="1">
        <v>0.0</v>
      </c>
      <c r="Q920" s="1">
        <v>1.0</v>
      </c>
      <c r="R920" s="1">
        <v>1.0</v>
      </c>
    </row>
    <row r="921">
      <c r="A921" s="1">
        <f t="shared" si="1"/>
        <v>919</v>
      </c>
      <c r="B921" s="1" t="s">
        <v>1968</v>
      </c>
      <c r="C921" s="1">
        <f t="shared" si="2"/>
        <v>919</v>
      </c>
      <c r="D921" s="1" t="s">
        <v>1044</v>
      </c>
      <c r="E921" s="1" t="s">
        <v>28</v>
      </c>
      <c r="F921" s="11">
        <f t="shared" si="3"/>
        <v>6.5</v>
      </c>
      <c r="G921" s="11">
        <f t="shared" si="4"/>
        <v>1.083333333</v>
      </c>
      <c r="H921" s="1">
        <v>6.0</v>
      </c>
      <c r="I921" s="1">
        <v>0.0</v>
      </c>
      <c r="J921" s="1">
        <v>0.0</v>
      </c>
      <c r="K921" s="1">
        <v>0.0</v>
      </c>
      <c r="L921" s="1">
        <v>1.0</v>
      </c>
      <c r="M921" s="1">
        <v>0.0</v>
      </c>
      <c r="N921" s="1">
        <v>0.0</v>
      </c>
      <c r="O921" s="1">
        <v>0.0</v>
      </c>
      <c r="P921" s="1">
        <v>0.0</v>
      </c>
      <c r="Q921" s="1">
        <v>22.0</v>
      </c>
      <c r="R921" s="1">
        <v>1.0</v>
      </c>
    </row>
    <row r="922">
      <c r="A922" s="1">
        <f t="shared" si="1"/>
        <v>920</v>
      </c>
      <c r="B922" s="1" t="s">
        <v>1979</v>
      </c>
      <c r="C922" s="1">
        <f t="shared" si="2"/>
        <v>920</v>
      </c>
      <c r="D922" s="1" t="s">
        <v>1082</v>
      </c>
      <c r="E922" s="1" t="s">
        <v>66</v>
      </c>
      <c r="F922" s="11">
        <f t="shared" si="3"/>
        <v>6.25</v>
      </c>
      <c r="G922" s="11">
        <f t="shared" si="4"/>
        <v>2.083333333</v>
      </c>
      <c r="H922" s="1">
        <v>3.0</v>
      </c>
      <c r="I922" s="1">
        <v>0.0</v>
      </c>
      <c r="J922" s="1">
        <v>1.0</v>
      </c>
      <c r="K922" s="1">
        <v>1.0</v>
      </c>
      <c r="L922" s="1">
        <v>1.0</v>
      </c>
      <c r="M922" s="1">
        <v>0.0</v>
      </c>
      <c r="N922" s="1">
        <v>0.0</v>
      </c>
      <c r="O922" s="1">
        <v>0.0</v>
      </c>
      <c r="P922" s="1">
        <v>0.0</v>
      </c>
      <c r="Q922" s="1">
        <v>9.0</v>
      </c>
      <c r="R922" s="1">
        <v>1.0</v>
      </c>
    </row>
    <row r="923">
      <c r="A923" s="1">
        <f t="shared" si="1"/>
        <v>921</v>
      </c>
      <c r="B923" s="1" t="s">
        <v>1986</v>
      </c>
      <c r="C923" s="1">
        <f t="shared" si="2"/>
        <v>921</v>
      </c>
      <c r="D923" s="1" t="s">
        <v>1172</v>
      </c>
      <c r="E923" s="1" t="s">
        <v>31</v>
      </c>
      <c r="F923" s="11">
        <f t="shared" si="3"/>
        <v>6</v>
      </c>
      <c r="G923" s="11">
        <f t="shared" si="4"/>
        <v>2</v>
      </c>
      <c r="H923" s="1">
        <v>3.0</v>
      </c>
      <c r="I923" s="1">
        <v>1.0</v>
      </c>
      <c r="J923" s="1">
        <v>0.0</v>
      </c>
      <c r="K923" s="1">
        <v>1.0</v>
      </c>
      <c r="L923" s="1">
        <v>2.0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1.0</v>
      </c>
    </row>
    <row r="924">
      <c r="A924" s="1">
        <f t="shared" si="1"/>
        <v>921</v>
      </c>
      <c r="B924" s="1" t="s">
        <v>1983</v>
      </c>
      <c r="C924" s="1">
        <f t="shared" si="2"/>
        <v>921</v>
      </c>
      <c r="D924" s="1" t="s">
        <v>1085</v>
      </c>
      <c r="E924" s="1" t="s">
        <v>66</v>
      </c>
      <c r="F924" s="11">
        <f t="shared" si="3"/>
        <v>6</v>
      </c>
      <c r="G924" s="11">
        <f t="shared" si="4"/>
        <v>1.2</v>
      </c>
      <c r="H924" s="1">
        <v>5.0</v>
      </c>
      <c r="I924" s="1">
        <v>0.0</v>
      </c>
      <c r="J924" s="1">
        <v>0.0</v>
      </c>
      <c r="K924" s="1">
        <v>0.0</v>
      </c>
      <c r="L924" s="1">
        <v>5.0</v>
      </c>
      <c r="M924" s="1">
        <v>0.0</v>
      </c>
      <c r="N924" s="1">
        <v>0.0</v>
      </c>
      <c r="O924" s="1">
        <v>0.0</v>
      </c>
      <c r="P924" s="1">
        <v>0.0</v>
      </c>
      <c r="Q924" s="1">
        <v>4.0</v>
      </c>
      <c r="R924" s="1">
        <v>5.0</v>
      </c>
    </row>
    <row r="925">
      <c r="A925" s="1">
        <f t="shared" si="1"/>
        <v>923</v>
      </c>
      <c r="B925" s="1" t="s">
        <v>1988</v>
      </c>
      <c r="C925" s="1">
        <f t="shared" si="2"/>
        <v>923</v>
      </c>
      <c r="D925" s="1" t="s">
        <v>1080</v>
      </c>
      <c r="E925" s="1" t="s">
        <v>66</v>
      </c>
      <c r="F925" s="11">
        <f t="shared" si="3"/>
        <v>5.75</v>
      </c>
      <c r="G925" s="11">
        <f t="shared" si="4"/>
        <v>2.875</v>
      </c>
      <c r="H925" s="1">
        <v>2.0</v>
      </c>
      <c r="I925" s="1">
        <v>0.0</v>
      </c>
      <c r="J925" s="1">
        <v>1.0</v>
      </c>
      <c r="K925" s="1">
        <v>1.0</v>
      </c>
      <c r="L925" s="1">
        <v>3.0</v>
      </c>
      <c r="M925" s="1">
        <v>0.0</v>
      </c>
      <c r="N925" s="1">
        <v>1.0</v>
      </c>
      <c r="O925" s="1">
        <v>0.0</v>
      </c>
      <c r="P925" s="1">
        <v>0.0</v>
      </c>
      <c r="Q925" s="1">
        <v>1.0</v>
      </c>
      <c r="R925" s="1">
        <v>2.0</v>
      </c>
    </row>
    <row r="926">
      <c r="A926" s="1">
        <f t="shared" si="1"/>
        <v>923</v>
      </c>
      <c r="B926" s="1" t="s">
        <v>1982</v>
      </c>
      <c r="C926" s="1">
        <f t="shared" si="2"/>
        <v>923</v>
      </c>
      <c r="D926" s="1" t="s">
        <v>1172</v>
      </c>
      <c r="E926" s="1" t="s">
        <v>28</v>
      </c>
      <c r="F926" s="11">
        <f t="shared" si="3"/>
        <v>5.75</v>
      </c>
      <c r="G926" s="11">
        <f t="shared" si="4"/>
        <v>1.4375</v>
      </c>
      <c r="H926" s="1">
        <v>4.0</v>
      </c>
      <c r="I926" s="1">
        <v>0.0</v>
      </c>
      <c r="J926" s="1">
        <v>0.0</v>
      </c>
      <c r="K926" s="1">
        <v>0.0</v>
      </c>
      <c r="L926" s="1">
        <v>1.0</v>
      </c>
      <c r="M926" s="1">
        <v>0.0</v>
      </c>
      <c r="N926" s="1">
        <v>0.0</v>
      </c>
      <c r="O926" s="1">
        <v>0.0</v>
      </c>
      <c r="P926" s="1">
        <v>0.0</v>
      </c>
      <c r="Q926" s="1">
        <v>9.0</v>
      </c>
      <c r="R926" s="1">
        <v>6.0</v>
      </c>
    </row>
    <row r="927">
      <c r="A927" s="1">
        <f t="shared" si="1"/>
        <v>923</v>
      </c>
      <c r="B927" s="1" t="s">
        <v>1980</v>
      </c>
      <c r="C927" s="1">
        <f t="shared" si="2"/>
        <v>923</v>
      </c>
      <c r="D927" s="1" t="s">
        <v>1036</v>
      </c>
      <c r="E927" s="1" t="s">
        <v>31</v>
      </c>
      <c r="F927" s="11">
        <f t="shared" si="3"/>
        <v>5.75</v>
      </c>
      <c r="G927" s="11">
        <f t="shared" si="4"/>
        <v>0.8214285714</v>
      </c>
      <c r="H927" s="1">
        <v>7.0</v>
      </c>
      <c r="I927" s="1">
        <v>0.0</v>
      </c>
      <c r="J927" s="1">
        <v>0.0</v>
      </c>
      <c r="K927" s="1">
        <v>0.0</v>
      </c>
      <c r="L927" s="1">
        <v>4.0</v>
      </c>
      <c r="M927" s="1">
        <v>0.0</v>
      </c>
      <c r="N927" s="1">
        <v>0.0</v>
      </c>
      <c r="O927" s="1">
        <v>0.0</v>
      </c>
      <c r="P927" s="1">
        <v>0.0</v>
      </c>
      <c r="Q927" s="1">
        <v>13.0</v>
      </c>
      <c r="R927" s="1">
        <v>1.0</v>
      </c>
    </row>
    <row r="928">
      <c r="A928" s="1">
        <f t="shared" si="1"/>
        <v>923</v>
      </c>
      <c r="B928" s="1" t="s">
        <v>1985</v>
      </c>
      <c r="C928" s="1">
        <f t="shared" si="2"/>
        <v>923</v>
      </c>
      <c r="D928" s="1" t="s">
        <v>1076</v>
      </c>
      <c r="E928" s="1" t="s">
        <v>31</v>
      </c>
      <c r="F928" s="11">
        <f t="shared" si="3"/>
        <v>5.75</v>
      </c>
      <c r="G928" s="11">
        <f t="shared" si="4"/>
        <v>0.71875</v>
      </c>
      <c r="H928" s="1">
        <v>8.0</v>
      </c>
      <c r="I928" s="1">
        <v>0.0</v>
      </c>
      <c r="J928" s="1">
        <v>0.0</v>
      </c>
      <c r="K928" s="1">
        <v>0.0</v>
      </c>
      <c r="L928" s="1">
        <v>7.0</v>
      </c>
      <c r="M928" s="1">
        <v>0.0</v>
      </c>
      <c r="N928" s="1">
        <v>0.0</v>
      </c>
      <c r="O928" s="1">
        <v>0.0</v>
      </c>
      <c r="P928" s="1">
        <v>0.0</v>
      </c>
      <c r="Q928" s="1">
        <v>3.0</v>
      </c>
      <c r="R928" s="1">
        <v>3.0</v>
      </c>
    </row>
    <row r="929">
      <c r="A929" s="1">
        <f t="shared" si="1"/>
        <v>927</v>
      </c>
      <c r="B929" s="1" t="s">
        <v>1992</v>
      </c>
      <c r="C929" s="1">
        <f t="shared" si="2"/>
        <v>927</v>
      </c>
      <c r="D929" s="1" t="s">
        <v>1156</v>
      </c>
      <c r="E929" s="1" t="s">
        <v>31</v>
      </c>
      <c r="F929" s="11">
        <f t="shared" si="3"/>
        <v>5.5</v>
      </c>
      <c r="G929" s="11">
        <f t="shared" si="4"/>
        <v>5.5</v>
      </c>
      <c r="H929" s="1">
        <v>1.0</v>
      </c>
      <c r="I929" s="1">
        <v>1.0</v>
      </c>
      <c r="J929" s="1">
        <v>0.0</v>
      </c>
      <c r="K929" s="1">
        <v>1.0</v>
      </c>
      <c r="L929" s="1">
        <v>2.0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</row>
    <row r="930">
      <c r="A930" s="1">
        <f t="shared" si="1"/>
        <v>927</v>
      </c>
      <c r="B930" s="1" t="s">
        <v>1993</v>
      </c>
      <c r="C930" s="1">
        <f t="shared" si="2"/>
        <v>927</v>
      </c>
      <c r="D930" s="1" t="s">
        <v>1030</v>
      </c>
      <c r="E930" s="1" t="s">
        <v>31</v>
      </c>
      <c r="F930" s="11">
        <f t="shared" si="3"/>
        <v>5.5</v>
      </c>
      <c r="G930" s="11">
        <f t="shared" si="4"/>
        <v>1.375</v>
      </c>
      <c r="H930" s="1">
        <v>4.0</v>
      </c>
      <c r="I930" s="1">
        <v>1.0</v>
      </c>
      <c r="J930" s="1">
        <v>0.0</v>
      </c>
      <c r="K930" s="1">
        <v>1.0</v>
      </c>
      <c r="L930" s="1">
        <v>2.0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</row>
    <row r="931">
      <c r="A931" s="1">
        <f t="shared" si="1"/>
        <v>927</v>
      </c>
      <c r="B931" s="1" t="s">
        <v>1984</v>
      </c>
      <c r="C931" s="1">
        <f t="shared" si="2"/>
        <v>927</v>
      </c>
      <c r="D931" s="1" t="s">
        <v>1175</v>
      </c>
      <c r="E931" s="1" t="s">
        <v>28</v>
      </c>
      <c r="F931" s="11">
        <f t="shared" si="3"/>
        <v>5.5</v>
      </c>
      <c r="G931" s="11">
        <f t="shared" si="4"/>
        <v>0.9166666667</v>
      </c>
      <c r="H931" s="1">
        <v>6.0</v>
      </c>
      <c r="I931" s="1">
        <v>0.0</v>
      </c>
      <c r="J931" s="1">
        <v>0.0</v>
      </c>
      <c r="K931" s="1">
        <v>0.0</v>
      </c>
      <c r="L931" s="1">
        <v>3.0</v>
      </c>
      <c r="M931" s="1">
        <v>0.0</v>
      </c>
      <c r="N931" s="1">
        <v>0.0</v>
      </c>
      <c r="O931" s="1">
        <v>0.0</v>
      </c>
      <c r="P931" s="1">
        <v>0.0</v>
      </c>
      <c r="Q931" s="1">
        <v>6.0</v>
      </c>
      <c r="R931" s="1">
        <v>5.0</v>
      </c>
    </row>
    <row r="932">
      <c r="A932" s="1">
        <f t="shared" si="1"/>
        <v>930</v>
      </c>
      <c r="B932" s="1" t="s">
        <v>1996</v>
      </c>
      <c r="C932" s="1">
        <f t="shared" si="2"/>
        <v>930</v>
      </c>
      <c r="D932" s="1" t="s">
        <v>1120</v>
      </c>
      <c r="E932" s="1" t="s">
        <v>5</v>
      </c>
      <c r="F932" s="11">
        <f t="shared" si="3"/>
        <v>5.4</v>
      </c>
      <c r="G932" s="11">
        <f t="shared" si="4"/>
        <v>5.4</v>
      </c>
      <c r="H932" s="1">
        <v>1.0</v>
      </c>
      <c r="S932" s="1">
        <v>0.0</v>
      </c>
      <c r="T932" s="1">
        <v>3.0</v>
      </c>
      <c r="U932" s="1">
        <v>33.0</v>
      </c>
      <c r="V932" s="1">
        <v>0.0</v>
      </c>
    </row>
    <row r="933">
      <c r="A933" s="1">
        <f t="shared" si="1"/>
        <v>931</v>
      </c>
      <c r="B933" s="1" t="s">
        <v>1987</v>
      </c>
      <c r="C933" s="1">
        <f t="shared" si="2"/>
        <v>931</v>
      </c>
      <c r="D933" s="1" t="s">
        <v>1106</v>
      </c>
      <c r="E933" s="1" t="s">
        <v>28</v>
      </c>
      <c r="F933" s="11">
        <f t="shared" si="3"/>
        <v>5.25</v>
      </c>
      <c r="G933" s="11">
        <f t="shared" si="4"/>
        <v>1.05</v>
      </c>
      <c r="H933" s="1">
        <v>5.0</v>
      </c>
      <c r="I933" s="1">
        <v>0.0</v>
      </c>
      <c r="J933" s="1">
        <v>0.0</v>
      </c>
      <c r="K933" s="1">
        <v>0.0</v>
      </c>
      <c r="L933" s="1">
        <v>4.0</v>
      </c>
      <c r="M933" s="1">
        <v>0.0</v>
      </c>
      <c r="N933" s="1">
        <v>0.0</v>
      </c>
      <c r="O933" s="1">
        <v>0.0</v>
      </c>
      <c r="P933" s="1">
        <v>0.0</v>
      </c>
      <c r="Q933" s="1">
        <v>7.0</v>
      </c>
      <c r="R933" s="1">
        <v>3.0</v>
      </c>
    </row>
    <row r="934">
      <c r="A934" s="1">
        <f t="shared" si="1"/>
        <v>931</v>
      </c>
      <c r="B934" s="1" t="s">
        <v>1991</v>
      </c>
      <c r="C934" s="1">
        <f t="shared" si="2"/>
        <v>931</v>
      </c>
      <c r="D934" s="1" t="s">
        <v>1082</v>
      </c>
      <c r="E934" s="1" t="s">
        <v>66</v>
      </c>
      <c r="F934" s="11">
        <f t="shared" si="3"/>
        <v>5.25</v>
      </c>
      <c r="G934" s="11">
        <f t="shared" si="4"/>
        <v>0.875</v>
      </c>
      <c r="H934" s="1">
        <v>6.0</v>
      </c>
      <c r="I934" s="1">
        <v>0.0</v>
      </c>
      <c r="J934" s="1">
        <v>0.0</v>
      </c>
      <c r="K934" s="1">
        <v>0.0</v>
      </c>
      <c r="L934" s="1">
        <v>6.0</v>
      </c>
      <c r="M934" s="1">
        <v>0.0</v>
      </c>
      <c r="N934" s="1">
        <v>0.0</v>
      </c>
      <c r="O934" s="1">
        <v>0.0</v>
      </c>
      <c r="P934" s="1">
        <v>0.0</v>
      </c>
      <c r="Q934" s="1">
        <v>3.0</v>
      </c>
      <c r="R934" s="1">
        <v>3.0</v>
      </c>
    </row>
    <row r="935">
      <c r="A935" s="1">
        <f t="shared" si="1"/>
        <v>933</v>
      </c>
      <c r="B935" s="1" t="s">
        <v>1998</v>
      </c>
      <c r="C935" s="1">
        <f t="shared" si="2"/>
        <v>933</v>
      </c>
      <c r="D935" s="1" t="s">
        <v>1156</v>
      </c>
      <c r="E935" s="1" t="s">
        <v>5</v>
      </c>
      <c r="F935" s="11">
        <f t="shared" si="3"/>
        <v>5.1</v>
      </c>
      <c r="G935" s="11">
        <f t="shared" si="4"/>
        <v>5.1</v>
      </c>
      <c r="H935" s="1">
        <v>1.0</v>
      </c>
      <c r="S935" s="1">
        <v>0.0</v>
      </c>
      <c r="T935" s="1">
        <v>3.0</v>
      </c>
      <c r="U935" s="1">
        <v>32.0</v>
      </c>
      <c r="V935" s="1">
        <v>0.0</v>
      </c>
    </row>
    <row r="936">
      <c r="A936" s="1">
        <f t="shared" si="1"/>
        <v>934</v>
      </c>
      <c r="B936" s="1" t="s">
        <v>1989</v>
      </c>
      <c r="C936" s="1">
        <f t="shared" si="2"/>
        <v>934</v>
      </c>
      <c r="D936" s="1" t="s">
        <v>1042</v>
      </c>
      <c r="E936" s="1" t="s">
        <v>28</v>
      </c>
      <c r="F936" s="11">
        <f t="shared" si="3"/>
        <v>5</v>
      </c>
      <c r="G936" s="11">
        <f t="shared" si="4"/>
        <v>2.5</v>
      </c>
      <c r="H936" s="1">
        <v>2.0</v>
      </c>
      <c r="I936" s="1">
        <v>0.0</v>
      </c>
      <c r="J936" s="1">
        <v>0.0</v>
      </c>
      <c r="K936" s="1">
        <v>0.0</v>
      </c>
      <c r="L936" s="1">
        <v>5.0</v>
      </c>
      <c r="M936" s="1">
        <v>0.0</v>
      </c>
      <c r="N936" s="1">
        <v>0.0</v>
      </c>
      <c r="O936" s="1">
        <v>0.0</v>
      </c>
      <c r="P936" s="1">
        <v>0.0</v>
      </c>
      <c r="Q936" s="1">
        <v>6.0</v>
      </c>
      <c r="R936" s="1">
        <v>2.0</v>
      </c>
    </row>
    <row r="937">
      <c r="A937" s="1">
        <f t="shared" si="1"/>
        <v>934</v>
      </c>
      <c r="B937" s="1" t="s">
        <v>1990</v>
      </c>
      <c r="C937" s="1">
        <f t="shared" si="2"/>
        <v>934</v>
      </c>
      <c r="D937" s="1" t="s">
        <v>1040</v>
      </c>
      <c r="E937" s="1" t="s">
        <v>28</v>
      </c>
      <c r="F937" s="11">
        <f t="shared" si="3"/>
        <v>5</v>
      </c>
      <c r="G937" s="11">
        <f t="shared" si="4"/>
        <v>1.666666667</v>
      </c>
      <c r="H937" s="1">
        <v>3.0</v>
      </c>
      <c r="I937" s="1">
        <v>0.0</v>
      </c>
      <c r="J937" s="1">
        <v>0.0</v>
      </c>
      <c r="K937" s="1">
        <v>0.0</v>
      </c>
      <c r="L937" s="1">
        <v>6.0</v>
      </c>
      <c r="M937" s="1">
        <v>0.0</v>
      </c>
      <c r="N937" s="1">
        <v>0.0</v>
      </c>
      <c r="O937" s="1">
        <v>0.0</v>
      </c>
      <c r="P937" s="1">
        <v>0.0</v>
      </c>
      <c r="Q937" s="1">
        <v>6.0</v>
      </c>
      <c r="R937" s="1">
        <v>1.0</v>
      </c>
    </row>
    <row r="938">
      <c r="A938" s="1">
        <f t="shared" si="1"/>
        <v>934</v>
      </c>
      <c r="B938" s="1" t="s">
        <v>1997</v>
      </c>
      <c r="C938" s="1">
        <f t="shared" si="2"/>
        <v>934</v>
      </c>
      <c r="D938" s="1" t="s">
        <v>1048</v>
      </c>
      <c r="E938" s="1" t="s">
        <v>66</v>
      </c>
      <c r="F938" s="11">
        <f t="shared" si="3"/>
        <v>5</v>
      </c>
      <c r="G938" s="11">
        <f t="shared" si="4"/>
        <v>1.25</v>
      </c>
      <c r="H938" s="1">
        <v>4.0</v>
      </c>
      <c r="I938" s="1">
        <v>0.0</v>
      </c>
      <c r="J938" s="1">
        <v>0.0</v>
      </c>
      <c r="K938" s="1">
        <v>0.0</v>
      </c>
      <c r="L938" s="1">
        <v>1.0</v>
      </c>
      <c r="M938" s="1">
        <v>0.0</v>
      </c>
      <c r="N938" s="1">
        <v>0.0</v>
      </c>
      <c r="O938" s="1">
        <v>0.0</v>
      </c>
      <c r="P938" s="1">
        <v>0.0</v>
      </c>
      <c r="Q938" s="1">
        <v>4.0</v>
      </c>
      <c r="R938" s="1">
        <v>7.0</v>
      </c>
    </row>
    <row r="939">
      <c r="A939" s="1">
        <f t="shared" si="1"/>
        <v>934</v>
      </c>
      <c r="B939" s="1" t="s">
        <v>1999</v>
      </c>
      <c r="C939" s="1">
        <f t="shared" si="2"/>
        <v>934</v>
      </c>
      <c r="D939" s="1" t="s">
        <v>1067</v>
      </c>
      <c r="E939" s="1" t="s">
        <v>28</v>
      </c>
      <c r="F939" s="11">
        <f t="shared" si="3"/>
        <v>5</v>
      </c>
      <c r="G939" s="11">
        <f t="shared" si="4"/>
        <v>0.7142857143</v>
      </c>
      <c r="H939" s="1">
        <v>7.0</v>
      </c>
      <c r="I939" s="1">
        <v>0.0</v>
      </c>
      <c r="J939" s="1">
        <v>0.0</v>
      </c>
      <c r="K939" s="1">
        <v>0.0</v>
      </c>
      <c r="L939" s="1">
        <v>8.0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2.0</v>
      </c>
    </row>
    <row r="940">
      <c r="A940" s="1">
        <f t="shared" si="1"/>
        <v>938</v>
      </c>
      <c r="B940" s="1" t="s">
        <v>2001</v>
      </c>
      <c r="C940" s="1">
        <f t="shared" si="2"/>
        <v>938</v>
      </c>
      <c r="D940" s="1" t="s">
        <v>1097</v>
      </c>
      <c r="E940" s="1" t="s">
        <v>66</v>
      </c>
      <c r="F940" s="11">
        <f t="shared" si="3"/>
        <v>4.75</v>
      </c>
      <c r="G940" s="11">
        <f t="shared" si="4"/>
        <v>4.75</v>
      </c>
      <c r="H940" s="1">
        <v>1.0</v>
      </c>
      <c r="I940" s="1">
        <v>0.0</v>
      </c>
      <c r="J940" s="1">
        <v>1.0</v>
      </c>
      <c r="K940" s="1">
        <v>1.0</v>
      </c>
      <c r="L940" s="1">
        <v>2.0</v>
      </c>
      <c r="M940" s="1">
        <v>0.0</v>
      </c>
      <c r="N940" s="1">
        <v>0.0</v>
      </c>
      <c r="O940" s="1">
        <v>0.0</v>
      </c>
      <c r="P940" s="1">
        <v>0.0</v>
      </c>
      <c r="Q940" s="1">
        <v>1.0</v>
      </c>
      <c r="R940" s="1">
        <v>1.0</v>
      </c>
    </row>
    <row r="941">
      <c r="A941" s="1">
        <f t="shared" si="1"/>
        <v>938</v>
      </c>
      <c r="B941" s="1" t="s">
        <v>1995</v>
      </c>
      <c r="C941" s="1">
        <f t="shared" si="2"/>
        <v>938</v>
      </c>
      <c r="D941" s="1" t="s">
        <v>1046</v>
      </c>
      <c r="E941" s="1" t="s">
        <v>28</v>
      </c>
      <c r="F941" s="11">
        <f t="shared" si="3"/>
        <v>4.75</v>
      </c>
      <c r="G941" s="11">
        <f t="shared" si="4"/>
        <v>0.59375</v>
      </c>
      <c r="H941" s="1">
        <v>8.0</v>
      </c>
      <c r="I941" s="1">
        <v>0.0</v>
      </c>
      <c r="J941" s="1">
        <v>0.0</v>
      </c>
      <c r="K941" s="1">
        <v>0.0</v>
      </c>
      <c r="L941" s="1">
        <v>4.0</v>
      </c>
      <c r="M941" s="1">
        <v>0.0</v>
      </c>
      <c r="N941" s="1">
        <v>0.0</v>
      </c>
      <c r="O941" s="1">
        <v>0.0</v>
      </c>
      <c r="P941" s="1">
        <v>0.0</v>
      </c>
      <c r="Q941" s="1">
        <v>7.0</v>
      </c>
      <c r="R941" s="1">
        <v>2.0</v>
      </c>
    </row>
    <row r="942">
      <c r="A942" s="1">
        <f t="shared" si="1"/>
        <v>940</v>
      </c>
      <c r="B942" s="1" t="s">
        <v>2006</v>
      </c>
      <c r="C942" s="1">
        <f t="shared" si="2"/>
        <v>940</v>
      </c>
      <c r="D942" s="1" t="s">
        <v>1065</v>
      </c>
      <c r="E942" s="1" t="s">
        <v>28</v>
      </c>
      <c r="F942" s="11">
        <f t="shared" si="3"/>
        <v>4.5</v>
      </c>
      <c r="G942" s="11">
        <f t="shared" si="4"/>
        <v>4.5</v>
      </c>
      <c r="H942" s="1">
        <v>1.0</v>
      </c>
      <c r="I942" s="1">
        <v>0.0</v>
      </c>
      <c r="J942" s="1">
        <v>1.0</v>
      </c>
      <c r="K942" s="1">
        <v>1.0</v>
      </c>
      <c r="L942" s="1">
        <v>3.0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</row>
    <row r="943">
      <c r="A943" s="1">
        <f t="shared" si="1"/>
        <v>940</v>
      </c>
      <c r="B943" s="1" t="s">
        <v>2007</v>
      </c>
      <c r="C943" s="1">
        <f t="shared" si="2"/>
        <v>940</v>
      </c>
      <c r="D943" s="1" t="s">
        <v>1116</v>
      </c>
      <c r="E943" s="1" t="s">
        <v>31</v>
      </c>
      <c r="F943" s="11">
        <f t="shared" si="3"/>
        <v>4.5</v>
      </c>
      <c r="G943" s="11">
        <f t="shared" si="4"/>
        <v>4.5</v>
      </c>
      <c r="H943" s="1">
        <v>1.0</v>
      </c>
      <c r="I943" s="1">
        <v>0.0</v>
      </c>
      <c r="J943" s="1">
        <v>1.0</v>
      </c>
      <c r="K943" s="1">
        <v>1.0</v>
      </c>
      <c r="L943" s="1">
        <v>2.0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1.0</v>
      </c>
    </row>
    <row r="944">
      <c r="A944" s="1">
        <f t="shared" si="1"/>
        <v>940</v>
      </c>
      <c r="B944" s="1" t="s">
        <v>1994</v>
      </c>
      <c r="C944" s="1">
        <f t="shared" si="2"/>
        <v>940</v>
      </c>
      <c r="D944" s="1" t="s">
        <v>1175</v>
      </c>
      <c r="E944" s="1" t="s">
        <v>36</v>
      </c>
      <c r="F944" s="11">
        <f t="shared" si="3"/>
        <v>4.5</v>
      </c>
      <c r="G944" s="11">
        <f t="shared" si="4"/>
        <v>1.5</v>
      </c>
      <c r="H944" s="1">
        <v>3.0</v>
      </c>
      <c r="I944" s="1">
        <v>0.0</v>
      </c>
      <c r="J944" s="1">
        <v>0.0</v>
      </c>
      <c r="K944" s="1">
        <v>0.0</v>
      </c>
      <c r="L944" s="1">
        <v>3.0</v>
      </c>
      <c r="M944" s="1">
        <v>0.0</v>
      </c>
      <c r="N944" s="1">
        <v>0.0</v>
      </c>
      <c r="O944" s="1">
        <v>0.0</v>
      </c>
      <c r="P944" s="1">
        <v>0.0</v>
      </c>
      <c r="Q944" s="1">
        <v>10.0</v>
      </c>
      <c r="R944" s="1">
        <v>1.0</v>
      </c>
    </row>
    <row r="945">
      <c r="A945" s="1">
        <f t="shared" si="1"/>
        <v>940</v>
      </c>
      <c r="B945" s="1" t="s">
        <v>2000</v>
      </c>
      <c r="C945" s="1">
        <f t="shared" si="2"/>
        <v>940</v>
      </c>
      <c r="D945" s="1" t="s">
        <v>1175</v>
      </c>
      <c r="E945" s="1" t="s">
        <v>66</v>
      </c>
      <c r="F945" s="11">
        <f t="shared" si="3"/>
        <v>4.5</v>
      </c>
      <c r="G945" s="11">
        <f t="shared" si="4"/>
        <v>1.5</v>
      </c>
      <c r="H945" s="1">
        <v>3.0</v>
      </c>
      <c r="I945" s="1">
        <v>0.0</v>
      </c>
      <c r="J945" s="1">
        <v>0.0</v>
      </c>
      <c r="K945" s="1">
        <v>0.0</v>
      </c>
      <c r="L945" s="1">
        <v>4.0</v>
      </c>
      <c r="M945" s="1">
        <v>0.0</v>
      </c>
      <c r="N945" s="1">
        <v>0.0</v>
      </c>
      <c r="O945" s="1">
        <v>0.0</v>
      </c>
      <c r="P945" s="1">
        <v>0.0</v>
      </c>
      <c r="Q945" s="1">
        <v>4.0</v>
      </c>
      <c r="R945" s="1">
        <v>3.0</v>
      </c>
    </row>
    <row r="946">
      <c r="A946" s="1">
        <f t="shared" si="1"/>
        <v>944</v>
      </c>
      <c r="B946" s="1" t="s">
        <v>2008</v>
      </c>
      <c r="C946" s="1">
        <f t="shared" si="2"/>
        <v>944</v>
      </c>
      <c r="D946" s="1" t="s">
        <v>1073</v>
      </c>
      <c r="E946" s="1" t="s">
        <v>66</v>
      </c>
      <c r="F946" s="11">
        <f t="shared" si="3"/>
        <v>4.25</v>
      </c>
      <c r="G946" s="11">
        <f t="shared" si="4"/>
        <v>2.125</v>
      </c>
      <c r="H946" s="1">
        <v>2.0</v>
      </c>
      <c r="I946" s="1">
        <v>0.0</v>
      </c>
      <c r="J946" s="1">
        <v>0.0</v>
      </c>
      <c r="K946" s="1">
        <v>0.0</v>
      </c>
      <c r="L946" s="1">
        <v>6.0</v>
      </c>
      <c r="M946" s="1">
        <v>0.0</v>
      </c>
      <c r="N946" s="1">
        <v>0.0</v>
      </c>
      <c r="O946" s="1">
        <v>0.0</v>
      </c>
      <c r="P946" s="1">
        <v>0.0</v>
      </c>
      <c r="Q946" s="1">
        <v>1.0</v>
      </c>
      <c r="R946" s="1">
        <v>2.0</v>
      </c>
    </row>
    <row r="947">
      <c r="A947" s="1">
        <f t="shared" si="1"/>
        <v>944</v>
      </c>
      <c r="B947" s="1" t="s">
        <v>2005</v>
      </c>
      <c r="C947" s="1">
        <f t="shared" si="2"/>
        <v>944</v>
      </c>
      <c r="D947" s="1" t="s">
        <v>1111</v>
      </c>
      <c r="E947" s="1" t="s">
        <v>66</v>
      </c>
      <c r="F947" s="11">
        <f t="shared" si="3"/>
        <v>4.25</v>
      </c>
      <c r="G947" s="11">
        <f t="shared" si="4"/>
        <v>1.416666667</v>
      </c>
      <c r="H947" s="1">
        <v>3.0</v>
      </c>
      <c r="I947" s="1">
        <v>0.0</v>
      </c>
      <c r="J947" s="1">
        <v>0.0</v>
      </c>
      <c r="K947" s="1">
        <v>0.0</v>
      </c>
      <c r="L947" s="1">
        <v>1.0</v>
      </c>
      <c r="M947" s="1">
        <v>0.0</v>
      </c>
      <c r="N947" s="1">
        <v>0.0</v>
      </c>
      <c r="O947" s="1">
        <v>0.0</v>
      </c>
      <c r="P947" s="1">
        <v>0.0</v>
      </c>
      <c r="Q947" s="1">
        <v>3.0</v>
      </c>
      <c r="R947" s="1">
        <v>6.0</v>
      </c>
    </row>
    <row r="948">
      <c r="A948" s="1">
        <f t="shared" si="1"/>
        <v>944</v>
      </c>
      <c r="B948" s="1" t="s">
        <v>2009</v>
      </c>
      <c r="C948" s="1">
        <f t="shared" si="2"/>
        <v>944</v>
      </c>
      <c r="D948" s="1" t="s">
        <v>1067</v>
      </c>
      <c r="E948" s="1" t="s">
        <v>66</v>
      </c>
      <c r="F948" s="11">
        <f t="shared" si="3"/>
        <v>4.25</v>
      </c>
      <c r="G948" s="11">
        <f t="shared" si="4"/>
        <v>1.416666667</v>
      </c>
      <c r="H948" s="1">
        <v>3.0</v>
      </c>
      <c r="I948" s="1">
        <v>0.0</v>
      </c>
      <c r="J948" s="1">
        <v>1.0</v>
      </c>
      <c r="K948" s="1">
        <v>1.0</v>
      </c>
      <c r="L948" s="1">
        <v>2.0</v>
      </c>
      <c r="M948" s="1">
        <v>0.0</v>
      </c>
      <c r="N948" s="1">
        <v>0.0</v>
      </c>
      <c r="O948" s="1">
        <v>0.0</v>
      </c>
      <c r="P948" s="1">
        <v>0.0</v>
      </c>
      <c r="Q948" s="1">
        <v>1.0</v>
      </c>
      <c r="R948" s="1">
        <v>0.0</v>
      </c>
    </row>
    <row r="949">
      <c r="A949" s="1">
        <f t="shared" si="1"/>
        <v>944</v>
      </c>
      <c r="B949" s="1" t="s">
        <v>2003</v>
      </c>
      <c r="C949" s="1">
        <f t="shared" si="2"/>
        <v>944</v>
      </c>
      <c r="D949" s="1" t="s">
        <v>1091</v>
      </c>
      <c r="E949" s="1" t="s">
        <v>66</v>
      </c>
      <c r="F949" s="11">
        <f t="shared" si="3"/>
        <v>4.25</v>
      </c>
      <c r="G949" s="11">
        <f t="shared" si="4"/>
        <v>1.0625</v>
      </c>
      <c r="H949" s="1">
        <v>4.0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5.0</v>
      </c>
      <c r="R949" s="1">
        <v>6.0</v>
      </c>
    </row>
    <row r="950">
      <c r="A950" s="1">
        <f t="shared" si="1"/>
        <v>948</v>
      </c>
      <c r="B950" s="1" t="s">
        <v>2014</v>
      </c>
      <c r="C950" s="1">
        <f t="shared" si="2"/>
        <v>948</v>
      </c>
      <c r="D950" s="1" t="s">
        <v>1087</v>
      </c>
      <c r="E950" s="1" t="s">
        <v>36</v>
      </c>
      <c r="F950" s="11">
        <f t="shared" si="3"/>
        <v>4</v>
      </c>
      <c r="G950" s="11">
        <f t="shared" si="4"/>
        <v>4</v>
      </c>
      <c r="H950" s="1">
        <v>1.0</v>
      </c>
      <c r="I950" s="1">
        <v>0.0</v>
      </c>
      <c r="J950" s="1">
        <v>1.0</v>
      </c>
      <c r="K950" s="1">
        <v>1.0</v>
      </c>
      <c r="L950" s="1">
        <v>2.0</v>
      </c>
      <c r="M950" s="1">
        <v>0.0</v>
      </c>
      <c r="N950" s="1">
        <v>1.0</v>
      </c>
      <c r="O950" s="1">
        <v>0.0</v>
      </c>
      <c r="P950" s="1">
        <v>0.0</v>
      </c>
      <c r="Q950" s="1">
        <v>0.0</v>
      </c>
      <c r="R950" s="1">
        <v>0.0</v>
      </c>
    </row>
    <row r="951">
      <c r="A951" s="1">
        <f t="shared" si="1"/>
        <v>948</v>
      </c>
      <c r="B951" s="1" t="s">
        <v>2002</v>
      </c>
      <c r="C951" s="1">
        <f t="shared" si="2"/>
        <v>948</v>
      </c>
      <c r="D951" s="1" t="s">
        <v>1172</v>
      </c>
      <c r="E951" s="1" t="s">
        <v>66</v>
      </c>
      <c r="F951" s="11">
        <f t="shared" si="3"/>
        <v>4</v>
      </c>
      <c r="G951" s="11">
        <f t="shared" si="4"/>
        <v>1</v>
      </c>
      <c r="H951" s="1">
        <v>4.0</v>
      </c>
      <c r="I951" s="1">
        <v>0.0</v>
      </c>
      <c r="J951" s="1">
        <v>0.0</v>
      </c>
      <c r="K951" s="1">
        <v>0.0</v>
      </c>
      <c r="L951" s="1">
        <v>2.0</v>
      </c>
      <c r="M951" s="1">
        <v>0.0</v>
      </c>
      <c r="N951" s="1">
        <v>0.0</v>
      </c>
      <c r="O951" s="1">
        <v>0.0</v>
      </c>
      <c r="P951" s="1">
        <v>0.0</v>
      </c>
      <c r="Q951" s="1">
        <v>8.0</v>
      </c>
      <c r="R951" s="1">
        <v>2.0</v>
      </c>
    </row>
    <row r="952">
      <c r="A952" s="1">
        <f t="shared" si="1"/>
        <v>948</v>
      </c>
      <c r="B952" s="1" t="s">
        <v>2011</v>
      </c>
      <c r="C952" s="1">
        <f t="shared" si="2"/>
        <v>948</v>
      </c>
      <c r="D952" s="1" t="s">
        <v>1038</v>
      </c>
      <c r="E952" s="1" t="s">
        <v>28</v>
      </c>
      <c r="F952" s="11">
        <f t="shared" si="3"/>
        <v>4</v>
      </c>
      <c r="G952" s="11">
        <f t="shared" si="4"/>
        <v>1</v>
      </c>
      <c r="H952" s="1">
        <v>4.0</v>
      </c>
      <c r="I952" s="1">
        <v>0.0</v>
      </c>
      <c r="J952" s="1">
        <v>0.0</v>
      </c>
      <c r="K952" s="1">
        <v>0.0</v>
      </c>
      <c r="L952" s="1">
        <v>3.0</v>
      </c>
      <c r="M952" s="1">
        <v>0.0</v>
      </c>
      <c r="N952" s="1">
        <v>0.0</v>
      </c>
      <c r="O952" s="1">
        <v>0.0</v>
      </c>
      <c r="P952" s="1">
        <v>0.0</v>
      </c>
      <c r="Q952" s="1">
        <v>2.0</v>
      </c>
      <c r="R952" s="1">
        <v>4.0</v>
      </c>
    </row>
    <row r="953">
      <c r="A953" s="1">
        <f t="shared" si="1"/>
        <v>951</v>
      </c>
      <c r="B953" s="1" t="s">
        <v>2010</v>
      </c>
      <c r="C953" s="1">
        <f t="shared" si="2"/>
        <v>951</v>
      </c>
      <c r="D953" s="1" t="s">
        <v>1052</v>
      </c>
      <c r="E953" s="1" t="s">
        <v>36</v>
      </c>
      <c r="F953" s="11">
        <f t="shared" si="3"/>
        <v>3.75</v>
      </c>
      <c r="G953" s="11">
        <f t="shared" si="4"/>
        <v>1.25</v>
      </c>
      <c r="H953" s="1">
        <v>3.0</v>
      </c>
      <c r="I953" s="1">
        <v>0.0</v>
      </c>
      <c r="J953" s="1">
        <v>0.0</v>
      </c>
      <c r="K953" s="1">
        <v>0.0</v>
      </c>
      <c r="L953" s="1">
        <v>2.0</v>
      </c>
      <c r="M953" s="1">
        <v>0.0</v>
      </c>
      <c r="N953" s="1">
        <v>0.0</v>
      </c>
      <c r="O953" s="1">
        <v>0.0</v>
      </c>
      <c r="P953" s="1">
        <v>0.0</v>
      </c>
      <c r="Q953" s="1">
        <v>5.0</v>
      </c>
      <c r="R953" s="1">
        <v>3.0</v>
      </c>
    </row>
    <row r="954">
      <c r="A954" s="1">
        <f t="shared" si="1"/>
        <v>951</v>
      </c>
      <c r="B954" s="1" t="s">
        <v>2012</v>
      </c>
      <c r="C954" s="1">
        <f t="shared" si="2"/>
        <v>951</v>
      </c>
      <c r="D954" s="1" t="s">
        <v>1052</v>
      </c>
      <c r="E954" s="1" t="s">
        <v>28</v>
      </c>
      <c r="F954" s="11">
        <f t="shared" si="3"/>
        <v>3.75</v>
      </c>
      <c r="G954" s="11">
        <f t="shared" si="4"/>
        <v>0.9375</v>
      </c>
      <c r="H954" s="1">
        <v>4.0</v>
      </c>
      <c r="I954" s="1">
        <v>0.0</v>
      </c>
      <c r="J954" s="1">
        <v>0.0</v>
      </c>
      <c r="K954" s="1">
        <v>0.0</v>
      </c>
      <c r="L954" s="1">
        <v>4.0</v>
      </c>
      <c r="M954" s="1">
        <v>0.0</v>
      </c>
      <c r="N954" s="1">
        <v>0.0</v>
      </c>
      <c r="O954" s="1">
        <v>0.0</v>
      </c>
      <c r="P954" s="1">
        <v>0.0</v>
      </c>
      <c r="Q954" s="1">
        <v>3.0</v>
      </c>
      <c r="R954" s="1">
        <v>2.0</v>
      </c>
    </row>
    <row r="955">
      <c r="A955" s="1">
        <f t="shared" si="1"/>
        <v>951</v>
      </c>
      <c r="B955" s="1" t="s">
        <v>2013</v>
      </c>
      <c r="C955" s="1">
        <f t="shared" si="2"/>
        <v>951</v>
      </c>
      <c r="D955" s="1" t="s">
        <v>1046</v>
      </c>
      <c r="E955" s="1" t="s">
        <v>31</v>
      </c>
      <c r="F955" s="11">
        <f t="shared" si="3"/>
        <v>3.75</v>
      </c>
      <c r="G955" s="11">
        <f t="shared" si="4"/>
        <v>0.9375</v>
      </c>
      <c r="H955" s="1">
        <v>4.0</v>
      </c>
      <c r="I955" s="1">
        <v>0.0</v>
      </c>
      <c r="J955" s="1">
        <v>0.0</v>
      </c>
      <c r="K955" s="1">
        <v>0.0</v>
      </c>
      <c r="L955" s="1">
        <v>4.0</v>
      </c>
      <c r="M955" s="1">
        <v>0.0</v>
      </c>
      <c r="N955" s="1">
        <v>0.0</v>
      </c>
      <c r="O955" s="1">
        <v>0.0</v>
      </c>
      <c r="P955" s="1">
        <v>0.0</v>
      </c>
      <c r="Q955" s="1">
        <v>3.0</v>
      </c>
      <c r="R955" s="1">
        <v>2.0</v>
      </c>
    </row>
    <row r="956">
      <c r="A956" s="1">
        <f t="shared" si="1"/>
        <v>954</v>
      </c>
      <c r="B956" s="1" t="s">
        <v>2016</v>
      </c>
      <c r="C956" s="1">
        <f t="shared" si="2"/>
        <v>954</v>
      </c>
      <c r="D956" s="1" t="s">
        <v>1111</v>
      </c>
      <c r="E956" s="1" t="s">
        <v>36</v>
      </c>
      <c r="F956" s="11">
        <f t="shared" si="3"/>
        <v>3.5</v>
      </c>
      <c r="G956" s="11">
        <f t="shared" si="4"/>
        <v>3.5</v>
      </c>
      <c r="H956" s="1">
        <v>1.0</v>
      </c>
      <c r="I956" s="1">
        <v>0.0</v>
      </c>
      <c r="J956" s="1">
        <v>1.0</v>
      </c>
      <c r="K956" s="1">
        <v>1.0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2.0</v>
      </c>
      <c r="R956" s="1">
        <v>0.0</v>
      </c>
    </row>
    <row r="957">
      <c r="A957" s="1">
        <f t="shared" si="1"/>
        <v>954</v>
      </c>
      <c r="B957" s="1" t="s">
        <v>2019</v>
      </c>
      <c r="C957" s="1">
        <f t="shared" si="2"/>
        <v>954</v>
      </c>
      <c r="D957" s="1" t="s">
        <v>1073</v>
      </c>
      <c r="E957" s="1" t="s">
        <v>28</v>
      </c>
      <c r="F957" s="11">
        <f t="shared" si="3"/>
        <v>3.5</v>
      </c>
      <c r="G957" s="11">
        <f t="shared" si="4"/>
        <v>3.5</v>
      </c>
      <c r="H957" s="1">
        <v>1.0</v>
      </c>
      <c r="I957" s="1">
        <v>0.0</v>
      </c>
      <c r="J957" s="1">
        <v>1.0</v>
      </c>
      <c r="K957" s="1">
        <v>1.0</v>
      </c>
      <c r="L957" s="1">
        <v>1.0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</row>
    <row r="958">
      <c r="A958" s="1">
        <f t="shared" si="1"/>
        <v>954</v>
      </c>
      <c r="B958" s="1" t="s">
        <v>2017</v>
      </c>
      <c r="C958" s="1">
        <f t="shared" si="2"/>
        <v>954</v>
      </c>
      <c r="D958" s="1" t="s">
        <v>1082</v>
      </c>
      <c r="E958" s="1" t="s">
        <v>36</v>
      </c>
      <c r="F958" s="11">
        <f t="shared" si="3"/>
        <v>3.5</v>
      </c>
      <c r="G958" s="11">
        <f t="shared" si="4"/>
        <v>1.166666667</v>
      </c>
      <c r="H958" s="1">
        <v>3.0</v>
      </c>
      <c r="I958" s="1">
        <v>0.0</v>
      </c>
      <c r="J958" s="1">
        <v>0.0</v>
      </c>
      <c r="K958" s="1">
        <v>0.0</v>
      </c>
      <c r="L958" s="1">
        <v>3.0</v>
      </c>
      <c r="M958" s="1">
        <v>0.0</v>
      </c>
      <c r="N958" s="1">
        <v>0.0</v>
      </c>
      <c r="O958" s="1">
        <v>0.0</v>
      </c>
      <c r="P958" s="1">
        <v>0.0</v>
      </c>
      <c r="Q958" s="1">
        <v>2.0</v>
      </c>
      <c r="R958" s="1">
        <v>3.0</v>
      </c>
    </row>
    <row r="959">
      <c r="A959" s="1">
        <f t="shared" si="1"/>
        <v>954</v>
      </c>
      <c r="B959" s="1" t="s">
        <v>2004</v>
      </c>
      <c r="C959" s="1">
        <f t="shared" si="2"/>
        <v>954</v>
      </c>
      <c r="D959" s="1" t="s">
        <v>1054</v>
      </c>
      <c r="E959" s="1" t="s">
        <v>28</v>
      </c>
      <c r="F959" s="11">
        <f t="shared" si="3"/>
        <v>3.5</v>
      </c>
      <c r="G959" s="11">
        <f t="shared" si="4"/>
        <v>0.7</v>
      </c>
      <c r="H959" s="1">
        <v>5.0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12.0</v>
      </c>
      <c r="R959" s="1">
        <v>1.0</v>
      </c>
    </row>
    <row r="960">
      <c r="A960" s="1">
        <f t="shared" si="1"/>
        <v>958</v>
      </c>
      <c r="B960" s="1" t="s">
        <v>2022</v>
      </c>
      <c r="C960" s="1">
        <f t="shared" si="2"/>
        <v>958</v>
      </c>
      <c r="D960" s="1" t="s">
        <v>1073</v>
      </c>
      <c r="E960" s="1" t="s">
        <v>66</v>
      </c>
      <c r="F960" s="11">
        <f t="shared" si="3"/>
        <v>3.25</v>
      </c>
      <c r="G960" s="11">
        <f t="shared" si="4"/>
        <v>3.25</v>
      </c>
      <c r="H960" s="1">
        <v>1.0</v>
      </c>
      <c r="I960" s="1">
        <v>0.0</v>
      </c>
      <c r="J960" s="1">
        <v>0.0</v>
      </c>
      <c r="K960" s="1">
        <v>0.0</v>
      </c>
      <c r="L960" s="1">
        <v>3.0</v>
      </c>
      <c r="M960" s="1">
        <v>0.0</v>
      </c>
      <c r="N960" s="1">
        <v>0.0</v>
      </c>
      <c r="O960" s="1">
        <v>0.0</v>
      </c>
      <c r="P960" s="1">
        <v>0.0</v>
      </c>
      <c r="Q960" s="1">
        <v>1.0</v>
      </c>
      <c r="R960" s="1">
        <v>3.0</v>
      </c>
    </row>
    <row r="961">
      <c r="A961" s="1">
        <f t="shared" si="1"/>
        <v>958</v>
      </c>
      <c r="B961" s="1" t="s">
        <v>2015</v>
      </c>
      <c r="C961" s="1">
        <f t="shared" si="2"/>
        <v>958</v>
      </c>
      <c r="D961" s="1" t="s">
        <v>1048</v>
      </c>
      <c r="E961" s="1" t="s">
        <v>31</v>
      </c>
      <c r="F961" s="11">
        <f t="shared" si="3"/>
        <v>3.25</v>
      </c>
      <c r="G961" s="11">
        <f t="shared" si="4"/>
        <v>1.083333333</v>
      </c>
      <c r="H961" s="1">
        <v>3.0</v>
      </c>
      <c r="I961" s="1">
        <v>0.0</v>
      </c>
      <c r="J961" s="1">
        <v>0.0</v>
      </c>
      <c r="K961" s="1">
        <v>0.0</v>
      </c>
      <c r="L961" s="1">
        <v>2.0</v>
      </c>
      <c r="M961" s="1">
        <v>0.0</v>
      </c>
      <c r="N961" s="1">
        <v>0.0</v>
      </c>
      <c r="O961" s="1">
        <v>0.0</v>
      </c>
      <c r="P961" s="1">
        <v>0.0</v>
      </c>
      <c r="Q961" s="1">
        <v>5.0</v>
      </c>
      <c r="R961" s="1">
        <v>2.0</v>
      </c>
    </row>
    <row r="962">
      <c r="A962" s="1">
        <f t="shared" si="1"/>
        <v>958</v>
      </c>
      <c r="B962" s="1" t="s">
        <v>2018</v>
      </c>
      <c r="C962" s="1">
        <f t="shared" si="2"/>
        <v>958</v>
      </c>
      <c r="D962" s="1" t="s">
        <v>1046</v>
      </c>
      <c r="E962" s="1" t="s">
        <v>66</v>
      </c>
      <c r="F962" s="11">
        <f t="shared" si="3"/>
        <v>3.25</v>
      </c>
      <c r="G962" s="11">
        <f t="shared" si="4"/>
        <v>1.083333333</v>
      </c>
      <c r="H962" s="1">
        <v>3.0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3.0</v>
      </c>
      <c r="R962" s="1">
        <v>5.0</v>
      </c>
    </row>
    <row r="963">
      <c r="A963" s="1">
        <f t="shared" si="1"/>
        <v>961</v>
      </c>
      <c r="B963" s="1" t="s">
        <v>2020</v>
      </c>
      <c r="C963" s="1">
        <f t="shared" si="2"/>
        <v>961</v>
      </c>
      <c r="D963" s="1" t="s">
        <v>1044</v>
      </c>
      <c r="E963" s="1" t="s">
        <v>66</v>
      </c>
      <c r="F963" s="11">
        <f t="shared" si="3"/>
        <v>3</v>
      </c>
      <c r="G963" s="11">
        <f t="shared" si="4"/>
        <v>0.75</v>
      </c>
      <c r="H963" s="1">
        <v>4.0</v>
      </c>
      <c r="I963" s="1">
        <v>0.0</v>
      </c>
      <c r="J963" s="1">
        <v>0.0</v>
      </c>
      <c r="K963" s="1">
        <v>0.0</v>
      </c>
      <c r="L963" s="1">
        <v>2.0</v>
      </c>
      <c r="M963" s="1">
        <v>0.0</v>
      </c>
      <c r="N963" s="1">
        <v>0.0</v>
      </c>
      <c r="O963" s="1">
        <v>0.0</v>
      </c>
      <c r="P963" s="1">
        <v>0.0</v>
      </c>
      <c r="Q963" s="1">
        <v>4.0</v>
      </c>
      <c r="R963" s="1">
        <v>2.0</v>
      </c>
    </row>
    <row r="964">
      <c r="A964" s="1">
        <f t="shared" si="1"/>
        <v>961</v>
      </c>
      <c r="B964" s="1" t="s">
        <v>2021</v>
      </c>
      <c r="C964" s="1">
        <f t="shared" si="2"/>
        <v>961</v>
      </c>
      <c r="D964" s="1" t="s">
        <v>1032</v>
      </c>
      <c r="E964" s="1" t="s">
        <v>31</v>
      </c>
      <c r="F964" s="11">
        <f t="shared" si="3"/>
        <v>3</v>
      </c>
      <c r="G964" s="11">
        <f t="shared" si="4"/>
        <v>0.75</v>
      </c>
      <c r="H964" s="1">
        <v>4.0</v>
      </c>
      <c r="I964" s="1">
        <v>0.0</v>
      </c>
      <c r="J964" s="1">
        <v>0.0</v>
      </c>
      <c r="K964" s="1">
        <v>0.0</v>
      </c>
      <c r="L964" s="1">
        <v>3.0</v>
      </c>
      <c r="M964" s="1">
        <v>0.0</v>
      </c>
      <c r="N964" s="1">
        <v>0.0</v>
      </c>
      <c r="O964" s="1">
        <v>0.0</v>
      </c>
      <c r="P964" s="1">
        <v>0.0</v>
      </c>
      <c r="Q964" s="1">
        <v>4.0</v>
      </c>
      <c r="R964" s="1">
        <v>1.0</v>
      </c>
    </row>
    <row r="965">
      <c r="A965" s="1">
        <f t="shared" si="1"/>
        <v>963</v>
      </c>
      <c r="B965" s="1" t="s">
        <v>2023</v>
      </c>
      <c r="C965" s="1">
        <f t="shared" si="2"/>
        <v>963</v>
      </c>
      <c r="D965" s="1" t="s">
        <v>1097</v>
      </c>
      <c r="E965" s="1" t="s">
        <v>28</v>
      </c>
      <c r="F965" s="11">
        <f t="shared" si="3"/>
        <v>2.75</v>
      </c>
      <c r="G965" s="11">
        <f t="shared" si="4"/>
        <v>0.9166666667</v>
      </c>
      <c r="H965" s="1">
        <v>3.0</v>
      </c>
      <c r="I965" s="1">
        <v>0.0</v>
      </c>
      <c r="J965" s="1">
        <v>0.0</v>
      </c>
      <c r="K965" s="1">
        <v>0.0</v>
      </c>
      <c r="L965" s="1">
        <v>2.0</v>
      </c>
      <c r="M965" s="1">
        <v>0.0</v>
      </c>
      <c r="N965" s="1">
        <v>0.0</v>
      </c>
      <c r="O965" s="1">
        <v>0.0</v>
      </c>
      <c r="P965" s="1">
        <v>0.0</v>
      </c>
      <c r="Q965" s="1">
        <v>5.0</v>
      </c>
      <c r="R965" s="1">
        <v>1.0</v>
      </c>
    </row>
    <row r="966">
      <c r="A966" s="1">
        <f t="shared" si="1"/>
        <v>964</v>
      </c>
      <c r="B966" s="1" t="s">
        <v>2027</v>
      </c>
      <c r="C966" s="1">
        <f t="shared" si="2"/>
        <v>964</v>
      </c>
      <c r="D966" s="1" t="s">
        <v>1030</v>
      </c>
      <c r="E966" s="1" t="s">
        <v>28</v>
      </c>
      <c r="F966" s="11">
        <f t="shared" si="3"/>
        <v>2.5</v>
      </c>
      <c r="G966" s="11">
        <f t="shared" si="4"/>
        <v>2.5</v>
      </c>
      <c r="H966" s="1">
        <v>1.0</v>
      </c>
      <c r="I966" s="1">
        <v>0.0</v>
      </c>
      <c r="J966" s="1">
        <v>0.0</v>
      </c>
      <c r="K966" s="1">
        <v>0.0</v>
      </c>
      <c r="L966" s="1">
        <v>2.0</v>
      </c>
      <c r="M966" s="1">
        <v>0.0</v>
      </c>
      <c r="N966" s="1">
        <v>0.0</v>
      </c>
      <c r="O966" s="1">
        <v>0.0</v>
      </c>
      <c r="P966" s="1">
        <v>0.0</v>
      </c>
      <c r="Q966" s="1">
        <v>2.0</v>
      </c>
      <c r="R966" s="1">
        <v>2.0</v>
      </c>
    </row>
    <row r="967">
      <c r="A967" s="1">
        <f t="shared" si="1"/>
        <v>964</v>
      </c>
      <c r="B967" s="1" t="s">
        <v>2024</v>
      </c>
      <c r="C967" s="1">
        <f t="shared" si="2"/>
        <v>964</v>
      </c>
      <c r="D967" s="1" t="s">
        <v>1076</v>
      </c>
      <c r="E967" s="1" t="s">
        <v>36</v>
      </c>
      <c r="F967" s="11">
        <f t="shared" si="3"/>
        <v>2.5</v>
      </c>
      <c r="G967" s="11">
        <f t="shared" si="4"/>
        <v>0.8333333333</v>
      </c>
      <c r="H967" s="1">
        <v>3.0</v>
      </c>
      <c r="I967" s="1">
        <v>0.0</v>
      </c>
      <c r="J967" s="1">
        <v>0.0</v>
      </c>
      <c r="K967" s="1">
        <v>0.0</v>
      </c>
      <c r="L967" s="1">
        <v>2.0</v>
      </c>
      <c r="M967" s="1">
        <v>0.0</v>
      </c>
      <c r="N967" s="1">
        <v>0.0</v>
      </c>
      <c r="O967" s="1">
        <v>0.0</v>
      </c>
      <c r="P967" s="1">
        <v>0.0</v>
      </c>
      <c r="Q967" s="1">
        <v>6.0</v>
      </c>
      <c r="R967" s="1">
        <v>0.0</v>
      </c>
    </row>
    <row r="968">
      <c r="A968" s="1">
        <f t="shared" si="1"/>
        <v>964</v>
      </c>
      <c r="B968" s="1" t="s">
        <v>2028</v>
      </c>
      <c r="C968" s="1">
        <f t="shared" si="2"/>
        <v>964</v>
      </c>
      <c r="D968" s="1" t="s">
        <v>1054</v>
      </c>
      <c r="E968" s="1" t="s">
        <v>36</v>
      </c>
      <c r="F968" s="11">
        <f t="shared" si="3"/>
        <v>2.5</v>
      </c>
      <c r="G968" s="11">
        <f t="shared" si="4"/>
        <v>0.625</v>
      </c>
      <c r="H968" s="1">
        <v>4.0</v>
      </c>
      <c r="I968" s="1">
        <v>0.0</v>
      </c>
      <c r="J968" s="1">
        <v>0.0</v>
      </c>
      <c r="K968" s="1">
        <v>0.0</v>
      </c>
      <c r="L968" s="1">
        <v>3.0</v>
      </c>
      <c r="M968" s="1">
        <v>0.0</v>
      </c>
      <c r="N968" s="1">
        <v>0.0</v>
      </c>
      <c r="O968" s="1">
        <v>0.0</v>
      </c>
      <c r="P968" s="1">
        <v>0.0</v>
      </c>
      <c r="Q968" s="1">
        <v>2.0</v>
      </c>
      <c r="R968" s="1">
        <v>1.0</v>
      </c>
    </row>
    <row r="969">
      <c r="A969" s="1">
        <f t="shared" si="1"/>
        <v>967</v>
      </c>
      <c r="B969" s="1" t="s">
        <v>2034</v>
      </c>
      <c r="C969" s="1">
        <f t="shared" si="2"/>
        <v>967</v>
      </c>
      <c r="D969" s="1" t="s">
        <v>1040</v>
      </c>
      <c r="E969" s="1" t="s">
        <v>66</v>
      </c>
      <c r="F969" s="11">
        <f t="shared" si="3"/>
        <v>2.25</v>
      </c>
      <c r="G969" s="11">
        <f t="shared" si="4"/>
        <v>2.25</v>
      </c>
      <c r="H969" s="1">
        <v>1.0</v>
      </c>
      <c r="I969" s="1">
        <v>0.0</v>
      </c>
      <c r="J969" s="1">
        <v>0.0</v>
      </c>
      <c r="K969" s="1">
        <v>0.0</v>
      </c>
      <c r="L969" s="1">
        <v>1.0</v>
      </c>
      <c r="M969" s="1">
        <v>0.0</v>
      </c>
      <c r="N969" s="1">
        <v>0.0</v>
      </c>
      <c r="O969" s="1">
        <v>0.0</v>
      </c>
      <c r="P969" s="1">
        <v>0.0</v>
      </c>
      <c r="Q969" s="1">
        <v>1.0</v>
      </c>
      <c r="R969" s="1">
        <v>3.0</v>
      </c>
    </row>
    <row r="970">
      <c r="A970" s="1">
        <f t="shared" si="1"/>
        <v>967</v>
      </c>
      <c r="B970" s="1" t="s">
        <v>2025</v>
      </c>
      <c r="C970" s="1">
        <f t="shared" si="2"/>
        <v>967</v>
      </c>
      <c r="D970" s="1" t="s">
        <v>1111</v>
      </c>
      <c r="E970" s="1" t="s">
        <v>28</v>
      </c>
      <c r="F970" s="11">
        <f t="shared" si="3"/>
        <v>2.25</v>
      </c>
      <c r="G970" s="11">
        <f t="shared" si="4"/>
        <v>1.125</v>
      </c>
      <c r="H970" s="1">
        <v>2.0</v>
      </c>
      <c r="I970" s="1">
        <v>0.0</v>
      </c>
      <c r="J970" s="1">
        <v>0.0</v>
      </c>
      <c r="K970" s="1">
        <v>0.0</v>
      </c>
      <c r="L970" s="1">
        <v>1.0</v>
      </c>
      <c r="M970" s="1">
        <v>0.0</v>
      </c>
      <c r="N970" s="1">
        <v>0.0</v>
      </c>
      <c r="O970" s="1">
        <v>0.0</v>
      </c>
      <c r="P970" s="1">
        <v>0.0</v>
      </c>
      <c r="Q970" s="1">
        <v>5.0</v>
      </c>
      <c r="R970" s="1">
        <v>1.0</v>
      </c>
    </row>
    <row r="971">
      <c r="A971" s="1">
        <f t="shared" si="1"/>
        <v>967</v>
      </c>
      <c r="B971" s="1" t="s">
        <v>2026</v>
      </c>
      <c r="C971" s="1">
        <f t="shared" si="2"/>
        <v>967</v>
      </c>
      <c r="D971" s="1" t="s">
        <v>1069</v>
      </c>
      <c r="E971" s="1" t="s">
        <v>36</v>
      </c>
      <c r="F971" s="11">
        <f t="shared" si="3"/>
        <v>2.25</v>
      </c>
      <c r="G971" s="11">
        <f t="shared" si="4"/>
        <v>0.5625</v>
      </c>
      <c r="H971" s="1">
        <v>4.0</v>
      </c>
      <c r="I971" s="1">
        <v>0.0</v>
      </c>
      <c r="J971" s="1">
        <v>0.0</v>
      </c>
      <c r="K971" s="1">
        <v>0.0</v>
      </c>
      <c r="L971" s="1">
        <v>1.0</v>
      </c>
      <c r="M971" s="1">
        <v>0.0</v>
      </c>
      <c r="N971" s="1">
        <v>0.0</v>
      </c>
      <c r="O971" s="1">
        <v>0.0</v>
      </c>
      <c r="P971" s="1">
        <v>0.0</v>
      </c>
      <c r="Q971" s="1">
        <v>5.0</v>
      </c>
      <c r="R971" s="1">
        <v>1.0</v>
      </c>
    </row>
    <row r="972">
      <c r="A972" s="1">
        <f t="shared" si="1"/>
        <v>970</v>
      </c>
      <c r="B972" s="1" t="s">
        <v>2031</v>
      </c>
      <c r="C972" s="1">
        <f t="shared" si="2"/>
        <v>970</v>
      </c>
      <c r="D972" s="1" t="s">
        <v>1111</v>
      </c>
      <c r="E972" s="1" t="s">
        <v>66</v>
      </c>
      <c r="F972" s="11">
        <f t="shared" si="3"/>
        <v>2</v>
      </c>
      <c r="G972" s="11">
        <f t="shared" si="4"/>
        <v>2</v>
      </c>
      <c r="H972" s="1">
        <v>1.0</v>
      </c>
      <c r="I972" s="1">
        <v>0.0</v>
      </c>
      <c r="J972" s="1">
        <v>0.0</v>
      </c>
      <c r="K972" s="1">
        <v>0.0</v>
      </c>
      <c r="L972" s="1">
        <v>1.0</v>
      </c>
      <c r="M972" s="1">
        <v>0.0</v>
      </c>
      <c r="N972" s="1">
        <v>0.0</v>
      </c>
      <c r="O972" s="1">
        <v>0.0</v>
      </c>
      <c r="P972" s="1">
        <v>0.0</v>
      </c>
      <c r="Q972" s="1">
        <v>4.0</v>
      </c>
      <c r="R972" s="1">
        <v>1.0</v>
      </c>
    </row>
    <row r="973">
      <c r="A973" s="1">
        <f t="shared" si="1"/>
        <v>970</v>
      </c>
      <c r="B973" s="1" t="s">
        <v>2032</v>
      </c>
      <c r="C973" s="1">
        <f t="shared" si="2"/>
        <v>970</v>
      </c>
      <c r="D973" s="1" t="s">
        <v>1111</v>
      </c>
      <c r="E973" s="1" t="s">
        <v>66</v>
      </c>
      <c r="F973" s="11">
        <f t="shared" si="3"/>
        <v>2</v>
      </c>
      <c r="G973" s="11">
        <f t="shared" si="4"/>
        <v>2</v>
      </c>
      <c r="H973" s="1">
        <v>1.0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4.0</v>
      </c>
      <c r="R973" s="1">
        <v>2.0</v>
      </c>
    </row>
    <row r="974">
      <c r="A974" s="1">
        <f t="shared" si="1"/>
        <v>970</v>
      </c>
      <c r="B974" s="1" t="s">
        <v>2038</v>
      </c>
      <c r="C974" s="1">
        <f t="shared" si="2"/>
        <v>970</v>
      </c>
      <c r="D974" s="1" t="s">
        <v>1073</v>
      </c>
      <c r="E974" s="1" t="s">
        <v>28</v>
      </c>
      <c r="F974" s="11">
        <f t="shared" si="3"/>
        <v>2</v>
      </c>
      <c r="G974" s="11">
        <f t="shared" si="4"/>
        <v>2</v>
      </c>
      <c r="H974" s="1">
        <v>1.0</v>
      </c>
      <c r="I974" s="1">
        <v>0.0</v>
      </c>
      <c r="J974" s="1">
        <v>0.0</v>
      </c>
      <c r="K974" s="1">
        <v>0.0</v>
      </c>
      <c r="L974" s="1">
        <v>3.0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1.0</v>
      </c>
    </row>
    <row r="975">
      <c r="A975" s="1">
        <f t="shared" si="1"/>
        <v>970</v>
      </c>
      <c r="B975" s="1" t="s">
        <v>2029</v>
      </c>
      <c r="C975" s="1">
        <f t="shared" si="2"/>
        <v>970</v>
      </c>
      <c r="D975" s="1" t="s">
        <v>1032</v>
      </c>
      <c r="E975" s="1" t="s">
        <v>28</v>
      </c>
      <c r="F975" s="11">
        <f t="shared" si="3"/>
        <v>2</v>
      </c>
      <c r="G975" s="11">
        <f t="shared" si="4"/>
        <v>2</v>
      </c>
      <c r="H975" s="1">
        <v>1.0</v>
      </c>
      <c r="I975" s="1">
        <v>0.0</v>
      </c>
      <c r="J975" s="1">
        <v>0.0</v>
      </c>
      <c r="K975" s="1">
        <v>0.0</v>
      </c>
      <c r="L975" s="1">
        <v>1.0</v>
      </c>
      <c r="M975" s="1">
        <v>0.0</v>
      </c>
      <c r="N975" s="1">
        <v>0.0</v>
      </c>
      <c r="O975" s="1">
        <v>0.0</v>
      </c>
      <c r="P975" s="1">
        <v>0.0</v>
      </c>
      <c r="Q975" s="1">
        <v>6.0</v>
      </c>
      <c r="R975" s="1">
        <v>0.0</v>
      </c>
    </row>
    <row r="976">
      <c r="A976" s="1">
        <f t="shared" si="1"/>
        <v>970</v>
      </c>
      <c r="B976" s="1" t="s">
        <v>2033</v>
      </c>
      <c r="C976" s="1">
        <f t="shared" si="2"/>
        <v>970</v>
      </c>
      <c r="D976" s="1" t="s">
        <v>1032</v>
      </c>
      <c r="E976" s="1" t="s">
        <v>66</v>
      </c>
      <c r="F976" s="11">
        <f t="shared" si="3"/>
        <v>2</v>
      </c>
      <c r="G976" s="11">
        <f t="shared" si="4"/>
        <v>1</v>
      </c>
      <c r="H976" s="1">
        <v>2.0</v>
      </c>
      <c r="I976" s="1">
        <v>0.0</v>
      </c>
      <c r="J976" s="1">
        <v>0.0</v>
      </c>
      <c r="K976" s="1">
        <v>0.0</v>
      </c>
      <c r="L976" s="1">
        <v>1.0</v>
      </c>
      <c r="M976" s="1">
        <v>0.0</v>
      </c>
      <c r="N976" s="1">
        <v>0.0</v>
      </c>
      <c r="O976" s="1">
        <v>0.0</v>
      </c>
      <c r="P976" s="1">
        <v>0.0</v>
      </c>
      <c r="Q976" s="1">
        <v>4.0</v>
      </c>
      <c r="R976" s="1">
        <v>1.0</v>
      </c>
    </row>
    <row r="977">
      <c r="A977" s="1">
        <f t="shared" si="1"/>
        <v>970</v>
      </c>
      <c r="B977" s="1" t="s">
        <v>2030</v>
      </c>
      <c r="C977" s="1">
        <f t="shared" si="2"/>
        <v>970</v>
      </c>
      <c r="D977" s="1" t="s">
        <v>1097</v>
      </c>
      <c r="E977" s="1" t="s">
        <v>28</v>
      </c>
      <c r="F977" s="11">
        <f t="shared" si="3"/>
        <v>2</v>
      </c>
      <c r="G977" s="11">
        <f t="shared" si="4"/>
        <v>0.5</v>
      </c>
      <c r="H977" s="1">
        <v>4.0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6.0</v>
      </c>
      <c r="R977" s="1">
        <v>1.0</v>
      </c>
    </row>
    <row r="978">
      <c r="A978" s="1">
        <f t="shared" si="1"/>
        <v>976</v>
      </c>
      <c r="B978" s="1" t="s">
        <v>2043</v>
      </c>
      <c r="C978" s="1">
        <f t="shared" si="2"/>
        <v>976</v>
      </c>
      <c r="D978" s="1" t="s">
        <v>1030</v>
      </c>
      <c r="E978" s="1" t="s">
        <v>36</v>
      </c>
      <c r="F978" s="11">
        <f t="shared" si="3"/>
        <v>1.75</v>
      </c>
      <c r="G978" s="11">
        <f t="shared" si="4"/>
        <v>0.875</v>
      </c>
      <c r="H978" s="1">
        <v>2.0</v>
      </c>
      <c r="I978" s="1">
        <v>0.0</v>
      </c>
      <c r="J978" s="1">
        <v>0.0</v>
      </c>
      <c r="K978" s="1">
        <v>0.0</v>
      </c>
      <c r="L978" s="1">
        <v>3.0</v>
      </c>
      <c r="M978" s="1">
        <v>0.0</v>
      </c>
      <c r="N978" s="1">
        <v>0.0</v>
      </c>
      <c r="O978" s="1">
        <v>0.0</v>
      </c>
      <c r="P978" s="1">
        <v>0.0</v>
      </c>
      <c r="Q978" s="1">
        <v>1.0</v>
      </c>
      <c r="R978" s="1">
        <v>0.0</v>
      </c>
    </row>
    <row r="979">
      <c r="A979" s="1">
        <f t="shared" si="1"/>
        <v>976</v>
      </c>
      <c r="B979" s="1" t="s">
        <v>2035</v>
      </c>
      <c r="C979" s="1">
        <f t="shared" si="2"/>
        <v>976</v>
      </c>
      <c r="D979" s="1" t="s">
        <v>1156</v>
      </c>
      <c r="E979" s="1" t="s">
        <v>28</v>
      </c>
      <c r="F979" s="11">
        <f t="shared" si="3"/>
        <v>1.75</v>
      </c>
      <c r="G979" s="11">
        <f t="shared" si="4"/>
        <v>0.875</v>
      </c>
      <c r="H979" s="1">
        <v>2.0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5.0</v>
      </c>
      <c r="R979" s="1">
        <v>1.0</v>
      </c>
    </row>
    <row r="980">
      <c r="A980" s="1">
        <f t="shared" si="1"/>
        <v>976</v>
      </c>
      <c r="B980" s="1" t="s">
        <v>2036</v>
      </c>
      <c r="C980" s="1">
        <f t="shared" si="2"/>
        <v>976</v>
      </c>
      <c r="D980" s="1" t="s">
        <v>1067</v>
      </c>
      <c r="E980" s="1" t="s">
        <v>28</v>
      </c>
      <c r="F980" s="11">
        <f t="shared" si="3"/>
        <v>1.75</v>
      </c>
      <c r="G980" s="11">
        <f t="shared" si="4"/>
        <v>0.875</v>
      </c>
      <c r="H980" s="1">
        <v>2.0</v>
      </c>
      <c r="I980" s="1">
        <v>0.0</v>
      </c>
      <c r="J980" s="1">
        <v>0.0</v>
      </c>
      <c r="K980" s="1">
        <v>0.0</v>
      </c>
      <c r="L980" s="1">
        <v>1.0</v>
      </c>
      <c r="M980" s="1">
        <v>0.0</v>
      </c>
      <c r="N980" s="1">
        <v>0.0</v>
      </c>
      <c r="O980" s="1">
        <v>0.0</v>
      </c>
      <c r="P980" s="1">
        <v>0.0</v>
      </c>
      <c r="Q980" s="1">
        <v>5.0</v>
      </c>
      <c r="R980" s="1">
        <v>0.0</v>
      </c>
    </row>
    <row r="981">
      <c r="A981" s="1">
        <f t="shared" si="1"/>
        <v>976</v>
      </c>
      <c r="B981" s="1" t="s">
        <v>2037</v>
      </c>
      <c r="C981" s="1">
        <f t="shared" si="2"/>
        <v>976</v>
      </c>
      <c r="D981" s="1" t="s">
        <v>1146</v>
      </c>
      <c r="E981" s="1" t="s">
        <v>31</v>
      </c>
      <c r="F981" s="11">
        <f t="shared" si="3"/>
        <v>1.75</v>
      </c>
      <c r="G981" s="11">
        <f t="shared" si="4"/>
        <v>0.875</v>
      </c>
      <c r="H981" s="1">
        <v>2.0</v>
      </c>
      <c r="I981" s="1">
        <v>0.0</v>
      </c>
      <c r="J981" s="1">
        <v>0.0</v>
      </c>
      <c r="K981" s="1">
        <v>0.0</v>
      </c>
      <c r="L981" s="1">
        <v>1.0</v>
      </c>
      <c r="M981" s="1">
        <v>0.0</v>
      </c>
      <c r="N981" s="1">
        <v>0.0</v>
      </c>
      <c r="O981" s="1">
        <v>0.0</v>
      </c>
      <c r="P981" s="1">
        <v>0.0</v>
      </c>
      <c r="Q981" s="1">
        <v>3.0</v>
      </c>
      <c r="R981" s="1">
        <v>1.0</v>
      </c>
    </row>
    <row r="982">
      <c r="A982" s="1">
        <f t="shared" si="1"/>
        <v>980</v>
      </c>
      <c r="B982" s="1" t="s">
        <v>2044</v>
      </c>
      <c r="C982" s="1">
        <f t="shared" si="2"/>
        <v>980</v>
      </c>
      <c r="D982" s="1" t="s">
        <v>1085</v>
      </c>
      <c r="E982" s="1" t="s">
        <v>66</v>
      </c>
      <c r="F982" s="11">
        <f t="shared" si="3"/>
        <v>1.5</v>
      </c>
      <c r="G982" s="11">
        <f t="shared" si="4"/>
        <v>1.5</v>
      </c>
      <c r="H982" s="1">
        <v>1.0</v>
      </c>
      <c r="I982" s="1">
        <v>0.0</v>
      </c>
      <c r="J982" s="1">
        <v>0.0</v>
      </c>
      <c r="K982" s="1">
        <v>0.0</v>
      </c>
      <c r="L982" s="1">
        <v>2.0</v>
      </c>
      <c r="M982" s="1">
        <v>0.0</v>
      </c>
      <c r="N982" s="1">
        <v>0.0</v>
      </c>
      <c r="O982" s="1">
        <v>0.0</v>
      </c>
      <c r="P982" s="1">
        <v>0.0</v>
      </c>
      <c r="Q982" s="1">
        <v>2.0</v>
      </c>
      <c r="R982" s="1">
        <v>0.0</v>
      </c>
    </row>
    <row r="983">
      <c r="A983" s="1">
        <f t="shared" si="1"/>
        <v>980</v>
      </c>
      <c r="B983" s="1" t="s">
        <v>2049</v>
      </c>
      <c r="C983" s="1">
        <f t="shared" si="2"/>
        <v>980</v>
      </c>
      <c r="D983" s="1" t="s">
        <v>1069</v>
      </c>
      <c r="E983" s="1" t="s">
        <v>66</v>
      </c>
      <c r="F983" s="11">
        <f t="shared" si="3"/>
        <v>1.5</v>
      </c>
      <c r="G983" s="11">
        <f t="shared" si="4"/>
        <v>1.5</v>
      </c>
      <c r="H983" s="1">
        <v>1.0</v>
      </c>
      <c r="I983" s="1">
        <v>0.0</v>
      </c>
      <c r="J983" s="1">
        <v>0.0</v>
      </c>
      <c r="K983" s="1">
        <v>0.0</v>
      </c>
      <c r="L983" s="1">
        <v>2.0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1.0</v>
      </c>
    </row>
    <row r="984">
      <c r="A984" s="1">
        <f t="shared" si="1"/>
        <v>980</v>
      </c>
      <c r="B984" s="1" t="s">
        <v>2045</v>
      </c>
      <c r="C984" s="1">
        <f t="shared" si="2"/>
        <v>980</v>
      </c>
      <c r="D984" s="1" t="s">
        <v>1111</v>
      </c>
      <c r="E984" s="1" t="s">
        <v>66</v>
      </c>
      <c r="F984" s="11">
        <f t="shared" si="3"/>
        <v>1.5</v>
      </c>
      <c r="G984" s="11">
        <f t="shared" si="4"/>
        <v>1.5</v>
      </c>
      <c r="H984" s="1">
        <v>1.0</v>
      </c>
      <c r="I984" s="1">
        <v>0.0</v>
      </c>
      <c r="J984" s="1">
        <v>0.0</v>
      </c>
      <c r="K984" s="1">
        <v>0.0</v>
      </c>
      <c r="L984" s="1">
        <v>1.0</v>
      </c>
      <c r="M984" s="1">
        <v>0.0</v>
      </c>
      <c r="N984" s="1">
        <v>0.0</v>
      </c>
      <c r="O984" s="1">
        <v>0.0</v>
      </c>
      <c r="P984" s="1">
        <v>0.0</v>
      </c>
      <c r="Q984" s="1">
        <v>2.0</v>
      </c>
      <c r="R984" s="1">
        <v>1.0</v>
      </c>
    </row>
    <row r="985">
      <c r="A985" s="1">
        <f t="shared" si="1"/>
        <v>980</v>
      </c>
      <c r="B985" s="1" t="s">
        <v>2039</v>
      </c>
      <c r="C985" s="1">
        <f t="shared" si="2"/>
        <v>980</v>
      </c>
      <c r="D985" s="1" t="s">
        <v>1065</v>
      </c>
      <c r="E985" s="1" t="s">
        <v>31</v>
      </c>
      <c r="F985" s="11">
        <f t="shared" si="3"/>
        <v>1.5</v>
      </c>
      <c r="G985" s="11">
        <f t="shared" si="4"/>
        <v>1.5</v>
      </c>
      <c r="H985" s="1">
        <v>1.0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4.0</v>
      </c>
      <c r="R985" s="1">
        <v>1.0</v>
      </c>
    </row>
    <row r="986">
      <c r="A986" s="1">
        <f t="shared" si="1"/>
        <v>980</v>
      </c>
      <c r="B986" s="1" t="s">
        <v>2050</v>
      </c>
      <c r="C986" s="1">
        <f t="shared" si="2"/>
        <v>980</v>
      </c>
      <c r="D986" s="1" t="s">
        <v>1146</v>
      </c>
      <c r="E986" s="1" t="s">
        <v>66</v>
      </c>
      <c r="F986" s="11">
        <f t="shared" si="3"/>
        <v>1.5</v>
      </c>
      <c r="G986" s="11">
        <f t="shared" si="4"/>
        <v>1.5</v>
      </c>
      <c r="H986" s="1">
        <v>1.0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3.0</v>
      </c>
    </row>
    <row r="987">
      <c r="A987" s="1">
        <f t="shared" si="1"/>
        <v>980</v>
      </c>
      <c r="B987" s="1" t="s">
        <v>2046</v>
      </c>
      <c r="C987" s="1">
        <f t="shared" si="2"/>
        <v>980</v>
      </c>
      <c r="D987" s="1" t="s">
        <v>1076</v>
      </c>
      <c r="E987" s="1" t="s">
        <v>28</v>
      </c>
      <c r="F987" s="11">
        <f t="shared" si="3"/>
        <v>1.5</v>
      </c>
      <c r="G987" s="11">
        <f t="shared" si="4"/>
        <v>0.75</v>
      </c>
      <c r="H987" s="1">
        <v>2.0</v>
      </c>
      <c r="I987" s="1">
        <v>0.0</v>
      </c>
      <c r="J987" s="1">
        <v>0.0</v>
      </c>
      <c r="K987" s="1">
        <v>0.0</v>
      </c>
      <c r="L987" s="1">
        <v>2.0</v>
      </c>
      <c r="M987" s="1">
        <v>0.0</v>
      </c>
      <c r="N987" s="1">
        <v>0.0</v>
      </c>
      <c r="O987" s="1">
        <v>0.0</v>
      </c>
      <c r="P987" s="1">
        <v>0.0</v>
      </c>
      <c r="Q987" s="1">
        <v>2.0</v>
      </c>
      <c r="R987" s="1">
        <v>0.0</v>
      </c>
    </row>
    <row r="988">
      <c r="A988" s="1">
        <f t="shared" si="1"/>
        <v>980</v>
      </c>
      <c r="B988" s="1" t="s">
        <v>2040</v>
      </c>
      <c r="C988" s="1">
        <f t="shared" si="2"/>
        <v>980</v>
      </c>
      <c r="D988" s="1" t="s">
        <v>1087</v>
      </c>
      <c r="E988" s="1" t="s">
        <v>66</v>
      </c>
      <c r="F988" s="11">
        <f t="shared" si="3"/>
        <v>1.5</v>
      </c>
      <c r="G988" s="11">
        <f t="shared" si="4"/>
        <v>0.75</v>
      </c>
      <c r="H988" s="1">
        <v>2.0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4.0</v>
      </c>
      <c r="R988" s="1">
        <v>1.0</v>
      </c>
    </row>
    <row r="989">
      <c r="A989" s="1">
        <f t="shared" si="1"/>
        <v>980</v>
      </c>
      <c r="B989" s="1" t="s">
        <v>2041</v>
      </c>
      <c r="C989" s="1">
        <f t="shared" si="2"/>
        <v>980</v>
      </c>
      <c r="D989" s="1" t="s">
        <v>1106</v>
      </c>
      <c r="E989" s="1" t="s">
        <v>31</v>
      </c>
      <c r="F989" s="11">
        <f t="shared" si="3"/>
        <v>1.5</v>
      </c>
      <c r="G989" s="11">
        <f t="shared" si="4"/>
        <v>0.75</v>
      </c>
      <c r="H989" s="1">
        <v>2.0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4.0</v>
      </c>
      <c r="R989" s="1">
        <v>1.0</v>
      </c>
    </row>
    <row r="990">
      <c r="A990" s="1">
        <f t="shared" si="1"/>
        <v>980</v>
      </c>
      <c r="B990" s="1" t="s">
        <v>2042</v>
      </c>
      <c r="C990" s="1">
        <f t="shared" si="2"/>
        <v>980</v>
      </c>
      <c r="D990" s="1" t="s">
        <v>1146</v>
      </c>
      <c r="E990" s="1" t="s">
        <v>36</v>
      </c>
      <c r="F990" s="11">
        <f t="shared" si="3"/>
        <v>1.5</v>
      </c>
      <c r="G990" s="11">
        <f t="shared" si="4"/>
        <v>0.75</v>
      </c>
      <c r="H990" s="1">
        <v>2.0</v>
      </c>
      <c r="I990" s="1">
        <v>0.0</v>
      </c>
      <c r="J990" s="1">
        <v>0.0</v>
      </c>
      <c r="K990" s="1">
        <v>0.0</v>
      </c>
      <c r="L990" s="1">
        <v>1.0</v>
      </c>
      <c r="M990" s="1">
        <v>0.0</v>
      </c>
      <c r="N990" s="1">
        <v>0.0</v>
      </c>
      <c r="O990" s="1">
        <v>0.0</v>
      </c>
      <c r="P990" s="1">
        <v>0.0</v>
      </c>
      <c r="Q990" s="1">
        <v>4.0</v>
      </c>
      <c r="R990" s="1">
        <v>0.0</v>
      </c>
    </row>
    <row r="991">
      <c r="A991" s="1">
        <f t="shared" si="1"/>
        <v>989</v>
      </c>
      <c r="B991" s="1" t="s">
        <v>2051</v>
      </c>
      <c r="C991" s="1">
        <f t="shared" si="2"/>
        <v>989</v>
      </c>
      <c r="D991" s="1" t="s">
        <v>1085</v>
      </c>
      <c r="E991" s="1" t="s">
        <v>31</v>
      </c>
      <c r="F991" s="11">
        <f t="shared" si="3"/>
        <v>1.25</v>
      </c>
      <c r="G991" s="11">
        <f t="shared" si="4"/>
        <v>1.25</v>
      </c>
      <c r="H991" s="1">
        <v>1.0</v>
      </c>
      <c r="I991" s="1">
        <v>0.0</v>
      </c>
      <c r="J991" s="1">
        <v>0.0</v>
      </c>
      <c r="K991" s="1">
        <v>0.0</v>
      </c>
      <c r="L991" s="1">
        <v>2.0</v>
      </c>
      <c r="M991" s="1">
        <v>0.0</v>
      </c>
      <c r="N991" s="1">
        <v>0.0</v>
      </c>
      <c r="O991" s="1">
        <v>0.0</v>
      </c>
      <c r="P991" s="1">
        <v>0.0</v>
      </c>
      <c r="Q991" s="1">
        <v>1.0</v>
      </c>
      <c r="R991" s="1">
        <v>0.0</v>
      </c>
    </row>
    <row r="992">
      <c r="A992" s="1">
        <f t="shared" si="1"/>
        <v>989</v>
      </c>
      <c r="B992" s="1" t="s">
        <v>2052</v>
      </c>
      <c r="C992" s="1">
        <f t="shared" si="2"/>
        <v>989</v>
      </c>
      <c r="D992" s="1" t="s">
        <v>1054</v>
      </c>
      <c r="E992" s="1" t="s">
        <v>31</v>
      </c>
      <c r="F992" s="11">
        <f t="shared" si="3"/>
        <v>1.25</v>
      </c>
      <c r="G992" s="11">
        <f t="shared" si="4"/>
        <v>1.25</v>
      </c>
      <c r="H992" s="1">
        <v>1.0</v>
      </c>
      <c r="I992" s="1">
        <v>0.0</v>
      </c>
      <c r="J992" s="1">
        <v>0.0</v>
      </c>
      <c r="K992" s="1">
        <v>0.0</v>
      </c>
      <c r="L992" s="1">
        <v>1.0</v>
      </c>
      <c r="M992" s="1">
        <v>0.0</v>
      </c>
      <c r="N992" s="1">
        <v>0.0</v>
      </c>
      <c r="O992" s="1">
        <v>0.0</v>
      </c>
      <c r="P992" s="1">
        <v>0.0</v>
      </c>
      <c r="Q992" s="1">
        <v>1.0</v>
      </c>
      <c r="R992" s="1">
        <v>1.0</v>
      </c>
    </row>
    <row r="993">
      <c r="A993" s="1">
        <f t="shared" si="1"/>
        <v>989</v>
      </c>
      <c r="B993" s="1" t="s">
        <v>2053</v>
      </c>
      <c r="C993" s="1">
        <f t="shared" si="2"/>
        <v>989</v>
      </c>
      <c r="D993" s="1" t="s">
        <v>1034</v>
      </c>
      <c r="E993" s="1" t="s">
        <v>66</v>
      </c>
      <c r="F993" s="11">
        <f t="shared" si="3"/>
        <v>1.25</v>
      </c>
      <c r="G993" s="11">
        <f t="shared" si="4"/>
        <v>1.25</v>
      </c>
      <c r="H993" s="1">
        <v>1.0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1.0</v>
      </c>
      <c r="R993" s="1">
        <v>2.0</v>
      </c>
    </row>
    <row r="994">
      <c r="A994" s="1">
        <f t="shared" si="1"/>
        <v>989</v>
      </c>
      <c r="B994" s="1" t="s">
        <v>2047</v>
      </c>
      <c r="C994" s="1">
        <f t="shared" si="2"/>
        <v>989</v>
      </c>
      <c r="D994" s="1" t="s">
        <v>1146</v>
      </c>
      <c r="E994" s="1" t="s">
        <v>66</v>
      </c>
      <c r="F994" s="11">
        <f t="shared" si="3"/>
        <v>1.25</v>
      </c>
      <c r="G994" s="11">
        <f t="shared" si="4"/>
        <v>1.25</v>
      </c>
      <c r="H994" s="1">
        <v>1.0</v>
      </c>
      <c r="I994" s="1">
        <v>0.0</v>
      </c>
      <c r="J994" s="1">
        <v>0.0</v>
      </c>
      <c r="K994" s="1">
        <v>0.0</v>
      </c>
      <c r="L994" s="1">
        <v>1.0</v>
      </c>
      <c r="M994" s="1">
        <v>0.0</v>
      </c>
      <c r="N994" s="1">
        <v>0.0</v>
      </c>
      <c r="O994" s="1">
        <v>0.0</v>
      </c>
      <c r="P994" s="1">
        <v>0.0</v>
      </c>
      <c r="Q994" s="1">
        <v>3.0</v>
      </c>
      <c r="R994" s="1">
        <v>0.0</v>
      </c>
    </row>
    <row r="995">
      <c r="A995" s="1">
        <f t="shared" si="1"/>
        <v>989</v>
      </c>
      <c r="B995" s="1" t="s">
        <v>2048</v>
      </c>
      <c r="C995" s="1">
        <f t="shared" si="2"/>
        <v>989</v>
      </c>
      <c r="D995" s="1" t="s">
        <v>1120</v>
      </c>
      <c r="E995" s="1" t="s">
        <v>31</v>
      </c>
      <c r="F995" s="11">
        <f t="shared" si="3"/>
        <v>1.25</v>
      </c>
      <c r="G995" s="11">
        <f t="shared" si="4"/>
        <v>0.4166666667</v>
      </c>
      <c r="H995" s="1">
        <v>3.0</v>
      </c>
      <c r="I995" s="1">
        <v>0.0</v>
      </c>
      <c r="J995" s="1">
        <v>0.0</v>
      </c>
      <c r="K995" s="1">
        <v>0.0</v>
      </c>
      <c r="L995" s="1">
        <v>1.0</v>
      </c>
      <c r="M995" s="1">
        <v>0.0</v>
      </c>
      <c r="N995" s="1">
        <v>0.0</v>
      </c>
      <c r="O995" s="1">
        <v>0.0</v>
      </c>
      <c r="P995" s="1">
        <v>0.0</v>
      </c>
      <c r="Q995" s="1">
        <v>3.0</v>
      </c>
      <c r="R995" s="1">
        <v>0.0</v>
      </c>
    </row>
    <row r="996">
      <c r="A996" s="1">
        <f t="shared" si="1"/>
        <v>994</v>
      </c>
      <c r="B996" s="1" t="s">
        <v>2054</v>
      </c>
      <c r="C996" s="1">
        <f t="shared" si="2"/>
        <v>994</v>
      </c>
      <c r="D996" s="1" t="s">
        <v>1091</v>
      </c>
      <c r="E996" s="1" t="s">
        <v>5</v>
      </c>
      <c r="F996" s="11">
        <f t="shared" si="3"/>
        <v>1.2</v>
      </c>
      <c r="G996" s="11">
        <f t="shared" si="4"/>
        <v>0.24</v>
      </c>
      <c r="H996" s="1">
        <v>5.0</v>
      </c>
      <c r="S996" s="1">
        <v>1.0</v>
      </c>
      <c r="T996" s="1">
        <v>17.0</v>
      </c>
      <c r="U996" s="1">
        <v>79.0</v>
      </c>
      <c r="V996" s="1">
        <v>0.0</v>
      </c>
    </row>
    <row r="997">
      <c r="A997" s="1">
        <f t="shared" si="1"/>
        <v>995</v>
      </c>
      <c r="B997" s="1" t="s">
        <v>2057</v>
      </c>
      <c r="C997" s="1">
        <f t="shared" si="2"/>
        <v>995</v>
      </c>
      <c r="D997" s="1" t="s">
        <v>1073</v>
      </c>
      <c r="E997" s="1" t="s">
        <v>36</v>
      </c>
      <c r="F997" s="11">
        <f t="shared" si="3"/>
        <v>1</v>
      </c>
      <c r="G997" s="11">
        <f t="shared" si="4"/>
        <v>1</v>
      </c>
      <c r="H997" s="1">
        <v>1.0</v>
      </c>
      <c r="I997" s="1">
        <v>0.0</v>
      </c>
      <c r="J997" s="1">
        <v>0.0</v>
      </c>
      <c r="K997" s="1">
        <v>0.0</v>
      </c>
      <c r="L997" s="1">
        <v>2.0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</row>
    <row r="998">
      <c r="A998" s="1">
        <f t="shared" si="1"/>
        <v>996</v>
      </c>
      <c r="B998" s="1" t="s">
        <v>2058</v>
      </c>
      <c r="C998" s="1">
        <f t="shared" si="2"/>
        <v>996</v>
      </c>
      <c r="D998" s="1" t="s">
        <v>1040</v>
      </c>
      <c r="E998" s="1" t="s">
        <v>28</v>
      </c>
      <c r="F998" s="11">
        <f t="shared" si="3"/>
        <v>0.75</v>
      </c>
      <c r="G998" s="11">
        <f t="shared" si="4"/>
        <v>0.75</v>
      </c>
      <c r="H998" s="1">
        <v>1.0</v>
      </c>
      <c r="I998" s="1">
        <v>0.0</v>
      </c>
      <c r="J998" s="1">
        <v>0.0</v>
      </c>
      <c r="K998" s="1">
        <v>0.0</v>
      </c>
      <c r="L998" s="1">
        <v>1.0</v>
      </c>
      <c r="M998" s="1">
        <v>0.0</v>
      </c>
      <c r="N998" s="1">
        <v>0.0</v>
      </c>
      <c r="O998" s="1">
        <v>0.0</v>
      </c>
      <c r="P998" s="1">
        <v>0.0</v>
      </c>
      <c r="Q998" s="1">
        <v>1.0</v>
      </c>
      <c r="R998" s="1">
        <v>0.0</v>
      </c>
    </row>
    <row r="999">
      <c r="A999" s="1">
        <f t="shared" si="1"/>
        <v>996</v>
      </c>
      <c r="B999" s="1" t="s">
        <v>2059</v>
      </c>
      <c r="C999" s="1">
        <f t="shared" si="2"/>
        <v>996</v>
      </c>
      <c r="D999" s="1" t="s">
        <v>1040</v>
      </c>
      <c r="E999" s="1" t="s">
        <v>31</v>
      </c>
      <c r="F999" s="11">
        <f t="shared" si="3"/>
        <v>0.75</v>
      </c>
      <c r="G999" s="11">
        <f t="shared" si="4"/>
        <v>0.75</v>
      </c>
      <c r="H999" s="1">
        <v>1.0</v>
      </c>
      <c r="I999" s="1">
        <v>0.0</v>
      </c>
      <c r="J999" s="1">
        <v>0.0</v>
      </c>
      <c r="K999" s="1">
        <v>0.0</v>
      </c>
      <c r="L999" s="1">
        <v>1.0</v>
      </c>
      <c r="M999" s="1">
        <v>0.0</v>
      </c>
      <c r="N999" s="1">
        <v>0.0</v>
      </c>
      <c r="O999" s="1">
        <v>0.0</v>
      </c>
      <c r="P999" s="1">
        <v>0.0</v>
      </c>
      <c r="Q999" s="1">
        <v>1.0</v>
      </c>
      <c r="R999" s="1">
        <v>0.0</v>
      </c>
    </row>
    <row r="1000">
      <c r="A1000" s="1">
        <f t="shared" si="1"/>
        <v>996</v>
      </c>
      <c r="B1000" s="1" t="s">
        <v>2060</v>
      </c>
      <c r="C1000" s="1">
        <f t="shared" si="2"/>
        <v>996</v>
      </c>
      <c r="D1000" s="1" t="s">
        <v>1570</v>
      </c>
      <c r="E1000" s="1" t="s">
        <v>28</v>
      </c>
      <c r="F1000" s="11">
        <f t="shared" si="3"/>
        <v>0.75</v>
      </c>
      <c r="G1000" s="11">
        <f t="shared" si="4"/>
        <v>0.75</v>
      </c>
      <c r="H1000" s="1">
        <v>1.0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1.0</v>
      </c>
      <c r="R1000" s="1">
        <v>1.0</v>
      </c>
    </row>
    <row r="1001">
      <c r="A1001" s="1">
        <f t="shared" si="1"/>
        <v>996</v>
      </c>
      <c r="B1001" s="1" t="s">
        <v>2061</v>
      </c>
      <c r="C1001" s="1">
        <f t="shared" si="2"/>
        <v>996</v>
      </c>
      <c r="D1001" s="1" t="s">
        <v>1067</v>
      </c>
      <c r="E1001" s="1" t="s">
        <v>31</v>
      </c>
      <c r="F1001" s="11">
        <f t="shared" si="3"/>
        <v>0.75</v>
      </c>
      <c r="G1001" s="11">
        <f t="shared" si="4"/>
        <v>0.75</v>
      </c>
      <c r="H1001" s="1">
        <v>1.0</v>
      </c>
      <c r="I1001" s="1">
        <v>0.0</v>
      </c>
      <c r="J1001" s="1">
        <v>0.0</v>
      </c>
      <c r="K1001" s="1">
        <v>0.0</v>
      </c>
      <c r="L1001" s="1">
        <v>1.0</v>
      </c>
      <c r="M1001" s="1">
        <v>0.0</v>
      </c>
      <c r="N1001" s="1">
        <v>0.0</v>
      </c>
      <c r="O1001" s="1">
        <v>0.0</v>
      </c>
      <c r="P1001" s="1">
        <v>0.0</v>
      </c>
      <c r="Q1001" s="1">
        <v>1.0</v>
      </c>
      <c r="R1001" s="1">
        <v>0.0</v>
      </c>
    </row>
    <row r="1002">
      <c r="A1002" s="1">
        <f t="shared" si="1"/>
        <v>996</v>
      </c>
      <c r="B1002" s="1" t="s">
        <v>2055</v>
      </c>
      <c r="C1002" s="1">
        <f t="shared" si="2"/>
        <v>996</v>
      </c>
      <c r="D1002" s="1" t="s">
        <v>1073</v>
      </c>
      <c r="E1002" s="1" t="s">
        <v>31</v>
      </c>
      <c r="F1002" s="11">
        <f t="shared" si="3"/>
        <v>0.75</v>
      </c>
      <c r="G1002" s="11">
        <f t="shared" si="4"/>
        <v>0.75</v>
      </c>
      <c r="H1002" s="1">
        <v>1.0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3.0</v>
      </c>
      <c r="R1002" s="1">
        <v>0.0</v>
      </c>
    </row>
    <row r="1003">
      <c r="A1003" s="1">
        <f t="shared" si="1"/>
        <v>996</v>
      </c>
      <c r="B1003" s="1" t="s">
        <v>2062</v>
      </c>
      <c r="C1003" s="1">
        <f t="shared" si="2"/>
        <v>996</v>
      </c>
      <c r="D1003" s="1" t="s">
        <v>1091</v>
      </c>
      <c r="E1003" s="1" t="s">
        <v>31</v>
      </c>
      <c r="F1003" s="11">
        <f t="shared" si="3"/>
        <v>0.75</v>
      </c>
      <c r="G1003" s="11">
        <f t="shared" si="4"/>
        <v>0.75</v>
      </c>
      <c r="H1003" s="1">
        <v>1.0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1.0</v>
      </c>
      <c r="R1003" s="1">
        <v>1.0</v>
      </c>
    </row>
    <row r="1004">
      <c r="A1004" s="1">
        <f t="shared" si="1"/>
        <v>996</v>
      </c>
      <c r="B1004" s="1" t="s">
        <v>2056</v>
      </c>
      <c r="C1004" s="1">
        <f t="shared" si="2"/>
        <v>996</v>
      </c>
      <c r="D1004" s="1" t="s">
        <v>1076</v>
      </c>
      <c r="E1004" s="1" t="s">
        <v>28</v>
      </c>
      <c r="F1004" s="11">
        <f t="shared" si="3"/>
        <v>0.75</v>
      </c>
      <c r="G1004" s="11">
        <f t="shared" si="4"/>
        <v>0.375</v>
      </c>
      <c r="H1004" s="1">
        <v>2.0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3.0</v>
      </c>
      <c r="R1004" s="1">
        <v>0.0</v>
      </c>
    </row>
    <row r="1005">
      <c r="A1005" s="1">
        <f t="shared" si="1"/>
        <v>1003</v>
      </c>
      <c r="B1005" s="1" t="s">
        <v>2067</v>
      </c>
      <c r="C1005" s="1">
        <f t="shared" si="2"/>
        <v>1003</v>
      </c>
      <c r="D1005" s="1" t="s">
        <v>1091</v>
      </c>
      <c r="E1005" s="1" t="s">
        <v>66</v>
      </c>
      <c r="F1005" s="11">
        <f t="shared" si="3"/>
        <v>0.5</v>
      </c>
      <c r="G1005" s="11">
        <f t="shared" si="4"/>
        <v>0.5</v>
      </c>
      <c r="H1005" s="1">
        <v>1.0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1.0</v>
      </c>
    </row>
    <row r="1006">
      <c r="A1006" s="1">
        <f t="shared" si="1"/>
        <v>1003</v>
      </c>
      <c r="B1006" s="1" t="s">
        <v>2068</v>
      </c>
      <c r="C1006" s="1">
        <f t="shared" si="2"/>
        <v>1003</v>
      </c>
      <c r="D1006" s="1" t="s">
        <v>1040</v>
      </c>
      <c r="E1006" s="1" t="s">
        <v>31</v>
      </c>
      <c r="F1006" s="11">
        <f t="shared" si="3"/>
        <v>0.5</v>
      </c>
      <c r="G1006" s="11">
        <f t="shared" si="4"/>
        <v>0.5</v>
      </c>
      <c r="H1006" s="1">
        <v>1.0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1.0</v>
      </c>
    </row>
    <row r="1007">
      <c r="A1007" s="1">
        <f t="shared" si="1"/>
        <v>1003</v>
      </c>
      <c r="B1007" s="1" t="s">
        <v>2063</v>
      </c>
      <c r="C1007" s="1">
        <f t="shared" si="2"/>
        <v>1003</v>
      </c>
      <c r="D1007" s="1" t="s">
        <v>1052</v>
      </c>
      <c r="E1007" s="1" t="s">
        <v>36</v>
      </c>
      <c r="F1007" s="11">
        <f t="shared" si="3"/>
        <v>0.5</v>
      </c>
      <c r="G1007" s="11">
        <f t="shared" si="4"/>
        <v>0.5</v>
      </c>
      <c r="H1007" s="1">
        <v>1.0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2.0</v>
      </c>
      <c r="R1007" s="1">
        <v>0.0</v>
      </c>
    </row>
    <row r="1008">
      <c r="A1008" s="1">
        <f t="shared" si="1"/>
        <v>1003</v>
      </c>
      <c r="B1008" s="1" t="s">
        <v>2069</v>
      </c>
      <c r="C1008" s="1">
        <f t="shared" si="2"/>
        <v>1003</v>
      </c>
      <c r="D1008" s="1" t="s">
        <v>1046</v>
      </c>
      <c r="E1008" s="1" t="s">
        <v>66</v>
      </c>
      <c r="F1008" s="11">
        <f t="shared" si="3"/>
        <v>0.5</v>
      </c>
      <c r="G1008" s="11">
        <f t="shared" si="4"/>
        <v>0.5</v>
      </c>
      <c r="H1008" s="1">
        <v>1.0</v>
      </c>
      <c r="I1008" s="1">
        <v>0.0</v>
      </c>
      <c r="J1008" s="1">
        <v>0.0</v>
      </c>
      <c r="K1008" s="1">
        <v>0.0</v>
      </c>
      <c r="L1008" s="1">
        <v>1.0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</row>
    <row r="1009">
      <c r="A1009" s="1">
        <f t="shared" si="1"/>
        <v>1003</v>
      </c>
      <c r="B1009" s="1" t="s">
        <v>2064</v>
      </c>
      <c r="C1009" s="1">
        <f t="shared" si="2"/>
        <v>1003</v>
      </c>
      <c r="D1009" s="1" t="s">
        <v>1146</v>
      </c>
      <c r="E1009" s="1" t="s">
        <v>36</v>
      </c>
      <c r="F1009" s="11">
        <f t="shared" si="3"/>
        <v>0.5</v>
      </c>
      <c r="G1009" s="11">
        <f t="shared" si="4"/>
        <v>0.5</v>
      </c>
      <c r="H1009" s="1">
        <v>1.0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2.0</v>
      </c>
      <c r="R1009" s="1">
        <v>0.0</v>
      </c>
    </row>
    <row r="1010">
      <c r="A1010" s="1">
        <f t="shared" si="1"/>
        <v>1003</v>
      </c>
      <c r="B1010" s="1" t="s">
        <v>2065</v>
      </c>
      <c r="C1010" s="1">
        <f t="shared" si="2"/>
        <v>1003</v>
      </c>
      <c r="D1010" s="1" t="s">
        <v>1172</v>
      </c>
      <c r="E1010" s="1" t="s">
        <v>66</v>
      </c>
      <c r="F1010" s="11">
        <f t="shared" si="3"/>
        <v>0.5</v>
      </c>
      <c r="G1010" s="11">
        <f t="shared" si="4"/>
        <v>0.25</v>
      </c>
      <c r="H1010" s="1">
        <v>2.0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2.0</v>
      </c>
      <c r="R1010" s="1">
        <v>0.0</v>
      </c>
    </row>
    <row r="1011">
      <c r="A1011" s="1">
        <f t="shared" si="1"/>
        <v>1003</v>
      </c>
      <c r="B1011" s="1" t="s">
        <v>2066</v>
      </c>
      <c r="C1011" s="1">
        <f t="shared" si="2"/>
        <v>1003</v>
      </c>
      <c r="D1011" s="1" t="s">
        <v>1034</v>
      </c>
      <c r="E1011" s="1" t="s">
        <v>31</v>
      </c>
      <c r="F1011" s="11">
        <f t="shared" si="3"/>
        <v>0.5</v>
      </c>
      <c r="G1011" s="11">
        <f t="shared" si="4"/>
        <v>0.25</v>
      </c>
      <c r="H1011" s="1">
        <v>2.0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2.0</v>
      </c>
      <c r="R1011" s="1">
        <v>0.0</v>
      </c>
    </row>
    <row r="1012">
      <c r="A1012" s="1">
        <f t="shared" si="1"/>
        <v>1010</v>
      </c>
      <c r="B1012" s="1" t="s">
        <v>2072</v>
      </c>
      <c r="C1012" s="1">
        <f t="shared" si="2"/>
        <v>1010</v>
      </c>
      <c r="D1012" s="1" t="s">
        <v>1073</v>
      </c>
      <c r="E1012" s="1" t="s">
        <v>5</v>
      </c>
      <c r="F1012" s="11">
        <f t="shared" si="3"/>
        <v>0.3</v>
      </c>
      <c r="G1012" s="11">
        <f t="shared" si="4"/>
        <v>0.3</v>
      </c>
      <c r="H1012" s="1">
        <v>1.0</v>
      </c>
      <c r="S1012" s="1">
        <v>0.0</v>
      </c>
      <c r="T1012" s="1">
        <v>0.0</v>
      </c>
      <c r="U1012" s="1">
        <v>1.0</v>
      </c>
      <c r="V1012" s="1">
        <v>0.0</v>
      </c>
    </row>
    <row r="1013">
      <c r="A1013" s="1">
        <f t="shared" si="1"/>
        <v>1011</v>
      </c>
      <c r="B1013" s="1" t="s">
        <v>2070</v>
      </c>
      <c r="C1013" s="1">
        <f t="shared" si="2"/>
        <v>1011</v>
      </c>
      <c r="D1013" s="1" t="s">
        <v>1040</v>
      </c>
      <c r="E1013" s="1" t="s">
        <v>66</v>
      </c>
      <c r="F1013" s="11">
        <f t="shared" si="3"/>
        <v>0.25</v>
      </c>
      <c r="G1013" s="11">
        <f t="shared" si="4"/>
        <v>0.25</v>
      </c>
      <c r="H1013" s="1">
        <v>1.0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1.0</v>
      </c>
      <c r="R1013" s="1">
        <v>0.0</v>
      </c>
    </row>
    <row r="1014">
      <c r="A1014" s="1">
        <f t="shared" si="1"/>
        <v>1011</v>
      </c>
      <c r="B1014" s="1" t="s">
        <v>2071</v>
      </c>
      <c r="C1014" s="1">
        <f t="shared" si="2"/>
        <v>1011</v>
      </c>
      <c r="D1014" s="1" t="s">
        <v>1082</v>
      </c>
      <c r="E1014" s="1" t="s">
        <v>28</v>
      </c>
      <c r="F1014" s="11">
        <f t="shared" si="3"/>
        <v>0.25</v>
      </c>
      <c r="G1014" s="11">
        <f t="shared" si="4"/>
        <v>0.08333333333</v>
      </c>
      <c r="H1014" s="1">
        <v>3.0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1.0</v>
      </c>
      <c r="R1014" s="1">
        <v>0.0</v>
      </c>
    </row>
    <row r="1015">
      <c r="A1015" s="1">
        <f t="shared" si="1"/>
        <v>1013</v>
      </c>
      <c r="B1015" s="1" t="s">
        <v>2073</v>
      </c>
      <c r="C1015" s="1">
        <f t="shared" si="2"/>
        <v>1013</v>
      </c>
      <c r="D1015" s="1" t="s">
        <v>1036</v>
      </c>
      <c r="E1015" s="1" t="s">
        <v>66</v>
      </c>
      <c r="F1015" s="11">
        <f t="shared" si="3"/>
        <v>0</v>
      </c>
      <c r="G1015" s="11">
        <f t="shared" si="4"/>
        <v>0</v>
      </c>
      <c r="H1015" s="1">
        <v>1.0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</row>
    <row r="1016">
      <c r="A1016" s="1">
        <f t="shared" si="1"/>
        <v>1013</v>
      </c>
      <c r="B1016" s="1" t="s">
        <v>2074</v>
      </c>
      <c r="C1016" s="1">
        <f t="shared" si="2"/>
        <v>1013</v>
      </c>
      <c r="D1016" s="1" t="s">
        <v>1156</v>
      </c>
      <c r="E1016" s="1" t="s">
        <v>36</v>
      </c>
      <c r="F1016" s="11">
        <f t="shared" si="3"/>
        <v>0</v>
      </c>
      <c r="G1016" s="11">
        <f t="shared" si="4"/>
        <v>0</v>
      </c>
      <c r="H1016" s="1">
        <v>1.0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</row>
    <row r="1017">
      <c r="A1017" s="1">
        <f t="shared" si="1"/>
        <v>1013</v>
      </c>
      <c r="B1017" s="1" t="s">
        <v>2075</v>
      </c>
      <c r="C1017" s="1">
        <f t="shared" si="2"/>
        <v>1013</v>
      </c>
      <c r="D1017" s="1" t="s">
        <v>1156</v>
      </c>
      <c r="E1017" s="1" t="s">
        <v>31</v>
      </c>
      <c r="F1017" s="11">
        <f t="shared" si="3"/>
        <v>0</v>
      </c>
      <c r="G1017" s="11">
        <f t="shared" si="4"/>
        <v>0</v>
      </c>
      <c r="H1017" s="1">
        <v>1.0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</row>
    <row r="1018">
      <c r="A1018" s="1">
        <f t="shared" si="1"/>
        <v>1013</v>
      </c>
      <c r="B1018" s="1" t="s">
        <v>2076</v>
      </c>
      <c r="C1018" s="1">
        <f t="shared" si="2"/>
        <v>1013</v>
      </c>
      <c r="D1018" s="1" t="s">
        <v>1038</v>
      </c>
      <c r="E1018" s="1" t="s">
        <v>28</v>
      </c>
      <c r="F1018" s="11">
        <f t="shared" si="3"/>
        <v>0</v>
      </c>
      <c r="G1018" s="11">
        <f t="shared" si="4"/>
        <v>0</v>
      </c>
      <c r="H1018" s="1">
        <v>1.0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</row>
    <row r="1019">
      <c r="A1019" s="1">
        <f t="shared" si="1"/>
        <v>1013</v>
      </c>
      <c r="B1019" s="1" t="s">
        <v>2077</v>
      </c>
      <c r="C1019" s="1">
        <f t="shared" si="2"/>
        <v>1013</v>
      </c>
      <c r="D1019" s="1" t="s">
        <v>1067</v>
      </c>
      <c r="E1019" s="1" t="s">
        <v>31</v>
      </c>
      <c r="F1019" s="11">
        <f t="shared" si="3"/>
        <v>0</v>
      </c>
      <c r="G1019" s="11">
        <f t="shared" si="4"/>
        <v>0</v>
      </c>
      <c r="H1019" s="1">
        <v>1.0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</row>
    <row r="1020">
      <c r="A1020" s="1">
        <f t="shared" si="1"/>
        <v>1013</v>
      </c>
      <c r="B1020" s="1" t="s">
        <v>2078</v>
      </c>
      <c r="C1020" s="1">
        <f t="shared" si="2"/>
        <v>1013</v>
      </c>
      <c r="D1020" s="1" t="s">
        <v>1146</v>
      </c>
      <c r="E1020" s="1" t="s">
        <v>28</v>
      </c>
      <c r="F1020" s="11">
        <f t="shared" si="3"/>
        <v>0</v>
      </c>
      <c r="G1020" s="11">
        <f t="shared" si="4"/>
        <v>0</v>
      </c>
      <c r="H1020" s="1">
        <v>1.0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</row>
    <row r="1021">
      <c r="A1021" s="1">
        <f t="shared" si="1"/>
        <v>1013</v>
      </c>
      <c r="B1021" s="1" t="s">
        <v>2079</v>
      </c>
      <c r="C1021" s="1">
        <f t="shared" si="2"/>
        <v>1013</v>
      </c>
      <c r="D1021" s="1" t="s">
        <v>1146</v>
      </c>
      <c r="E1021" s="1" t="s">
        <v>31</v>
      </c>
      <c r="F1021" s="11">
        <f t="shared" si="3"/>
        <v>0</v>
      </c>
      <c r="G1021" s="11">
        <f t="shared" si="4"/>
        <v>0</v>
      </c>
      <c r="H1021" s="1">
        <v>2.0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</row>
    <row r="1022">
      <c r="A1022" s="1">
        <f t="shared" si="1"/>
        <v>1020</v>
      </c>
      <c r="B1022" s="1" t="s">
        <v>2080</v>
      </c>
      <c r="C1022" s="1">
        <f t="shared" si="2"/>
        <v>1020</v>
      </c>
      <c r="D1022" s="1" t="s">
        <v>1111</v>
      </c>
      <c r="E1022" s="1" t="s">
        <v>5</v>
      </c>
      <c r="F1022" s="11">
        <f t="shared" si="3"/>
        <v>-0.3</v>
      </c>
      <c r="G1022" s="11">
        <f t="shared" si="4"/>
        <v>-0.15</v>
      </c>
      <c r="H1022" s="1">
        <v>2.0</v>
      </c>
      <c r="S1022" s="1">
        <v>0.0</v>
      </c>
      <c r="T1022" s="1">
        <v>5.0</v>
      </c>
      <c r="U1022" s="1">
        <v>24.0</v>
      </c>
      <c r="V1022" s="1">
        <v>0.0</v>
      </c>
    </row>
    <row r="1023">
      <c r="A1023" s="1">
        <f t="shared" si="1"/>
        <v>1021</v>
      </c>
      <c r="B1023" s="1" t="s">
        <v>2081</v>
      </c>
      <c r="C1023" s="1">
        <f t="shared" si="2"/>
        <v>1021</v>
      </c>
      <c r="D1023" s="1" t="s">
        <v>1087</v>
      </c>
      <c r="E1023" s="1" t="s">
        <v>5</v>
      </c>
      <c r="F1023" s="11">
        <f t="shared" si="3"/>
        <v>-1.2</v>
      </c>
      <c r="G1023" s="11">
        <f t="shared" si="4"/>
        <v>-1.2</v>
      </c>
      <c r="H1023" s="1">
        <v>1.0</v>
      </c>
      <c r="S1023" s="1">
        <v>0.0</v>
      </c>
      <c r="T1023" s="1">
        <v>2.0</v>
      </c>
      <c r="U1023" s="1">
        <v>6.0</v>
      </c>
      <c r="V1023" s="1">
        <v>0.0</v>
      </c>
    </row>
    <row r="1024">
      <c r="A1024" s="1">
        <f t="shared" si="1"/>
        <v>1022</v>
      </c>
      <c r="B1024" s="1" t="s">
        <v>2082</v>
      </c>
      <c r="C1024" s="1">
        <f t="shared" si="2"/>
        <v>1022</v>
      </c>
      <c r="D1024" s="1" t="s">
        <v>1091</v>
      </c>
      <c r="E1024" s="1" t="s">
        <v>5</v>
      </c>
      <c r="F1024" s="11">
        <f t="shared" si="3"/>
        <v>-2.1</v>
      </c>
      <c r="G1024" s="11">
        <f t="shared" si="4"/>
        <v>-0.7</v>
      </c>
      <c r="H1024" s="1">
        <v>3.0</v>
      </c>
      <c r="S1024" s="1">
        <v>0.0</v>
      </c>
      <c r="T1024" s="1">
        <v>10.0</v>
      </c>
      <c r="U1024" s="1">
        <v>43.0</v>
      </c>
      <c r="V1024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2" max="2" width="27.0"/>
    <col customWidth="1" min="3" max="3" width="8.0"/>
    <col customWidth="1" min="4" max="4" width="6.75"/>
    <col customWidth="1" min="5" max="5" width="9.13"/>
    <col customWidth="1" min="6" max="6" width="10.38"/>
    <col customWidth="1" min="7" max="21" width="5.63"/>
  </cols>
  <sheetData>
    <row r="1">
      <c r="A1" s="13" t="s">
        <v>1021</v>
      </c>
      <c r="B1" s="13" t="s">
        <v>1022</v>
      </c>
      <c r="C1" s="13" t="s">
        <v>1023</v>
      </c>
      <c r="D1" s="13" t="s">
        <v>1</v>
      </c>
      <c r="E1" s="14" t="s">
        <v>2</v>
      </c>
      <c r="F1" s="14" t="s">
        <v>3</v>
      </c>
      <c r="G1" s="13" t="s">
        <v>4</v>
      </c>
      <c r="H1" s="13" t="s">
        <v>5</v>
      </c>
      <c r="I1" s="13" t="s">
        <v>6</v>
      </c>
      <c r="J1" s="13" t="s">
        <v>1024</v>
      </c>
      <c r="K1" s="13" t="s">
        <v>1025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1026</v>
      </c>
      <c r="Q1" s="13" t="s">
        <v>1027</v>
      </c>
      <c r="R1" s="1" t="s">
        <v>19</v>
      </c>
      <c r="S1" s="1" t="s">
        <v>21</v>
      </c>
      <c r="T1" s="1" t="s">
        <v>23</v>
      </c>
      <c r="U1" s="1" t="s">
        <v>24</v>
      </c>
    </row>
    <row r="2">
      <c r="A2" s="1" t="s">
        <v>25</v>
      </c>
      <c r="E2" s="15"/>
      <c r="F2" s="15"/>
      <c r="G2" s="1">
        <v>0.0</v>
      </c>
      <c r="H2" s="1">
        <v>4.5</v>
      </c>
      <c r="I2" s="1">
        <v>3.0</v>
      </c>
      <c r="J2" s="1">
        <v>0.0</v>
      </c>
      <c r="K2" s="1">
        <v>0.5</v>
      </c>
      <c r="L2" s="1">
        <v>0.0</v>
      </c>
      <c r="M2" s="1">
        <v>0.0</v>
      </c>
      <c r="N2" s="1">
        <v>2.0</v>
      </c>
      <c r="O2" s="1">
        <v>2.0</v>
      </c>
      <c r="P2" s="1">
        <v>0.25</v>
      </c>
      <c r="Q2" s="1">
        <v>0.5</v>
      </c>
      <c r="R2" s="1">
        <v>3.0</v>
      </c>
      <c r="S2" s="1">
        <v>-1.5</v>
      </c>
      <c r="T2" s="1">
        <v>0.3</v>
      </c>
      <c r="U2" s="1">
        <v>3.0</v>
      </c>
    </row>
    <row r="3">
      <c r="A3" s="2">
        <f t="shared" ref="A3:A1060" si="1">rank(E3, E:E)</f>
        <v>1</v>
      </c>
      <c r="B3" s="1" t="s">
        <v>1035</v>
      </c>
      <c r="C3" s="1" t="s">
        <v>1036</v>
      </c>
      <c r="D3" s="1" t="s">
        <v>31</v>
      </c>
      <c r="E3" s="15">
        <f t="shared" ref="E3:E1060" si="2">SUMPRODUCT(G$2:U$2,G3:U3)</f>
        <v>787.25</v>
      </c>
      <c r="F3" s="15">
        <f t="shared" ref="F3:F1060" si="3">E3/G3</f>
        <v>9.600609756</v>
      </c>
      <c r="G3" s="1">
        <v>82.0</v>
      </c>
      <c r="H3" s="1">
        <v>64.0</v>
      </c>
      <c r="I3" s="1">
        <v>89.0</v>
      </c>
      <c r="J3" s="1">
        <v>153.0</v>
      </c>
      <c r="K3" s="1">
        <v>352.0</v>
      </c>
      <c r="L3" s="1">
        <v>21.0</v>
      </c>
      <c r="M3" s="1">
        <v>50.0</v>
      </c>
      <c r="N3" s="1">
        <v>4.0</v>
      </c>
      <c r="O3" s="1">
        <v>3.0</v>
      </c>
      <c r="P3" s="1">
        <v>89.0</v>
      </c>
      <c r="Q3" s="1">
        <v>40.0</v>
      </c>
    </row>
    <row r="4">
      <c r="A4" s="2">
        <f t="shared" si="1"/>
        <v>2</v>
      </c>
      <c r="B4" s="1" t="s">
        <v>1037</v>
      </c>
      <c r="C4" s="1" t="s">
        <v>1038</v>
      </c>
      <c r="D4" s="1" t="s">
        <v>36</v>
      </c>
      <c r="E4" s="15">
        <f t="shared" si="2"/>
        <v>673.25</v>
      </c>
      <c r="F4" s="15">
        <f t="shared" si="3"/>
        <v>8.210365854</v>
      </c>
      <c r="G4" s="1">
        <v>82.0</v>
      </c>
      <c r="H4" s="1">
        <v>61.0</v>
      </c>
      <c r="I4" s="1">
        <v>52.0</v>
      </c>
      <c r="J4" s="1">
        <v>113.0</v>
      </c>
      <c r="K4" s="1">
        <v>407.0</v>
      </c>
      <c r="L4" s="1">
        <v>18.0</v>
      </c>
      <c r="M4" s="1">
        <v>19.0</v>
      </c>
      <c r="N4" s="1">
        <v>0.0</v>
      </c>
      <c r="O4" s="1">
        <v>0.0</v>
      </c>
      <c r="P4" s="1">
        <v>91.0</v>
      </c>
      <c r="Q4" s="1">
        <v>33.0</v>
      </c>
    </row>
    <row r="5">
      <c r="A5" s="2">
        <f t="shared" si="1"/>
        <v>3</v>
      </c>
      <c r="B5" s="1" t="s">
        <v>1055</v>
      </c>
      <c r="C5" s="1" t="s">
        <v>1036</v>
      </c>
      <c r="D5" s="1" t="s">
        <v>31</v>
      </c>
      <c r="E5" s="15">
        <f t="shared" si="2"/>
        <v>626</v>
      </c>
      <c r="F5" s="15">
        <f t="shared" si="3"/>
        <v>7.825</v>
      </c>
      <c r="G5" s="1">
        <v>80.0</v>
      </c>
      <c r="H5" s="1">
        <v>52.0</v>
      </c>
      <c r="I5" s="1">
        <v>76.0</v>
      </c>
      <c r="J5" s="1">
        <v>128.0</v>
      </c>
      <c r="K5" s="1">
        <v>247.0</v>
      </c>
      <c r="L5" s="1">
        <v>32.0</v>
      </c>
      <c r="M5" s="1">
        <v>30.0</v>
      </c>
      <c r="N5" s="1">
        <v>1.0</v>
      </c>
      <c r="O5" s="1">
        <v>1.0</v>
      </c>
      <c r="P5" s="1">
        <v>66.0</v>
      </c>
      <c r="Q5" s="1">
        <v>40.0</v>
      </c>
    </row>
    <row r="6">
      <c r="A6" s="2">
        <f t="shared" si="1"/>
        <v>4</v>
      </c>
      <c r="B6" s="1" t="s">
        <v>1029</v>
      </c>
      <c r="C6" s="1" t="s">
        <v>1030</v>
      </c>
      <c r="D6" s="1" t="s">
        <v>31</v>
      </c>
      <c r="E6" s="15">
        <f t="shared" si="2"/>
        <v>612.25</v>
      </c>
      <c r="F6" s="15">
        <f t="shared" si="3"/>
        <v>8.623239437</v>
      </c>
      <c r="G6" s="1">
        <v>71.0</v>
      </c>
      <c r="H6" s="1">
        <v>42.0</v>
      </c>
      <c r="I6" s="1">
        <v>69.0</v>
      </c>
      <c r="J6" s="1">
        <v>111.0</v>
      </c>
      <c r="K6" s="1">
        <v>366.0</v>
      </c>
      <c r="L6" s="1">
        <v>12.0</v>
      </c>
      <c r="M6" s="1">
        <v>22.0</v>
      </c>
      <c r="N6" s="1">
        <v>0.0</v>
      </c>
      <c r="O6" s="1">
        <v>0.0</v>
      </c>
      <c r="P6" s="1">
        <v>53.0</v>
      </c>
      <c r="Q6" s="1">
        <v>40.0</v>
      </c>
    </row>
    <row r="7">
      <c r="A7" s="2">
        <f t="shared" si="1"/>
        <v>5</v>
      </c>
      <c r="B7" s="1" t="s">
        <v>1049</v>
      </c>
      <c r="C7" s="1" t="s">
        <v>1030</v>
      </c>
      <c r="D7" s="1" t="s">
        <v>36</v>
      </c>
      <c r="E7" s="15">
        <f t="shared" si="2"/>
        <v>590.25</v>
      </c>
      <c r="F7" s="15">
        <f t="shared" si="3"/>
        <v>7.198170732</v>
      </c>
      <c r="G7" s="1">
        <v>82.0</v>
      </c>
      <c r="H7" s="1">
        <v>55.0</v>
      </c>
      <c r="I7" s="1">
        <v>50.0</v>
      </c>
      <c r="J7" s="1">
        <v>105.0</v>
      </c>
      <c r="K7" s="1">
        <v>306.0</v>
      </c>
      <c r="L7" s="1">
        <v>13.0</v>
      </c>
      <c r="M7" s="1">
        <v>24.0</v>
      </c>
      <c r="N7" s="1">
        <v>0.0</v>
      </c>
      <c r="O7" s="1">
        <v>0.0</v>
      </c>
      <c r="P7" s="1">
        <v>77.0</v>
      </c>
      <c r="Q7" s="1">
        <v>41.0</v>
      </c>
    </row>
    <row r="8">
      <c r="A8" s="2">
        <f t="shared" si="1"/>
        <v>6</v>
      </c>
      <c r="B8" s="1" t="s">
        <v>1058</v>
      </c>
      <c r="C8" s="1" t="s">
        <v>1048</v>
      </c>
      <c r="D8" s="1" t="s">
        <v>28</v>
      </c>
      <c r="E8" s="15">
        <f t="shared" si="2"/>
        <v>582.5</v>
      </c>
      <c r="F8" s="15">
        <f t="shared" si="3"/>
        <v>7.373417722</v>
      </c>
      <c r="G8" s="1">
        <v>79.0</v>
      </c>
      <c r="H8" s="1">
        <v>40.0</v>
      </c>
      <c r="I8" s="1">
        <v>69.0</v>
      </c>
      <c r="J8" s="1">
        <v>109.0</v>
      </c>
      <c r="K8" s="1">
        <v>322.0</v>
      </c>
      <c r="L8" s="1">
        <v>14.0</v>
      </c>
      <c r="M8" s="1">
        <v>22.0</v>
      </c>
      <c r="N8" s="1">
        <v>0.0</v>
      </c>
      <c r="O8" s="1">
        <v>1.0</v>
      </c>
      <c r="P8" s="1">
        <v>68.0</v>
      </c>
      <c r="Q8" s="1">
        <v>31.0</v>
      </c>
    </row>
    <row r="9">
      <c r="A9" s="2">
        <f t="shared" si="1"/>
        <v>7</v>
      </c>
      <c r="B9" s="1" t="s">
        <v>1084</v>
      </c>
      <c r="C9" s="1" t="s">
        <v>1085</v>
      </c>
      <c r="D9" s="1" t="s">
        <v>28</v>
      </c>
      <c r="E9" s="15">
        <f t="shared" si="2"/>
        <v>576.25</v>
      </c>
      <c r="F9" s="15">
        <f t="shared" si="3"/>
        <v>7.027439024</v>
      </c>
      <c r="G9" s="1">
        <v>82.0</v>
      </c>
      <c r="H9" s="1">
        <v>46.0</v>
      </c>
      <c r="I9" s="1">
        <v>63.0</v>
      </c>
      <c r="J9" s="1">
        <v>109.0</v>
      </c>
      <c r="K9" s="1">
        <v>313.0</v>
      </c>
      <c r="L9" s="1">
        <v>13.0</v>
      </c>
      <c r="M9" s="1">
        <v>28.0</v>
      </c>
      <c r="N9" s="1">
        <v>0.0</v>
      </c>
      <c r="O9" s="1">
        <v>0.0</v>
      </c>
      <c r="P9" s="1">
        <v>57.0</v>
      </c>
      <c r="Q9" s="1">
        <v>19.0</v>
      </c>
    </row>
    <row r="10">
      <c r="A10" s="2">
        <f t="shared" si="1"/>
        <v>8</v>
      </c>
      <c r="B10" s="1" t="s">
        <v>1060</v>
      </c>
      <c r="C10" s="1" t="s">
        <v>1046</v>
      </c>
      <c r="D10" s="1" t="s">
        <v>31</v>
      </c>
      <c r="E10" s="15">
        <f t="shared" si="2"/>
        <v>574</v>
      </c>
      <c r="F10" s="15">
        <f t="shared" si="3"/>
        <v>7.175</v>
      </c>
      <c r="G10" s="1">
        <v>80.0</v>
      </c>
      <c r="H10" s="1">
        <v>39.0</v>
      </c>
      <c r="I10" s="1">
        <v>63.0</v>
      </c>
      <c r="J10" s="1">
        <v>102.0</v>
      </c>
      <c r="K10" s="1">
        <v>257.0</v>
      </c>
      <c r="L10" s="1">
        <v>6.0</v>
      </c>
      <c r="M10" s="1">
        <v>19.0</v>
      </c>
      <c r="N10" s="1">
        <v>5.0</v>
      </c>
      <c r="O10" s="1">
        <v>4.0</v>
      </c>
      <c r="P10" s="1">
        <v>74.0</v>
      </c>
      <c r="Q10" s="1">
        <v>89.0</v>
      </c>
    </row>
    <row r="11">
      <c r="A11" s="2">
        <f t="shared" si="1"/>
        <v>9</v>
      </c>
      <c r="B11" s="1" t="s">
        <v>1033</v>
      </c>
      <c r="C11" s="1" t="s">
        <v>1034</v>
      </c>
      <c r="D11" s="1" t="s">
        <v>36</v>
      </c>
      <c r="E11" s="15">
        <f t="shared" si="2"/>
        <v>548.75</v>
      </c>
      <c r="F11" s="15">
        <f t="shared" si="3"/>
        <v>6.692073171</v>
      </c>
      <c r="G11" s="1">
        <v>82.0</v>
      </c>
      <c r="H11" s="1">
        <v>30.0</v>
      </c>
      <c r="I11" s="1">
        <v>83.0</v>
      </c>
      <c r="J11" s="1">
        <v>113.0</v>
      </c>
      <c r="K11" s="1">
        <v>271.0</v>
      </c>
      <c r="L11" s="1">
        <v>8.0</v>
      </c>
      <c r="M11" s="1">
        <v>42.0</v>
      </c>
      <c r="N11" s="1">
        <v>0.0</v>
      </c>
      <c r="O11" s="1">
        <v>0.0</v>
      </c>
      <c r="P11" s="1">
        <v>61.0</v>
      </c>
      <c r="Q11" s="1">
        <v>28.0</v>
      </c>
    </row>
    <row r="12">
      <c r="A12" s="2">
        <f t="shared" si="1"/>
        <v>10</v>
      </c>
      <c r="B12" s="1" t="s">
        <v>1108</v>
      </c>
      <c r="C12" s="1" t="s">
        <v>1076</v>
      </c>
      <c r="D12" s="1" t="s">
        <v>31</v>
      </c>
      <c r="E12" s="15">
        <f t="shared" si="2"/>
        <v>547.5</v>
      </c>
      <c r="F12" s="15">
        <f t="shared" si="3"/>
        <v>7.019230769</v>
      </c>
      <c r="G12" s="1">
        <v>78.0</v>
      </c>
      <c r="H12" s="1">
        <v>43.0</v>
      </c>
      <c r="I12" s="1">
        <v>56.0</v>
      </c>
      <c r="J12" s="1">
        <v>99.0</v>
      </c>
      <c r="K12" s="1">
        <v>336.0</v>
      </c>
      <c r="L12" s="1">
        <v>9.0</v>
      </c>
      <c r="M12" s="1">
        <v>22.0</v>
      </c>
      <c r="N12" s="1">
        <v>0.0</v>
      </c>
      <c r="O12" s="1">
        <v>0.0</v>
      </c>
      <c r="P12" s="1">
        <v>12.0</v>
      </c>
      <c r="Q12" s="1">
        <v>30.0</v>
      </c>
    </row>
    <row r="13">
      <c r="A13" s="2">
        <f t="shared" si="1"/>
        <v>11</v>
      </c>
      <c r="B13" s="1" t="s">
        <v>1031</v>
      </c>
      <c r="C13" s="1" t="s">
        <v>1032</v>
      </c>
      <c r="D13" s="1" t="s">
        <v>31</v>
      </c>
      <c r="E13" s="15">
        <f t="shared" si="2"/>
        <v>544</v>
      </c>
      <c r="F13" s="15">
        <f t="shared" si="3"/>
        <v>7.351351351</v>
      </c>
      <c r="G13" s="1">
        <v>74.0</v>
      </c>
      <c r="H13" s="1">
        <v>40.0</v>
      </c>
      <c r="I13" s="1">
        <v>45.0</v>
      </c>
      <c r="J13" s="1">
        <v>85.0</v>
      </c>
      <c r="K13" s="1">
        <v>327.0</v>
      </c>
      <c r="L13" s="1">
        <v>13.0</v>
      </c>
      <c r="M13" s="1">
        <v>15.0</v>
      </c>
      <c r="N13" s="1">
        <v>0.0</v>
      </c>
      <c r="O13" s="1">
        <v>0.0</v>
      </c>
      <c r="P13" s="1">
        <v>78.0</v>
      </c>
      <c r="Q13" s="1">
        <v>92.0</v>
      </c>
    </row>
    <row r="14">
      <c r="A14" s="2">
        <f t="shared" si="1"/>
        <v>12</v>
      </c>
      <c r="B14" s="1" t="s">
        <v>1043</v>
      </c>
      <c r="C14" s="1" t="s">
        <v>1044</v>
      </c>
      <c r="D14" s="1" t="s">
        <v>28</v>
      </c>
      <c r="E14" s="15">
        <f t="shared" si="2"/>
        <v>540</v>
      </c>
      <c r="F14" s="15">
        <f t="shared" si="3"/>
        <v>6.585365854</v>
      </c>
      <c r="G14" s="1">
        <v>82.0</v>
      </c>
      <c r="H14" s="1">
        <v>35.0</v>
      </c>
      <c r="I14" s="1">
        <v>48.0</v>
      </c>
      <c r="J14" s="1">
        <v>83.0</v>
      </c>
      <c r="K14" s="1">
        <v>347.0</v>
      </c>
      <c r="L14" s="1">
        <v>11.0</v>
      </c>
      <c r="M14" s="1">
        <v>18.0</v>
      </c>
      <c r="N14" s="1">
        <v>0.0</v>
      </c>
      <c r="O14" s="1">
        <v>0.0</v>
      </c>
      <c r="P14" s="1">
        <v>242.0</v>
      </c>
      <c r="Q14" s="1">
        <v>9.0</v>
      </c>
    </row>
    <row r="15">
      <c r="A15" s="2">
        <f t="shared" si="1"/>
        <v>13</v>
      </c>
      <c r="B15" s="1" t="s">
        <v>1135</v>
      </c>
      <c r="C15" s="1" t="s">
        <v>1067</v>
      </c>
      <c r="D15" s="1" t="s">
        <v>36</v>
      </c>
      <c r="E15" s="15">
        <f t="shared" si="2"/>
        <v>528.75</v>
      </c>
      <c r="F15" s="15">
        <f t="shared" si="3"/>
        <v>6.778846154</v>
      </c>
      <c r="G15" s="1">
        <v>78.0</v>
      </c>
      <c r="H15" s="1">
        <v>47.0</v>
      </c>
      <c r="I15" s="1">
        <v>47.0</v>
      </c>
      <c r="J15" s="1">
        <v>94.0</v>
      </c>
      <c r="K15" s="1">
        <v>295.0</v>
      </c>
      <c r="L15" s="1">
        <v>20.0</v>
      </c>
      <c r="M15" s="1">
        <v>14.0</v>
      </c>
      <c r="N15" s="1">
        <v>1.0</v>
      </c>
      <c r="O15" s="1">
        <v>0.0</v>
      </c>
      <c r="P15" s="1">
        <v>55.0</v>
      </c>
      <c r="Q15" s="1">
        <v>26.0</v>
      </c>
    </row>
    <row r="16">
      <c r="A16" s="2">
        <f t="shared" si="1"/>
        <v>14</v>
      </c>
      <c r="B16" s="1" t="s">
        <v>1063</v>
      </c>
      <c r="C16" s="1" t="s">
        <v>1034</v>
      </c>
      <c r="D16" s="1" t="s">
        <v>31</v>
      </c>
      <c r="E16" s="15">
        <f t="shared" si="2"/>
        <v>506.75</v>
      </c>
      <c r="F16" s="15">
        <f t="shared" si="3"/>
        <v>6.179878049</v>
      </c>
      <c r="G16" s="1">
        <v>82.0</v>
      </c>
      <c r="H16" s="1">
        <v>51.0</v>
      </c>
      <c r="I16" s="1">
        <v>44.0</v>
      </c>
      <c r="J16" s="1">
        <v>95.0</v>
      </c>
      <c r="K16" s="1">
        <v>235.0</v>
      </c>
      <c r="L16" s="1">
        <v>20.0</v>
      </c>
      <c r="M16" s="1">
        <v>10.0</v>
      </c>
      <c r="N16" s="1">
        <v>0.0</v>
      </c>
      <c r="O16" s="1">
        <v>0.0</v>
      </c>
      <c r="P16" s="1">
        <v>37.0</v>
      </c>
      <c r="Q16" s="1">
        <v>37.0</v>
      </c>
    </row>
    <row r="17">
      <c r="A17" s="2">
        <f t="shared" si="1"/>
        <v>15</v>
      </c>
      <c r="B17" s="1" t="s">
        <v>1100</v>
      </c>
      <c r="C17" s="1" t="s">
        <v>1040</v>
      </c>
      <c r="D17" s="1" t="s">
        <v>31</v>
      </c>
      <c r="E17" s="15">
        <f t="shared" si="2"/>
        <v>502.75</v>
      </c>
      <c r="F17" s="15">
        <f t="shared" si="3"/>
        <v>6.131097561</v>
      </c>
      <c r="G17" s="1">
        <v>82.0</v>
      </c>
      <c r="H17" s="1">
        <v>39.0</v>
      </c>
      <c r="I17" s="1">
        <v>52.0</v>
      </c>
      <c r="J17" s="1">
        <v>91.0</v>
      </c>
      <c r="K17" s="1">
        <v>251.0</v>
      </c>
      <c r="L17" s="1">
        <v>20.0</v>
      </c>
      <c r="M17" s="1">
        <v>19.0</v>
      </c>
      <c r="N17" s="1">
        <v>1.0</v>
      </c>
      <c r="O17" s="1">
        <v>1.0</v>
      </c>
      <c r="P17" s="1">
        <v>71.0</v>
      </c>
      <c r="Q17" s="1">
        <v>48.0</v>
      </c>
    </row>
    <row r="18">
      <c r="A18" s="2">
        <f t="shared" si="1"/>
        <v>16</v>
      </c>
      <c r="B18" s="1" t="s">
        <v>1130</v>
      </c>
      <c r="C18" s="1" t="s">
        <v>1044</v>
      </c>
      <c r="D18" s="1" t="s">
        <v>28</v>
      </c>
      <c r="E18" s="15">
        <f t="shared" si="2"/>
        <v>501.5</v>
      </c>
      <c r="F18" s="15">
        <f t="shared" si="3"/>
        <v>6.429487179</v>
      </c>
      <c r="G18" s="1">
        <v>78.0</v>
      </c>
      <c r="H18" s="1">
        <v>39.0</v>
      </c>
      <c r="I18" s="1">
        <v>51.0</v>
      </c>
      <c r="J18" s="1">
        <v>90.0</v>
      </c>
      <c r="K18" s="1">
        <v>228.0</v>
      </c>
      <c r="L18" s="1">
        <v>10.0</v>
      </c>
      <c r="M18" s="1">
        <v>18.0</v>
      </c>
      <c r="N18" s="1">
        <v>3.0</v>
      </c>
      <c r="O18" s="1">
        <v>0.0</v>
      </c>
      <c r="P18" s="1">
        <v>114.0</v>
      </c>
      <c r="Q18" s="1">
        <v>49.0</v>
      </c>
    </row>
    <row r="19">
      <c r="A19" s="2">
        <f t="shared" si="1"/>
        <v>17</v>
      </c>
      <c r="B19" s="1" t="s">
        <v>1153</v>
      </c>
      <c r="C19" s="1" t="s">
        <v>1036</v>
      </c>
      <c r="D19" s="1" t="s">
        <v>28</v>
      </c>
      <c r="E19" s="15">
        <f t="shared" si="2"/>
        <v>501</v>
      </c>
      <c r="F19" s="15">
        <f t="shared" si="3"/>
        <v>6.109756098</v>
      </c>
      <c r="G19" s="1">
        <v>82.0</v>
      </c>
      <c r="H19" s="1">
        <v>37.0</v>
      </c>
      <c r="I19" s="1">
        <v>67.0</v>
      </c>
      <c r="J19" s="1">
        <v>104.0</v>
      </c>
      <c r="K19" s="1">
        <v>201.0</v>
      </c>
      <c r="L19" s="1">
        <v>15.0</v>
      </c>
      <c r="M19" s="1">
        <v>38.0</v>
      </c>
      <c r="N19" s="1">
        <v>1.0</v>
      </c>
      <c r="O19" s="1">
        <v>3.0</v>
      </c>
      <c r="P19" s="1">
        <v>48.0</v>
      </c>
      <c r="Q19" s="1">
        <v>26.0</v>
      </c>
    </row>
    <row r="20">
      <c r="A20" s="2">
        <f t="shared" si="1"/>
        <v>18</v>
      </c>
      <c r="B20" s="1" t="s">
        <v>1045</v>
      </c>
      <c r="C20" s="1" t="s">
        <v>1046</v>
      </c>
      <c r="D20" s="1" t="s">
        <v>31</v>
      </c>
      <c r="E20" s="15">
        <f t="shared" si="2"/>
        <v>499</v>
      </c>
      <c r="F20" s="15">
        <f t="shared" si="3"/>
        <v>6.160493827</v>
      </c>
      <c r="G20" s="1">
        <v>81.0</v>
      </c>
      <c r="H20" s="1">
        <v>32.0</v>
      </c>
      <c r="I20" s="1">
        <v>50.0</v>
      </c>
      <c r="J20" s="1">
        <v>82.0</v>
      </c>
      <c r="K20" s="1">
        <v>223.0</v>
      </c>
      <c r="L20" s="1">
        <v>11.0</v>
      </c>
      <c r="M20" s="1">
        <v>19.0</v>
      </c>
      <c r="N20" s="1">
        <v>5.0</v>
      </c>
      <c r="O20" s="1">
        <v>4.0</v>
      </c>
      <c r="P20" s="1">
        <v>200.0</v>
      </c>
      <c r="Q20" s="1">
        <v>51.0</v>
      </c>
    </row>
    <row r="21">
      <c r="A21" s="2">
        <f t="shared" si="1"/>
        <v>19</v>
      </c>
      <c r="B21" s="1" t="s">
        <v>1166</v>
      </c>
      <c r="C21" s="1" t="s">
        <v>1175</v>
      </c>
      <c r="D21" s="1" t="s">
        <v>66</v>
      </c>
      <c r="E21" s="15">
        <f t="shared" si="2"/>
        <v>498.25</v>
      </c>
      <c r="F21" s="15">
        <f t="shared" si="3"/>
        <v>6.076219512</v>
      </c>
      <c r="G21" s="1">
        <v>82.0</v>
      </c>
      <c r="H21" s="1">
        <v>25.0</v>
      </c>
      <c r="I21" s="1">
        <v>76.0</v>
      </c>
      <c r="J21" s="1">
        <v>101.0</v>
      </c>
      <c r="K21" s="1">
        <v>209.0</v>
      </c>
      <c r="L21" s="1">
        <v>5.0</v>
      </c>
      <c r="M21" s="1">
        <v>22.0</v>
      </c>
      <c r="N21" s="1">
        <v>0.0</v>
      </c>
      <c r="O21" s="1">
        <v>0.0</v>
      </c>
      <c r="P21" s="1">
        <v>33.0</v>
      </c>
      <c r="Q21" s="1">
        <v>90.0</v>
      </c>
    </row>
    <row r="22">
      <c r="A22" s="2">
        <f t="shared" si="1"/>
        <v>20</v>
      </c>
      <c r="B22" s="1" t="s">
        <v>1051</v>
      </c>
      <c r="C22" s="1" t="s">
        <v>1052</v>
      </c>
      <c r="D22" s="1" t="s">
        <v>31</v>
      </c>
      <c r="E22" s="15">
        <f t="shared" si="2"/>
        <v>497.25</v>
      </c>
      <c r="F22" s="15">
        <f t="shared" si="3"/>
        <v>6.06402439</v>
      </c>
      <c r="G22" s="1">
        <v>82.0</v>
      </c>
      <c r="H22" s="1">
        <v>33.0</v>
      </c>
      <c r="I22" s="1">
        <v>60.0</v>
      </c>
      <c r="J22" s="1">
        <v>93.0</v>
      </c>
      <c r="K22" s="1">
        <v>255.0</v>
      </c>
      <c r="L22" s="1">
        <v>9.0</v>
      </c>
      <c r="M22" s="1">
        <v>18.0</v>
      </c>
      <c r="N22" s="1">
        <v>0.0</v>
      </c>
      <c r="O22" s="1">
        <v>0.0</v>
      </c>
      <c r="P22" s="1">
        <v>71.0</v>
      </c>
      <c r="Q22" s="1">
        <v>47.0</v>
      </c>
    </row>
    <row r="23">
      <c r="A23" s="2">
        <f t="shared" si="1"/>
        <v>21</v>
      </c>
      <c r="B23" s="1" t="s">
        <v>1081</v>
      </c>
      <c r="C23" s="1" t="s">
        <v>1082</v>
      </c>
      <c r="D23" s="1" t="s">
        <v>28</v>
      </c>
      <c r="E23" s="15">
        <f t="shared" si="2"/>
        <v>493.5</v>
      </c>
      <c r="F23" s="15">
        <f t="shared" si="3"/>
        <v>6.760273973</v>
      </c>
      <c r="G23" s="1">
        <v>73.0</v>
      </c>
      <c r="H23" s="1">
        <v>42.0</v>
      </c>
      <c r="I23" s="1">
        <v>33.0</v>
      </c>
      <c r="J23" s="1">
        <v>75.0</v>
      </c>
      <c r="K23" s="1">
        <v>294.0</v>
      </c>
      <c r="L23" s="1">
        <v>14.0</v>
      </c>
      <c r="M23" s="1">
        <v>11.0</v>
      </c>
      <c r="N23" s="1">
        <v>0.0</v>
      </c>
      <c r="O23" s="1">
        <v>0.0</v>
      </c>
      <c r="P23" s="1">
        <v>188.0</v>
      </c>
      <c r="Q23" s="1">
        <v>23.0</v>
      </c>
    </row>
    <row r="24">
      <c r="A24" s="2">
        <f t="shared" si="1"/>
        <v>22</v>
      </c>
      <c r="B24" s="1" t="s">
        <v>2083</v>
      </c>
      <c r="C24" s="1" t="s">
        <v>1032</v>
      </c>
      <c r="D24" s="1" t="s">
        <v>36</v>
      </c>
      <c r="E24" s="15">
        <f t="shared" si="2"/>
        <v>485.75</v>
      </c>
      <c r="F24" s="15">
        <f t="shared" si="3"/>
        <v>6.071875</v>
      </c>
      <c r="G24" s="1">
        <v>80.0</v>
      </c>
      <c r="H24" s="1">
        <v>30.0</v>
      </c>
      <c r="I24" s="1">
        <v>69.0</v>
      </c>
      <c r="J24" s="1">
        <v>99.0</v>
      </c>
      <c r="K24" s="1">
        <v>196.0</v>
      </c>
      <c r="L24" s="1">
        <v>9.0</v>
      </c>
      <c r="M24" s="1">
        <v>27.0</v>
      </c>
      <c r="N24" s="1">
        <v>4.0</v>
      </c>
      <c r="O24" s="1">
        <v>1.0</v>
      </c>
      <c r="P24" s="1">
        <v>53.0</v>
      </c>
      <c r="Q24" s="1">
        <v>45.0</v>
      </c>
    </row>
    <row r="25">
      <c r="A25" s="2">
        <f t="shared" si="1"/>
        <v>23</v>
      </c>
      <c r="B25" s="1" t="s">
        <v>1050</v>
      </c>
      <c r="C25" s="1" t="s">
        <v>1032</v>
      </c>
      <c r="D25" s="1" t="s">
        <v>31</v>
      </c>
      <c r="E25" s="15">
        <f t="shared" si="2"/>
        <v>485</v>
      </c>
      <c r="F25" s="15">
        <f t="shared" si="3"/>
        <v>5.914634146</v>
      </c>
      <c r="G25" s="1">
        <v>82.0</v>
      </c>
      <c r="H25" s="1">
        <v>40.0</v>
      </c>
      <c r="I25" s="1">
        <v>47.0</v>
      </c>
      <c r="J25" s="1">
        <v>87.0</v>
      </c>
      <c r="K25" s="1">
        <v>293.0</v>
      </c>
      <c r="L25" s="1">
        <v>9.0</v>
      </c>
      <c r="M25" s="1">
        <v>19.0</v>
      </c>
      <c r="N25" s="1">
        <v>0.0</v>
      </c>
      <c r="O25" s="1">
        <v>0.0</v>
      </c>
      <c r="P25" s="1">
        <v>18.0</v>
      </c>
      <c r="Q25" s="1">
        <v>26.0</v>
      </c>
    </row>
    <row r="26">
      <c r="A26" s="2">
        <f t="shared" si="1"/>
        <v>24</v>
      </c>
      <c r="B26" s="1" t="s">
        <v>1157</v>
      </c>
      <c r="C26" s="1" t="s">
        <v>1076</v>
      </c>
      <c r="D26" s="1" t="s">
        <v>28</v>
      </c>
      <c r="E26" s="15">
        <f t="shared" si="2"/>
        <v>478.5</v>
      </c>
      <c r="F26" s="15">
        <f t="shared" si="3"/>
        <v>6.134615385</v>
      </c>
      <c r="G26" s="1">
        <v>78.0</v>
      </c>
      <c r="H26" s="1">
        <v>40.0</v>
      </c>
      <c r="I26" s="1">
        <v>26.0</v>
      </c>
      <c r="J26" s="1">
        <v>66.0</v>
      </c>
      <c r="K26" s="1">
        <v>327.0</v>
      </c>
      <c r="L26" s="1">
        <v>17.0</v>
      </c>
      <c r="M26" s="1">
        <v>6.0</v>
      </c>
      <c r="N26" s="1">
        <v>0.0</v>
      </c>
      <c r="O26" s="1">
        <v>0.0</v>
      </c>
      <c r="P26" s="1">
        <v>154.0</v>
      </c>
      <c r="Q26" s="1">
        <v>37.0</v>
      </c>
    </row>
    <row r="27">
      <c r="A27" s="2">
        <f t="shared" si="1"/>
        <v>24</v>
      </c>
      <c r="B27" s="1" t="s">
        <v>1083</v>
      </c>
      <c r="C27" s="1" t="s">
        <v>1032</v>
      </c>
      <c r="D27" s="1" t="s">
        <v>31</v>
      </c>
      <c r="E27" s="15">
        <f t="shared" si="2"/>
        <v>478.5</v>
      </c>
      <c r="F27" s="15">
        <f t="shared" si="3"/>
        <v>5.98125</v>
      </c>
      <c r="G27" s="1">
        <v>80.0</v>
      </c>
      <c r="H27" s="1">
        <v>36.0</v>
      </c>
      <c r="I27" s="1">
        <v>44.0</v>
      </c>
      <c r="J27" s="1">
        <v>80.0</v>
      </c>
      <c r="K27" s="1">
        <v>277.0</v>
      </c>
      <c r="L27" s="1">
        <v>18.0</v>
      </c>
      <c r="M27" s="1">
        <v>21.0</v>
      </c>
      <c r="N27" s="1">
        <v>0.0</v>
      </c>
      <c r="O27" s="1">
        <v>0.0</v>
      </c>
      <c r="P27" s="1">
        <v>112.0</v>
      </c>
      <c r="Q27" s="1">
        <v>36.0</v>
      </c>
    </row>
    <row r="28">
      <c r="A28" s="2">
        <f t="shared" si="1"/>
        <v>26</v>
      </c>
      <c r="B28" s="1" t="s">
        <v>1061</v>
      </c>
      <c r="C28" s="1" t="s">
        <v>1034</v>
      </c>
      <c r="D28" s="1" t="s">
        <v>31</v>
      </c>
      <c r="E28" s="15">
        <f t="shared" si="2"/>
        <v>471.5</v>
      </c>
      <c r="F28" s="15">
        <f t="shared" si="3"/>
        <v>5.820987654</v>
      </c>
      <c r="G28" s="1">
        <v>81.0</v>
      </c>
      <c r="H28" s="1">
        <v>34.0</v>
      </c>
      <c r="I28" s="1">
        <v>50.0</v>
      </c>
      <c r="J28" s="1">
        <v>84.0</v>
      </c>
      <c r="K28" s="1">
        <v>240.0</v>
      </c>
      <c r="L28" s="1">
        <v>14.0</v>
      </c>
      <c r="M28" s="1">
        <v>21.0</v>
      </c>
      <c r="N28" s="1">
        <v>0.0</v>
      </c>
      <c r="O28" s="1">
        <v>0.0</v>
      </c>
      <c r="P28" s="1">
        <v>92.0</v>
      </c>
      <c r="Q28" s="1">
        <v>51.0</v>
      </c>
    </row>
    <row r="29">
      <c r="A29" s="2">
        <f t="shared" si="1"/>
        <v>27</v>
      </c>
      <c r="B29" s="1" t="s">
        <v>1059</v>
      </c>
      <c r="C29" s="1" t="s">
        <v>1036</v>
      </c>
      <c r="D29" s="1" t="s">
        <v>36</v>
      </c>
      <c r="E29" s="15">
        <f t="shared" si="2"/>
        <v>469.75</v>
      </c>
      <c r="F29" s="15">
        <f t="shared" si="3"/>
        <v>5.946202532</v>
      </c>
      <c r="G29" s="1">
        <v>79.0</v>
      </c>
      <c r="H29" s="1">
        <v>36.0</v>
      </c>
      <c r="I29" s="1">
        <v>47.0</v>
      </c>
      <c r="J29" s="1">
        <v>83.0</v>
      </c>
      <c r="K29" s="1">
        <v>276.0</v>
      </c>
      <c r="L29" s="1">
        <v>15.0</v>
      </c>
      <c r="M29" s="1">
        <v>11.0</v>
      </c>
      <c r="N29" s="1">
        <v>0.0</v>
      </c>
      <c r="O29" s="1">
        <v>0.0</v>
      </c>
      <c r="P29" s="1">
        <v>77.0</v>
      </c>
      <c r="Q29" s="1">
        <v>19.0</v>
      </c>
    </row>
    <row r="30">
      <c r="A30" s="2">
        <f t="shared" si="1"/>
        <v>28</v>
      </c>
      <c r="B30" s="1" t="s">
        <v>1144</v>
      </c>
      <c r="C30" s="1" t="s">
        <v>1076</v>
      </c>
      <c r="D30" s="1" t="s">
        <v>31</v>
      </c>
      <c r="E30" s="15">
        <f t="shared" si="2"/>
        <v>461.5</v>
      </c>
      <c r="F30" s="15">
        <f t="shared" si="3"/>
        <v>5.697530864</v>
      </c>
      <c r="G30" s="1">
        <v>81.0</v>
      </c>
      <c r="H30" s="1">
        <v>31.0</v>
      </c>
      <c r="I30" s="1">
        <v>49.0</v>
      </c>
      <c r="J30" s="1">
        <v>80.0</v>
      </c>
      <c r="K30" s="1">
        <v>256.0</v>
      </c>
      <c r="L30" s="1">
        <v>7.0</v>
      </c>
      <c r="M30" s="1">
        <v>12.0</v>
      </c>
      <c r="N30" s="1">
        <v>3.0</v>
      </c>
      <c r="O30" s="1">
        <v>1.0</v>
      </c>
      <c r="P30" s="1">
        <v>34.0</v>
      </c>
      <c r="Q30" s="1">
        <v>61.0</v>
      </c>
    </row>
    <row r="31">
      <c r="A31" s="2">
        <f t="shared" si="1"/>
        <v>29</v>
      </c>
      <c r="B31" s="1" t="s">
        <v>1691</v>
      </c>
      <c r="C31" s="1" t="s">
        <v>1076</v>
      </c>
      <c r="D31" s="1" t="s">
        <v>66</v>
      </c>
      <c r="E31" s="15">
        <f t="shared" si="2"/>
        <v>451.5</v>
      </c>
      <c r="F31" s="15">
        <f t="shared" si="3"/>
        <v>5.506097561</v>
      </c>
      <c r="G31" s="1">
        <v>82.0</v>
      </c>
      <c r="H31" s="1">
        <v>22.0</v>
      </c>
      <c r="I31" s="1">
        <v>52.0</v>
      </c>
      <c r="J31" s="1">
        <v>74.0</v>
      </c>
      <c r="K31" s="1">
        <v>275.0</v>
      </c>
      <c r="L31" s="1">
        <v>8.0</v>
      </c>
      <c r="M31" s="1">
        <v>20.0</v>
      </c>
      <c r="N31" s="1">
        <v>0.0</v>
      </c>
      <c r="O31" s="1">
        <v>0.0</v>
      </c>
      <c r="P31" s="1">
        <v>64.0</v>
      </c>
      <c r="Q31" s="1">
        <v>86.0</v>
      </c>
    </row>
    <row r="32">
      <c r="A32" s="2">
        <f t="shared" si="1"/>
        <v>30</v>
      </c>
      <c r="B32" s="1" t="s">
        <v>1110</v>
      </c>
      <c r="C32" s="1" t="s">
        <v>1111</v>
      </c>
      <c r="D32" s="1" t="s">
        <v>31</v>
      </c>
      <c r="E32" s="15">
        <f t="shared" si="2"/>
        <v>448.5</v>
      </c>
      <c r="F32" s="15">
        <f t="shared" si="3"/>
        <v>5.469512195</v>
      </c>
      <c r="G32" s="1">
        <v>82.0</v>
      </c>
      <c r="H32" s="1">
        <v>37.0</v>
      </c>
      <c r="I32" s="1">
        <v>49.0</v>
      </c>
      <c r="J32" s="1">
        <v>86.0</v>
      </c>
      <c r="K32" s="1">
        <v>223.0</v>
      </c>
      <c r="L32" s="1">
        <v>6.0</v>
      </c>
      <c r="M32" s="1">
        <v>14.0</v>
      </c>
      <c r="N32" s="1">
        <v>1.0</v>
      </c>
      <c r="O32" s="1">
        <v>0.0</v>
      </c>
      <c r="P32" s="1">
        <v>18.0</v>
      </c>
      <c r="Q32" s="1">
        <v>34.0</v>
      </c>
    </row>
    <row r="33">
      <c r="A33" s="2">
        <f t="shared" si="1"/>
        <v>31</v>
      </c>
      <c r="B33" s="1" t="s">
        <v>1053</v>
      </c>
      <c r="C33" s="1" t="s">
        <v>1054</v>
      </c>
      <c r="D33" s="1" t="s">
        <v>28</v>
      </c>
      <c r="E33" s="15">
        <f t="shared" si="2"/>
        <v>446</v>
      </c>
      <c r="F33" s="15">
        <f t="shared" si="3"/>
        <v>6.656716418</v>
      </c>
      <c r="G33" s="1">
        <v>67.0</v>
      </c>
      <c r="H33" s="1">
        <v>40.0</v>
      </c>
      <c r="I33" s="1">
        <v>35.0</v>
      </c>
      <c r="J33" s="1">
        <v>75.0</v>
      </c>
      <c r="K33" s="1">
        <v>261.0</v>
      </c>
      <c r="L33" s="1">
        <v>17.0</v>
      </c>
      <c r="M33" s="1">
        <v>15.0</v>
      </c>
      <c r="N33" s="1">
        <v>0.0</v>
      </c>
      <c r="O33" s="1">
        <v>0.0</v>
      </c>
      <c r="P33" s="1">
        <v>66.0</v>
      </c>
      <c r="Q33" s="1">
        <v>28.0</v>
      </c>
    </row>
    <row r="34">
      <c r="A34" s="2">
        <f t="shared" si="1"/>
        <v>32</v>
      </c>
      <c r="B34" s="1" t="s">
        <v>1161</v>
      </c>
      <c r="C34" s="1" t="s">
        <v>1116</v>
      </c>
      <c r="D34" s="1" t="s">
        <v>28</v>
      </c>
      <c r="E34" s="15">
        <f t="shared" si="2"/>
        <v>445.75</v>
      </c>
      <c r="F34" s="15">
        <f t="shared" si="3"/>
        <v>5.43597561</v>
      </c>
      <c r="G34" s="1">
        <v>82.0</v>
      </c>
      <c r="H34" s="1">
        <v>31.0</v>
      </c>
      <c r="I34" s="1">
        <v>49.0</v>
      </c>
      <c r="J34" s="1">
        <v>80.0</v>
      </c>
      <c r="K34" s="1">
        <v>273.0</v>
      </c>
      <c r="L34" s="1">
        <v>8.0</v>
      </c>
      <c r="M34" s="1">
        <v>21.0</v>
      </c>
      <c r="N34" s="1">
        <v>0.0</v>
      </c>
      <c r="O34" s="1">
        <v>0.0</v>
      </c>
      <c r="P34" s="1">
        <v>43.0</v>
      </c>
      <c r="Q34" s="1">
        <v>24.0</v>
      </c>
    </row>
    <row r="35">
      <c r="A35" s="2">
        <f t="shared" si="1"/>
        <v>33</v>
      </c>
      <c r="B35" s="1" t="s">
        <v>1101</v>
      </c>
      <c r="C35" s="1" t="s">
        <v>1048</v>
      </c>
      <c r="D35" s="1" t="s">
        <v>31</v>
      </c>
      <c r="E35" s="15">
        <f t="shared" si="2"/>
        <v>442.25</v>
      </c>
      <c r="F35" s="15">
        <f t="shared" si="3"/>
        <v>5.459876543</v>
      </c>
      <c r="G35" s="1">
        <v>81.0</v>
      </c>
      <c r="H35" s="1">
        <v>42.0</v>
      </c>
      <c r="I35" s="1">
        <v>31.0</v>
      </c>
      <c r="J35" s="1">
        <v>73.0</v>
      </c>
      <c r="K35" s="1">
        <v>275.0</v>
      </c>
      <c r="L35" s="1">
        <v>7.0</v>
      </c>
      <c r="M35" s="1">
        <v>6.0</v>
      </c>
      <c r="N35" s="1">
        <v>0.0</v>
      </c>
      <c r="O35" s="1">
        <v>0.0</v>
      </c>
      <c r="P35" s="1">
        <v>29.0</v>
      </c>
      <c r="Q35" s="1">
        <v>31.0</v>
      </c>
    </row>
    <row r="36">
      <c r="A36" s="2">
        <f t="shared" si="1"/>
        <v>34</v>
      </c>
      <c r="B36" s="1" t="s">
        <v>1142</v>
      </c>
      <c r="C36" s="1" t="s">
        <v>1052</v>
      </c>
      <c r="D36" s="1" t="s">
        <v>31</v>
      </c>
      <c r="E36" s="15">
        <f t="shared" si="2"/>
        <v>439.25</v>
      </c>
      <c r="F36" s="15">
        <f t="shared" si="3"/>
        <v>5.356707317</v>
      </c>
      <c r="G36" s="1">
        <v>82.0</v>
      </c>
      <c r="H36" s="1">
        <v>27.0</v>
      </c>
      <c r="I36" s="1">
        <v>56.0</v>
      </c>
      <c r="J36" s="1">
        <v>83.0</v>
      </c>
      <c r="K36" s="1">
        <v>240.0</v>
      </c>
      <c r="L36" s="1">
        <v>11.0</v>
      </c>
      <c r="M36" s="1">
        <v>25.0</v>
      </c>
      <c r="N36" s="1">
        <v>0.0</v>
      </c>
      <c r="O36" s="1">
        <v>0.0</v>
      </c>
      <c r="P36" s="1">
        <v>53.0</v>
      </c>
      <c r="Q36" s="1">
        <v>33.0</v>
      </c>
    </row>
    <row r="37">
      <c r="A37" s="2">
        <f t="shared" si="1"/>
        <v>34</v>
      </c>
      <c r="B37" s="1" t="s">
        <v>1077</v>
      </c>
      <c r="C37" s="1" t="s">
        <v>1078</v>
      </c>
      <c r="D37" s="1" t="s">
        <v>31</v>
      </c>
      <c r="E37" s="15">
        <f t="shared" si="2"/>
        <v>439.25</v>
      </c>
      <c r="F37" s="15">
        <f t="shared" si="3"/>
        <v>5.356707317</v>
      </c>
      <c r="G37" s="1">
        <v>82.0</v>
      </c>
      <c r="H37" s="1">
        <v>41.0</v>
      </c>
      <c r="I37" s="1">
        <v>26.0</v>
      </c>
      <c r="J37" s="1">
        <v>67.0</v>
      </c>
      <c r="K37" s="1">
        <v>250.0</v>
      </c>
      <c r="L37" s="1">
        <v>11.0</v>
      </c>
      <c r="M37" s="1">
        <v>9.0</v>
      </c>
      <c r="N37" s="1">
        <v>3.0</v>
      </c>
      <c r="O37" s="1">
        <v>0.0</v>
      </c>
      <c r="P37" s="1">
        <v>119.0</v>
      </c>
      <c r="Q37" s="1">
        <v>32.0</v>
      </c>
    </row>
    <row r="38">
      <c r="A38" s="2">
        <f t="shared" si="1"/>
        <v>36</v>
      </c>
      <c r="B38" s="1" t="s">
        <v>1138</v>
      </c>
      <c r="C38" s="1" t="s">
        <v>1067</v>
      </c>
      <c r="D38" s="1" t="s">
        <v>36</v>
      </c>
      <c r="E38" s="15">
        <f t="shared" si="2"/>
        <v>438.5</v>
      </c>
      <c r="F38" s="15">
        <f t="shared" si="3"/>
        <v>5.925675676</v>
      </c>
      <c r="G38" s="1">
        <v>74.0</v>
      </c>
      <c r="H38" s="1">
        <v>36.0</v>
      </c>
      <c r="I38" s="1">
        <v>43.0</v>
      </c>
      <c r="J38" s="1">
        <v>79.0</v>
      </c>
      <c r="K38" s="1">
        <v>218.0</v>
      </c>
      <c r="L38" s="1">
        <v>8.0</v>
      </c>
      <c r="M38" s="1">
        <v>12.0</v>
      </c>
      <c r="N38" s="1">
        <v>1.0</v>
      </c>
      <c r="O38" s="1">
        <v>0.0</v>
      </c>
      <c r="P38" s="1">
        <v>54.0</v>
      </c>
      <c r="Q38" s="1">
        <v>46.0</v>
      </c>
    </row>
    <row r="39">
      <c r="A39" s="2">
        <f t="shared" si="1"/>
        <v>37</v>
      </c>
      <c r="B39" s="1" t="s">
        <v>1095</v>
      </c>
      <c r="C39" s="1" t="s">
        <v>1052</v>
      </c>
      <c r="D39" s="1" t="s">
        <v>28</v>
      </c>
      <c r="E39" s="15">
        <f t="shared" si="2"/>
        <v>438.25</v>
      </c>
      <c r="F39" s="15">
        <f t="shared" si="3"/>
        <v>5.618589744</v>
      </c>
      <c r="G39" s="1">
        <v>78.0</v>
      </c>
      <c r="H39" s="1">
        <v>36.0</v>
      </c>
      <c r="I39" s="1">
        <v>37.0</v>
      </c>
      <c r="J39" s="1">
        <v>73.0</v>
      </c>
      <c r="K39" s="1">
        <v>243.0</v>
      </c>
      <c r="L39" s="1">
        <v>11.0</v>
      </c>
      <c r="M39" s="1">
        <v>12.0</v>
      </c>
      <c r="N39" s="1">
        <v>0.0</v>
      </c>
      <c r="O39" s="1">
        <v>0.0</v>
      </c>
      <c r="P39" s="1">
        <v>83.0</v>
      </c>
      <c r="Q39" s="1">
        <v>46.0</v>
      </c>
    </row>
    <row r="40">
      <c r="A40" s="2">
        <f t="shared" si="1"/>
        <v>38</v>
      </c>
      <c r="B40" s="1" t="s">
        <v>1066</v>
      </c>
      <c r="C40" s="1" t="s">
        <v>1067</v>
      </c>
      <c r="D40" s="1" t="s">
        <v>66</v>
      </c>
      <c r="E40" s="15">
        <f t="shared" si="2"/>
        <v>435.75</v>
      </c>
      <c r="F40" s="15">
        <f t="shared" si="3"/>
        <v>5.586538462</v>
      </c>
      <c r="G40" s="1">
        <v>78.0</v>
      </c>
      <c r="H40" s="1">
        <v>15.0</v>
      </c>
      <c r="I40" s="1">
        <v>58.0</v>
      </c>
      <c r="J40" s="1">
        <v>73.0</v>
      </c>
      <c r="K40" s="1">
        <v>204.0</v>
      </c>
      <c r="L40" s="1">
        <v>6.0</v>
      </c>
      <c r="M40" s="1">
        <v>26.0</v>
      </c>
      <c r="N40" s="1">
        <v>0.0</v>
      </c>
      <c r="O40" s="1">
        <v>0.0</v>
      </c>
      <c r="P40" s="1">
        <v>105.0</v>
      </c>
      <c r="Q40" s="1">
        <v>132.0</v>
      </c>
    </row>
    <row r="41">
      <c r="A41" s="2">
        <f t="shared" si="1"/>
        <v>39</v>
      </c>
      <c r="B41" s="1" t="s">
        <v>1119</v>
      </c>
      <c r="C41" s="1" t="s">
        <v>1120</v>
      </c>
      <c r="D41" s="1" t="s">
        <v>31</v>
      </c>
      <c r="E41" s="15">
        <f t="shared" si="2"/>
        <v>434.25</v>
      </c>
      <c r="F41" s="15">
        <f t="shared" si="3"/>
        <v>5.428125</v>
      </c>
      <c r="G41" s="1">
        <v>80.0</v>
      </c>
      <c r="H41" s="1">
        <v>32.0</v>
      </c>
      <c r="I41" s="1">
        <v>47.0</v>
      </c>
      <c r="J41" s="1">
        <v>79.0</v>
      </c>
      <c r="K41" s="1">
        <v>244.0</v>
      </c>
      <c r="L41" s="1">
        <v>16.0</v>
      </c>
      <c r="M41" s="1">
        <v>15.0</v>
      </c>
      <c r="N41" s="1">
        <v>1.0</v>
      </c>
      <c r="O41" s="1">
        <v>0.0</v>
      </c>
      <c r="P41" s="1">
        <v>47.0</v>
      </c>
      <c r="Q41" s="1">
        <v>27.0</v>
      </c>
    </row>
    <row r="42">
      <c r="A42" s="2">
        <f t="shared" si="1"/>
        <v>40</v>
      </c>
      <c r="B42" s="1" t="s">
        <v>1304</v>
      </c>
      <c r="C42" s="1" t="s">
        <v>1048</v>
      </c>
      <c r="D42" s="1" t="s">
        <v>66</v>
      </c>
      <c r="E42" s="15">
        <f t="shared" si="2"/>
        <v>433.5</v>
      </c>
      <c r="F42" s="15">
        <f t="shared" si="3"/>
        <v>5.41875</v>
      </c>
      <c r="G42" s="1">
        <v>80.0</v>
      </c>
      <c r="H42" s="1">
        <v>16.0</v>
      </c>
      <c r="I42" s="1">
        <v>57.0</v>
      </c>
      <c r="J42" s="1">
        <v>73.0</v>
      </c>
      <c r="K42" s="1">
        <v>242.0</v>
      </c>
      <c r="L42" s="1">
        <v>3.0</v>
      </c>
      <c r="M42" s="1">
        <v>30.0</v>
      </c>
      <c r="N42" s="1">
        <v>0.0</v>
      </c>
      <c r="O42" s="1">
        <v>0.0</v>
      </c>
      <c r="P42" s="1">
        <v>92.0</v>
      </c>
      <c r="Q42" s="1">
        <v>93.0</v>
      </c>
    </row>
    <row r="43">
      <c r="A43" s="2">
        <f t="shared" si="1"/>
        <v>40</v>
      </c>
      <c r="B43" s="1" t="s">
        <v>1039</v>
      </c>
      <c r="C43" s="1" t="s">
        <v>1040</v>
      </c>
      <c r="D43" s="1" t="s">
        <v>28</v>
      </c>
      <c r="E43" s="15">
        <f t="shared" si="2"/>
        <v>433.5</v>
      </c>
      <c r="F43" s="15">
        <f t="shared" si="3"/>
        <v>5.286585366</v>
      </c>
      <c r="G43" s="1">
        <v>82.0</v>
      </c>
      <c r="H43" s="1">
        <v>29.0</v>
      </c>
      <c r="I43" s="1">
        <v>63.0</v>
      </c>
      <c r="J43" s="1">
        <v>92.0</v>
      </c>
      <c r="K43" s="1">
        <v>204.0</v>
      </c>
      <c r="L43" s="1">
        <v>9.0</v>
      </c>
      <c r="M43" s="1">
        <v>27.0</v>
      </c>
      <c r="N43" s="1">
        <v>0.0</v>
      </c>
      <c r="O43" s="1">
        <v>0.0</v>
      </c>
      <c r="P43" s="1">
        <v>26.0</v>
      </c>
      <c r="Q43" s="1">
        <v>11.0</v>
      </c>
    </row>
    <row r="44">
      <c r="A44" s="2">
        <f t="shared" si="1"/>
        <v>40</v>
      </c>
      <c r="B44" s="1" t="s">
        <v>1125</v>
      </c>
      <c r="C44" s="1" t="s">
        <v>1106</v>
      </c>
      <c r="D44" s="1" t="s">
        <v>36</v>
      </c>
      <c r="E44" s="15">
        <f t="shared" si="2"/>
        <v>433.5</v>
      </c>
      <c r="F44" s="15">
        <f t="shared" si="3"/>
        <v>5.487341772</v>
      </c>
      <c r="G44" s="1">
        <v>79.0</v>
      </c>
      <c r="H44" s="1">
        <v>37.0</v>
      </c>
      <c r="I44" s="1">
        <v>36.0</v>
      </c>
      <c r="J44" s="1">
        <v>73.0</v>
      </c>
      <c r="K44" s="1">
        <v>272.0</v>
      </c>
      <c r="L44" s="1">
        <v>11.0</v>
      </c>
      <c r="M44" s="1">
        <v>12.0</v>
      </c>
      <c r="N44" s="1">
        <v>0.0</v>
      </c>
      <c r="O44" s="1">
        <v>1.0</v>
      </c>
      <c r="P44" s="1">
        <v>14.0</v>
      </c>
      <c r="Q44" s="1">
        <v>35.0</v>
      </c>
    </row>
    <row r="45">
      <c r="A45" s="2">
        <f t="shared" si="1"/>
        <v>43</v>
      </c>
      <c r="B45" s="1" t="s">
        <v>1099</v>
      </c>
      <c r="C45" s="1" t="s">
        <v>1087</v>
      </c>
      <c r="D45" s="1" t="s">
        <v>31</v>
      </c>
      <c r="E45" s="15">
        <f t="shared" si="2"/>
        <v>433.25</v>
      </c>
      <c r="F45" s="15">
        <f t="shared" si="3"/>
        <v>5.484177215</v>
      </c>
      <c r="G45" s="1">
        <v>79.0</v>
      </c>
      <c r="H45" s="1">
        <v>38.0</v>
      </c>
      <c r="I45" s="1">
        <v>32.0</v>
      </c>
      <c r="J45" s="1">
        <v>70.0</v>
      </c>
      <c r="K45" s="1">
        <v>229.0</v>
      </c>
      <c r="L45" s="1">
        <v>12.0</v>
      </c>
      <c r="M45" s="1">
        <v>10.0</v>
      </c>
      <c r="N45" s="1">
        <v>4.0</v>
      </c>
      <c r="O45" s="1">
        <v>1.0</v>
      </c>
      <c r="P45" s="1">
        <v>57.0</v>
      </c>
      <c r="Q45" s="1">
        <v>55.0</v>
      </c>
    </row>
    <row r="46">
      <c r="A46" s="2">
        <f t="shared" si="1"/>
        <v>44</v>
      </c>
      <c r="B46" s="1" t="s">
        <v>1173</v>
      </c>
      <c r="C46" s="1" t="s">
        <v>1044</v>
      </c>
      <c r="D46" s="1" t="s">
        <v>31</v>
      </c>
      <c r="E46" s="15">
        <f t="shared" si="2"/>
        <v>432.25</v>
      </c>
      <c r="F46" s="15">
        <f t="shared" si="3"/>
        <v>5.271341463</v>
      </c>
      <c r="G46" s="1">
        <v>82.0</v>
      </c>
      <c r="H46" s="1">
        <v>35.0</v>
      </c>
      <c r="I46" s="1">
        <v>44.0</v>
      </c>
      <c r="J46" s="1">
        <v>79.0</v>
      </c>
      <c r="K46" s="1">
        <v>214.0</v>
      </c>
      <c r="L46" s="1">
        <v>7.0</v>
      </c>
      <c r="M46" s="1">
        <v>17.0</v>
      </c>
      <c r="N46" s="1">
        <v>0.0</v>
      </c>
      <c r="O46" s="1">
        <v>1.0</v>
      </c>
      <c r="P46" s="1">
        <v>75.0</v>
      </c>
      <c r="Q46" s="1">
        <v>30.0</v>
      </c>
    </row>
    <row r="47">
      <c r="A47" s="2">
        <f t="shared" si="1"/>
        <v>45</v>
      </c>
      <c r="B47" s="1" t="s">
        <v>1246</v>
      </c>
      <c r="C47" s="1" t="s">
        <v>1067</v>
      </c>
      <c r="D47" s="1" t="s">
        <v>28</v>
      </c>
      <c r="E47" s="15">
        <f t="shared" si="2"/>
        <v>431.75</v>
      </c>
      <c r="F47" s="15">
        <f t="shared" si="3"/>
        <v>5.465189873</v>
      </c>
      <c r="G47" s="1">
        <v>79.0</v>
      </c>
      <c r="H47" s="1">
        <v>35.0</v>
      </c>
      <c r="I47" s="1">
        <v>47.0</v>
      </c>
      <c r="J47" s="1">
        <v>82.0</v>
      </c>
      <c r="K47" s="1">
        <v>242.0</v>
      </c>
      <c r="L47" s="1">
        <v>8.0</v>
      </c>
      <c r="M47" s="1">
        <v>13.0</v>
      </c>
      <c r="N47" s="1">
        <v>0.0</v>
      </c>
      <c r="O47" s="1">
        <v>0.0</v>
      </c>
      <c r="P47" s="1">
        <v>21.0</v>
      </c>
      <c r="Q47" s="1">
        <v>14.0</v>
      </c>
    </row>
    <row r="48">
      <c r="A48" s="2">
        <f t="shared" si="1"/>
        <v>46</v>
      </c>
      <c r="B48" s="1" t="s">
        <v>1115</v>
      </c>
      <c r="C48" s="1" t="s">
        <v>1116</v>
      </c>
      <c r="D48" s="1" t="s">
        <v>5</v>
      </c>
      <c r="E48" s="15">
        <f t="shared" si="2"/>
        <v>429.6</v>
      </c>
      <c r="F48" s="15">
        <f t="shared" si="3"/>
        <v>6.7125</v>
      </c>
      <c r="G48" s="1">
        <v>64.0</v>
      </c>
      <c r="M48" s="12"/>
      <c r="Q48" s="12"/>
      <c r="R48" s="1">
        <v>37.0</v>
      </c>
      <c r="S48" s="1">
        <v>157.0</v>
      </c>
      <c r="T48" s="12">
        <v>1807.0</v>
      </c>
      <c r="U48" s="1">
        <v>4.0</v>
      </c>
    </row>
    <row r="49">
      <c r="A49" s="2">
        <f t="shared" si="1"/>
        <v>47</v>
      </c>
      <c r="B49" s="1" t="s">
        <v>1154</v>
      </c>
      <c r="C49" s="1" t="s">
        <v>1085</v>
      </c>
      <c r="D49" s="1" t="s">
        <v>31</v>
      </c>
      <c r="E49" s="15">
        <f t="shared" si="2"/>
        <v>427.75</v>
      </c>
      <c r="F49" s="15">
        <f t="shared" si="3"/>
        <v>5.216463415</v>
      </c>
      <c r="G49" s="1">
        <v>82.0</v>
      </c>
      <c r="H49" s="1">
        <v>33.0</v>
      </c>
      <c r="I49" s="1">
        <v>45.0</v>
      </c>
      <c r="J49" s="1">
        <v>78.0</v>
      </c>
      <c r="K49" s="1">
        <v>190.0</v>
      </c>
      <c r="L49" s="1">
        <v>13.0</v>
      </c>
      <c r="M49" s="1">
        <v>17.0</v>
      </c>
      <c r="N49" s="1">
        <v>2.0</v>
      </c>
      <c r="O49" s="1">
        <v>1.0</v>
      </c>
      <c r="P49" s="1">
        <v>97.0</v>
      </c>
      <c r="Q49" s="1">
        <v>38.0</v>
      </c>
    </row>
    <row r="50">
      <c r="A50" s="2">
        <f t="shared" si="1"/>
        <v>48</v>
      </c>
      <c r="B50" s="1" t="s">
        <v>1164</v>
      </c>
      <c r="C50" s="1" t="s">
        <v>1042</v>
      </c>
      <c r="D50" s="1" t="s">
        <v>5</v>
      </c>
      <c r="E50" s="15">
        <f t="shared" si="2"/>
        <v>426.9</v>
      </c>
      <c r="F50" s="15">
        <f t="shared" si="3"/>
        <v>6.6703125</v>
      </c>
      <c r="G50" s="1">
        <v>64.0</v>
      </c>
      <c r="M50" s="12"/>
      <c r="Q50" s="12"/>
      <c r="R50" s="1">
        <v>33.0</v>
      </c>
      <c r="S50" s="1">
        <v>171.0</v>
      </c>
      <c r="T50" s="12">
        <v>1928.0</v>
      </c>
      <c r="U50" s="1">
        <v>2.0</v>
      </c>
    </row>
    <row r="51">
      <c r="A51" s="2">
        <f t="shared" si="1"/>
        <v>49</v>
      </c>
      <c r="B51" s="1" t="s">
        <v>1158</v>
      </c>
      <c r="C51" s="1" t="s">
        <v>1069</v>
      </c>
      <c r="D51" s="1" t="s">
        <v>36</v>
      </c>
      <c r="E51" s="15">
        <f t="shared" si="2"/>
        <v>425.75</v>
      </c>
      <c r="F51" s="15">
        <f t="shared" si="3"/>
        <v>5.192073171</v>
      </c>
      <c r="G51" s="1">
        <v>82.0</v>
      </c>
      <c r="H51" s="1">
        <v>34.0</v>
      </c>
      <c r="I51" s="1">
        <v>39.0</v>
      </c>
      <c r="J51" s="1">
        <v>73.0</v>
      </c>
      <c r="K51" s="1">
        <v>268.0</v>
      </c>
      <c r="L51" s="1">
        <v>10.0</v>
      </c>
      <c r="M51" s="1">
        <v>15.0</v>
      </c>
      <c r="N51" s="1">
        <v>0.0</v>
      </c>
      <c r="O51" s="1">
        <v>0.0</v>
      </c>
      <c r="P51" s="1">
        <v>59.0</v>
      </c>
      <c r="Q51" s="1">
        <v>14.0</v>
      </c>
    </row>
    <row r="52">
      <c r="A52" s="2">
        <f t="shared" si="1"/>
        <v>50</v>
      </c>
      <c r="B52" s="1" t="s">
        <v>1208</v>
      </c>
      <c r="C52" s="1" t="s">
        <v>1030</v>
      </c>
      <c r="D52" s="1" t="s">
        <v>5</v>
      </c>
      <c r="E52" s="15">
        <f t="shared" si="2"/>
        <v>425.4</v>
      </c>
      <c r="F52" s="15">
        <f t="shared" si="3"/>
        <v>6.861290323</v>
      </c>
      <c r="G52" s="1">
        <v>62.0</v>
      </c>
      <c r="M52" s="12"/>
      <c r="Q52" s="12"/>
      <c r="R52" s="1">
        <v>40.0</v>
      </c>
      <c r="S52" s="1">
        <v>156.0</v>
      </c>
      <c r="T52" s="12">
        <v>1748.0</v>
      </c>
      <c r="U52" s="1">
        <v>5.0</v>
      </c>
    </row>
    <row r="53">
      <c r="A53" s="2">
        <f t="shared" si="1"/>
        <v>51</v>
      </c>
      <c r="B53" s="1" t="s">
        <v>1056</v>
      </c>
      <c r="C53" s="1" t="s">
        <v>1042</v>
      </c>
      <c r="D53" s="1" t="s">
        <v>66</v>
      </c>
      <c r="E53" s="15">
        <f t="shared" si="2"/>
        <v>424.25</v>
      </c>
      <c r="F53" s="15">
        <f t="shared" si="3"/>
        <v>6.332089552</v>
      </c>
      <c r="G53" s="1">
        <v>67.0</v>
      </c>
      <c r="H53" s="1">
        <v>18.0</v>
      </c>
      <c r="I53" s="1">
        <v>41.0</v>
      </c>
      <c r="J53" s="1">
        <v>59.0</v>
      </c>
      <c r="K53" s="1">
        <v>269.0</v>
      </c>
      <c r="L53" s="1">
        <v>8.0</v>
      </c>
      <c r="M53" s="1">
        <v>16.0</v>
      </c>
      <c r="N53" s="1">
        <v>0.0</v>
      </c>
      <c r="O53" s="1">
        <v>0.0</v>
      </c>
      <c r="P53" s="1">
        <v>51.0</v>
      </c>
      <c r="Q53" s="1">
        <v>146.0</v>
      </c>
    </row>
    <row r="54">
      <c r="A54" s="2">
        <f t="shared" si="1"/>
        <v>52</v>
      </c>
      <c r="B54" s="1" t="s">
        <v>1098</v>
      </c>
      <c r="C54" s="1" t="s">
        <v>1087</v>
      </c>
      <c r="D54" s="1" t="s">
        <v>31</v>
      </c>
      <c r="E54" s="15">
        <f t="shared" si="2"/>
        <v>424</v>
      </c>
      <c r="F54" s="15">
        <f t="shared" si="3"/>
        <v>5.170731707</v>
      </c>
      <c r="G54" s="1">
        <v>82.0</v>
      </c>
      <c r="H54" s="1">
        <v>36.0</v>
      </c>
      <c r="I54" s="1">
        <v>39.0</v>
      </c>
      <c r="J54" s="1">
        <v>75.0</v>
      </c>
      <c r="K54" s="1">
        <v>222.0</v>
      </c>
      <c r="L54" s="1">
        <v>6.0</v>
      </c>
      <c r="M54" s="1">
        <v>11.0</v>
      </c>
      <c r="N54" s="1">
        <v>0.0</v>
      </c>
      <c r="O54" s="1">
        <v>0.0</v>
      </c>
      <c r="P54" s="1">
        <v>50.0</v>
      </c>
      <c r="Q54" s="1">
        <v>43.0</v>
      </c>
    </row>
    <row r="55">
      <c r="A55" s="2">
        <f t="shared" si="1"/>
        <v>53</v>
      </c>
      <c r="B55" s="1" t="s">
        <v>1124</v>
      </c>
      <c r="C55" s="1" t="s">
        <v>1085</v>
      </c>
      <c r="D55" s="1" t="s">
        <v>36</v>
      </c>
      <c r="E55" s="15">
        <f t="shared" si="2"/>
        <v>422.25</v>
      </c>
      <c r="F55" s="15">
        <f t="shared" si="3"/>
        <v>5.149390244</v>
      </c>
      <c r="G55" s="1">
        <v>82.0</v>
      </c>
      <c r="H55" s="1">
        <v>28.0</v>
      </c>
      <c r="I55" s="1">
        <v>49.0</v>
      </c>
      <c r="J55" s="1">
        <v>77.0</v>
      </c>
      <c r="K55" s="1">
        <v>184.0</v>
      </c>
      <c r="L55" s="1">
        <v>13.0</v>
      </c>
      <c r="M55" s="1">
        <v>14.0</v>
      </c>
      <c r="N55" s="1">
        <v>0.0</v>
      </c>
      <c r="O55" s="1">
        <v>1.0</v>
      </c>
      <c r="P55" s="1">
        <v>93.0</v>
      </c>
      <c r="Q55" s="1">
        <v>64.0</v>
      </c>
    </row>
    <row r="56">
      <c r="A56" s="2">
        <f t="shared" si="1"/>
        <v>54</v>
      </c>
      <c r="B56" s="1" t="s">
        <v>1121</v>
      </c>
      <c r="C56" s="1" t="s">
        <v>1116</v>
      </c>
      <c r="D56" s="1" t="s">
        <v>66</v>
      </c>
      <c r="E56" s="15">
        <f t="shared" si="2"/>
        <v>419.75</v>
      </c>
      <c r="F56" s="15">
        <f t="shared" si="3"/>
        <v>5.381410256</v>
      </c>
      <c r="G56" s="1">
        <v>78.0</v>
      </c>
      <c r="H56" s="1">
        <v>16.0</v>
      </c>
      <c r="I56" s="1">
        <v>60.0</v>
      </c>
      <c r="J56" s="1">
        <v>76.0</v>
      </c>
      <c r="K56" s="1">
        <v>172.0</v>
      </c>
      <c r="L56" s="1">
        <v>2.0</v>
      </c>
      <c r="M56" s="1">
        <v>26.0</v>
      </c>
      <c r="N56" s="1">
        <v>0.0</v>
      </c>
      <c r="O56" s="1">
        <v>0.0</v>
      </c>
      <c r="P56" s="1">
        <v>89.0</v>
      </c>
      <c r="Q56" s="1">
        <v>119.0</v>
      </c>
    </row>
    <row r="57">
      <c r="A57" s="2">
        <f t="shared" si="1"/>
        <v>55</v>
      </c>
      <c r="B57" s="1" t="s">
        <v>1123</v>
      </c>
      <c r="C57" s="1" t="s">
        <v>1044</v>
      </c>
      <c r="D57" s="1" t="s">
        <v>36</v>
      </c>
      <c r="E57" s="15">
        <f t="shared" si="2"/>
        <v>416.25</v>
      </c>
      <c r="F57" s="15">
        <f t="shared" si="3"/>
        <v>5.076219512</v>
      </c>
      <c r="G57" s="1">
        <v>82.0</v>
      </c>
      <c r="H57" s="1">
        <v>27.0</v>
      </c>
      <c r="I57" s="1">
        <v>39.0</v>
      </c>
      <c r="J57" s="1">
        <v>66.0</v>
      </c>
      <c r="K57" s="1">
        <v>263.0</v>
      </c>
      <c r="L57" s="1">
        <v>11.0</v>
      </c>
      <c r="M57" s="1">
        <v>19.0</v>
      </c>
      <c r="N57" s="1">
        <v>0.0</v>
      </c>
      <c r="O57" s="1">
        <v>0.0</v>
      </c>
      <c r="P57" s="1">
        <v>109.0</v>
      </c>
      <c r="Q57" s="1">
        <v>38.0</v>
      </c>
    </row>
    <row r="58">
      <c r="A58" s="2">
        <f t="shared" si="1"/>
        <v>56</v>
      </c>
      <c r="B58" s="1" t="s">
        <v>1092</v>
      </c>
      <c r="C58" s="1" t="s">
        <v>1048</v>
      </c>
      <c r="D58" s="1" t="s">
        <v>31</v>
      </c>
      <c r="E58" s="15">
        <f t="shared" si="2"/>
        <v>413.5</v>
      </c>
      <c r="F58" s="15">
        <f t="shared" si="3"/>
        <v>6.080882353</v>
      </c>
      <c r="G58" s="1">
        <v>68.0</v>
      </c>
      <c r="H58" s="1">
        <v>23.0</v>
      </c>
      <c r="I58" s="1">
        <v>55.0</v>
      </c>
      <c r="J58" s="1">
        <v>78.0</v>
      </c>
      <c r="K58" s="1">
        <v>208.0</v>
      </c>
      <c r="L58" s="1">
        <v>8.0</v>
      </c>
      <c r="M58" s="1">
        <v>22.0</v>
      </c>
      <c r="N58" s="1">
        <v>1.0</v>
      </c>
      <c r="O58" s="1">
        <v>1.0</v>
      </c>
      <c r="P58" s="1">
        <v>52.0</v>
      </c>
      <c r="Q58" s="1">
        <v>48.0</v>
      </c>
    </row>
    <row r="59">
      <c r="A59" s="2">
        <f t="shared" si="1"/>
        <v>57</v>
      </c>
      <c r="B59" s="1" t="s">
        <v>1147</v>
      </c>
      <c r="C59" s="1" t="s">
        <v>1085</v>
      </c>
      <c r="D59" s="1" t="s">
        <v>28</v>
      </c>
      <c r="E59" s="15">
        <f t="shared" si="2"/>
        <v>412.75</v>
      </c>
      <c r="F59" s="15">
        <f t="shared" si="3"/>
        <v>5.654109589</v>
      </c>
      <c r="G59" s="1">
        <v>73.0</v>
      </c>
      <c r="H59" s="1">
        <v>37.0</v>
      </c>
      <c r="I59" s="1">
        <v>38.0</v>
      </c>
      <c r="J59" s="1">
        <v>75.0</v>
      </c>
      <c r="K59" s="1">
        <v>184.0</v>
      </c>
      <c r="L59" s="1">
        <v>9.0</v>
      </c>
      <c r="M59" s="1">
        <v>12.0</v>
      </c>
      <c r="N59" s="1">
        <v>3.0</v>
      </c>
      <c r="O59" s="1">
        <v>0.0</v>
      </c>
      <c r="P59" s="1">
        <v>47.0</v>
      </c>
      <c r="Q59" s="1">
        <v>45.0</v>
      </c>
    </row>
    <row r="60">
      <c r="A60" s="2">
        <f t="shared" si="1"/>
        <v>58</v>
      </c>
      <c r="B60" s="1" t="s">
        <v>1145</v>
      </c>
      <c r="C60" s="1" t="s">
        <v>1146</v>
      </c>
      <c r="D60" s="1" t="s">
        <v>31</v>
      </c>
      <c r="E60" s="15">
        <f t="shared" si="2"/>
        <v>411.25</v>
      </c>
      <c r="F60" s="15">
        <f t="shared" si="3"/>
        <v>5.205696203</v>
      </c>
      <c r="G60" s="1">
        <v>79.0</v>
      </c>
      <c r="H60" s="1">
        <v>40.0</v>
      </c>
      <c r="I60" s="1">
        <v>30.0</v>
      </c>
      <c r="J60" s="1">
        <v>70.0</v>
      </c>
      <c r="K60" s="1">
        <v>210.0</v>
      </c>
      <c r="L60" s="1">
        <v>7.0</v>
      </c>
      <c r="M60" s="1">
        <v>9.0</v>
      </c>
      <c r="N60" s="1">
        <v>3.0</v>
      </c>
      <c r="O60" s="1">
        <v>0.0</v>
      </c>
      <c r="P60" s="1">
        <v>65.0</v>
      </c>
      <c r="Q60" s="1">
        <v>28.0</v>
      </c>
    </row>
    <row r="61">
      <c r="A61" s="2">
        <f t="shared" si="1"/>
        <v>59</v>
      </c>
      <c r="B61" s="1" t="s">
        <v>1152</v>
      </c>
      <c r="C61" s="1" t="s">
        <v>1078</v>
      </c>
      <c r="D61" s="1" t="s">
        <v>31</v>
      </c>
      <c r="E61" s="15">
        <f t="shared" si="2"/>
        <v>411</v>
      </c>
      <c r="F61" s="15">
        <f t="shared" si="3"/>
        <v>5.012195122</v>
      </c>
      <c r="G61" s="1">
        <v>82.0</v>
      </c>
      <c r="H61" s="1">
        <v>28.0</v>
      </c>
      <c r="I61" s="1">
        <v>46.0</v>
      </c>
      <c r="J61" s="1">
        <v>74.0</v>
      </c>
      <c r="K61" s="1">
        <v>169.0</v>
      </c>
      <c r="L61" s="1">
        <v>7.0</v>
      </c>
      <c r="M61" s="1">
        <v>13.0</v>
      </c>
      <c r="N61" s="1">
        <v>0.0</v>
      </c>
      <c r="O61" s="1">
        <v>1.0</v>
      </c>
      <c r="P61" s="1">
        <v>68.0</v>
      </c>
      <c r="Q61" s="1">
        <v>87.0</v>
      </c>
    </row>
    <row r="62">
      <c r="A62" s="2">
        <f t="shared" si="1"/>
        <v>60</v>
      </c>
      <c r="B62" s="1" t="s">
        <v>1198</v>
      </c>
      <c r="C62" s="1" t="s">
        <v>1087</v>
      </c>
      <c r="D62" s="1" t="s">
        <v>5</v>
      </c>
      <c r="E62" s="15">
        <f t="shared" si="2"/>
        <v>410.4</v>
      </c>
      <c r="F62" s="15">
        <f t="shared" si="3"/>
        <v>6.619354839</v>
      </c>
      <c r="G62" s="1">
        <v>62.0</v>
      </c>
      <c r="M62" s="12"/>
      <c r="Q62" s="12"/>
      <c r="R62" s="1">
        <v>31.0</v>
      </c>
      <c r="S62" s="1">
        <v>140.0</v>
      </c>
      <c r="T62" s="12">
        <v>1698.0</v>
      </c>
      <c r="U62" s="1">
        <v>6.0</v>
      </c>
    </row>
    <row r="63">
      <c r="A63" s="2">
        <f t="shared" si="1"/>
        <v>61</v>
      </c>
      <c r="B63" s="1" t="s">
        <v>1933</v>
      </c>
      <c r="C63" s="1" t="s">
        <v>1175</v>
      </c>
      <c r="D63" s="1" t="s">
        <v>31</v>
      </c>
      <c r="E63" s="15">
        <f t="shared" si="2"/>
        <v>409.5</v>
      </c>
      <c r="F63" s="15">
        <f t="shared" si="3"/>
        <v>4.993902439</v>
      </c>
      <c r="G63" s="1">
        <v>82.0</v>
      </c>
      <c r="H63" s="1">
        <v>27.0</v>
      </c>
      <c r="I63" s="1">
        <v>40.0</v>
      </c>
      <c r="J63" s="1">
        <v>67.0</v>
      </c>
      <c r="K63" s="1">
        <v>198.0</v>
      </c>
      <c r="L63" s="1">
        <v>5.0</v>
      </c>
      <c r="M63" s="1">
        <v>15.0</v>
      </c>
      <c r="N63" s="1">
        <v>1.0</v>
      </c>
      <c r="O63" s="1">
        <v>0.0</v>
      </c>
      <c r="P63" s="1">
        <v>128.0</v>
      </c>
      <c r="Q63" s="1">
        <v>70.0</v>
      </c>
    </row>
    <row r="64">
      <c r="A64" s="2">
        <f t="shared" si="1"/>
        <v>62</v>
      </c>
      <c r="B64" s="1" t="s">
        <v>1047</v>
      </c>
      <c r="C64" s="1" t="s">
        <v>1048</v>
      </c>
      <c r="D64" s="1" t="s">
        <v>36</v>
      </c>
      <c r="E64" s="15">
        <f t="shared" si="2"/>
        <v>406</v>
      </c>
      <c r="F64" s="15">
        <f t="shared" si="3"/>
        <v>4.951219512</v>
      </c>
      <c r="G64" s="1">
        <v>82.0</v>
      </c>
      <c r="H64" s="1">
        <v>31.0</v>
      </c>
      <c r="I64" s="1">
        <v>36.0</v>
      </c>
      <c r="J64" s="1">
        <v>67.0</v>
      </c>
      <c r="K64" s="1">
        <v>227.0</v>
      </c>
      <c r="L64" s="1">
        <v>16.0</v>
      </c>
      <c r="M64" s="1">
        <v>11.0</v>
      </c>
      <c r="N64" s="1">
        <v>0.0</v>
      </c>
      <c r="O64" s="1">
        <v>3.0</v>
      </c>
      <c r="P64" s="1">
        <v>58.0</v>
      </c>
      <c r="Q64" s="1">
        <v>49.0</v>
      </c>
      <c r="T64" s="12"/>
    </row>
    <row r="65">
      <c r="A65" s="2">
        <f t="shared" si="1"/>
        <v>63</v>
      </c>
      <c r="B65" s="1" t="s">
        <v>1284</v>
      </c>
      <c r="C65" s="1" t="s">
        <v>1052</v>
      </c>
      <c r="D65" s="1" t="s">
        <v>31</v>
      </c>
      <c r="E65" s="15">
        <f t="shared" si="2"/>
        <v>405.75</v>
      </c>
      <c r="F65" s="15">
        <f t="shared" si="3"/>
        <v>4.948170732</v>
      </c>
      <c r="G65" s="1">
        <v>82.0</v>
      </c>
      <c r="H65" s="1">
        <v>28.0</v>
      </c>
      <c r="I65" s="1">
        <v>32.0</v>
      </c>
      <c r="J65" s="1">
        <v>60.0</v>
      </c>
      <c r="K65" s="1">
        <v>244.0</v>
      </c>
      <c r="L65" s="1">
        <v>11.0</v>
      </c>
      <c r="M65" s="1">
        <v>10.0</v>
      </c>
      <c r="N65" s="1">
        <v>0.0</v>
      </c>
      <c r="O65" s="1">
        <v>0.0</v>
      </c>
      <c r="P65" s="1">
        <v>141.0</v>
      </c>
      <c r="Q65" s="1">
        <v>53.0</v>
      </c>
    </row>
    <row r="66">
      <c r="A66" s="2">
        <f t="shared" si="1"/>
        <v>64</v>
      </c>
      <c r="B66" s="1" t="s">
        <v>1062</v>
      </c>
      <c r="C66" s="1" t="s">
        <v>1040</v>
      </c>
      <c r="D66" s="1" t="s">
        <v>31</v>
      </c>
      <c r="E66" s="15">
        <f t="shared" si="2"/>
        <v>405</v>
      </c>
      <c r="F66" s="15">
        <f t="shared" si="3"/>
        <v>4.93902439</v>
      </c>
      <c r="G66" s="1">
        <v>82.0</v>
      </c>
      <c r="H66" s="1">
        <v>22.0</v>
      </c>
      <c r="I66" s="1">
        <v>42.0</v>
      </c>
      <c r="J66" s="1">
        <v>64.0</v>
      </c>
      <c r="K66" s="1">
        <v>225.0</v>
      </c>
      <c r="L66" s="1">
        <v>9.0</v>
      </c>
      <c r="M66" s="1">
        <v>8.0</v>
      </c>
      <c r="N66" s="1">
        <v>0.0</v>
      </c>
      <c r="O66" s="1">
        <v>0.0</v>
      </c>
      <c r="P66" s="1">
        <v>182.0</v>
      </c>
      <c r="Q66" s="1">
        <v>44.0</v>
      </c>
    </row>
    <row r="67">
      <c r="A67" s="2">
        <f t="shared" si="1"/>
        <v>65</v>
      </c>
      <c r="B67" s="1" t="s">
        <v>1074</v>
      </c>
      <c r="C67" s="1" t="s">
        <v>1054</v>
      </c>
      <c r="D67" s="1" t="s">
        <v>31</v>
      </c>
      <c r="E67" s="15">
        <f t="shared" si="2"/>
        <v>404.25</v>
      </c>
      <c r="F67" s="15">
        <f t="shared" si="3"/>
        <v>5.182692308</v>
      </c>
      <c r="G67" s="1">
        <v>78.0</v>
      </c>
      <c r="H67" s="1">
        <v>23.0</v>
      </c>
      <c r="I67" s="1">
        <v>38.0</v>
      </c>
      <c r="J67" s="1">
        <v>61.0</v>
      </c>
      <c r="K67" s="1">
        <v>247.0</v>
      </c>
      <c r="L67" s="1">
        <v>12.0</v>
      </c>
      <c r="M67" s="1">
        <v>11.0</v>
      </c>
      <c r="N67" s="1">
        <v>2.0</v>
      </c>
      <c r="O67" s="1">
        <v>1.0</v>
      </c>
      <c r="P67" s="1">
        <v>119.0</v>
      </c>
      <c r="Q67" s="1">
        <v>55.0</v>
      </c>
    </row>
    <row r="68">
      <c r="A68" s="2">
        <f t="shared" si="1"/>
        <v>66</v>
      </c>
      <c r="B68" s="1" t="s">
        <v>1168</v>
      </c>
      <c r="C68" s="1" t="s">
        <v>1073</v>
      </c>
      <c r="D68" s="1" t="s">
        <v>31</v>
      </c>
      <c r="E68" s="15">
        <f t="shared" si="2"/>
        <v>401.75</v>
      </c>
      <c r="F68" s="15">
        <f t="shared" si="3"/>
        <v>4.899390244</v>
      </c>
      <c r="G68" s="1">
        <v>82.0</v>
      </c>
      <c r="H68" s="1">
        <v>28.0</v>
      </c>
      <c r="I68" s="1">
        <v>43.0</v>
      </c>
      <c r="J68" s="1">
        <v>71.0</v>
      </c>
      <c r="K68" s="1">
        <v>240.0</v>
      </c>
      <c r="L68" s="1">
        <v>9.0</v>
      </c>
      <c r="M68" s="1">
        <v>17.0</v>
      </c>
      <c r="N68" s="1">
        <v>0.0</v>
      </c>
      <c r="O68" s="1">
        <v>1.0</v>
      </c>
      <c r="P68" s="1">
        <v>57.0</v>
      </c>
      <c r="Q68" s="1">
        <v>21.0</v>
      </c>
      <c r="T68" s="12"/>
    </row>
    <row r="69">
      <c r="A69" s="2">
        <f t="shared" si="1"/>
        <v>67</v>
      </c>
      <c r="B69" s="1" t="s">
        <v>1141</v>
      </c>
      <c r="C69" s="1" t="s">
        <v>1116</v>
      </c>
      <c r="D69" s="1" t="s">
        <v>31</v>
      </c>
      <c r="E69" s="15">
        <f t="shared" si="2"/>
        <v>401.5</v>
      </c>
      <c r="F69" s="15">
        <f t="shared" si="3"/>
        <v>4.956790123</v>
      </c>
      <c r="G69" s="1">
        <v>81.0</v>
      </c>
      <c r="H69" s="1">
        <v>42.0</v>
      </c>
      <c r="I69" s="1">
        <v>26.0</v>
      </c>
      <c r="J69" s="1">
        <v>68.0</v>
      </c>
      <c r="K69" s="1">
        <v>206.0</v>
      </c>
      <c r="L69" s="1">
        <v>12.0</v>
      </c>
      <c r="M69" s="1">
        <v>10.0</v>
      </c>
      <c r="N69" s="1">
        <v>0.0</v>
      </c>
      <c r="O69" s="1">
        <v>0.0</v>
      </c>
      <c r="P69" s="1">
        <v>50.0</v>
      </c>
      <c r="Q69" s="1">
        <v>38.0</v>
      </c>
    </row>
    <row r="70">
      <c r="A70" s="2">
        <f t="shared" si="1"/>
        <v>68</v>
      </c>
      <c r="B70" s="1" t="s">
        <v>1201</v>
      </c>
      <c r="C70" s="1" t="s">
        <v>1085</v>
      </c>
      <c r="D70" s="1" t="s">
        <v>66</v>
      </c>
      <c r="E70" s="15">
        <f t="shared" si="2"/>
        <v>400.75</v>
      </c>
      <c r="F70" s="15">
        <f t="shared" si="3"/>
        <v>5.07278481</v>
      </c>
      <c r="G70" s="1">
        <v>79.0</v>
      </c>
      <c r="H70" s="1">
        <v>11.0</v>
      </c>
      <c r="I70" s="1">
        <v>62.0</v>
      </c>
      <c r="J70" s="1">
        <v>73.0</v>
      </c>
      <c r="K70" s="1">
        <v>206.0</v>
      </c>
      <c r="L70" s="1">
        <v>2.0</v>
      </c>
      <c r="M70" s="1">
        <v>32.0</v>
      </c>
      <c r="N70" s="1">
        <v>0.0</v>
      </c>
      <c r="O70" s="1">
        <v>1.0</v>
      </c>
      <c r="P70" s="1">
        <v>49.0</v>
      </c>
      <c r="Q70" s="1">
        <v>96.0</v>
      </c>
    </row>
    <row r="71">
      <c r="A71" s="2">
        <f t="shared" si="1"/>
        <v>69</v>
      </c>
      <c r="B71" s="1" t="s">
        <v>1231</v>
      </c>
      <c r="C71" s="1" t="s">
        <v>1085</v>
      </c>
      <c r="D71" s="1" t="s">
        <v>5</v>
      </c>
      <c r="E71" s="15">
        <f t="shared" si="2"/>
        <v>399.6</v>
      </c>
      <c r="F71" s="15">
        <f t="shared" si="3"/>
        <v>6.44516129</v>
      </c>
      <c r="G71" s="1">
        <v>62.0</v>
      </c>
      <c r="M71" s="12"/>
      <c r="Q71" s="12"/>
      <c r="R71" s="1">
        <v>37.0</v>
      </c>
      <c r="S71" s="1">
        <v>144.0</v>
      </c>
      <c r="T71" s="12">
        <v>1632.0</v>
      </c>
      <c r="U71" s="1">
        <v>5.0</v>
      </c>
    </row>
    <row r="72">
      <c r="A72" s="2">
        <f t="shared" si="1"/>
        <v>70</v>
      </c>
      <c r="B72" s="1" t="s">
        <v>1340</v>
      </c>
      <c r="C72" s="1" t="s">
        <v>1038</v>
      </c>
      <c r="D72" s="1" t="s">
        <v>5</v>
      </c>
      <c r="E72" s="15">
        <f t="shared" si="2"/>
        <v>399.3</v>
      </c>
      <c r="F72" s="15">
        <f t="shared" si="3"/>
        <v>8.148979592</v>
      </c>
      <c r="G72" s="1">
        <v>49.0</v>
      </c>
      <c r="M72" s="12"/>
      <c r="Q72" s="12"/>
      <c r="R72" s="1">
        <v>40.0</v>
      </c>
      <c r="S72" s="1">
        <v>91.0</v>
      </c>
      <c r="T72" s="12">
        <v>1366.0</v>
      </c>
      <c r="U72" s="1">
        <v>2.0</v>
      </c>
    </row>
    <row r="73">
      <c r="A73" s="2">
        <f t="shared" si="1"/>
        <v>71</v>
      </c>
      <c r="B73" s="1" t="s">
        <v>1072</v>
      </c>
      <c r="C73" s="1" t="s">
        <v>1073</v>
      </c>
      <c r="D73" s="1" t="s">
        <v>28</v>
      </c>
      <c r="E73" s="15">
        <f t="shared" si="2"/>
        <v>397.25</v>
      </c>
      <c r="F73" s="15">
        <f t="shared" si="3"/>
        <v>5.296666667</v>
      </c>
      <c r="G73" s="1">
        <v>75.0</v>
      </c>
      <c r="H73" s="1">
        <v>36.0</v>
      </c>
      <c r="I73" s="1">
        <v>31.0</v>
      </c>
      <c r="J73" s="1">
        <v>67.0</v>
      </c>
      <c r="K73" s="1">
        <v>218.0</v>
      </c>
      <c r="L73" s="1">
        <v>7.0</v>
      </c>
      <c r="M73" s="1">
        <v>8.0</v>
      </c>
      <c r="N73" s="1">
        <v>3.0</v>
      </c>
      <c r="O73" s="1">
        <v>1.0</v>
      </c>
      <c r="P73" s="1">
        <v>59.0</v>
      </c>
      <c r="Q73" s="1">
        <v>21.0</v>
      </c>
    </row>
    <row r="74">
      <c r="A74" s="2">
        <f t="shared" si="1"/>
        <v>72</v>
      </c>
      <c r="B74" s="1" t="s">
        <v>1094</v>
      </c>
      <c r="C74" s="1" t="s">
        <v>1080</v>
      </c>
      <c r="D74" s="1" t="s">
        <v>31</v>
      </c>
      <c r="E74" s="15">
        <f t="shared" si="2"/>
        <v>394.75</v>
      </c>
      <c r="F74" s="15">
        <f t="shared" si="3"/>
        <v>5.891791045</v>
      </c>
      <c r="G74" s="1">
        <v>67.0</v>
      </c>
      <c r="H74" s="1">
        <v>27.0</v>
      </c>
      <c r="I74" s="1">
        <v>39.0</v>
      </c>
      <c r="J74" s="1">
        <v>66.0</v>
      </c>
      <c r="K74" s="1">
        <v>223.0</v>
      </c>
      <c r="L74" s="1">
        <v>2.0</v>
      </c>
      <c r="M74" s="1">
        <v>12.0</v>
      </c>
      <c r="N74" s="1">
        <v>0.0</v>
      </c>
      <c r="O74" s="1">
        <v>1.0</v>
      </c>
      <c r="P74" s="1">
        <v>59.0</v>
      </c>
      <c r="Q74" s="1">
        <v>56.0</v>
      </c>
    </row>
    <row r="75">
      <c r="A75" s="2">
        <f t="shared" si="1"/>
        <v>73</v>
      </c>
      <c r="B75" s="1" t="s">
        <v>1628</v>
      </c>
      <c r="C75" s="1" t="s">
        <v>1034</v>
      </c>
      <c r="D75" s="1" t="s">
        <v>66</v>
      </c>
      <c r="E75" s="15">
        <f t="shared" si="2"/>
        <v>393.5</v>
      </c>
      <c r="F75" s="15">
        <f t="shared" si="3"/>
        <v>4.981012658</v>
      </c>
      <c r="G75" s="1">
        <v>79.0</v>
      </c>
      <c r="H75" s="1">
        <v>10.0</v>
      </c>
      <c r="I75" s="1">
        <v>54.0</v>
      </c>
      <c r="J75" s="1">
        <v>64.0</v>
      </c>
      <c r="K75" s="1">
        <v>156.0</v>
      </c>
      <c r="L75" s="1">
        <v>3.0</v>
      </c>
      <c r="M75" s="1">
        <v>24.0</v>
      </c>
      <c r="N75" s="1">
        <v>0.0</v>
      </c>
      <c r="O75" s="1">
        <v>1.0</v>
      </c>
      <c r="P75" s="1">
        <v>128.0</v>
      </c>
      <c r="Q75" s="1">
        <v>149.0</v>
      </c>
    </row>
    <row r="76">
      <c r="A76" s="2">
        <f t="shared" si="1"/>
        <v>74</v>
      </c>
      <c r="B76" s="1" t="s">
        <v>2084</v>
      </c>
      <c r="C76" s="1" t="s">
        <v>1054</v>
      </c>
      <c r="D76" s="1" t="s">
        <v>28</v>
      </c>
      <c r="E76" s="15">
        <f t="shared" si="2"/>
        <v>392.25</v>
      </c>
      <c r="F76" s="15">
        <f t="shared" si="3"/>
        <v>4.842592593</v>
      </c>
      <c r="G76" s="1">
        <v>81.0</v>
      </c>
      <c r="H76" s="1">
        <v>31.0</v>
      </c>
      <c r="I76" s="1">
        <v>32.0</v>
      </c>
      <c r="J76" s="1">
        <v>63.0</v>
      </c>
      <c r="K76" s="1">
        <v>255.0</v>
      </c>
      <c r="L76" s="1">
        <v>8.0</v>
      </c>
      <c r="M76" s="1">
        <v>18.0</v>
      </c>
      <c r="N76" s="1">
        <v>0.0</v>
      </c>
      <c r="O76" s="1">
        <v>0.0</v>
      </c>
      <c r="P76" s="1">
        <v>65.0</v>
      </c>
      <c r="Q76" s="1">
        <v>26.0</v>
      </c>
    </row>
    <row r="77">
      <c r="A77" s="2">
        <f t="shared" si="1"/>
        <v>75</v>
      </c>
      <c r="B77" s="1" t="s">
        <v>1200</v>
      </c>
      <c r="C77" s="1" t="s">
        <v>1067</v>
      </c>
      <c r="D77" s="1" t="s">
        <v>31</v>
      </c>
      <c r="E77" s="15">
        <f t="shared" si="2"/>
        <v>390.75</v>
      </c>
      <c r="F77" s="15">
        <f t="shared" si="3"/>
        <v>4.824074074</v>
      </c>
      <c r="G77" s="1">
        <v>81.0</v>
      </c>
      <c r="H77" s="1">
        <v>31.0</v>
      </c>
      <c r="I77" s="1">
        <v>37.0</v>
      </c>
      <c r="J77" s="1">
        <v>68.0</v>
      </c>
      <c r="K77" s="1">
        <v>211.0</v>
      </c>
      <c r="L77" s="1">
        <v>5.0</v>
      </c>
      <c r="M77" s="1">
        <v>13.0</v>
      </c>
      <c r="N77" s="1">
        <v>2.0</v>
      </c>
      <c r="O77" s="1">
        <v>1.0</v>
      </c>
      <c r="P77" s="1">
        <v>55.0</v>
      </c>
      <c r="Q77" s="1">
        <v>30.0</v>
      </c>
    </row>
    <row r="78">
      <c r="A78" s="2">
        <f t="shared" si="1"/>
        <v>76</v>
      </c>
      <c r="B78" s="1" t="s">
        <v>1075</v>
      </c>
      <c r="C78" s="1" t="s">
        <v>1076</v>
      </c>
      <c r="D78" s="1" t="s">
        <v>28</v>
      </c>
      <c r="E78" s="15">
        <f t="shared" si="2"/>
        <v>390.5</v>
      </c>
      <c r="F78" s="15">
        <f t="shared" si="3"/>
        <v>4.762195122</v>
      </c>
      <c r="G78" s="1">
        <v>82.0</v>
      </c>
      <c r="H78" s="1">
        <v>32.0</v>
      </c>
      <c r="I78" s="1">
        <v>41.0</v>
      </c>
      <c r="J78" s="1">
        <v>73.0</v>
      </c>
      <c r="K78" s="1">
        <v>212.0</v>
      </c>
      <c r="L78" s="1">
        <v>8.0</v>
      </c>
      <c r="M78" s="1">
        <v>14.0</v>
      </c>
      <c r="N78" s="1">
        <v>0.0</v>
      </c>
      <c r="O78" s="1">
        <v>0.0</v>
      </c>
      <c r="P78" s="1">
        <v>24.0</v>
      </c>
      <c r="Q78" s="1">
        <v>23.0</v>
      </c>
    </row>
    <row r="79">
      <c r="A79" s="2">
        <f t="shared" si="1"/>
        <v>76</v>
      </c>
      <c r="B79" s="1" t="s">
        <v>1243</v>
      </c>
      <c r="C79" s="1" t="s">
        <v>1073</v>
      </c>
      <c r="D79" s="1" t="s">
        <v>66</v>
      </c>
      <c r="E79" s="15">
        <f t="shared" si="2"/>
        <v>390.5</v>
      </c>
      <c r="F79" s="15">
        <f t="shared" si="3"/>
        <v>4.762195122</v>
      </c>
      <c r="G79" s="1">
        <v>82.0</v>
      </c>
      <c r="H79" s="1">
        <v>18.0</v>
      </c>
      <c r="I79" s="1">
        <v>43.0</v>
      </c>
      <c r="J79" s="1">
        <v>61.0</v>
      </c>
      <c r="K79" s="1">
        <v>255.0</v>
      </c>
      <c r="L79" s="1">
        <v>4.0</v>
      </c>
      <c r="M79" s="1">
        <v>19.0</v>
      </c>
      <c r="N79" s="1">
        <v>0.0</v>
      </c>
      <c r="O79" s="1">
        <v>0.0</v>
      </c>
      <c r="P79" s="1">
        <v>40.0</v>
      </c>
      <c r="Q79" s="1">
        <v>86.0</v>
      </c>
      <c r="T79" s="12"/>
    </row>
    <row r="80">
      <c r="A80" s="2">
        <f t="shared" si="1"/>
        <v>78</v>
      </c>
      <c r="B80" s="1" t="s">
        <v>1290</v>
      </c>
      <c r="C80" s="1" t="s">
        <v>1034</v>
      </c>
      <c r="D80" s="1" t="s">
        <v>5</v>
      </c>
      <c r="E80" s="15">
        <f t="shared" si="2"/>
        <v>390.3</v>
      </c>
      <c r="F80" s="15">
        <f t="shared" si="3"/>
        <v>6.505</v>
      </c>
      <c r="G80" s="1">
        <v>60.0</v>
      </c>
      <c r="M80" s="12"/>
      <c r="Q80" s="12"/>
      <c r="R80" s="1">
        <v>34.0</v>
      </c>
      <c r="S80" s="1">
        <v>159.0</v>
      </c>
      <c r="T80" s="12">
        <v>1716.0</v>
      </c>
      <c r="U80" s="1">
        <v>4.0</v>
      </c>
    </row>
    <row r="81">
      <c r="A81" s="2">
        <f t="shared" si="1"/>
        <v>79</v>
      </c>
      <c r="B81" s="1" t="s">
        <v>1129</v>
      </c>
      <c r="C81" s="1" t="s">
        <v>1044</v>
      </c>
      <c r="D81" s="1" t="s">
        <v>36</v>
      </c>
      <c r="E81" s="15">
        <f t="shared" si="2"/>
        <v>389.75</v>
      </c>
      <c r="F81" s="15">
        <f t="shared" si="3"/>
        <v>4.75304878</v>
      </c>
      <c r="G81" s="1">
        <v>82.0</v>
      </c>
      <c r="H81" s="1">
        <v>22.0</v>
      </c>
      <c r="I81" s="1">
        <v>40.0</v>
      </c>
      <c r="J81" s="1">
        <v>62.0</v>
      </c>
      <c r="K81" s="1">
        <v>249.0</v>
      </c>
      <c r="L81" s="1">
        <v>14.0</v>
      </c>
      <c r="M81" s="1">
        <v>15.0</v>
      </c>
      <c r="N81" s="1">
        <v>0.0</v>
      </c>
      <c r="O81" s="1">
        <v>0.0</v>
      </c>
      <c r="P81" s="1">
        <v>115.0</v>
      </c>
      <c r="Q81" s="1">
        <v>35.0</v>
      </c>
    </row>
    <row r="82">
      <c r="A82" s="2">
        <f t="shared" si="1"/>
        <v>80</v>
      </c>
      <c r="B82" s="1" t="s">
        <v>1127</v>
      </c>
      <c r="C82" s="1" t="s">
        <v>1040</v>
      </c>
      <c r="D82" s="1" t="s">
        <v>66</v>
      </c>
      <c r="E82" s="15">
        <f t="shared" si="2"/>
        <v>388.25</v>
      </c>
      <c r="F82" s="15">
        <f t="shared" si="3"/>
        <v>4.734756098</v>
      </c>
      <c r="G82" s="1">
        <v>82.0</v>
      </c>
      <c r="H82" s="1">
        <v>12.0</v>
      </c>
      <c r="I82" s="1">
        <v>60.0</v>
      </c>
      <c r="J82" s="1">
        <v>72.0</v>
      </c>
      <c r="K82" s="1">
        <v>159.0</v>
      </c>
      <c r="L82" s="1">
        <v>1.0</v>
      </c>
      <c r="M82" s="1">
        <v>28.0</v>
      </c>
      <c r="N82" s="1">
        <v>0.0</v>
      </c>
      <c r="O82" s="1">
        <v>3.0</v>
      </c>
      <c r="P82" s="1">
        <v>25.0</v>
      </c>
      <c r="Q82" s="1">
        <v>125.0</v>
      </c>
    </row>
    <row r="83">
      <c r="A83" s="2">
        <f t="shared" si="1"/>
        <v>81</v>
      </c>
      <c r="B83" s="1" t="s">
        <v>2085</v>
      </c>
      <c r="C83" s="1" t="s">
        <v>1038</v>
      </c>
      <c r="D83" s="1" t="s">
        <v>31</v>
      </c>
      <c r="E83" s="15">
        <f t="shared" si="2"/>
        <v>386.5</v>
      </c>
      <c r="F83" s="15">
        <f t="shared" si="3"/>
        <v>4.955128205</v>
      </c>
      <c r="G83" s="1">
        <v>78.0</v>
      </c>
      <c r="H83" s="1">
        <v>27.0</v>
      </c>
      <c r="I83" s="1">
        <v>31.0</v>
      </c>
      <c r="J83" s="1">
        <v>58.0</v>
      </c>
      <c r="K83" s="1">
        <v>249.0</v>
      </c>
      <c r="L83" s="1">
        <v>9.0</v>
      </c>
      <c r="M83" s="1">
        <v>10.0</v>
      </c>
      <c r="N83" s="1">
        <v>2.0</v>
      </c>
      <c r="O83" s="1">
        <v>0.0</v>
      </c>
      <c r="P83" s="1">
        <v>66.0</v>
      </c>
      <c r="Q83" s="1">
        <v>54.0</v>
      </c>
    </row>
    <row r="84">
      <c r="A84" s="2">
        <f t="shared" si="1"/>
        <v>82</v>
      </c>
      <c r="B84" s="1" t="s">
        <v>1070</v>
      </c>
      <c r="C84" s="1" t="s">
        <v>1040</v>
      </c>
      <c r="D84" s="1" t="s">
        <v>28</v>
      </c>
      <c r="E84" s="15">
        <f t="shared" si="2"/>
        <v>382.5</v>
      </c>
      <c r="F84" s="15">
        <f t="shared" si="3"/>
        <v>4.841772152</v>
      </c>
      <c r="G84" s="1">
        <v>79.0</v>
      </c>
      <c r="H84" s="1">
        <v>36.0</v>
      </c>
      <c r="I84" s="1">
        <v>18.0</v>
      </c>
      <c r="J84" s="1">
        <v>54.0</v>
      </c>
      <c r="K84" s="1">
        <v>229.0</v>
      </c>
      <c r="L84" s="1">
        <v>8.0</v>
      </c>
      <c r="M84" s="1">
        <v>9.0</v>
      </c>
      <c r="N84" s="1">
        <v>4.0</v>
      </c>
      <c r="O84" s="1">
        <v>0.0</v>
      </c>
      <c r="P84" s="1">
        <v>128.0</v>
      </c>
      <c r="Q84" s="1">
        <v>24.0</v>
      </c>
    </row>
    <row r="85">
      <c r="A85" s="2">
        <f t="shared" si="1"/>
        <v>83</v>
      </c>
      <c r="B85" s="1" t="s">
        <v>1122</v>
      </c>
      <c r="C85" s="1" t="s">
        <v>1034</v>
      </c>
      <c r="D85" s="1" t="s">
        <v>28</v>
      </c>
      <c r="E85" s="15">
        <f t="shared" si="2"/>
        <v>378</v>
      </c>
      <c r="F85" s="15">
        <f t="shared" si="3"/>
        <v>4.666666667</v>
      </c>
      <c r="G85" s="1">
        <v>81.0</v>
      </c>
      <c r="H85" s="1">
        <v>30.0</v>
      </c>
      <c r="I85" s="1">
        <v>34.0</v>
      </c>
      <c r="J85" s="1">
        <v>64.0</v>
      </c>
      <c r="K85" s="1">
        <v>178.0</v>
      </c>
      <c r="L85" s="1">
        <v>7.0</v>
      </c>
      <c r="M85" s="1">
        <v>6.0</v>
      </c>
      <c r="N85" s="1">
        <v>1.0</v>
      </c>
      <c r="O85" s="1">
        <v>2.0</v>
      </c>
      <c r="P85" s="1">
        <v>68.0</v>
      </c>
      <c r="Q85" s="1">
        <v>58.0</v>
      </c>
    </row>
    <row r="86">
      <c r="A86" s="2">
        <f t="shared" si="1"/>
        <v>84</v>
      </c>
      <c r="B86" s="1" t="s">
        <v>1088</v>
      </c>
      <c r="C86" s="1" t="s">
        <v>1069</v>
      </c>
      <c r="D86" s="1" t="s">
        <v>31</v>
      </c>
      <c r="E86" s="15">
        <f t="shared" si="2"/>
        <v>377.75</v>
      </c>
      <c r="F86" s="15">
        <f t="shared" si="3"/>
        <v>4.606707317</v>
      </c>
      <c r="G86" s="1">
        <v>82.0</v>
      </c>
      <c r="H86" s="1">
        <v>24.0</v>
      </c>
      <c r="I86" s="1">
        <v>32.0</v>
      </c>
      <c r="J86" s="1">
        <v>56.0</v>
      </c>
      <c r="K86" s="1">
        <v>267.0</v>
      </c>
      <c r="L86" s="1">
        <v>11.0</v>
      </c>
      <c r="M86" s="1">
        <v>8.0</v>
      </c>
      <c r="N86" s="1">
        <v>0.0</v>
      </c>
      <c r="O86" s="1">
        <v>0.0</v>
      </c>
      <c r="P86" s="1">
        <v>99.0</v>
      </c>
      <c r="Q86" s="1">
        <v>31.0</v>
      </c>
    </row>
    <row r="87">
      <c r="A87" s="2">
        <f t="shared" si="1"/>
        <v>85</v>
      </c>
      <c r="B87" s="1" t="s">
        <v>1113</v>
      </c>
      <c r="C87" s="1" t="s">
        <v>1078</v>
      </c>
      <c r="D87" s="1" t="s">
        <v>28</v>
      </c>
      <c r="E87" s="15">
        <f t="shared" si="2"/>
        <v>376.75</v>
      </c>
      <c r="F87" s="15">
        <f t="shared" si="3"/>
        <v>5.460144928</v>
      </c>
      <c r="G87" s="1">
        <v>69.0</v>
      </c>
      <c r="H87" s="1">
        <v>23.0</v>
      </c>
      <c r="I87" s="1">
        <v>49.0</v>
      </c>
      <c r="J87" s="1">
        <v>72.0</v>
      </c>
      <c r="K87" s="1">
        <v>208.0</v>
      </c>
      <c r="L87" s="1">
        <v>7.0</v>
      </c>
      <c r="M87" s="1">
        <v>17.0</v>
      </c>
      <c r="N87" s="1">
        <v>0.0</v>
      </c>
      <c r="O87" s="1">
        <v>0.0</v>
      </c>
      <c r="P87" s="1">
        <v>53.0</v>
      </c>
      <c r="Q87" s="1">
        <v>18.0</v>
      </c>
    </row>
    <row r="88">
      <c r="A88" s="2">
        <f t="shared" si="1"/>
        <v>86</v>
      </c>
      <c r="B88" s="1" t="s">
        <v>1179</v>
      </c>
      <c r="C88" s="1" t="s">
        <v>1040</v>
      </c>
      <c r="D88" s="1" t="s">
        <v>5</v>
      </c>
      <c r="E88" s="15">
        <f t="shared" si="2"/>
        <v>376.5</v>
      </c>
      <c r="F88" s="15">
        <f t="shared" si="3"/>
        <v>6.49137931</v>
      </c>
      <c r="G88" s="1">
        <v>58.0</v>
      </c>
      <c r="M88" s="12"/>
      <c r="Q88" s="12"/>
      <c r="R88" s="1">
        <v>37.0</v>
      </c>
      <c r="S88" s="1">
        <v>144.0</v>
      </c>
      <c r="T88" s="12">
        <v>1575.0</v>
      </c>
      <c r="U88" s="1">
        <v>3.0</v>
      </c>
    </row>
    <row r="89">
      <c r="A89" s="2">
        <f t="shared" si="1"/>
        <v>87</v>
      </c>
      <c r="B89" s="1" t="s">
        <v>1259</v>
      </c>
      <c r="C89" s="1" t="s">
        <v>1069</v>
      </c>
      <c r="D89" s="1" t="s">
        <v>31</v>
      </c>
      <c r="E89" s="15">
        <f t="shared" si="2"/>
        <v>374.25</v>
      </c>
      <c r="F89" s="15">
        <f t="shared" si="3"/>
        <v>4.56402439</v>
      </c>
      <c r="G89" s="1">
        <v>82.0</v>
      </c>
      <c r="H89" s="1">
        <v>19.0</v>
      </c>
      <c r="I89" s="1">
        <v>37.0</v>
      </c>
      <c r="J89" s="1">
        <v>56.0</v>
      </c>
      <c r="K89" s="1">
        <v>260.0</v>
      </c>
      <c r="L89" s="1">
        <v>5.0</v>
      </c>
      <c r="M89" s="1">
        <v>7.0</v>
      </c>
      <c r="N89" s="1">
        <v>1.0</v>
      </c>
      <c r="O89" s="1">
        <v>3.0</v>
      </c>
      <c r="P89" s="1">
        <v>97.0</v>
      </c>
      <c r="Q89" s="1">
        <v>31.0</v>
      </c>
    </row>
    <row r="90">
      <c r="A90" s="2">
        <f t="shared" si="1"/>
        <v>88</v>
      </c>
      <c r="B90" s="1" t="s">
        <v>1257</v>
      </c>
      <c r="C90" s="1" t="s">
        <v>1156</v>
      </c>
      <c r="D90" s="1" t="s">
        <v>28</v>
      </c>
      <c r="E90" s="15">
        <f t="shared" si="2"/>
        <v>373.75</v>
      </c>
      <c r="F90" s="15">
        <f t="shared" si="3"/>
        <v>4.671875</v>
      </c>
      <c r="G90" s="1">
        <v>80.0</v>
      </c>
      <c r="H90" s="1">
        <v>21.0</v>
      </c>
      <c r="I90" s="1">
        <v>53.0</v>
      </c>
      <c r="J90" s="1">
        <v>74.0</v>
      </c>
      <c r="K90" s="1">
        <v>220.0</v>
      </c>
      <c r="L90" s="1">
        <v>3.0</v>
      </c>
      <c r="M90" s="1">
        <v>21.0</v>
      </c>
      <c r="N90" s="1">
        <v>0.0</v>
      </c>
      <c r="O90" s="1">
        <v>0.0</v>
      </c>
      <c r="P90" s="1">
        <v>5.0</v>
      </c>
      <c r="Q90" s="1">
        <v>18.0</v>
      </c>
    </row>
    <row r="91">
      <c r="A91" s="2">
        <f t="shared" si="1"/>
        <v>89</v>
      </c>
      <c r="B91" s="1" t="s">
        <v>1223</v>
      </c>
      <c r="C91" s="1" t="s">
        <v>1069</v>
      </c>
      <c r="D91" s="1" t="s">
        <v>36</v>
      </c>
      <c r="E91" s="15">
        <f t="shared" si="2"/>
        <v>373.5</v>
      </c>
      <c r="F91" s="15">
        <f t="shared" si="3"/>
        <v>4.66875</v>
      </c>
      <c r="G91" s="1">
        <v>80.0</v>
      </c>
      <c r="H91" s="1">
        <v>22.0</v>
      </c>
      <c r="I91" s="1">
        <v>42.0</v>
      </c>
      <c r="J91" s="1">
        <v>64.0</v>
      </c>
      <c r="K91" s="1">
        <v>186.0</v>
      </c>
      <c r="L91" s="1">
        <v>10.0</v>
      </c>
      <c r="M91" s="1">
        <v>11.0</v>
      </c>
      <c r="N91" s="1">
        <v>1.0</v>
      </c>
      <c r="O91" s="1">
        <v>2.0</v>
      </c>
      <c r="P91" s="1">
        <v>98.0</v>
      </c>
      <c r="Q91" s="1">
        <v>50.0</v>
      </c>
    </row>
    <row r="92">
      <c r="A92" s="2">
        <f t="shared" si="1"/>
        <v>90</v>
      </c>
      <c r="B92" s="1" t="s">
        <v>1298</v>
      </c>
      <c r="C92" s="1" t="s">
        <v>1116</v>
      </c>
      <c r="D92" s="1" t="s">
        <v>31</v>
      </c>
      <c r="E92" s="15">
        <f t="shared" si="2"/>
        <v>373.25</v>
      </c>
      <c r="F92" s="15">
        <f t="shared" si="3"/>
        <v>5.113013699</v>
      </c>
      <c r="G92" s="1">
        <v>73.0</v>
      </c>
      <c r="H92" s="1">
        <v>27.0</v>
      </c>
      <c r="I92" s="1">
        <v>36.0</v>
      </c>
      <c r="J92" s="1">
        <v>63.0</v>
      </c>
      <c r="K92" s="1">
        <v>205.0</v>
      </c>
      <c r="L92" s="1">
        <v>11.0</v>
      </c>
      <c r="M92" s="1">
        <v>12.0</v>
      </c>
      <c r="N92" s="1">
        <v>0.0</v>
      </c>
      <c r="O92" s="1">
        <v>0.0</v>
      </c>
      <c r="P92" s="1">
        <v>71.0</v>
      </c>
      <c r="Q92" s="1">
        <v>47.0</v>
      </c>
    </row>
    <row r="93">
      <c r="A93" s="2">
        <f t="shared" si="1"/>
        <v>91</v>
      </c>
      <c r="B93" s="1" t="s">
        <v>1177</v>
      </c>
      <c r="C93" s="1" t="s">
        <v>1036</v>
      </c>
      <c r="D93" s="1" t="s">
        <v>66</v>
      </c>
      <c r="E93" s="15">
        <f t="shared" si="2"/>
        <v>373</v>
      </c>
      <c r="F93" s="15">
        <f t="shared" si="3"/>
        <v>4.548780488</v>
      </c>
      <c r="G93" s="1">
        <v>82.0</v>
      </c>
      <c r="H93" s="1">
        <v>12.0</v>
      </c>
      <c r="I93" s="1">
        <v>31.0</v>
      </c>
      <c r="J93" s="1">
        <v>43.0</v>
      </c>
      <c r="K93" s="1">
        <v>203.0</v>
      </c>
      <c r="L93" s="1">
        <v>0.0</v>
      </c>
      <c r="M93" s="1">
        <v>1.0</v>
      </c>
      <c r="N93" s="1">
        <v>2.0</v>
      </c>
      <c r="O93" s="1">
        <v>1.0</v>
      </c>
      <c r="P93" s="1">
        <v>146.0</v>
      </c>
      <c r="Q93" s="1">
        <v>164.0</v>
      </c>
    </row>
    <row r="94">
      <c r="A94" s="2">
        <f t="shared" si="1"/>
        <v>92</v>
      </c>
      <c r="B94" s="1" t="s">
        <v>1289</v>
      </c>
      <c r="C94" s="1" t="s">
        <v>1080</v>
      </c>
      <c r="D94" s="1" t="s">
        <v>66</v>
      </c>
      <c r="E94" s="15">
        <f t="shared" si="2"/>
        <v>372.25</v>
      </c>
      <c r="F94" s="15">
        <f t="shared" si="3"/>
        <v>5.099315068</v>
      </c>
      <c r="G94" s="1">
        <v>73.0</v>
      </c>
      <c r="H94" s="1">
        <v>11.0</v>
      </c>
      <c r="I94" s="1">
        <v>43.0</v>
      </c>
      <c r="J94" s="1">
        <v>54.0</v>
      </c>
      <c r="K94" s="1">
        <v>170.0</v>
      </c>
      <c r="L94" s="1">
        <v>1.0</v>
      </c>
      <c r="M94" s="1">
        <v>13.0</v>
      </c>
      <c r="N94" s="1">
        <v>0.0</v>
      </c>
      <c r="O94" s="1">
        <v>2.0</v>
      </c>
      <c r="P94" s="1">
        <v>65.0</v>
      </c>
      <c r="Q94" s="1">
        <v>177.0</v>
      </c>
    </row>
    <row r="95">
      <c r="A95" s="2">
        <f t="shared" si="1"/>
        <v>93</v>
      </c>
      <c r="B95" s="1" t="s">
        <v>1197</v>
      </c>
      <c r="C95" s="1" t="s">
        <v>1054</v>
      </c>
      <c r="D95" s="1" t="s">
        <v>36</v>
      </c>
      <c r="E95" s="15">
        <f t="shared" si="2"/>
        <v>371.25</v>
      </c>
      <c r="F95" s="15">
        <f t="shared" si="3"/>
        <v>4.759615385</v>
      </c>
      <c r="G95" s="1">
        <v>78.0</v>
      </c>
      <c r="H95" s="1">
        <v>22.0</v>
      </c>
      <c r="I95" s="1">
        <v>45.0</v>
      </c>
      <c r="J95" s="1">
        <v>67.0</v>
      </c>
      <c r="K95" s="1">
        <v>198.0</v>
      </c>
      <c r="L95" s="1">
        <v>9.0</v>
      </c>
      <c r="M95" s="1">
        <v>20.0</v>
      </c>
      <c r="N95" s="1">
        <v>0.0</v>
      </c>
      <c r="O95" s="1">
        <v>0.0</v>
      </c>
      <c r="P95" s="1">
        <v>51.0</v>
      </c>
      <c r="Q95" s="1">
        <v>51.0</v>
      </c>
    </row>
    <row r="96">
      <c r="A96" s="2">
        <f t="shared" si="1"/>
        <v>94</v>
      </c>
      <c r="B96" s="1" t="s">
        <v>1090</v>
      </c>
      <c r="C96" s="1" t="s">
        <v>1091</v>
      </c>
      <c r="D96" s="1" t="s">
        <v>31</v>
      </c>
      <c r="E96" s="15">
        <f t="shared" si="2"/>
        <v>369.75</v>
      </c>
      <c r="F96" s="15">
        <f t="shared" si="3"/>
        <v>6.1625</v>
      </c>
      <c r="G96" s="1">
        <v>60.0</v>
      </c>
      <c r="H96" s="1">
        <v>31.0</v>
      </c>
      <c r="I96" s="1">
        <v>30.0</v>
      </c>
      <c r="J96" s="1">
        <v>61.0</v>
      </c>
      <c r="K96" s="1">
        <v>191.0</v>
      </c>
      <c r="L96" s="1">
        <v>5.0</v>
      </c>
      <c r="M96" s="1">
        <v>10.0</v>
      </c>
      <c r="N96" s="1">
        <v>3.0</v>
      </c>
      <c r="O96" s="1">
        <v>3.0</v>
      </c>
      <c r="P96" s="1">
        <v>55.0</v>
      </c>
      <c r="Q96" s="1">
        <v>38.0</v>
      </c>
    </row>
    <row r="97">
      <c r="A97" s="2">
        <f t="shared" si="1"/>
        <v>95</v>
      </c>
      <c r="B97" s="1" t="s">
        <v>1104</v>
      </c>
      <c r="C97" s="1" t="s">
        <v>1091</v>
      </c>
      <c r="D97" s="1" t="s">
        <v>36</v>
      </c>
      <c r="E97" s="15">
        <f t="shared" si="2"/>
        <v>368.75</v>
      </c>
      <c r="F97" s="15">
        <f t="shared" si="3"/>
        <v>4.788961039</v>
      </c>
      <c r="G97" s="1">
        <v>77.0</v>
      </c>
      <c r="H97" s="1">
        <v>27.0</v>
      </c>
      <c r="I97" s="1">
        <v>22.0</v>
      </c>
      <c r="J97" s="1">
        <v>49.0</v>
      </c>
      <c r="K97" s="1">
        <v>231.0</v>
      </c>
      <c r="L97" s="1">
        <v>8.0</v>
      </c>
      <c r="M97" s="1">
        <v>4.0</v>
      </c>
      <c r="N97" s="1">
        <v>0.0</v>
      </c>
      <c r="O97" s="1">
        <v>0.0</v>
      </c>
      <c r="P97" s="1">
        <v>125.0</v>
      </c>
      <c r="Q97" s="1">
        <v>69.0</v>
      </c>
    </row>
    <row r="98">
      <c r="A98" s="2">
        <f t="shared" si="1"/>
        <v>96</v>
      </c>
      <c r="B98" s="1" t="s">
        <v>1057</v>
      </c>
      <c r="C98" s="1" t="s">
        <v>1030</v>
      </c>
      <c r="D98" s="1" t="s">
        <v>66</v>
      </c>
      <c r="E98" s="15">
        <f t="shared" si="2"/>
        <v>366.75</v>
      </c>
      <c r="F98" s="15">
        <f t="shared" si="3"/>
        <v>6.1125</v>
      </c>
      <c r="G98" s="1">
        <v>60.0</v>
      </c>
      <c r="H98" s="1">
        <v>17.0</v>
      </c>
      <c r="I98" s="1">
        <v>49.0</v>
      </c>
      <c r="J98" s="1">
        <v>66.0</v>
      </c>
      <c r="K98" s="1">
        <v>176.0</v>
      </c>
      <c r="L98" s="1">
        <v>5.0</v>
      </c>
      <c r="M98" s="1">
        <v>25.0</v>
      </c>
      <c r="N98" s="1">
        <v>0.0</v>
      </c>
      <c r="O98" s="1">
        <v>0.0</v>
      </c>
      <c r="P98" s="1">
        <v>65.0</v>
      </c>
      <c r="Q98" s="1">
        <v>78.0</v>
      </c>
    </row>
    <row r="99">
      <c r="A99" s="2">
        <f t="shared" si="1"/>
        <v>97</v>
      </c>
      <c r="B99" s="1" t="s">
        <v>1341</v>
      </c>
      <c r="C99" s="1" t="s">
        <v>1175</v>
      </c>
      <c r="D99" s="1" t="s">
        <v>28</v>
      </c>
      <c r="E99" s="15">
        <f t="shared" si="2"/>
        <v>364.75</v>
      </c>
      <c r="F99" s="15">
        <f t="shared" si="3"/>
        <v>4.617088608</v>
      </c>
      <c r="G99" s="1">
        <v>79.0</v>
      </c>
      <c r="H99" s="1">
        <v>22.0</v>
      </c>
      <c r="I99" s="1">
        <v>41.0</v>
      </c>
      <c r="J99" s="1">
        <v>63.0</v>
      </c>
      <c r="K99" s="1">
        <v>183.0</v>
      </c>
      <c r="L99" s="1">
        <v>6.0</v>
      </c>
      <c r="M99" s="1">
        <v>16.0</v>
      </c>
      <c r="N99" s="1">
        <v>0.0</v>
      </c>
      <c r="O99" s="1">
        <v>0.0</v>
      </c>
      <c r="P99" s="1">
        <v>91.0</v>
      </c>
      <c r="Q99" s="1">
        <v>57.0</v>
      </c>
    </row>
    <row r="100">
      <c r="A100" s="2">
        <f t="shared" si="1"/>
        <v>98</v>
      </c>
      <c r="B100" s="1" t="s">
        <v>1103</v>
      </c>
      <c r="C100" s="1" t="s">
        <v>1097</v>
      </c>
      <c r="D100" s="1" t="s">
        <v>31</v>
      </c>
      <c r="E100" s="15">
        <f t="shared" si="2"/>
        <v>364.5</v>
      </c>
      <c r="F100" s="15">
        <f t="shared" si="3"/>
        <v>4.445121951</v>
      </c>
      <c r="G100" s="1">
        <v>82.0</v>
      </c>
      <c r="H100" s="1">
        <v>26.0</v>
      </c>
      <c r="I100" s="1">
        <v>40.0</v>
      </c>
      <c r="J100" s="1">
        <v>66.0</v>
      </c>
      <c r="K100" s="1">
        <v>162.0</v>
      </c>
      <c r="L100" s="1">
        <v>7.0</v>
      </c>
      <c r="M100" s="1">
        <v>10.0</v>
      </c>
      <c r="N100" s="1">
        <v>3.0</v>
      </c>
      <c r="O100" s="1">
        <v>0.0</v>
      </c>
      <c r="P100" s="1">
        <v>50.0</v>
      </c>
      <c r="Q100" s="1">
        <v>56.0</v>
      </c>
      <c r="T100" s="12"/>
    </row>
    <row r="101">
      <c r="A101" s="2">
        <f t="shared" si="1"/>
        <v>99</v>
      </c>
      <c r="B101" s="1" t="s">
        <v>1349</v>
      </c>
      <c r="C101" s="1" t="s">
        <v>1046</v>
      </c>
      <c r="D101" s="1" t="s">
        <v>28</v>
      </c>
      <c r="E101" s="15">
        <f t="shared" si="2"/>
        <v>364.25</v>
      </c>
      <c r="F101" s="15">
        <f t="shared" si="3"/>
        <v>4.49691358</v>
      </c>
      <c r="G101" s="1">
        <v>81.0</v>
      </c>
      <c r="H101" s="1">
        <v>39.0</v>
      </c>
      <c r="I101" s="1">
        <v>35.0</v>
      </c>
      <c r="J101" s="1">
        <v>74.0</v>
      </c>
      <c r="K101" s="1">
        <v>143.0</v>
      </c>
      <c r="L101" s="1">
        <v>14.0</v>
      </c>
      <c r="M101" s="1">
        <v>5.0</v>
      </c>
      <c r="N101" s="1">
        <v>0.0</v>
      </c>
      <c r="O101" s="1">
        <v>0.0</v>
      </c>
      <c r="P101" s="1">
        <v>13.0</v>
      </c>
      <c r="Q101" s="1">
        <v>18.0</v>
      </c>
    </row>
    <row r="102">
      <c r="A102" s="2">
        <f t="shared" si="1"/>
        <v>100</v>
      </c>
      <c r="B102" s="1" t="s">
        <v>1353</v>
      </c>
      <c r="C102" s="1" t="s">
        <v>1106</v>
      </c>
      <c r="D102" s="1" t="s">
        <v>66</v>
      </c>
      <c r="E102" s="15">
        <f t="shared" si="2"/>
        <v>362.5</v>
      </c>
      <c r="F102" s="15">
        <f t="shared" si="3"/>
        <v>4.420731707</v>
      </c>
      <c r="G102" s="1">
        <v>82.0</v>
      </c>
      <c r="H102" s="1">
        <v>11.0</v>
      </c>
      <c r="I102" s="1">
        <v>39.0</v>
      </c>
      <c r="J102" s="1">
        <v>50.0</v>
      </c>
      <c r="K102" s="1">
        <v>196.0</v>
      </c>
      <c r="L102" s="1">
        <v>2.0</v>
      </c>
      <c r="M102" s="1">
        <v>8.0</v>
      </c>
      <c r="N102" s="1">
        <v>0.0</v>
      </c>
      <c r="O102" s="1">
        <v>0.0</v>
      </c>
      <c r="P102" s="1">
        <v>112.0</v>
      </c>
      <c r="Q102" s="1">
        <v>140.0</v>
      </c>
    </row>
    <row r="103">
      <c r="A103" s="2">
        <f t="shared" si="1"/>
        <v>101</v>
      </c>
      <c r="B103" s="1" t="s">
        <v>1716</v>
      </c>
      <c r="C103" s="1" t="s">
        <v>1078</v>
      </c>
      <c r="D103" s="1" t="s">
        <v>28</v>
      </c>
      <c r="E103" s="15">
        <f t="shared" si="2"/>
        <v>362.25</v>
      </c>
      <c r="F103" s="15">
        <f t="shared" si="3"/>
        <v>4.704545455</v>
      </c>
      <c r="G103" s="1">
        <v>77.0</v>
      </c>
      <c r="H103" s="1">
        <v>26.0</v>
      </c>
      <c r="I103" s="1">
        <v>33.0</v>
      </c>
      <c r="J103" s="1">
        <v>59.0</v>
      </c>
      <c r="K103" s="1">
        <v>228.0</v>
      </c>
      <c r="L103" s="1">
        <v>10.0</v>
      </c>
      <c r="M103" s="1">
        <v>15.0</v>
      </c>
      <c r="N103" s="1">
        <v>1.0</v>
      </c>
      <c r="O103" s="1">
        <v>0.0</v>
      </c>
      <c r="P103" s="1">
        <v>25.0</v>
      </c>
      <c r="Q103" s="1">
        <v>48.0</v>
      </c>
    </row>
    <row r="104">
      <c r="A104" s="2">
        <f t="shared" si="1"/>
        <v>102</v>
      </c>
      <c r="B104" s="1" t="s">
        <v>1089</v>
      </c>
      <c r="C104" s="1" t="s">
        <v>1046</v>
      </c>
      <c r="D104" s="1" t="s">
        <v>66</v>
      </c>
      <c r="E104" s="15">
        <f t="shared" si="2"/>
        <v>360.25</v>
      </c>
      <c r="F104" s="15">
        <f t="shared" si="3"/>
        <v>4.618589744</v>
      </c>
      <c r="G104" s="1">
        <v>78.0</v>
      </c>
      <c r="H104" s="1">
        <v>7.0</v>
      </c>
      <c r="I104" s="1">
        <v>69.0</v>
      </c>
      <c r="J104" s="1">
        <v>76.0</v>
      </c>
      <c r="K104" s="1">
        <v>154.0</v>
      </c>
      <c r="L104" s="1">
        <v>2.0</v>
      </c>
      <c r="M104" s="1">
        <v>32.0</v>
      </c>
      <c r="N104" s="1">
        <v>0.0</v>
      </c>
      <c r="O104" s="1">
        <v>1.0</v>
      </c>
      <c r="P104" s="1">
        <v>29.0</v>
      </c>
      <c r="Q104" s="1">
        <v>71.0</v>
      </c>
    </row>
    <row r="105">
      <c r="A105" s="2">
        <f t="shared" si="1"/>
        <v>103</v>
      </c>
      <c r="B105" s="1" t="s">
        <v>1206</v>
      </c>
      <c r="C105" s="1" t="s">
        <v>1087</v>
      </c>
      <c r="D105" s="1" t="s">
        <v>31</v>
      </c>
      <c r="E105" s="15">
        <f t="shared" si="2"/>
        <v>358.75</v>
      </c>
      <c r="F105" s="15">
        <f t="shared" si="3"/>
        <v>4.375</v>
      </c>
      <c r="G105" s="1">
        <v>82.0</v>
      </c>
      <c r="H105" s="1">
        <v>28.0</v>
      </c>
      <c r="I105" s="1">
        <v>22.0</v>
      </c>
      <c r="J105" s="1">
        <v>50.0</v>
      </c>
      <c r="K105" s="1">
        <v>214.0</v>
      </c>
      <c r="L105" s="1">
        <v>6.0</v>
      </c>
      <c r="M105" s="1">
        <v>8.0</v>
      </c>
      <c r="N105" s="1">
        <v>0.0</v>
      </c>
      <c r="O105" s="1">
        <v>0.0</v>
      </c>
      <c r="P105" s="1">
        <v>125.0</v>
      </c>
      <c r="Q105" s="1">
        <v>57.0</v>
      </c>
    </row>
    <row r="106">
      <c r="A106" s="2">
        <f t="shared" si="1"/>
        <v>104</v>
      </c>
      <c r="B106" s="1" t="s">
        <v>1247</v>
      </c>
      <c r="C106" s="1" t="s">
        <v>1040</v>
      </c>
      <c r="D106" s="1" t="s">
        <v>66</v>
      </c>
      <c r="E106" s="15">
        <f t="shared" si="2"/>
        <v>358</v>
      </c>
      <c r="F106" s="15">
        <f t="shared" si="3"/>
        <v>4.365853659</v>
      </c>
      <c r="G106" s="1">
        <v>82.0</v>
      </c>
      <c r="H106" s="1">
        <v>8.0</v>
      </c>
      <c r="I106" s="1">
        <v>22.0</v>
      </c>
      <c r="J106" s="1">
        <v>30.0</v>
      </c>
      <c r="K106" s="1">
        <v>199.0</v>
      </c>
      <c r="L106" s="1">
        <v>2.0</v>
      </c>
      <c r="M106" s="1">
        <v>3.0</v>
      </c>
      <c r="N106" s="1">
        <v>1.0</v>
      </c>
      <c r="O106" s="1">
        <v>1.0</v>
      </c>
      <c r="P106" s="1">
        <v>218.0</v>
      </c>
      <c r="Q106" s="1">
        <v>196.0</v>
      </c>
    </row>
    <row r="107">
      <c r="A107" s="2">
        <f t="shared" si="1"/>
        <v>105</v>
      </c>
      <c r="B107" s="1" t="s">
        <v>1079</v>
      </c>
      <c r="C107" s="1" t="s">
        <v>1080</v>
      </c>
      <c r="D107" s="1" t="s">
        <v>28</v>
      </c>
      <c r="E107" s="15">
        <f t="shared" si="2"/>
        <v>357.5</v>
      </c>
      <c r="F107" s="15">
        <f t="shared" si="3"/>
        <v>4.703947368</v>
      </c>
      <c r="G107" s="1">
        <v>76.0</v>
      </c>
      <c r="H107" s="1">
        <v>28.0</v>
      </c>
      <c r="I107" s="1">
        <v>29.0</v>
      </c>
      <c r="J107" s="1">
        <v>57.0</v>
      </c>
      <c r="K107" s="1">
        <v>234.0</v>
      </c>
      <c r="L107" s="1">
        <v>9.0</v>
      </c>
      <c r="M107" s="1">
        <v>7.0</v>
      </c>
      <c r="N107" s="1">
        <v>0.0</v>
      </c>
      <c r="O107" s="1">
        <v>0.0</v>
      </c>
      <c r="P107" s="1">
        <v>76.0</v>
      </c>
      <c r="Q107" s="1">
        <v>17.0</v>
      </c>
    </row>
    <row r="108">
      <c r="A108" s="2">
        <f t="shared" si="1"/>
        <v>106</v>
      </c>
      <c r="B108" s="1" t="s">
        <v>1112</v>
      </c>
      <c r="C108" s="1" t="s">
        <v>1038</v>
      </c>
      <c r="D108" s="1" t="s">
        <v>28</v>
      </c>
      <c r="E108" s="15">
        <f t="shared" si="2"/>
        <v>357.25</v>
      </c>
      <c r="F108" s="15">
        <f t="shared" si="3"/>
        <v>4.893835616</v>
      </c>
      <c r="G108" s="1">
        <v>73.0</v>
      </c>
      <c r="H108" s="1">
        <v>21.0</v>
      </c>
      <c r="I108" s="1">
        <v>46.0</v>
      </c>
      <c r="J108" s="1">
        <v>67.0</v>
      </c>
      <c r="K108" s="1">
        <v>183.0</v>
      </c>
      <c r="L108" s="1">
        <v>9.0</v>
      </c>
      <c r="M108" s="1">
        <v>20.0</v>
      </c>
      <c r="N108" s="1">
        <v>0.0</v>
      </c>
      <c r="O108" s="1">
        <v>1.0</v>
      </c>
      <c r="P108" s="1">
        <v>81.0</v>
      </c>
      <c r="Q108" s="1">
        <v>22.0</v>
      </c>
    </row>
    <row r="109">
      <c r="A109" s="2">
        <f t="shared" si="1"/>
        <v>107</v>
      </c>
      <c r="B109" s="1" t="s">
        <v>1309</v>
      </c>
      <c r="C109" s="1" t="s">
        <v>1146</v>
      </c>
      <c r="D109" s="1" t="s">
        <v>66</v>
      </c>
      <c r="E109" s="15">
        <f t="shared" si="2"/>
        <v>356.25</v>
      </c>
      <c r="F109" s="15">
        <f t="shared" si="3"/>
        <v>4.398148148</v>
      </c>
      <c r="G109" s="1">
        <v>81.0</v>
      </c>
      <c r="H109" s="1">
        <v>14.0</v>
      </c>
      <c r="I109" s="1">
        <v>50.0</v>
      </c>
      <c r="J109" s="1">
        <v>64.0</v>
      </c>
      <c r="K109" s="1">
        <v>149.0</v>
      </c>
      <c r="L109" s="1">
        <v>0.0</v>
      </c>
      <c r="M109" s="1">
        <v>15.0</v>
      </c>
      <c r="N109" s="1">
        <v>0.0</v>
      </c>
      <c r="O109" s="1">
        <v>0.0</v>
      </c>
      <c r="P109" s="1">
        <v>115.0</v>
      </c>
      <c r="Q109" s="1">
        <v>80.0</v>
      </c>
    </row>
    <row r="110">
      <c r="A110" s="2">
        <f t="shared" si="1"/>
        <v>108</v>
      </c>
      <c r="B110" s="1" t="s">
        <v>1131</v>
      </c>
      <c r="C110" s="1" t="s">
        <v>1120</v>
      </c>
      <c r="D110" s="1" t="s">
        <v>66</v>
      </c>
      <c r="E110" s="15">
        <f t="shared" si="2"/>
        <v>354.25</v>
      </c>
      <c r="F110" s="15">
        <f t="shared" si="3"/>
        <v>4.320121951</v>
      </c>
      <c r="G110" s="1">
        <v>82.0</v>
      </c>
      <c r="H110" s="1">
        <v>5.0</v>
      </c>
      <c r="I110" s="1">
        <v>37.0</v>
      </c>
      <c r="J110" s="1">
        <v>42.0</v>
      </c>
      <c r="K110" s="1">
        <v>140.0</v>
      </c>
      <c r="L110" s="1">
        <v>1.0</v>
      </c>
      <c r="M110" s="1">
        <v>14.0</v>
      </c>
      <c r="N110" s="1">
        <v>1.0</v>
      </c>
      <c r="O110" s="1">
        <v>1.0</v>
      </c>
      <c r="P110" s="1">
        <v>207.0</v>
      </c>
      <c r="Q110" s="1">
        <v>190.0</v>
      </c>
    </row>
    <row r="111">
      <c r="A111" s="2">
        <f t="shared" si="1"/>
        <v>109</v>
      </c>
      <c r="B111" s="1" t="s">
        <v>1184</v>
      </c>
      <c r="C111" s="1" t="s">
        <v>1106</v>
      </c>
      <c r="D111" s="1" t="s">
        <v>31</v>
      </c>
      <c r="E111" s="15">
        <f t="shared" si="2"/>
        <v>354</v>
      </c>
      <c r="F111" s="15">
        <f t="shared" si="3"/>
        <v>4.317073171</v>
      </c>
      <c r="G111" s="1">
        <v>82.0</v>
      </c>
      <c r="H111" s="1">
        <v>21.0</v>
      </c>
      <c r="I111" s="1">
        <v>44.0</v>
      </c>
      <c r="J111" s="1">
        <v>65.0</v>
      </c>
      <c r="K111" s="1">
        <v>144.0</v>
      </c>
      <c r="L111" s="1">
        <v>6.0</v>
      </c>
      <c r="M111" s="1">
        <v>9.0</v>
      </c>
      <c r="N111" s="1">
        <v>0.0</v>
      </c>
      <c r="O111" s="1">
        <v>0.0</v>
      </c>
      <c r="P111" s="1">
        <v>140.0</v>
      </c>
      <c r="Q111" s="1">
        <v>41.0</v>
      </c>
    </row>
    <row r="112">
      <c r="A112" s="2">
        <f t="shared" si="1"/>
        <v>110</v>
      </c>
      <c r="B112" s="1" t="s">
        <v>1117</v>
      </c>
      <c r="C112" s="1" t="s">
        <v>1034</v>
      </c>
      <c r="D112" s="1" t="s">
        <v>66</v>
      </c>
      <c r="E112" s="15">
        <f t="shared" si="2"/>
        <v>350.75</v>
      </c>
      <c r="F112" s="15">
        <f t="shared" si="3"/>
        <v>4.615131579</v>
      </c>
      <c r="G112" s="1">
        <v>76.0</v>
      </c>
      <c r="H112" s="1">
        <v>9.0</v>
      </c>
      <c r="I112" s="1">
        <v>40.0</v>
      </c>
      <c r="J112" s="1">
        <v>49.0</v>
      </c>
      <c r="K112" s="1">
        <v>185.0</v>
      </c>
      <c r="L112" s="1">
        <v>1.0</v>
      </c>
      <c r="M112" s="1">
        <v>13.0</v>
      </c>
      <c r="N112" s="1">
        <v>1.0</v>
      </c>
      <c r="O112" s="1">
        <v>2.0</v>
      </c>
      <c r="P112" s="1">
        <v>95.0</v>
      </c>
      <c r="Q112" s="1">
        <v>136.0</v>
      </c>
    </row>
    <row r="113">
      <c r="A113" s="2">
        <f t="shared" si="1"/>
        <v>111</v>
      </c>
      <c r="B113" s="1" t="s">
        <v>1244</v>
      </c>
      <c r="C113" s="1" t="s">
        <v>1156</v>
      </c>
      <c r="D113" s="1" t="s">
        <v>28</v>
      </c>
      <c r="E113" s="15">
        <f t="shared" si="2"/>
        <v>348.25</v>
      </c>
      <c r="F113" s="15">
        <f t="shared" si="3"/>
        <v>5.121323529</v>
      </c>
      <c r="G113" s="1">
        <v>68.0</v>
      </c>
      <c r="H113" s="1">
        <v>26.0</v>
      </c>
      <c r="I113" s="1">
        <v>19.0</v>
      </c>
      <c r="J113" s="1">
        <v>45.0</v>
      </c>
      <c r="K113" s="1">
        <v>214.0</v>
      </c>
      <c r="L113" s="1">
        <v>7.0</v>
      </c>
      <c r="M113" s="1">
        <v>4.0</v>
      </c>
      <c r="N113" s="1">
        <v>0.0</v>
      </c>
      <c r="O113" s="1">
        <v>0.0</v>
      </c>
      <c r="P113" s="1">
        <v>129.0</v>
      </c>
      <c r="Q113" s="1">
        <v>70.0</v>
      </c>
    </row>
    <row r="114">
      <c r="A114" s="2">
        <f t="shared" si="1"/>
        <v>112</v>
      </c>
      <c r="B114" s="1" t="s">
        <v>1694</v>
      </c>
      <c r="C114" s="1" t="s">
        <v>1065</v>
      </c>
      <c r="D114" s="1" t="s">
        <v>31</v>
      </c>
      <c r="E114" s="15">
        <f t="shared" si="2"/>
        <v>347.5</v>
      </c>
      <c r="F114" s="15">
        <f t="shared" si="3"/>
        <v>4.290123457</v>
      </c>
      <c r="G114" s="1">
        <v>81.0</v>
      </c>
      <c r="H114" s="1">
        <v>23.0</v>
      </c>
      <c r="I114" s="1">
        <v>42.0</v>
      </c>
      <c r="J114" s="1">
        <v>65.0</v>
      </c>
      <c r="K114" s="1">
        <v>184.0</v>
      </c>
      <c r="L114" s="1">
        <v>4.0</v>
      </c>
      <c r="M114" s="1">
        <v>13.0</v>
      </c>
      <c r="N114" s="1">
        <v>0.0</v>
      </c>
      <c r="O114" s="1">
        <v>0.0</v>
      </c>
      <c r="P114" s="1">
        <v>46.0</v>
      </c>
      <c r="Q114" s="1">
        <v>29.0</v>
      </c>
    </row>
    <row r="115">
      <c r="A115" s="2">
        <f t="shared" si="1"/>
        <v>113</v>
      </c>
      <c r="B115" s="1" t="s">
        <v>1370</v>
      </c>
      <c r="C115" s="1" t="s">
        <v>1052</v>
      </c>
      <c r="D115" s="1" t="s">
        <v>28</v>
      </c>
      <c r="E115" s="15">
        <f t="shared" si="2"/>
        <v>346.75</v>
      </c>
      <c r="F115" s="15">
        <f t="shared" si="3"/>
        <v>4.445512821</v>
      </c>
      <c r="G115" s="1">
        <v>78.0</v>
      </c>
      <c r="H115" s="1">
        <v>27.0</v>
      </c>
      <c r="I115" s="1">
        <v>21.0</v>
      </c>
      <c r="J115" s="1">
        <v>48.0</v>
      </c>
      <c r="K115" s="1">
        <v>197.0</v>
      </c>
      <c r="L115" s="1">
        <v>2.0</v>
      </c>
      <c r="M115" s="1">
        <v>7.0</v>
      </c>
      <c r="N115" s="1">
        <v>0.0</v>
      </c>
      <c r="O115" s="1">
        <v>0.0</v>
      </c>
      <c r="P115" s="1">
        <v>197.0</v>
      </c>
      <c r="Q115" s="1">
        <v>29.0</v>
      </c>
      <c r="T115" s="12"/>
    </row>
    <row r="116">
      <c r="A116" s="2">
        <f t="shared" si="1"/>
        <v>114</v>
      </c>
      <c r="B116" s="1" t="s">
        <v>1215</v>
      </c>
      <c r="C116" s="1" t="s">
        <v>1073</v>
      </c>
      <c r="D116" s="1" t="s">
        <v>36</v>
      </c>
      <c r="E116" s="15">
        <f t="shared" si="2"/>
        <v>345.5</v>
      </c>
      <c r="F116" s="15">
        <f t="shared" si="3"/>
        <v>5.3984375</v>
      </c>
      <c r="G116" s="1">
        <v>64.0</v>
      </c>
      <c r="H116" s="1">
        <v>23.0</v>
      </c>
      <c r="I116" s="1">
        <v>32.0</v>
      </c>
      <c r="J116" s="1">
        <v>55.0</v>
      </c>
      <c r="K116" s="1">
        <v>205.0</v>
      </c>
      <c r="L116" s="1">
        <v>5.0</v>
      </c>
      <c r="M116" s="1">
        <v>11.0</v>
      </c>
      <c r="N116" s="1">
        <v>0.0</v>
      </c>
      <c r="O116" s="1">
        <v>0.0</v>
      </c>
      <c r="P116" s="1">
        <v>140.0</v>
      </c>
      <c r="Q116" s="1">
        <v>17.0</v>
      </c>
    </row>
    <row r="117">
      <c r="A117" s="2">
        <f t="shared" si="1"/>
        <v>115</v>
      </c>
      <c r="B117" s="1" t="s">
        <v>1250</v>
      </c>
      <c r="C117" s="1" t="s">
        <v>1120</v>
      </c>
      <c r="D117" s="1" t="s">
        <v>36</v>
      </c>
      <c r="E117" s="15">
        <f t="shared" si="2"/>
        <v>340.25</v>
      </c>
      <c r="F117" s="15">
        <f t="shared" si="3"/>
        <v>4.149390244</v>
      </c>
      <c r="G117" s="1">
        <v>82.0</v>
      </c>
      <c r="H117" s="1">
        <v>24.0</v>
      </c>
      <c r="I117" s="1">
        <v>32.0</v>
      </c>
      <c r="J117" s="1">
        <v>56.0</v>
      </c>
      <c r="K117" s="1">
        <v>195.0</v>
      </c>
      <c r="L117" s="1">
        <v>6.0</v>
      </c>
      <c r="M117" s="1">
        <v>16.0</v>
      </c>
      <c r="N117" s="1">
        <v>0.0</v>
      </c>
      <c r="O117" s="1">
        <v>0.0</v>
      </c>
      <c r="P117" s="1">
        <v>107.0</v>
      </c>
      <c r="Q117" s="1">
        <v>24.0</v>
      </c>
    </row>
    <row r="118">
      <c r="A118" s="2">
        <f t="shared" si="1"/>
        <v>116</v>
      </c>
      <c r="B118" s="1" t="s">
        <v>1347</v>
      </c>
      <c r="C118" s="1" t="s">
        <v>1034</v>
      </c>
      <c r="D118" s="1" t="s">
        <v>31</v>
      </c>
      <c r="E118" s="15">
        <f t="shared" si="2"/>
        <v>338.75</v>
      </c>
      <c r="F118" s="15">
        <f t="shared" si="3"/>
        <v>4.131097561</v>
      </c>
      <c r="G118" s="1">
        <v>82.0</v>
      </c>
      <c r="H118" s="1">
        <v>27.0</v>
      </c>
      <c r="I118" s="1">
        <v>37.0</v>
      </c>
      <c r="J118" s="1">
        <v>64.0</v>
      </c>
      <c r="K118" s="1">
        <v>143.0</v>
      </c>
      <c r="L118" s="1">
        <v>3.0</v>
      </c>
      <c r="M118" s="1">
        <v>9.0</v>
      </c>
      <c r="N118" s="1">
        <v>1.0</v>
      </c>
      <c r="O118" s="1">
        <v>1.0</v>
      </c>
      <c r="P118" s="1">
        <v>61.0</v>
      </c>
      <c r="Q118" s="1">
        <v>31.0</v>
      </c>
    </row>
    <row r="119">
      <c r="A119" s="2">
        <f t="shared" si="1"/>
        <v>117</v>
      </c>
      <c r="B119" s="1" t="s">
        <v>1343</v>
      </c>
      <c r="C119" s="1" t="s">
        <v>1080</v>
      </c>
      <c r="D119" s="1" t="s">
        <v>36</v>
      </c>
      <c r="E119" s="15">
        <f t="shared" si="2"/>
        <v>338.25</v>
      </c>
      <c r="F119" s="15">
        <f t="shared" si="3"/>
        <v>4.336538462</v>
      </c>
      <c r="G119" s="1">
        <v>78.0</v>
      </c>
      <c r="H119" s="1">
        <v>26.0</v>
      </c>
      <c r="I119" s="1">
        <v>30.0</v>
      </c>
      <c r="J119" s="1">
        <v>56.0</v>
      </c>
      <c r="K119" s="1">
        <v>180.0</v>
      </c>
      <c r="L119" s="1">
        <v>6.0</v>
      </c>
      <c r="M119" s="1">
        <v>4.0</v>
      </c>
      <c r="N119" s="1">
        <v>4.0</v>
      </c>
      <c r="O119" s="1">
        <v>0.0</v>
      </c>
      <c r="P119" s="1">
        <v>69.0</v>
      </c>
      <c r="Q119" s="1">
        <v>32.0</v>
      </c>
    </row>
    <row r="120">
      <c r="A120" s="2">
        <f t="shared" si="1"/>
        <v>118</v>
      </c>
      <c r="B120" s="1" t="s">
        <v>1093</v>
      </c>
      <c r="C120" s="1" t="s">
        <v>1087</v>
      </c>
      <c r="D120" s="1" t="s">
        <v>66</v>
      </c>
      <c r="E120" s="15">
        <f t="shared" si="2"/>
        <v>336.5</v>
      </c>
      <c r="F120" s="15">
        <f t="shared" si="3"/>
        <v>4.314102564</v>
      </c>
      <c r="G120" s="1">
        <v>78.0</v>
      </c>
      <c r="H120" s="1">
        <v>13.0</v>
      </c>
      <c r="I120" s="1">
        <v>36.0</v>
      </c>
      <c r="J120" s="1">
        <v>49.0</v>
      </c>
      <c r="K120" s="1">
        <v>206.0</v>
      </c>
      <c r="L120" s="1">
        <v>5.0</v>
      </c>
      <c r="M120" s="1">
        <v>14.0</v>
      </c>
      <c r="N120" s="1">
        <v>0.0</v>
      </c>
      <c r="O120" s="1">
        <v>0.0</v>
      </c>
      <c r="P120" s="1">
        <v>60.0</v>
      </c>
      <c r="Q120" s="1">
        <v>104.0</v>
      </c>
    </row>
    <row r="121">
      <c r="A121" s="2">
        <f t="shared" si="1"/>
        <v>119</v>
      </c>
      <c r="B121" s="1" t="s">
        <v>1193</v>
      </c>
      <c r="C121" s="1" t="s">
        <v>1030</v>
      </c>
      <c r="D121" s="1" t="s">
        <v>66</v>
      </c>
      <c r="E121" s="15">
        <f t="shared" si="2"/>
        <v>335.25</v>
      </c>
      <c r="F121" s="15">
        <f t="shared" si="3"/>
        <v>4.190625</v>
      </c>
      <c r="G121" s="1">
        <v>80.0</v>
      </c>
      <c r="H121" s="1">
        <v>7.0</v>
      </c>
      <c r="I121" s="1">
        <v>43.0</v>
      </c>
      <c r="J121" s="1">
        <v>50.0</v>
      </c>
      <c r="K121" s="1">
        <v>165.0</v>
      </c>
      <c r="L121" s="1">
        <v>1.0</v>
      </c>
      <c r="M121" s="1">
        <v>6.0</v>
      </c>
      <c r="N121" s="1">
        <v>0.0</v>
      </c>
      <c r="O121" s="1">
        <v>0.0</v>
      </c>
      <c r="P121" s="1">
        <v>93.0</v>
      </c>
      <c r="Q121" s="1">
        <v>138.0</v>
      </c>
    </row>
    <row r="122">
      <c r="A122" s="2">
        <f t="shared" si="1"/>
        <v>120</v>
      </c>
      <c r="B122" s="1" t="s">
        <v>1389</v>
      </c>
      <c r="C122" s="1" t="s">
        <v>1076</v>
      </c>
      <c r="D122" s="1" t="s">
        <v>31</v>
      </c>
      <c r="E122" s="15">
        <f t="shared" si="2"/>
        <v>333.5</v>
      </c>
      <c r="F122" s="15">
        <f t="shared" si="3"/>
        <v>4.067073171</v>
      </c>
      <c r="G122" s="1">
        <v>82.0</v>
      </c>
      <c r="H122" s="1">
        <v>27.0</v>
      </c>
      <c r="I122" s="1">
        <v>29.0</v>
      </c>
      <c r="J122" s="1">
        <v>56.0</v>
      </c>
      <c r="K122" s="1">
        <v>161.0</v>
      </c>
      <c r="L122" s="1">
        <v>2.0</v>
      </c>
      <c r="M122" s="1">
        <v>8.0</v>
      </c>
      <c r="N122" s="1">
        <v>1.0</v>
      </c>
      <c r="O122" s="1">
        <v>1.0</v>
      </c>
      <c r="P122" s="1">
        <v>36.0</v>
      </c>
      <c r="Q122" s="1">
        <v>63.0</v>
      </c>
    </row>
    <row r="123">
      <c r="A123" s="2">
        <f t="shared" si="1"/>
        <v>121</v>
      </c>
      <c r="B123" s="1" t="s">
        <v>1159</v>
      </c>
      <c r="C123" s="1" t="s">
        <v>1082</v>
      </c>
      <c r="D123" s="1" t="s">
        <v>31</v>
      </c>
      <c r="E123" s="15">
        <f t="shared" si="2"/>
        <v>333</v>
      </c>
      <c r="F123" s="15">
        <f t="shared" si="3"/>
        <v>4.111111111</v>
      </c>
      <c r="G123" s="1">
        <v>81.0</v>
      </c>
      <c r="H123" s="1">
        <v>23.0</v>
      </c>
      <c r="I123" s="1">
        <v>42.0</v>
      </c>
      <c r="J123" s="1">
        <v>65.0</v>
      </c>
      <c r="K123" s="1">
        <v>154.0</v>
      </c>
      <c r="L123" s="1">
        <v>3.0</v>
      </c>
      <c r="M123" s="1">
        <v>18.0</v>
      </c>
      <c r="N123" s="1">
        <v>0.0</v>
      </c>
      <c r="O123" s="1">
        <v>0.0</v>
      </c>
      <c r="P123" s="1">
        <v>20.0</v>
      </c>
      <c r="Q123" s="1">
        <v>43.0</v>
      </c>
    </row>
    <row r="124">
      <c r="A124" s="2">
        <f t="shared" si="1"/>
        <v>122</v>
      </c>
      <c r="B124" s="1" t="s">
        <v>1302</v>
      </c>
      <c r="C124" s="1" t="s">
        <v>1080</v>
      </c>
      <c r="D124" s="1" t="s">
        <v>31</v>
      </c>
      <c r="E124" s="15">
        <f t="shared" si="2"/>
        <v>331.5</v>
      </c>
      <c r="F124" s="15">
        <f t="shared" si="3"/>
        <v>4.092592593</v>
      </c>
      <c r="G124" s="1">
        <v>81.0</v>
      </c>
      <c r="H124" s="1">
        <v>16.0</v>
      </c>
      <c r="I124" s="1">
        <v>49.0</v>
      </c>
      <c r="J124" s="1">
        <v>65.0</v>
      </c>
      <c r="K124" s="1">
        <v>120.0</v>
      </c>
      <c r="L124" s="1">
        <v>6.0</v>
      </c>
      <c r="M124" s="1">
        <v>9.0</v>
      </c>
      <c r="N124" s="1">
        <v>1.0</v>
      </c>
      <c r="O124" s="1">
        <v>2.0</v>
      </c>
      <c r="P124" s="1">
        <v>74.0</v>
      </c>
      <c r="Q124" s="1">
        <v>56.0</v>
      </c>
    </row>
    <row r="125">
      <c r="A125" s="2">
        <f t="shared" si="1"/>
        <v>123</v>
      </c>
      <c r="B125" s="1" t="s">
        <v>1305</v>
      </c>
      <c r="C125" s="1" t="s">
        <v>1146</v>
      </c>
      <c r="D125" s="1" t="s">
        <v>36</v>
      </c>
      <c r="E125" s="15">
        <f t="shared" si="2"/>
        <v>331</v>
      </c>
      <c r="F125" s="15">
        <f t="shared" si="3"/>
        <v>4.036585366</v>
      </c>
      <c r="G125" s="1">
        <v>82.0</v>
      </c>
      <c r="H125" s="1">
        <v>20.0</v>
      </c>
      <c r="I125" s="1">
        <v>43.0</v>
      </c>
      <c r="J125" s="1">
        <v>63.0</v>
      </c>
      <c r="K125" s="1">
        <v>177.0</v>
      </c>
      <c r="L125" s="1">
        <v>3.0</v>
      </c>
      <c r="M125" s="1">
        <v>12.0</v>
      </c>
      <c r="N125" s="1">
        <v>0.0</v>
      </c>
      <c r="O125" s="1">
        <v>0.0</v>
      </c>
      <c r="P125" s="1">
        <v>44.0</v>
      </c>
      <c r="Q125" s="1">
        <v>25.0</v>
      </c>
    </row>
    <row r="126">
      <c r="A126" s="2">
        <f t="shared" si="1"/>
        <v>124</v>
      </c>
      <c r="B126" s="1" t="s">
        <v>1064</v>
      </c>
      <c r="C126" s="1" t="s">
        <v>1065</v>
      </c>
      <c r="D126" s="1" t="s">
        <v>28</v>
      </c>
      <c r="E126" s="15">
        <f t="shared" si="2"/>
        <v>330.5</v>
      </c>
      <c r="F126" s="15">
        <f t="shared" si="3"/>
        <v>4.080246914</v>
      </c>
      <c r="G126" s="1">
        <v>81.0</v>
      </c>
      <c r="H126" s="1">
        <v>22.0</v>
      </c>
      <c r="I126" s="1">
        <v>19.0</v>
      </c>
      <c r="J126" s="1">
        <v>41.0</v>
      </c>
      <c r="K126" s="1">
        <v>231.0</v>
      </c>
      <c r="L126" s="1">
        <v>5.0</v>
      </c>
      <c r="M126" s="1">
        <v>4.0</v>
      </c>
      <c r="N126" s="1">
        <v>0.0</v>
      </c>
      <c r="O126" s="1">
        <v>0.0</v>
      </c>
      <c r="P126" s="1">
        <v>86.0</v>
      </c>
      <c r="Q126" s="1">
        <v>75.0</v>
      </c>
    </row>
    <row r="127">
      <c r="A127" s="2">
        <f t="shared" si="1"/>
        <v>124</v>
      </c>
      <c r="B127" s="1" t="s">
        <v>1150</v>
      </c>
      <c r="C127" s="1" t="s">
        <v>1106</v>
      </c>
      <c r="D127" s="1" t="s">
        <v>28</v>
      </c>
      <c r="E127" s="15">
        <f t="shared" si="2"/>
        <v>330.5</v>
      </c>
      <c r="F127" s="15">
        <f t="shared" si="3"/>
        <v>5.246031746</v>
      </c>
      <c r="G127" s="1">
        <v>63.0</v>
      </c>
      <c r="H127" s="1">
        <v>26.0</v>
      </c>
      <c r="I127" s="1">
        <v>41.0</v>
      </c>
      <c r="J127" s="1">
        <v>67.0</v>
      </c>
      <c r="K127" s="1">
        <v>123.0</v>
      </c>
      <c r="L127" s="1">
        <v>8.0</v>
      </c>
      <c r="M127" s="1">
        <v>13.0</v>
      </c>
      <c r="N127" s="1">
        <v>0.0</v>
      </c>
      <c r="O127" s="1">
        <v>2.0</v>
      </c>
      <c r="P127" s="1">
        <v>54.0</v>
      </c>
      <c r="Q127" s="1">
        <v>23.0</v>
      </c>
      <c r="T127" s="12"/>
    </row>
    <row r="128">
      <c r="A128" s="2">
        <f t="shared" si="1"/>
        <v>126</v>
      </c>
      <c r="B128" s="1" t="s">
        <v>1319</v>
      </c>
      <c r="C128" s="1" t="s">
        <v>1040</v>
      </c>
      <c r="D128" s="1" t="s">
        <v>36</v>
      </c>
      <c r="E128" s="15">
        <f t="shared" si="2"/>
        <v>328.75</v>
      </c>
      <c r="F128" s="15">
        <f t="shared" si="3"/>
        <v>4.503424658</v>
      </c>
      <c r="G128" s="1">
        <v>73.0</v>
      </c>
      <c r="H128" s="1">
        <v>21.0</v>
      </c>
      <c r="I128" s="1">
        <v>36.0</v>
      </c>
      <c r="J128" s="1">
        <v>57.0</v>
      </c>
      <c r="K128" s="1">
        <v>227.0</v>
      </c>
      <c r="L128" s="1">
        <v>4.0</v>
      </c>
      <c r="M128" s="1">
        <v>18.0</v>
      </c>
      <c r="N128" s="1">
        <v>0.0</v>
      </c>
      <c r="O128" s="1">
        <v>0.0</v>
      </c>
      <c r="P128" s="1">
        <v>13.0</v>
      </c>
      <c r="Q128" s="1">
        <v>19.0</v>
      </c>
    </row>
    <row r="129">
      <c r="A129" s="2">
        <f t="shared" si="1"/>
        <v>127</v>
      </c>
      <c r="B129" s="1" t="s">
        <v>1211</v>
      </c>
      <c r="C129" s="1" t="s">
        <v>1069</v>
      </c>
      <c r="D129" s="1" t="s">
        <v>66</v>
      </c>
      <c r="E129" s="15">
        <f t="shared" si="2"/>
        <v>327.5</v>
      </c>
      <c r="F129" s="15">
        <f t="shared" si="3"/>
        <v>4.14556962</v>
      </c>
      <c r="G129" s="1">
        <v>79.0</v>
      </c>
      <c r="H129" s="1">
        <v>11.0</v>
      </c>
      <c r="I129" s="1">
        <v>38.0</v>
      </c>
      <c r="J129" s="1">
        <v>49.0</v>
      </c>
      <c r="K129" s="1">
        <v>159.0</v>
      </c>
      <c r="L129" s="1">
        <v>1.0</v>
      </c>
      <c r="M129" s="1">
        <v>20.0</v>
      </c>
      <c r="N129" s="1">
        <v>1.0</v>
      </c>
      <c r="O129" s="1">
        <v>1.0</v>
      </c>
      <c r="P129" s="1">
        <v>50.0</v>
      </c>
      <c r="Q129" s="1">
        <v>136.0</v>
      </c>
    </row>
    <row r="130">
      <c r="A130" s="2">
        <f t="shared" si="1"/>
        <v>128</v>
      </c>
      <c r="B130" s="1" t="s">
        <v>1358</v>
      </c>
      <c r="C130" s="1" t="s">
        <v>1146</v>
      </c>
      <c r="D130" s="1" t="s">
        <v>31</v>
      </c>
      <c r="E130" s="15">
        <f t="shared" si="2"/>
        <v>326.75</v>
      </c>
      <c r="F130" s="15">
        <f t="shared" si="3"/>
        <v>4.084375</v>
      </c>
      <c r="G130" s="1">
        <v>80.0</v>
      </c>
      <c r="H130" s="1">
        <v>24.0</v>
      </c>
      <c r="I130" s="1">
        <v>33.0</v>
      </c>
      <c r="J130" s="1">
        <v>57.0</v>
      </c>
      <c r="K130" s="1">
        <v>148.0</v>
      </c>
      <c r="L130" s="1">
        <v>4.0</v>
      </c>
      <c r="M130" s="1">
        <v>6.0</v>
      </c>
      <c r="N130" s="1">
        <v>0.0</v>
      </c>
      <c r="O130" s="1">
        <v>1.0</v>
      </c>
      <c r="P130" s="1">
        <v>79.0</v>
      </c>
      <c r="Q130" s="1">
        <v>48.0</v>
      </c>
      <c r="T130" s="12"/>
    </row>
    <row r="131">
      <c r="A131" s="2">
        <f t="shared" si="1"/>
        <v>128</v>
      </c>
      <c r="B131" s="1" t="s">
        <v>1686</v>
      </c>
      <c r="C131" s="1" t="s">
        <v>1042</v>
      </c>
      <c r="D131" s="1" t="s">
        <v>66</v>
      </c>
      <c r="E131" s="15">
        <f t="shared" si="2"/>
        <v>326.75</v>
      </c>
      <c r="F131" s="15">
        <f t="shared" si="3"/>
        <v>3.844117647</v>
      </c>
      <c r="G131" s="1">
        <v>85.0</v>
      </c>
      <c r="H131" s="1">
        <v>13.0</v>
      </c>
      <c r="I131" s="1">
        <v>42.0</v>
      </c>
      <c r="J131" s="1">
        <v>55.0</v>
      </c>
      <c r="K131" s="1">
        <v>163.0</v>
      </c>
      <c r="L131" s="1">
        <v>4.0</v>
      </c>
      <c r="M131" s="1">
        <v>27.0</v>
      </c>
      <c r="N131" s="1">
        <v>0.0</v>
      </c>
      <c r="O131" s="1">
        <v>1.0</v>
      </c>
      <c r="P131" s="1">
        <v>55.0</v>
      </c>
      <c r="Q131" s="1">
        <v>90.0</v>
      </c>
    </row>
    <row r="132">
      <c r="A132" s="2">
        <f t="shared" si="1"/>
        <v>128</v>
      </c>
      <c r="B132" s="1" t="s">
        <v>1222</v>
      </c>
      <c r="C132" s="1" t="s">
        <v>1078</v>
      </c>
      <c r="D132" s="1" t="s">
        <v>31</v>
      </c>
      <c r="E132" s="15">
        <f t="shared" si="2"/>
        <v>326.75</v>
      </c>
      <c r="F132" s="15">
        <f t="shared" si="3"/>
        <v>3.984756098</v>
      </c>
      <c r="G132" s="1">
        <v>82.0</v>
      </c>
      <c r="H132" s="1">
        <v>18.0</v>
      </c>
      <c r="I132" s="1">
        <v>36.0</v>
      </c>
      <c r="J132" s="1">
        <v>54.0</v>
      </c>
      <c r="K132" s="1">
        <v>152.0</v>
      </c>
      <c r="L132" s="1">
        <v>3.0</v>
      </c>
      <c r="M132" s="1">
        <v>17.0</v>
      </c>
      <c r="N132" s="1">
        <v>0.0</v>
      </c>
      <c r="O132" s="1">
        <v>2.0</v>
      </c>
      <c r="P132" s="1">
        <v>81.0</v>
      </c>
      <c r="Q132" s="1">
        <v>75.0</v>
      </c>
    </row>
    <row r="133">
      <c r="A133" s="2">
        <f t="shared" si="1"/>
        <v>131</v>
      </c>
      <c r="B133" s="1" t="s">
        <v>1312</v>
      </c>
      <c r="C133" s="1" t="s">
        <v>1146</v>
      </c>
      <c r="D133" s="1" t="s">
        <v>66</v>
      </c>
      <c r="E133" s="15">
        <f t="shared" si="2"/>
        <v>326.5</v>
      </c>
      <c r="F133" s="15">
        <f t="shared" si="3"/>
        <v>3.981707317</v>
      </c>
      <c r="G133" s="1">
        <v>82.0</v>
      </c>
      <c r="H133" s="1">
        <v>8.0</v>
      </c>
      <c r="I133" s="1">
        <v>25.0</v>
      </c>
      <c r="J133" s="1">
        <v>33.0</v>
      </c>
      <c r="K133" s="1">
        <v>143.0</v>
      </c>
      <c r="L133" s="1">
        <v>0.0</v>
      </c>
      <c r="M133" s="1">
        <v>0.0</v>
      </c>
      <c r="N133" s="1">
        <v>1.0</v>
      </c>
      <c r="O133" s="1">
        <v>0.0</v>
      </c>
      <c r="P133" s="1">
        <v>222.0</v>
      </c>
      <c r="Q133" s="1">
        <v>173.0</v>
      </c>
    </row>
    <row r="134">
      <c r="A134" s="2">
        <f t="shared" si="1"/>
        <v>132</v>
      </c>
      <c r="B134" s="1" t="s">
        <v>1239</v>
      </c>
      <c r="C134" s="1" t="s">
        <v>1065</v>
      </c>
      <c r="D134" s="1" t="s">
        <v>31</v>
      </c>
      <c r="E134" s="15">
        <f t="shared" si="2"/>
        <v>326</v>
      </c>
      <c r="F134" s="15">
        <f t="shared" si="3"/>
        <v>4.657142857</v>
      </c>
      <c r="G134" s="1">
        <v>70.0</v>
      </c>
      <c r="H134" s="1">
        <v>23.0</v>
      </c>
      <c r="I134" s="1">
        <v>38.0</v>
      </c>
      <c r="J134" s="1">
        <v>61.0</v>
      </c>
      <c r="K134" s="1">
        <v>188.0</v>
      </c>
      <c r="L134" s="1">
        <v>5.0</v>
      </c>
      <c r="M134" s="1">
        <v>7.0</v>
      </c>
      <c r="N134" s="1">
        <v>0.0</v>
      </c>
      <c r="O134" s="1">
        <v>0.0</v>
      </c>
      <c r="P134" s="1">
        <v>12.0</v>
      </c>
      <c r="Q134" s="1">
        <v>23.0</v>
      </c>
    </row>
    <row r="135">
      <c r="A135" s="2">
        <f t="shared" si="1"/>
        <v>133</v>
      </c>
      <c r="B135" s="1" t="s">
        <v>1170</v>
      </c>
      <c r="C135" s="1" t="s">
        <v>1052</v>
      </c>
      <c r="D135" s="1" t="s">
        <v>36</v>
      </c>
      <c r="E135" s="15">
        <f t="shared" si="2"/>
        <v>325</v>
      </c>
      <c r="F135" s="15">
        <f t="shared" si="3"/>
        <v>4.012345679</v>
      </c>
      <c r="G135" s="1">
        <v>81.0</v>
      </c>
      <c r="H135" s="1">
        <v>20.0</v>
      </c>
      <c r="I135" s="1">
        <v>26.0</v>
      </c>
      <c r="J135" s="1">
        <v>46.0</v>
      </c>
      <c r="K135" s="1">
        <v>211.0</v>
      </c>
      <c r="L135" s="1">
        <v>2.0</v>
      </c>
      <c r="M135" s="1">
        <v>9.0</v>
      </c>
      <c r="N135" s="1">
        <v>0.0</v>
      </c>
      <c r="O135" s="1">
        <v>1.0</v>
      </c>
      <c r="P135" s="1">
        <v>98.0</v>
      </c>
      <c r="Q135" s="1">
        <v>50.0</v>
      </c>
    </row>
    <row r="136">
      <c r="A136" s="2">
        <f t="shared" si="1"/>
        <v>134</v>
      </c>
      <c r="B136" s="1" t="s">
        <v>1186</v>
      </c>
      <c r="C136" s="1" t="s">
        <v>1111</v>
      </c>
      <c r="D136" s="1" t="s">
        <v>28</v>
      </c>
      <c r="E136" s="15">
        <f t="shared" si="2"/>
        <v>324</v>
      </c>
      <c r="F136" s="15">
        <f t="shared" si="3"/>
        <v>4.207792208</v>
      </c>
      <c r="G136" s="1">
        <v>77.0</v>
      </c>
      <c r="H136" s="1">
        <v>24.0</v>
      </c>
      <c r="I136" s="1">
        <v>21.0</v>
      </c>
      <c r="J136" s="1">
        <v>45.0</v>
      </c>
      <c r="K136" s="1">
        <v>151.0</v>
      </c>
      <c r="L136" s="1">
        <v>6.0</v>
      </c>
      <c r="M136" s="1">
        <v>2.0</v>
      </c>
      <c r="N136" s="1">
        <v>0.0</v>
      </c>
      <c r="O136" s="1">
        <v>0.0</v>
      </c>
      <c r="P136" s="1">
        <v>194.0</v>
      </c>
      <c r="Q136" s="1">
        <v>58.0</v>
      </c>
    </row>
    <row r="137">
      <c r="A137" s="2">
        <f t="shared" si="1"/>
        <v>135</v>
      </c>
      <c r="B137" s="1" t="s">
        <v>1176</v>
      </c>
      <c r="C137" s="1" t="s">
        <v>1078</v>
      </c>
      <c r="D137" s="1" t="s">
        <v>66</v>
      </c>
      <c r="E137" s="15">
        <f t="shared" si="2"/>
        <v>322.75</v>
      </c>
      <c r="F137" s="15">
        <f t="shared" si="3"/>
        <v>3.984567901</v>
      </c>
      <c r="G137" s="1">
        <v>81.0</v>
      </c>
      <c r="H137" s="1">
        <v>9.0</v>
      </c>
      <c r="I137" s="1">
        <v>43.0</v>
      </c>
      <c r="J137" s="1">
        <v>52.0</v>
      </c>
      <c r="K137" s="1">
        <v>145.0</v>
      </c>
      <c r="L137" s="1">
        <v>4.0</v>
      </c>
      <c r="M137" s="1">
        <v>23.0</v>
      </c>
      <c r="N137" s="1">
        <v>0.0</v>
      </c>
      <c r="O137" s="1">
        <v>0.0</v>
      </c>
      <c r="P137" s="1">
        <v>115.0</v>
      </c>
      <c r="Q137" s="1">
        <v>104.0</v>
      </c>
    </row>
    <row r="138">
      <c r="A138" s="2">
        <f t="shared" si="1"/>
        <v>136</v>
      </c>
      <c r="B138" s="1" t="s">
        <v>1454</v>
      </c>
      <c r="C138" s="1" t="s">
        <v>1038</v>
      </c>
      <c r="D138" s="1" t="s">
        <v>66</v>
      </c>
      <c r="E138" s="15">
        <f t="shared" si="2"/>
        <v>322.5</v>
      </c>
      <c r="F138" s="15">
        <f t="shared" si="3"/>
        <v>4.03125</v>
      </c>
      <c r="G138" s="1">
        <v>80.0</v>
      </c>
      <c r="H138" s="1">
        <v>10.0</v>
      </c>
      <c r="I138" s="1">
        <v>43.0</v>
      </c>
      <c r="J138" s="1">
        <v>53.0</v>
      </c>
      <c r="K138" s="1">
        <v>158.0</v>
      </c>
      <c r="L138" s="1">
        <v>1.0</v>
      </c>
      <c r="M138" s="1">
        <v>16.0</v>
      </c>
      <c r="N138" s="1">
        <v>0.0</v>
      </c>
      <c r="O138" s="1">
        <v>0.0</v>
      </c>
      <c r="P138" s="1">
        <v>78.0</v>
      </c>
      <c r="Q138" s="1">
        <v>100.0</v>
      </c>
    </row>
    <row r="139">
      <c r="A139" s="2">
        <f t="shared" si="1"/>
        <v>136</v>
      </c>
      <c r="B139" s="1" t="s">
        <v>1213</v>
      </c>
      <c r="C139" s="1" t="s">
        <v>1091</v>
      </c>
      <c r="D139" s="1" t="s">
        <v>31</v>
      </c>
      <c r="E139" s="15">
        <f t="shared" si="2"/>
        <v>322.5</v>
      </c>
      <c r="F139" s="15">
        <f t="shared" si="3"/>
        <v>4.134615385</v>
      </c>
      <c r="G139" s="1">
        <v>78.0</v>
      </c>
      <c r="H139" s="1">
        <v>18.0</v>
      </c>
      <c r="I139" s="1">
        <v>25.0</v>
      </c>
      <c r="J139" s="1">
        <v>43.0</v>
      </c>
      <c r="K139" s="1">
        <v>170.0</v>
      </c>
      <c r="L139" s="1">
        <v>5.0</v>
      </c>
      <c r="M139" s="1">
        <v>4.0</v>
      </c>
      <c r="N139" s="1">
        <v>3.0</v>
      </c>
      <c r="O139" s="1">
        <v>4.0</v>
      </c>
      <c r="P139" s="1">
        <v>156.0</v>
      </c>
      <c r="Q139" s="1">
        <v>57.0</v>
      </c>
    </row>
    <row r="140">
      <c r="A140" s="2">
        <f t="shared" si="1"/>
        <v>138</v>
      </c>
      <c r="B140" s="1" t="s">
        <v>1236</v>
      </c>
      <c r="C140" s="1" t="s">
        <v>1048</v>
      </c>
      <c r="D140" s="1" t="s">
        <v>66</v>
      </c>
      <c r="E140" s="15">
        <f t="shared" si="2"/>
        <v>321.25</v>
      </c>
      <c r="F140" s="15">
        <f t="shared" si="3"/>
        <v>3.917682927</v>
      </c>
      <c r="G140" s="1">
        <v>82.0</v>
      </c>
      <c r="H140" s="1">
        <v>13.0</v>
      </c>
      <c r="I140" s="1">
        <v>28.0</v>
      </c>
      <c r="J140" s="1">
        <v>41.0</v>
      </c>
      <c r="K140" s="1">
        <v>209.0</v>
      </c>
      <c r="L140" s="1">
        <v>1.0</v>
      </c>
      <c r="M140" s="1">
        <v>4.0</v>
      </c>
      <c r="N140" s="1">
        <v>0.0</v>
      </c>
      <c r="O140" s="1">
        <v>2.0</v>
      </c>
      <c r="P140" s="1">
        <v>69.0</v>
      </c>
      <c r="Q140" s="1">
        <v>106.0</v>
      </c>
    </row>
    <row r="141">
      <c r="A141" s="2">
        <f t="shared" si="1"/>
        <v>139</v>
      </c>
      <c r="B141" s="1" t="s">
        <v>1232</v>
      </c>
      <c r="C141" s="1" t="s">
        <v>1038</v>
      </c>
      <c r="D141" s="1" t="s">
        <v>28</v>
      </c>
      <c r="E141" s="15">
        <f t="shared" si="2"/>
        <v>320.25</v>
      </c>
      <c r="F141" s="15">
        <f t="shared" si="3"/>
        <v>5.00390625</v>
      </c>
      <c r="G141" s="1">
        <v>64.0</v>
      </c>
      <c r="H141" s="1">
        <v>27.0</v>
      </c>
      <c r="I141" s="1">
        <v>23.0</v>
      </c>
      <c r="J141" s="1">
        <v>50.0</v>
      </c>
      <c r="K141" s="1">
        <v>191.0</v>
      </c>
      <c r="L141" s="1">
        <v>6.0</v>
      </c>
      <c r="M141" s="1">
        <v>8.0</v>
      </c>
      <c r="N141" s="1">
        <v>0.0</v>
      </c>
      <c r="O141" s="1">
        <v>1.0</v>
      </c>
      <c r="P141" s="1">
        <v>85.0</v>
      </c>
      <c r="Q141" s="1">
        <v>22.0</v>
      </c>
    </row>
    <row r="142">
      <c r="A142" s="2">
        <f t="shared" si="1"/>
        <v>140</v>
      </c>
      <c r="B142" s="1" t="s">
        <v>1149</v>
      </c>
      <c r="C142" s="1" t="s">
        <v>1052</v>
      </c>
      <c r="D142" s="1" t="s">
        <v>66</v>
      </c>
      <c r="E142" s="15">
        <f t="shared" si="2"/>
        <v>318</v>
      </c>
      <c r="F142" s="15">
        <f t="shared" si="3"/>
        <v>4.96875</v>
      </c>
      <c r="G142" s="1">
        <v>64.0</v>
      </c>
      <c r="H142" s="1">
        <v>12.0</v>
      </c>
      <c r="I142" s="1">
        <v>29.0</v>
      </c>
      <c r="J142" s="1">
        <v>41.0</v>
      </c>
      <c r="K142" s="1">
        <v>161.0</v>
      </c>
      <c r="L142" s="1">
        <v>6.0</v>
      </c>
      <c r="M142" s="1">
        <v>15.0</v>
      </c>
      <c r="N142" s="1">
        <v>1.0</v>
      </c>
      <c r="O142" s="1">
        <v>0.0</v>
      </c>
      <c r="P142" s="1">
        <v>162.0</v>
      </c>
      <c r="Q142" s="1">
        <v>108.0</v>
      </c>
    </row>
    <row r="143">
      <c r="A143" s="2">
        <f t="shared" si="1"/>
        <v>141</v>
      </c>
      <c r="B143" s="1" t="s">
        <v>1436</v>
      </c>
      <c r="C143" s="1" t="s">
        <v>1091</v>
      </c>
      <c r="D143" s="1" t="s">
        <v>31</v>
      </c>
      <c r="E143" s="15">
        <f t="shared" si="2"/>
        <v>317.5</v>
      </c>
      <c r="F143" s="15">
        <f t="shared" si="3"/>
        <v>3.919753086</v>
      </c>
      <c r="G143" s="1">
        <v>81.0</v>
      </c>
      <c r="H143" s="1">
        <v>18.0</v>
      </c>
      <c r="I143" s="1">
        <v>36.0</v>
      </c>
      <c r="J143" s="1">
        <v>54.0</v>
      </c>
      <c r="K143" s="1">
        <v>209.0</v>
      </c>
      <c r="L143" s="1">
        <v>6.0</v>
      </c>
      <c r="M143" s="1">
        <v>10.0</v>
      </c>
      <c r="N143" s="1">
        <v>0.0</v>
      </c>
      <c r="O143" s="1">
        <v>0.0</v>
      </c>
      <c r="P143" s="1">
        <v>52.0</v>
      </c>
      <c r="Q143" s="1">
        <v>22.0</v>
      </c>
    </row>
    <row r="144">
      <c r="A144" s="2">
        <f t="shared" si="1"/>
        <v>142</v>
      </c>
      <c r="B144" s="1" t="s">
        <v>1225</v>
      </c>
      <c r="C144" s="1" t="s">
        <v>1085</v>
      </c>
      <c r="D144" s="1" t="s">
        <v>31</v>
      </c>
      <c r="E144" s="15">
        <f t="shared" si="2"/>
        <v>312.5</v>
      </c>
      <c r="F144" s="15">
        <f t="shared" si="3"/>
        <v>4.111842105</v>
      </c>
      <c r="G144" s="1">
        <v>76.0</v>
      </c>
      <c r="H144" s="1">
        <v>21.0</v>
      </c>
      <c r="I144" s="1">
        <v>29.0</v>
      </c>
      <c r="J144" s="1">
        <v>50.0</v>
      </c>
      <c r="K144" s="1">
        <v>189.0</v>
      </c>
      <c r="L144" s="1">
        <v>7.0</v>
      </c>
      <c r="M144" s="1">
        <v>4.0</v>
      </c>
      <c r="N144" s="1">
        <v>1.0</v>
      </c>
      <c r="O144" s="1">
        <v>1.0</v>
      </c>
      <c r="P144" s="1">
        <v>84.0</v>
      </c>
      <c r="Q144" s="1">
        <v>23.0</v>
      </c>
    </row>
    <row r="145">
      <c r="A145" s="2">
        <f t="shared" si="1"/>
        <v>143</v>
      </c>
      <c r="B145" s="1" t="s">
        <v>1218</v>
      </c>
      <c r="C145" s="1" t="s">
        <v>1036</v>
      </c>
      <c r="D145" s="1" t="s">
        <v>5</v>
      </c>
      <c r="E145" s="15">
        <f t="shared" si="2"/>
        <v>311.4</v>
      </c>
      <c r="F145" s="15">
        <f t="shared" si="3"/>
        <v>6.228</v>
      </c>
      <c r="G145" s="1">
        <v>50.0</v>
      </c>
      <c r="M145" s="12"/>
      <c r="Q145" s="12"/>
      <c r="R145" s="1">
        <v>29.0</v>
      </c>
      <c r="S145" s="1">
        <v>133.0</v>
      </c>
      <c r="T145" s="12">
        <v>1403.0</v>
      </c>
      <c r="U145" s="1">
        <v>1.0</v>
      </c>
    </row>
    <row r="146">
      <c r="A146" s="2">
        <f t="shared" si="1"/>
        <v>144</v>
      </c>
      <c r="B146" s="1" t="s">
        <v>1107</v>
      </c>
      <c r="C146" s="1" t="s">
        <v>1046</v>
      </c>
      <c r="D146" s="1" t="s">
        <v>36</v>
      </c>
      <c r="E146" s="15">
        <f t="shared" si="2"/>
        <v>309.25</v>
      </c>
      <c r="F146" s="15">
        <f t="shared" si="3"/>
        <v>4.179054054</v>
      </c>
      <c r="G146" s="1">
        <v>74.0</v>
      </c>
      <c r="H146" s="1">
        <v>18.0</v>
      </c>
      <c r="I146" s="1">
        <v>37.0</v>
      </c>
      <c r="J146" s="1">
        <v>55.0</v>
      </c>
      <c r="K146" s="1">
        <v>178.0</v>
      </c>
      <c r="L146" s="1">
        <v>6.0</v>
      </c>
      <c r="M146" s="1">
        <v>10.0</v>
      </c>
      <c r="N146" s="1">
        <v>0.0</v>
      </c>
      <c r="O146" s="1">
        <v>0.0</v>
      </c>
      <c r="P146" s="1">
        <v>49.0</v>
      </c>
      <c r="Q146" s="1">
        <v>32.0</v>
      </c>
    </row>
    <row r="147">
      <c r="A147" s="2">
        <f t="shared" si="1"/>
        <v>145</v>
      </c>
      <c r="B147" s="1" t="s">
        <v>1268</v>
      </c>
      <c r="C147" s="1" t="s">
        <v>1172</v>
      </c>
      <c r="D147" s="1" t="s">
        <v>66</v>
      </c>
      <c r="E147" s="15">
        <f t="shared" si="2"/>
        <v>309</v>
      </c>
      <c r="F147" s="15">
        <f t="shared" si="3"/>
        <v>4.291666667</v>
      </c>
      <c r="G147" s="1">
        <v>72.0</v>
      </c>
      <c r="H147" s="1">
        <v>12.0</v>
      </c>
      <c r="I147" s="1">
        <v>25.0</v>
      </c>
      <c r="J147" s="1">
        <v>37.0</v>
      </c>
      <c r="K147" s="1">
        <v>178.0</v>
      </c>
      <c r="L147" s="1">
        <v>2.0</v>
      </c>
      <c r="M147" s="1">
        <v>10.0</v>
      </c>
      <c r="N147" s="1">
        <v>0.0</v>
      </c>
      <c r="O147" s="1">
        <v>1.0</v>
      </c>
      <c r="P147" s="1">
        <v>106.0</v>
      </c>
      <c r="Q147" s="1">
        <v>125.0</v>
      </c>
    </row>
    <row r="148">
      <c r="A148" s="2">
        <f t="shared" si="1"/>
        <v>146</v>
      </c>
      <c r="B148" s="1" t="s">
        <v>1278</v>
      </c>
      <c r="C148" s="1" t="s">
        <v>1030</v>
      </c>
      <c r="D148" s="1" t="s">
        <v>31</v>
      </c>
      <c r="E148" s="15">
        <f t="shared" si="2"/>
        <v>308.75</v>
      </c>
      <c r="F148" s="15">
        <f t="shared" si="3"/>
        <v>3.765243902</v>
      </c>
      <c r="G148" s="1">
        <v>82.0</v>
      </c>
      <c r="H148" s="1">
        <v>17.0</v>
      </c>
      <c r="I148" s="1">
        <v>35.0</v>
      </c>
      <c r="J148" s="1">
        <v>52.0</v>
      </c>
      <c r="K148" s="1">
        <v>154.0</v>
      </c>
      <c r="L148" s="1">
        <v>5.0</v>
      </c>
      <c r="M148" s="1">
        <v>9.0</v>
      </c>
      <c r="N148" s="1">
        <v>0.0</v>
      </c>
      <c r="O148" s="1">
        <v>0.0</v>
      </c>
      <c r="P148" s="1">
        <v>37.0</v>
      </c>
      <c r="Q148" s="1">
        <v>82.0</v>
      </c>
    </row>
    <row r="149">
      <c r="A149" s="2">
        <f t="shared" si="1"/>
        <v>147</v>
      </c>
      <c r="B149" s="1" t="s">
        <v>1165</v>
      </c>
      <c r="C149" s="1" t="s">
        <v>1080</v>
      </c>
      <c r="D149" s="1" t="s">
        <v>31</v>
      </c>
      <c r="E149" s="15">
        <f t="shared" si="2"/>
        <v>308</v>
      </c>
      <c r="F149" s="15">
        <f t="shared" si="3"/>
        <v>3.756097561</v>
      </c>
      <c r="G149" s="1">
        <v>82.0</v>
      </c>
      <c r="H149" s="1">
        <v>14.0</v>
      </c>
      <c r="I149" s="1">
        <v>39.0</v>
      </c>
      <c r="J149" s="1">
        <v>53.0</v>
      </c>
      <c r="K149" s="1">
        <v>161.0</v>
      </c>
      <c r="L149" s="1">
        <v>2.0</v>
      </c>
      <c r="M149" s="1">
        <v>7.0</v>
      </c>
      <c r="N149" s="1">
        <v>2.0</v>
      </c>
      <c r="O149" s="1">
        <v>3.0</v>
      </c>
      <c r="P149" s="1">
        <v>50.0</v>
      </c>
      <c r="Q149" s="1">
        <v>50.0</v>
      </c>
    </row>
    <row r="150">
      <c r="A150" s="2">
        <f t="shared" si="1"/>
        <v>148</v>
      </c>
      <c r="B150" s="1" t="s">
        <v>1169</v>
      </c>
      <c r="C150" s="1" t="s">
        <v>1042</v>
      </c>
      <c r="D150" s="1" t="s">
        <v>31</v>
      </c>
      <c r="E150" s="15">
        <f t="shared" si="2"/>
        <v>307.75</v>
      </c>
      <c r="F150" s="15">
        <f t="shared" si="3"/>
        <v>4.334507042</v>
      </c>
      <c r="G150" s="1">
        <v>71.0</v>
      </c>
      <c r="H150" s="1">
        <v>22.0</v>
      </c>
      <c r="I150" s="1">
        <v>34.0</v>
      </c>
      <c r="J150" s="1">
        <v>56.0</v>
      </c>
      <c r="K150" s="1">
        <v>168.0</v>
      </c>
      <c r="L150" s="1">
        <v>5.0</v>
      </c>
      <c r="M150" s="1">
        <v>8.0</v>
      </c>
      <c r="N150" s="1">
        <v>0.0</v>
      </c>
      <c r="O150" s="1">
        <v>0.0</v>
      </c>
      <c r="P150" s="1">
        <v>27.0</v>
      </c>
      <c r="Q150" s="1">
        <v>32.0</v>
      </c>
    </row>
    <row r="151">
      <c r="A151" s="2">
        <f t="shared" si="1"/>
        <v>149</v>
      </c>
      <c r="B151" s="1" t="s">
        <v>1285</v>
      </c>
      <c r="C151" s="1" t="s">
        <v>1116</v>
      </c>
      <c r="D151" s="1" t="s">
        <v>36</v>
      </c>
      <c r="E151" s="15">
        <f t="shared" si="2"/>
        <v>307.25</v>
      </c>
      <c r="F151" s="15">
        <f t="shared" si="3"/>
        <v>3.939102564</v>
      </c>
      <c r="G151" s="1">
        <v>78.0</v>
      </c>
      <c r="H151" s="1">
        <v>24.0</v>
      </c>
      <c r="I151" s="1">
        <v>17.0</v>
      </c>
      <c r="J151" s="1">
        <v>41.0</v>
      </c>
      <c r="K151" s="1">
        <v>181.0</v>
      </c>
      <c r="L151" s="1">
        <v>4.0</v>
      </c>
      <c r="M151" s="1">
        <v>3.0</v>
      </c>
      <c r="N151" s="1">
        <v>0.0</v>
      </c>
      <c r="O151" s="1">
        <v>0.0</v>
      </c>
      <c r="P151" s="1">
        <v>165.0</v>
      </c>
      <c r="Q151" s="1">
        <v>33.0</v>
      </c>
    </row>
    <row r="152">
      <c r="A152" s="2">
        <f t="shared" si="1"/>
        <v>150</v>
      </c>
      <c r="B152" s="1" t="s">
        <v>1444</v>
      </c>
      <c r="C152" s="1" t="s">
        <v>1030</v>
      </c>
      <c r="D152" s="1" t="s">
        <v>28</v>
      </c>
      <c r="E152" s="15">
        <f t="shared" si="2"/>
        <v>306.25</v>
      </c>
      <c r="F152" s="15">
        <f t="shared" si="3"/>
        <v>4.78515625</v>
      </c>
      <c r="G152" s="1">
        <v>64.0</v>
      </c>
      <c r="H152" s="1">
        <v>21.0</v>
      </c>
      <c r="I152" s="1">
        <v>30.0</v>
      </c>
      <c r="J152" s="1">
        <v>51.0</v>
      </c>
      <c r="K152" s="1">
        <v>150.0</v>
      </c>
      <c r="L152" s="1">
        <v>8.0</v>
      </c>
      <c r="M152" s="1">
        <v>12.0</v>
      </c>
      <c r="N152" s="1">
        <v>1.0</v>
      </c>
      <c r="O152" s="1">
        <v>0.0</v>
      </c>
      <c r="P152" s="1">
        <v>93.0</v>
      </c>
      <c r="Q152" s="1">
        <v>43.0</v>
      </c>
    </row>
    <row r="153">
      <c r="A153" s="2">
        <f t="shared" si="1"/>
        <v>151</v>
      </c>
      <c r="B153" s="1" t="s">
        <v>1610</v>
      </c>
      <c r="C153" s="1" t="s">
        <v>1082</v>
      </c>
      <c r="D153" s="1" t="s">
        <v>5</v>
      </c>
      <c r="E153" s="15">
        <f t="shared" si="2"/>
        <v>306</v>
      </c>
      <c r="F153" s="15">
        <f t="shared" si="3"/>
        <v>5.368421053</v>
      </c>
      <c r="G153" s="1">
        <v>57.0</v>
      </c>
      <c r="M153" s="12"/>
      <c r="Q153" s="12"/>
      <c r="R153" s="1">
        <v>22.0</v>
      </c>
      <c r="S153" s="1">
        <v>154.0</v>
      </c>
      <c r="T153" s="12">
        <v>1520.0</v>
      </c>
      <c r="U153" s="1">
        <v>5.0</v>
      </c>
    </row>
    <row r="154">
      <c r="A154" s="2">
        <f t="shared" si="1"/>
        <v>152</v>
      </c>
      <c r="B154" s="1" t="s">
        <v>1160</v>
      </c>
      <c r="C154" s="1" t="s">
        <v>1038</v>
      </c>
      <c r="D154" s="1" t="s">
        <v>66</v>
      </c>
      <c r="E154" s="15">
        <f t="shared" si="2"/>
        <v>305.5</v>
      </c>
      <c r="F154" s="15">
        <f t="shared" si="3"/>
        <v>4.559701493</v>
      </c>
      <c r="G154" s="1">
        <v>67.0</v>
      </c>
      <c r="H154" s="1">
        <v>7.0</v>
      </c>
      <c r="I154" s="1">
        <v>45.0</v>
      </c>
      <c r="J154" s="1">
        <v>52.0</v>
      </c>
      <c r="K154" s="1">
        <v>105.0</v>
      </c>
      <c r="L154" s="1">
        <v>2.0</v>
      </c>
      <c r="M154" s="1">
        <v>17.0</v>
      </c>
      <c r="N154" s="1">
        <v>0.0</v>
      </c>
      <c r="O154" s="1">
        <v>0.0</v>
      </c>
      <c r="P154" s="1">
        <v>84.0</v>
      </c>
      <c r="Q154" s="1">
        <v>131.0</v>
      </c>
    </row>
    <row r="155">
      <c r="A155" s="2">
        <f t="shared" si="1"/>
        <v>153</v>
      </c>
      <c r="B155" s="1" t="s">
        <v>1328</v>
      </c>
      <c r="C155" s="1" t="s">
        <v>1085</v>
      </c>
      <c r="D155" s="1" t="s">
        <v>31</v>
      </c>
      <c r="E155" s="15">
        <f t="shared" si="2"/>
        <v>305</v>
      </c>
      <c r="F155" s="15">
        <f t="shared" si="3"/>
        <v>3.8125</v>
      </c>
      <c r="G155" s="1">
        <v>80.0</v>
      </c>
      <c r="H155" s="1">
        <v>20.0</v>
      </c>
      <c r="I155" s="1">
        <v>36.0</v>
      </c>
      <c r="J155" s="1">
        <v>56.0</v>
      </c>
      <c r="K155" s="1">
        <v>179.0</v>
      </c>
      <c r="L155" s="1">
        <v>8.0</v>
      </c>
      <c r="M155" s="1">
        <v>11.0</v>
      </c>
      <c r="N155" s="1">
        <v>0.0</v>
      </c>
      <c r="O155" s="1">
        <v>0.0</v>
      </c>
      <c r="P155" s="1">
        <v>22.0</v>
      </c>
      <c r="Q155" s="1">
        <v>24.0</v>
      </c>
    </row>
    <row r="156">
      <c r="A156" s="2">
        <f t="shared" si="1"/>
        <v>154</v>
      </c>
      <c r="B156" s="1" t="s">
        <v>1536</v>
      </c>
      <c r="C156" s="1" t="s">
        <v>1048</v>
      </c>
      <c r="D156" s="1" t="s">
        <v>66</v>
      </c>
      <c r="E156" s="15">
        <f t="shared" si="2"/>
        <v>304.25</v>
      </c>
      <c r="F156" s="15">
        <f t="shared" si="3"/>
        <v>4.285211268</v>
      </c>
      <c r="G156" s="1">
        <v>71.0</v>
      </c>
      <c r="H156" s="1">
        <v>14.0</v>
      </c>
      <c r="I156" s="1">
        <v>24.0</v>
      </c>
      <c r="J156" s="1">
        <v>38.0</v>
      </c>
      <c r="K156" s="1">
        <v>216.0</v>
      </c>
      <c r="L156" s="1">
        <v>8.0</v>
      </c>
      <c r="M156" s="1">
        <v>11.0</v>
      </c>
      <c r="N156" s="1">
        <v>1.0</v>
      </c>
      <c r="O156" s="1">
        <v>0.0</v>
      </c>
      <c r="P156" s="1">
        <v>77.0</v>
      </c>
      <c r="Q156" s="1">
        <v>80.0</v>
      </c>
    </row>
    <row r="157">
      <c r="A157" s="2">
        <f t="shared" si="1"/>
        <v>155</v>
      </c>
      <c r="B157" s="1" t="s">
        <v>1398</v>
      </c>
      <c r="C157" s="1" t="s">
        <v>1044</v>
      </c>
      <c r="D157" s="1" t="s">
        <v>66</v>
      </c>
      <c r="E157" s="15">
        <f t="shared" si="2"/>
        <v>303.25</v>
      </c>
      <c r="F157" s="15">
        <f t="shared" si="3"/>
        <v>4.459558824</v>
      </c>
      <c r="G157" s="1">
        <v>68.0</v>
      </c>
      <c r="H157" s="1">
        <v>11.0</v>
      </c>
      <c r="I157" s="1">
        <v>30.0</v>
      </c>
      <c r="J157" s="1">
        <v>41.0</v>
      </c>
      <c r="K157" s="1">
        <v>165.0</v>
      </c>
      <c r="L157" s="1">
        <v>5.0</v>
      </c>
      <c r="M157" s="1">
        <v>15.0</v>
      </c>
      <c r="N157" s="1">
        <v>0.0</v>
      </c>
      <c r="O157" s="1">
        <v>0.0</v>
      </c>
      <c r="P157" s="1">
        <v>79.0</v>
      </c>
      <c r="Q157" s="1">
        <v>123.0</v>
      </c>
      <c r="T157" s="12"/>
    </row>
    <row r="158">
      <c r="A158" s="2">
        <f t="shared" si="1"/>
        <v>156</v>
      </c>
      <c r="B158" s="1" t="s">
        <v>1791</v>
      </c>
      <c r="C158" s="1" t="s">
        <v>1156</v>
      </c>
      <c r="D158" s="1" t="s">
        <v>36</v>
      </c>
      <c r="E158" s="15">
        <f t="shared" si="2"/>
        <v>301.25</v>
      </c>
      <c r="F158" s="15">
        <f t="shared" si="3"/>
        <v>5.477272727</v>
      </c>
      <c r="G158" s="1">
        <v>55.0</v>
      </c>
      <c r="H158" s="1">
        <v>22.0</v>
      </c>
      <c r="I158" s="1">
        <v>30.0</v>
      </c>
      <c r="J158" s="1">
        <v>52.0</v>
      </c>
      <c r="K158" s="1">
        <v>184.0</v>
      </c>
      <c r="L158" s="1">
        <v>8.0</v>
      </c>
      <c r="M158" s="1">
        <v>8.0</v>
      </c>
      <c r="N158" s="1">
        <v>0.0</v>
      </c>
      <c r="O158" s="1">
        <v>0.0</v>
      </c>
      <c r="P158" s="1">
        <v>27.0</v>
      </c>
      <c r="Q158" s="1">
        <v>27.0</v>
      </c>
    </row>
    <row r="159">
      <c r="A159" s="2">
        <f t="shared" si="1"/>
        <v>157</v>
      </c>
      <c r="B159" s="1" t="s">
        <v>1831</v>
      </c>
      <c r="C159" s="1" t="s">
        <v>1054</v>
      </c>
      <c r="D159" s="1" t="s">
        <v>66</v>
      </c>
      <c r="E159" s="15">
        <f t="shared" si="2"/>
        <v>301</v>
      </c>
      <c r="F159" s="15">
        <f t="shared" si="3"/>
        <v>3.810126582</v>
      </c>
      <c r="G159" s="1">
        <v>79.0</v>
      </c>
      <c r="H159" s="1">
        <v>11.0</v>
      </c>
      <c r="I159" s="1">
        <v>23.0</v>
      </c>
      <c r="J159" s="1">
        <v>34.0</v>
      </c>
      <c r="K159" s="1">
        <v>149.0</v>
      </c>
      <c r="L159" s="1">
        <v>1.0</v>
      </c>
      <c r="M159" s="1">
        <v>3.0</v>
      </c>
      <c r="N159" s="1">
        <v>0.0</v>
      </c>
      <c r="O159" s="1">
        <v>1.0</v>
      </c>
      <c r="P159" s="1">
        <v>66.0</v>
      </c>
      <c r="Q159" s="1">
        <v>179.0</v>
      </c>
    </row>
    <row r="160">
      <c r="A160" s="2">
        <f t="shared" si="1"/>
        <v>158</v>
      </c>
      <c r="B160" s="1" t="s">
        <v>1199</v>
      </c>
      <c r="C160" s="1" t="s">
        <v>1040</v>
      </c>
      <c r="D160" s="1" t="s">
        <v>36</v>
      </c>
      <c r="E160" s="15">
        <f t="shared" si="2"/>
        <v>300.25</v>
      </c>
      <c r="F160" s="15">
        <f t="shared" si="3"/>
        <v>4.351449275</v>
      </c>
      <c r="G160" s="1">
        <v>69.0</v>
      </c>
      <c r="H160" s="1">
        <v>18.0</v>
      </c>
      <c r="I160" s="1">
        <v>32.0</v>
      </c>
      <c r="J160" s="1">
        <v>50.0</v>
      </c>
      <c r="K160" s="1">
        <v>169.0</v>
      </c>
      <c r="L160" s="1">
        <v>3.0</v>
      </c>
      <c r="M160" s="1">
        <v>11.0</v>
      </c>
      <c r="N160" s="1">
        <v>1.0</v>
      </c>
      <c r="O160" s="1">
        <v>0.0</v>
      </c>
      <c r="P160" s="1">
        <v>75.0</v>
      </c>
      <c r="Q160" s="1">
        <v>36.0</v>
      </c>
    </row>
    <row r="161">
      <c r="A161" s="2">
        <f t="shared" si="1"/>
        <v>159</v>
      </c>
      <c r="B161" s="1" t="s">
        <v>1185</v>
      </c>
      <c r="C161" s="1" t="s">
        <v>1146</v>
      </c>
      <c r="D161" s="1" t="s">
        <v>36</v>
      </c>
      <c r="E161" s="15">
        <f t="shared" si="2"/>
        <v>298.75</v>
      </c>
      <c r="F161" s="15">
        <f t="shared" si="3"/>
        <v>3.688271605</v>
      </c>
      <c r="G161" s="1">
        <v>81.0</v>
      </c>
      <c r="H161" s="1">
        <v>20.0</v>
      </c>
      <c r="I161" s="1">
        <v>25.0</v>
      </c>
      <c r="J161" s="1">
        <v>45.0</v>
      </c>
      <c r="K161" s="1">
        <v>198.0</v>
      </c>
      <c r="L161" s="1">
        <v>5.0</v>
      </c>
      <c r="M161" s="1">
        <v>5.0</v>
      </c>
      <c r="N161" s="1">
        <v>0.0</v>
      </c>
      <c r="O161" s="1">
        <v>0.0</v>
      </c>
      <c r="P161" s="1">
        <v>63.0</v>
      </c>
      <c r="Q161" s="1">
        <v>38.0</v>
      </c>
    </row>
    <row r="162">
      <c r="A162" s="2">
        <f t="shared" si="1"/>
        <v>159</v>
      </c>
      <c r="B162" s="1" t="s">
        <v>1230</v>
      </c>
      <c r="C162" s="1" t="s">
        <v>1032</v>
      </c>
      <c r="D162" s="1" t="s">
        <v>28</v>
      </c>
      <c r="E162" s="15">
        <f t="shared" si="2"/>
        <v>298.75</v>
      </c>
      <c r="F162" s="15">
        <f t="shared" si="3"/>
        <v>3.643292683</v>
      </c>
      <c r="G162" s="1">
        <v>82.0</v>
      </c>
      <c r="H162" s="1">
        <v>23.0</v>
      </c>
      <c r="I162" s="1">
        <v>26.0</v>
      </c>
      <c r="J162" s="1">
        <v>49.0</v>
      </c>
      <c r="K162" s="1">
        <v>174.0</v>
      </c>
      <c r="L162" s="1">
        <v>7.0</v>
      </c>
      <c r="M162" s="1">
        <v>3.0</v>
      </c>
      <c r="N162" s="1">
        <v>0.0</v>
      </c>
      <c r="O162" s="1">
        <v>0.0</v>
      </c>
      <c r="P162" s="1">
        <v>85.0</v>
      </c>
      <c r="Q162" s="1">
        <v>18.0</v>
      </c>
    </row>
    <row r="163">
      <c r="A163" s="2">
        <f t="shared" si="1"/>
        <v>161</v>
      </c>
      <c r="B163" s="1" t="s">
        <v>1195</v>
      </c>
      <c r="C163" s="1" t="s">
        <v>1069</v>
      </c>
      <c r="D163" s="1" t="s">
        <v>66</v>
      </c>
      <c r="E163" s="15">
        <f t="shared" si="2"/>
        <v>298</v>
      </c>
      <c r="F163" s="15">
        <f t="shared" si="3"/>
        <v>3.679012346</v>
      </c>
      <c r="G163" s="1">
        <v>81.0</v>
      </c>
      <c r="H163" s="1">
        <v>7.0</v>
      </c>
      <c r="I163" s="1">
        <v>31.0</v>
      </c>
      <c r="J163" s="1">
        <v>38.0</v>
      </c>
      <c r="K163" s="1">
        <v>176.0</v>
      </c>
      <c r="L163" s="1">
        <v>1.0</v>
      </c>
      <c r="M163" s="1">
        <v>7.0</v>
      </c>
      <c r="N163" s="1">
        <v>0.0</v>
      </c>
      <c r="O163" s="1">
        <v>1.0</v>
      </c>
      <c r="P163" s="1">
        <v>76.0</v>
      </c>
      <c r="Q163" s="1">
        <v>129.0</v>
      </c>
    </row>
    <row r="164">
      <c r="A164" s="2">
        <f t="shared" si="1"/>
        <v>162</v>
      </c>
      <c r="B164" s="1" t="s">
        <v>1189</v>
      </c>
      <c r="C164" s="1" t="s">
        <v>1038</v>
      </c>
      <c r="D164" s="1" t="s">
        <v>31</v>
      </c>
      <c r="E164" s="15">
        <f t="shared" si="2"/>
        <v>297.25</v>
      </c>
      <c r="F164" s="15">
        <f t="shared" si="3"/>
        <v>3.625</v>
      </c>
      <c r="G164" s="1">
        <v>82.0</v>
      </c>
      <c r="H164" s="1">
        <v>21.0</v>
      </c>
      <c r="I164" s="1">
        <v>36.0</v>
      </c>
      <c r="J164" s="1">
        <v>57.0</v>
      </c>
      <c r="K164" s="1">
        <v>131.0</v>
      </c>
      <c r="L164" s="1">
        <v>3.0</v>
      </c>
      <c r="M164" s="1">
        <v>5.0</v>
      </c>
      <c r="N164" s="1">
        <v>0.0</v>
      </c>
      <c r="O164" s="1">
        <v>1.0</v>
      </c>
      <c r="P164" s="1">
        <v>67.0</v>
      </c>
      <c r="Q164" s="1">
        <v>21.0</v>
      </c>
    </row>
    <row r="165">
      <c r="A165" s="2">
        <f t="shared" si="1"/>
        <v>163</v>
      </c>
      <c r="B165" s="1" t="s">
        <v>1307</v>
      </c>
      <c r="C165" s="1" t="s">
        <v>1040</v>
      </c>
      <c r="D165" s="1" t="s">
        <v>66</v>
      </c>
      <c r="E165" s="15">
        <f t="shared" si="2"/>
        <v>296</v>
      </c>
      <c r="F165" s="15">
        <f t="shared" si="3"/>
        <v>3.746835443</v>
      </c>
      <c r="G165" s="1">
        <v>79.0</v>
      </c>
      <c r="H165" s="1">
        <v>9.0</v>
      </c>
      <c r="I165" s="1">
        <v>34.0</v>
      </c>
      <c r="J165" s="1">
        <v>43.0</v>
      </c>
      <c r="K165" s="1">
        <v>113.0</v>
      </c>
      <c r="L165" s="1">
        <v>0.0</v>
      </c>
      <c r="M165" s="1">
        <v>3.0</v>
      </c>
      <c r="N165" s="1">
        <v>0.0</v>
      </c>
      <c r="O165" s="1">
        <v>2.0</v>
      </c>
      <c r="P165" s="1">
        <v>162.0</v>
      </c>
      <c r="Q165" s="1">
        <v>105.0</v>
      </c>
    </row>
    <row r="166">
      <c r="A166" s="2">
        <f t="shared" si="1"/>
        <v>164</v>
      </c>
      <c r="B166" s="1" t="s">
        <v>1210</v>
      </c>
      <c r="C166" s="1" t="s">
        <v>1048</v>
      </c>
      <c r="D166" s="1" t="s">
        <v>28</v>
      </c>
      <c r="E166" s="15">
        <f t="shared" si="2"/>
        <v>295.5</v>
      </c>
      <c r="F166" s="15">
        <f t="shared" si="3"/>
        <v>4.69047619</v>
      </c>
      <c r="G166" s="1">
        <v>63.0</v>
      </c>
      <c r="H166" s="1">
        <v>16.0</v>
      </c>
      <c r="I166" s="1">
        <v>24.0</v>
      </c>
      <c r="J166" s="1">
        <v>40.0</v>
      </c>
      <c r="K166" s="1">
        <v>193.0</v>
      </c>
      <c r="L166" s="1">
        <v>4.0</v>
      </c>
      <c r="M166" s="1">
        <v>5.0</v>
      </c>
      <c r="N166" s="1">
        <v>0.0</v>
      </c>
      <c r="O166" s="1">
        <v>0.0</v>
      </c>
      <c r="P166" s="1">
        <v>150.0</v>
      </c>
      <c r="Q166" s="1">
        <v>35.0</v>
      </c>
    </row>
    <row r="167">
      <c r="A167" s="2">
        <f t="shared" si="1"/>
        <v>165</v>
      </c>
      <c r="B167" s="1" t="s">
        <v>1105</v>
      </c>
      <c r="C167" s="1" t="s">
        <v>1106</v>
      </c>
      <c r="D167" s="1" t="s">
        <v>31</v>
      </c>
      <c r="E167" s="15">
        <f t="shared" si="2"/>
        <v>295.25</v>
      </c>
      <c r="F167" s="15">
        <f t="shared" si="3"/>
        <v>4.044520548</v>
      </c>
      <c r="G167" s="1">
        <v>73.0</v>
      </c>
      <c r="H167" s="1">
        <v>18.0</v>
      </c>
      <c r="I167" s="1">
        <v>47.0</v>
      </c>
      <c r="J167" s="1">
        <v>65.0</v>
      </c>
      <c r="K167" s="1">
        <v>106.0</v>
      </c>
      <c r="L167" s="1">
        <v>5.0</v>
      </c>
      <c r="M167" s="1">
        <v>17.0</v>
      </c>
      <c r="N167" s="1">
        <v>1.0</v>
      </c>
      <c r="O167" s="1">
        <v>0.0</v>
      </c>
      <c r="P167" s="1">
        <v>15.0</v>
      </c>
      <c r="Q167" s="1">
        <v>29.0</v>
      </c>
      <c r="T167" s="12"/>
    </row>
    <row r="168">
      <c r="A168" s="2">
        <f t="shared" si="1"/>
        <v>166</v>
      </c>
      <c r="B168" s="1" t="s">
        <v>1578</v>
      </c>
      <c r="C168" s="1" t="s">
        <v>1082</v>
      </c>
      <c r="D168" s="1" t="s">
        <v>31</v>
      </c>
      <c r="E168" s="15">
        <f t="shared" si="2"/>
        <v>294.25</v>
      </c>
      <c r="F168" s="15">
        <f t="shared" si="3"/>
        <v>3.632716049</v>
      </c>
      <c r="G168" s="1">
        <v>81.0</v>
      </c>
      <c r="H168" s="1">
        <v>12.0</v>
      </c>
      <c r="I168" s="1">
        <v>43.0</v>
      </c>
      <c r="J168" s="1">
        <v>55.0</v>
      </c>
      <c r="K168" s="1">
        <v>172.0</v>
      </c>
      <c r="L168" s="1">
        <v>5.0</v>
      </c>
      <c r="M168" s="1">
        <v>13.0</v>
      </c>
      <c r="N168" s="1">
        <v>0.0</v>
      </c>
      <c r="O168" s="1">
        <v>0.0</v>
      </c>
      <c r="P168" s="1">
        <v>43.0</v>
      </c>
      <c r="Q168" s="1">
        <v>29.0</v>
      </c>
    </row>
    <row r="169">
      <c r="A169" s="2">
        <f t="shared" si="1"/>
        <v>166</v>
      </c>
      <c r="B169" s="1" t="s">
        <v>1742</v>
      </c>
      <c r="C169" s="1" t="s">
        <v>1087</v>
      </c>
      <c r="D169" s="1" t="s">
        <v>28</v>
      </c>
      <c r="E169" s="15">
        <f t="shared" si="2"/>
        <v>294.25</v>
      </c>
      <c r="F169" s="15">
        <f t="shared" si="3"/>
        <v>3.588414634</v>
      </c>
      <c r="G169" s="1">
        <v>82.0</v>
      </c>
      <c r="H169" s="1">
        <v>21.0</v>
      </c>
      <c r="I169" s="1">
        <v>13.0</v>
      </c>
      <c r="J169" s="1">
        <v>34.0</v>
      </c>
      <c r="K169" s="1">
        <v>182.0</v>
      </c>
      <c r="L169" s="1">
        <v>3.0</v>
      </c>
      <c r="M169" s="1">
        <v>1.0</v>
      </c>
      <c r="N169" s="1">
        <v>2.0</v>
      </c>
      <c r="O169" s="1">
        <v>1.0</v>
      </c>
      <c r="P169" s="1">
        <v>89.0</v>
      </c>
      <c r="Q169" s="1">
        <v>83.0</v>
      </c>
    </row>
    <row r="170">
      <c r="A170" s="2">
        <f t="shared" si="1"/>
        <v>168</v>
      </c>
      <c r="B170" s="1" t="s">
        <v>1276</v>
      </c>
      <c r="C170" s="1" t="s">
        <v>1146</v>
      </c>
      <c r="D170" s="1" t="s">
        <v>28</v>
      </c>
      <c r="E170" s="15">
        <f t="shared" si="2"/>
        <v>294</v>
      </c>
      <c r="F170" s="15">
        <f t="shared" si="3"/>
        <v>3.62962963</v>
      </c>
      <c r="G170" s="1">
        <v>81.0</v>
      </c>
      <c r="H170" s="1">
        <v>14.0</v>
      </c>
      <c r="I170" s="1">
        <v>34.0</v>
      </c>
      <c r="J170" s="1">
        <v>48.0</v>
      </c>
      <c r="K170" s="1">
        <v>141.0</v>
      </c>
      <c r="L170" s="1">
        <v>3.0</v>
      </c>
      <c r="M170" s="1">
        <v>1.0</v>
      </c>
      <c r="N170" s="1">
        <v>1.0</v>
      </c>
      <c r="O170" s="1">
        <v>0.0</v>
      </c>
      <c r="P170" s="1">
        <v>118.0</v>
      </c>
      <c r="Q170" s="1">
        <v>54.0</v>
      </c>
    </row>
    <row r="171">
      <c r="A171" s="2">
        <f t="shared" si="1"/>
        <v>169</v>
      </c>
      <c r="B171" s="1" t="s">
        <v>1217</v>
      </c>
      <c r="C171" s="1" t="s">
        <v>1116</v>
      </c>
      <c r="D171" s="1" t="s">
        <v>66</v>
      </c>
      <c r="E171" s="15">
        <f t="shared" si="2"/>
        <v>293.75</v>
      </c>
      <c r="F171" s="15">
        <f t="shared" si="3"/>
        <v>3.582317073</v>
      </c>
      <c r="G171" s="1">
        <v>82.0</v>
      </c>
      <c r="H171" s="1">
        <v>10.0</v>
      </c>
      <c r="I171" s="1">
        <v>23.0</v>
      </c>
      <c r="J171" s="1">
        <v>33.0</v>
      </c>
      <c r="K171" s="1">
        <v>142.0</v>
      </c>
      <c r="L171" s="1">
        <v>1.0</v>
      </c>
      <c r="M171" s="1">
        <v>2.0</v>
      </c>
      <c r="N171" s="1">
        <v>0.0</v>
      </c>
      <c r="O171" s="1">
        <v>1.0</v>
      </c>
      <c r="P171" s="1">
        <v>169.0</v>
      </c>
      <c r="Q171" s="1">
        <v>129.0</v>
      </c>
    </row>
    <row r="172">
      <c r="A172" s="2">
        <f t="shared" si="1"/>
        <v>170</v>
      </c>
      <c r="B172" s="1" t="s">
        <v>1609</v>
      </c>
      <c r="C172" s="1" t="s">
        <v>1076</v>
      </c>
      <c r="D172" s="1" t="s">
        <v>5</v>
      </c>
      <c r="E172" s="15">
        <f t="shared" si="2"/>
        <v>293.7</v>
      </c>
      <c r="F172" s="15">
        <f t="shared" si="3"/>
        <v>5.648076923</v>
      </c>
      <c r="G172" s="1">
        <v>52.0</v>
      </c>
      <c r="M172" s="12"/>
      <c r="Q172" s="12"/>
      <c r="R172" s="1">
        <v>33.0</v>
      </c>
      <c r="S172" s="1">
        <v>119.0</v>
      </c>
      <c r="T172" s="12">
        <v>1214.0</v>
      </c>
      <c r="U172" s="1">
        <v>3.0</v>
      </c>
    </row>
    <row r="173">
      <c r="A173" s="2">
        <f t="shared" si="1"/>
        <v>171</v>
      </c>
      <c r="B173" s="1" t="s">
        <v>1220</v>
      </c>
      <c r="C173" s="1" t="s">
        <v>1080</v>
      </c>
      <c r="D173" s="1" t="s">
        <v>28</v>
      </c>
      <c r="E173" s="15">
        <f t="shared" si="2"/>
        <v>292.5</v>
      </c>
      <c r="F173" s="15">
        <f t="shared" si="3"/>
        <v>3.567073171</v>
      </c>
      <c r="G173" s="1">
        <v>82.0</v>
      </c>
      <c r="H173" s="1">
        <v>16.0</v>
      </c>
      <c r="I173" s="1">
        <v>29.0</v>
      </c>
      <c r="J173" s="1">
        <v>45.0</v>
      </c>
      <c r="K173" s="1">
        <v>126.0</v>
      </c>
      <c r="L173" s="1">
        <v>2.0</v>
      </c>
      <c r="M173" s="1">
        <v>3.0</v>
      </c>
      <c r="N173" s="1">
        <v>0.0</v>
      </c>
      <c r="O173" s="1">
        <v>1.0</v>
      </c>
      <c r="P173" s="1">
        <v>182.0</v>
      </c>
      <c r="Q173" s="1">
        <v>46.0</v>
      </c>
    </row>
    <row r="174">
      <c r="A174" s="2">
        <f t="shared" si="1"/>
        <v>171</v>
      </c>
      <c r="B174" s="1" t="s">
        <v>1626</v>
      </c>
      <c r="C174" s="1" t="s">
        <v>1091</v>
      </c>
      <c r="D174" s="1" t="s">
        <v>5</v>
      </c>
      <c r="E174" s="15">
        <f t="shared" si="2"/>
        <v>292.5</v>
      </c>
      <c r="F174" s="15">
        <f t="shared" si="3"/>
        <v>5.318181818</v>
      </c>
      <c r="G174" s="1">
        <v>55.0</v>
      </c>
      <c r="M174" s="12"/>
      <c r="Q174" s="12"/>
      <c r="R174" s="1">
        <v>22.0</v>
      </c>
      <c r="S174" s="1">
        <v>155.0</v>
      </c>
      <c r="T174" s="12">
        <v>1510.0</v>
      </c>
      <c r="U174" s="1">
        <v>2.0</v>
      </c>
    </row>
    <row r="175">
      <c r="A175" s="2">
        <f t="shared" si="1"/>
        <v>173</v>
      </c>
      <c r="B175" s="1" t="s">
        <v>1203</v>
      </c>
      <c r="C175" s="1" t="s">
        <v>1111</v>
      </c>
      <c r="D175" s="1" t="s">
        <v>36</v>
      </c>
      <c r="E175" s="15">
        <f t="shared" si="2"/>
        <v>292</v>
      </c>
      <c r="F175" s="15">
        <f t="shared" si="3"/>
        <v>4.634920635</v>
      </c>
      <c r="G175" s="1">
        <v>63.0</v>
      </c>
      <c r="H175" s="1">
        <v>22.0</v>
      </c>
      <c r="I175" s="1">
        <v>36.0</v>
      </c>
      <c r="J175" s="1">
        <v>58.0</v>
      </c>
      <c r="K175" s="1">
        <v>132.0</v>
      </c>
      <c r="L175" s="1">
        <v>6.0</v>
      </c>
      <c r="M175" s="1">
        <v>6.0</v>
      </c>
      <c r="N175" s="1">
        <v>0.0</v>
      </c>
      <c r="O175" s="1">
        <v>1.0</v>
      </c>
      <c r="P175" s="1">
        <v>12.0</v>
      </c>
      <c r="Q175" s="1">
        <v>28.0</v>
      </c>
      <c r="T175" s="12"/>
    </row>
    <row r="176">
      <c r="A176" s="2">
        <f t="shared" si="1"/>
        <v>174</v>
      </c>
      <c r="B176" s="1" t="s">
        <v>1318</v>
      </c>
      <c r="C176" s="1" t="s">
        <v>1091</v>
      </c>
      <c r="D176" s="1" t="s">
        <v>31</v>
      </c>
      <c r="E176" s="15">
        <f t="shared" si="2"/>
        <v>291.75</v>
      </c>
      <c r="F176" s="15">
        <f t="shared" si="3"/>
        <v>3.601851852</v>
      </c>
      <c r="G176" s="1">
        <v>81.0</v>
      </c>
      <c r="H176" s="1">
        <v>19.0</v>
      </c>
      <c r="I176" s="1">
        <v>27.0</v>
      </c>
      <c r="J176" s="1">
        <v>46.0</v>
      </c>
      <c r="K176" s="1">
        <v>155.0</v>
      </c>
      <c r="L176" s="1">
        <v>1.0</v>
      </c>
      <c r="M176" s="1">
        <v>4.0</v>
      </c>
      <c r="N176" s="1">
        <v>0.0</v>
      </c>
      <c r="O176" s="1">
        <v>0.0</v>
      </c>
      <c r="P176" s="1">
        <v>85.0</v>
      </c>
      <c r="Q176" s="1">
        <v>53.0</v>
      </c>
    </row>
    <row r="177">
      <c r="A177" s="2">
        <f t="shared" si="1"/>
        <v>175</v>
      </c>
      <c r="B177" s="1" t="s">
        <v>1619</v>
      </c>
      <c r="C177" s="1" t="s">
        <v>1120</v>
      </c>
      <c r="D177" s="1" t="s">
        <v>28</v>
      </c>
      <c r="E177" s="15">
        <f t="shared" si="2"/>
        <v>287.25</v>
      </c>
      <c r="F177" s="15">
        <f t="shared" si="3"/>
        <v>3.546296296</v>
      </c>
      <c r="G177" s="1">
        <v>81.0</v>
      </c>
      <c r="H177" s="1">
        <v>20.0</v>
      </c>
      <c r="I177" s="1">
        <v>25.0</v>
      </c>
      <c r="J177" s="1">
        <v>45.0</v>
      </c>
      <c r="K177" s="1">
        <v>174.0</v>
      </c>
      <c r="L177" s="1">
        <v>7.0</v>
      </c>
      <c r="M177" s="1">
        <v>10.0</v>
      </c>
      <c r="N177" s="1">
        <v>0.0</v>
      </c>
      <c r="O177" s="1">
        <v>0.0</v>
      </c>
      <c r="P177" s="1">
        <v>89.0</v>
      </c>
      <c r="Q177" s="1">
        <v>26.0</v>
      </c>
    </row>
    <row r="178">
      <c r="A178" s="2">
        <f t="shared" si="1"/>
        <v>176</v>
      </c>
      <c r="B178" s="1" t="s">
        <v>1137</v>
      </c>
      <c r="C178" s="1" t="s">
        <v>1038</v>
      </c>
      <c r="D178" s="1" t="s">
        <v>31</v>
      </c>
      <c r="E178" s="15">
        <f t="shared" si="2"/>
        <v>287</v>
      </c>
      <c r="F178" s="15">
        <f t="shared" si="3"/>
        <v>3.5</v>
      </c>
      <c r="G178" s="1">
        <v>82.0</v>
      </c>
      <c r="H178" s="1">
        <v>16.0</v>
      </c>
      <c r="I178" s="1">
        <v>29.0</v>
      </c>
      <c r="J178" s="1">
        <v>45.0</v>
      </c>
      <c r="K178" s="1">
        <v>139.0</v>
      </c>
      <c r="L178" s="1">
        <v>0.0</v>
      </c>
      <c r="M178" s="1">
        <v>0.0</v>
      </c>
      <c r="N178" s="1">
        <v>1.0</v>
      </c>
      <c r="O178" s="1">
        <v>4.0</v>
      </c>
      <c r="P178" s="1">
        <v>68.0</v>
      </c>
      <c r="Q178" s="1">
        <v>63.0</v>
      </c>
    </row>
    <row r="179">
      <c r="A179" s="2">
        <f t="shared" si="1"/>
        <v>177</v>
      </c>
      <c r="B179" s="1" t="s">
        <v>1068</v>
      </c>
      <c r="C179" s="1" t="s">
        <v>1069</v>
      </c>
      <c r="D179" s="1" t="s">
        <v>66</v>
      </c>
      <c r="E179" s="15">
        <f t="shared" si="2"/>
        <v>286</v>
      </c>
      <c r="F179" s="15">
        <f t="shared" si="3"/>
        <v>3.530864198</v>
      </c>
      <c r="G179" s="1">
        <v>81.0</v>
      </c>
      <c r="H179" s="1">
        <v>4.0</v>
      </c>
      <c r="I179" s="1">
        <v>27.0</v>
      </c>
      <c r="J179" s="1">
        <v>31.0</v>
      </c>
      <c r="K179" s="1">
        <v>160.0</v>
      </c>
      <c r="L179" s="1">
        <v>0.0</v>
      </c>
      <c r="M179" s="1">
        <v>3.0</v>
      </c>
      <c r="N179" s="1">
        <v>0.0</v>
      </c>
      <c r="O179" s="1">
        <v>1.0</v>
      </c>
      <c r="P179" s="1">
        <v>186.0</v>
      </c>
      <c r="Q179" s="1">
        <v>117.0</v>
      </c>
    </row>
    <row r="180">
      <c r="A180" s="2">
        <f t="shared" si="1"/>
        <v>177</v>
      </c>
      <c r="B180" s="1" t="s">
        <v>1779</v>
      </c>
      <c r="C180" s="1" t="s">
        <v>1069</v>
      </c>
      <c r="D180" s="1" t="s">
        <v>31</v>
      </c>
      <c r="E180" s="15">
        <f t="shared" si="2"/>
        <v>286</v>
      </c>
      <c r="F180" s="15">
        <f t="shared" si="3"/>
        <v>3.487804878</v>
      </c>
      <c r="G180" s="1">
        <v>82.0</v>
      </c>
      <c r="H180" s="1">
        <v>18.0</v>
      </c>
      <c r="I180" s="1">
        <v>27.0</v>
      </c>
      <c r="J180" s="1">
        <v>45.0</v>
      </c>
      <c r="K180" s="1">
        <v>151.0</v>
      </c>
      <c r="L180" s="1">
        <v>1.0</v>
      </c>
      <c r="M180" s="1">
        <v>3.0</v>
      </c>
      <c r="N180" s="1">
        <v>2.0</v>
      </c>
      <c r="O180" s="1">
        <v>0.0</v>
      </c>
      <c r="P180" s="1">
        <v>136.0</v>
      </c>
      <c r="Q180" s="1">
        <v>21.0</v>
      </c>
    </row>
    <row r="181">
      <c r="A181" s="2">
        <f t="shared" si="1"/>
        <v>179</v>
      </c>
      <c r="B181" s="1" t="s">
        <v>1194</v>
      </c>
      <c r="C181" s="1" t="s">
        <v>1073</v>
      </c>
      <c r="D181" s="1" t="s">
        <v>66</v>
      </c>
      <c r="E181" s="15">
        <f t="shared" si="2"/>
        <v>285.75</v>
      </c>
      <c r="F181" s="15">
        <f t="shared" si="3"/>
        <v>3.527777778</v>
      </c>
      <c r="G181" s="1">
        <v>81.0</v>
      </c>
      <c r="H181" s="1">
        <v>18.0</v>
      </c>
      <c r="I181" s="1">
        <v>20.0</v>
      </c>
      <c r="J181" s="1">
        <v>38.0</v>
      </c>
      <c r="K181" s="1">
        <v>188.0</v>
      </c>
      <c r="L181" s="1">
        <v>4.0</v>
      </c>
      <c r="M181" s="1">
        <v>3.0</v>
      </c>
      <c r="N181" s="1">
        <v>1.0</v>
      </c>
      <c r="O181" s="1">
        <v>0.0</v>
      </c>
      <c r="P181" s="1">
        <v>71.0</v>
      </c>
      <c r="Q181" s="1">
        <v>62.0</v>
      </c>
    </row>
    <row r="182">
      <c r="A182" s="2">
        <f t="shared" si="1"/>
        <v>179</v>
      </c>
      <c r="B182" s="1" t="s">
        <v>1746</v>
      </c>
      <c r="C182" s="1" t="s">
        <v>1111</v>
      </c>
      <c r="D182" s="1" t="s">
        <v>31</v>
      </c>
      <c r="E182" s="15">
        <f t="shared" si="2"/>
        <v>285.75</v>
      </c>
      <c r="F182" s="15">
        <f t="shared" si="3"/>
        <v>3.484756098</v>
      </c>
      <c r="G182" s="1">
        <v>82.0</v>
      </c>
      <c r="H182" s="1">
        <v>19.0</v>
      </c>
      <c r="I182" s="1">
        <v>24.0</v>
      </c>
      <c r="J182" s="1">
        <v>43.0</v>
      </c>
      <c r="K182" s="1">
        <v>178.0</v>
      </c>
      <c r="L182" s="1">
        <v>4.0</v>
      </c>
      <c r="M182" s="1">
        <v>6.0</v>
      </c>
      <c r="N182" s="1">
        <v>0.0</v>
      </c>
      <c r="O182" s="1">
        <v>1.0</v>
      </c>
      <c r="P182" s="1">
        <v>83.0</v>
      </c>
      <c r="Q182" s="1">
        <v>33.0</v>
      </c>
    </row>
    <row r="183">
      <c r="A183" s="2">
        <f t="shared" si="1"/>
        <v>181</v>
      </c>
      <c r="B183" s="1" t="s">
        <v>1180</v>
      </c>
      <c r="C183" s="1" t="s">
        <v>1106</v>
      </c>
      <c r="D183" s="1" t="s">
        <v>5</v>
      </c>
      <c r="E183" s="15">
        <f t="shared" si="2"/>
        <v>285.6</v>
      </c>
      <c r="F183" s="15">
        <f t="shared" si="3"/>
        <v>4.681967213</v>
      </c>
      <c r="G183" s="1">
        <v>61.0</v>
      </c>
      <c r="M183" s="12"/>
      <c r="Q183" s="12"/>
      <c r="R183" s="1">
        <v>27.0</v>
      </c>
      <c r="S183" s="1">
        <v>194.0</v>
      </c>
      <c r="T183" s="12">
        <v>1632.0</v>
      </c>
      <c r="U183" s="1">
        <v>2.0</v>
      </c>
    </row>
    <row r="184">
      <c r="A184" s="2">
        <f t="shared" si="1"/>
        <v>182</v>
      </c>
      <c r="B184" s="1" t="s">
        <v>1132</v>
      </c>
      <c r="C184" s="1" t="s">
        <v>1069</v>
      </c>
      <c r="D184" s="1" t="s">
        <v>31</v>
      </c>
      <c r="E184" s="15">
        <f t="shared" si="2"/>
        <v>285.25</v>
      </c>
      <c r="F184" s="15">
        <f t="shared" si="3"/>
        <v>3.478658537</v>
      </c>
      <c r="G184" s="1">
        <v>82.0</v>
      </c>
      <c r="H184" s="1">
        <v>18.0</v>
      </c>
      <c r="I184" s="1">
        <v>20.0</v>
      </c>
      <c r="J184" s="1">
        <v>38.0</v>
      </c>
      <c r="K184" s="1">
        <v>188.0</v>
      </c>
      <c r="L184" s="1">
        <v>0.0</v>
      </c>
      <c r="M184" s="1">
        <v>0.0</v>
      </c>
      <c r="N184" s="1">
        <v>2.0</v>
      </c>
      <c r="O184" s="1">
        <v>0.0</v>
      </c>
      <c r="P184" s="1">
        <v>107.0</v>
      </c>
      <c r="Q184" s="1">
        <v>39.0</v>
      </c>
    </row>
    <row r="185">
      <c r="A185" s="2">
        <f t="shared" si="1"/>
        <v>183</v>
      </c>
      <c r="B185" s="1" t="s">
        <v>1863</v>
      </c>
      <c r="C185" s="1" t="s">
        <v>1040</v>
      </c>
      <c r="D185" s="1" t="s">
        <v>31</v>
      </c>
      <c r="E185" s="15">
        <f t="shared" si="2"/>
        <v>284.5</v>
      </c>
      <c r="F185" s="15">
        <f t="shared" si="3"/>
        <v>3.844594595</v>
      </c>
      <c r="G185" s="1">
        <v>74.0</v>
      </c>
      <c r="H185" s="1">
        <v>22.0</v>
      </c>
      <c r="I185" s="1">
        <v>23.0</v>
      </c>
      <c r="J185" s="1">
        <v>45.0</v>
      </c>
      <c r="K185" s="1">
        <v>177.0</v>
      </c>
      <c r="L185" s="1">
        <v>3.0</v>
      </c>
      <c r="M185" s="1">
        <v>2.0</v>
      </c>
      <c r="N185" s="1">
        <v>0.0</v>
      </c>
      <c r="O185" s="1">
        <v>0.0</v>
      </c>
      <c r="P185" s="1">
        <v>36.0</v>
      </c>
      <c r="Q185" s="1">
        <v>38.0</v>
      </c>
    </row>
    <row r="186">
      <c r="A186" s="2">
        <f t="shared" si="1"/>
        <v>183</v>
      </c>
      <c r="B186" s="1" t="s">
        <v>1265</v>
      </c>
      <c r="C186" s="1" t="s">
        <v>1067</v>
      </c>
      <c r="D186" s="1" t="s">
        <v>31</v>
      </c>
      <c r="E186" s="15">
        <f t="shared" si="2"/>
        <v>284.5</v>
      </c>
      <c r="F186" s="15">
        <f t="shared" si="3"/>
        <v>3.469512195</v>
      </c>
      <c r="G186" s="1">
        <v>82.0</v>
      </c>
      <c r="H186" s="1">
        <v>15.0</v>
      </c>
      <c r="I186" s="1">
        <v>44.0</v>
      </c>
      <c r="J186" s="1">
        <v>59.0</v>
      </c>
      <c r="K186" s="1">
        <v>135.0</v>
      </c>
      <c r="L186" s="1">
        <v>4.0</v>
      </c>
      <c r="M186" s="1">
        <v>12.0</v>
      </c>
      <c r="N186" s="1">
        <v>1.0</v>
      </c>
      <c r="O186" s="1">
        <v>0.0</v>
      </c>
      <c r="P186" s="1">
        <v>30.0</v>
      </c>
      <c r="Q186" s="1">
        <v>16.0</v>
      </c>
      <c r="T186" s="12"/>
    </row>
    <row r="187">
      <c r="A187" s="2">
        <f t="shared" si="1"/>
        <v>185</v>
      </c>
      <c r="B187" s="1" t="s">
        <v>1332</v>
      </c>
      <c r="C187" s="1" t="s">
        <v>1069</v>
      </c>
      <c r="D187" s="1" t="s">
        <v>28</v>
      </c>
      <c r="E187" s="15">
        <f t="shared" si="2"/>
        <v>284</v>
      </c>
      <c r="F187" s="15">
        <f t="shared" si="3"/>
        <v>3.463414634</v>
      </c>
      <c r="G187" s="1">
        <v>82.0</v>
      </c>
      <c r="H187" s="1">
        <v>17.0</v>
      </c>
      <c r="I187" s="1">
        <v>26.0</v>
      </c>
      <c r="J187" s="1">
        <v>43.0</v>
      </c>
      <c r="K187" s="1">
        <v>182.0</v>
      </c>
      <c r="L187" s="1">
        <v>2.0</v>
      </c>
      <c r="M187" s="1">
        <v>2.0</v>
      </c>
      <c r="N187" s="1">
        <v>0.0</v>
      </c>
      <c r="O187" s="1">
        <v>2.0</v>
      </c>
      <c r="P187" s="1">
        <v>86.0</v>
      </c>
      <c r="Q187" s="1">
        <v>26.0</v>
      </c>
    </row>
    <row r="188">
      <c r="A188" s="2">
        <f t="shared" si="1"/>
        <v>186</v>
      </c>
      <c r="B188" s="1" t="s">
        <v>1207</v>
      </c>
      <c r="C188" s="1" t="s">
        <v>1030</v>
      </c>
      <c r="D188" s="1" t="s">
        <v>28</v>
      </c>
      <c r="E188" s="15">
        <f t="shared" si="2"/>
        <v>283.5</v>
      </c>
      <c r="F188" s="15">
        <f t="shared" si="3"/>
        <v>5.349056604</v>
      </c>
      <c r="G188" s="1">
        <v>53.0</v>
      </c>
      <c r="H188" s="1">
        <v>17.0</v>
      </c>
      <c r="I188" s="1">
        <v>30.0</v>
      </c>
      <c r="J188" s="1">
        <v>47.0</v>
      </c>
      <c r="K188" s="1">
        <v>158.0</v>
      </c>
      <c r="L188" s="1">
        <v>10.0</v>
      </c>
      <c r="M188" s="1">
        <v>6.0</v>
      </c>
      <c r="N188" s="1">
        <v>1.0</v>
      </c>
      <c r="O188" s="1">
        <v>2.0</v>
      </c>
      <c r="P188" s="1">
        <v>54.0</v>
      </c>
      <c r="Q188" s="1">
        <v>37.0</v>
      </c>
    </row>
    <row r="189">
      <c r="A189" s="2">
        <f t="shared" si="1"/>
        <v>187</v>
      </c>
      <c r="B189" s="1" t="s">
        <v>1262</v>
      </c>
      <c r="C189" s="1" t="s">
        <v>1087</v>
      </c>
      <c r="D189" s="1" t="s">
        <v>31</v>
      </c>
      <c r="E189" s="15">
        <f t="shared" si="2"/>
        <v>283.25</v>
      </c>
      <c r="F189" s="15">
        <f t="shared" si="3"/>
        <v>4.046428571</v>
      </c>
      <c r="G189" s="1">
        <v>70.0</v>
      </c>
      <c r="H189" s="1">
        <v>13.0</v>
      </c>
      <c r="I189" s="1">
        <v>27.0</v>
      </c>
      <c r="J189" s="1">
        <v>40.0</v>
      </c>
      <c r="K189" s="1">
        <v>123.0</v>
      </c>
      <c r="L189" s="1">
        <v>5.0</v>
      </c>
      <c r="M189" s="1">
        <v>3.0</v>
      </c>
      <c r="N189" s="1">
        <v>3.0</v>
      </c>
      <c r="O189" s="1">
        <v>1.0</v>
      </c>
      <c r="P189" s="1">
        <v>175.0</v>
      </c>
      <c r="Q189" s="1">
        <v>61.0</v>
      </c>
    </row>
    <row r="190">
      <c r="A190" s="2">
        <f t="shared" si="1"/>
        <v>188</v>
      </c>
      <c r="B190" s="1" t="s">
        <v>1596</v>
      </c>
      <c r="C190" s="1" t="s">
        <v>1116</v>
      </c>
      <c r="D190" s="1" t="s">
        <v>36</v>
      </c>
      <c r="E190" s="15">
        <f t="shared" si="2"/>
        <v>283</v>
      </c>
      <c r="F190" s="15">
        <f t="shared" si="3"/>
        <v>3.930555556</v>
      </c>
      <c r="G190" s="1">
        <v>72.0</v>
      </c>
      <c r="H190" s="1">
        <v>16.0</v>
      </c>
      <c r="I190" s="1">
        <v>39.0</v>
      </c>
      <c r="J190" s="1">
        <v>55.0</v>
      </c>
      <c r="K190" s="1">
        <v>126.0</v>
      </c>
      <c r="L190" s="1">
        <v>7.0</v>
      </c>
      <c r="M190" s="1">
        <v>8.0</v>
      </c>
      <c r="N190" s="1">
        <v>0.0</v>
      </c>
      <c r="O190" s="1">
        <v>0.0</v>
      </c>
      <c r="P190" s="1">
        <v>54.0</v>
      </c>
      <c r="Q190" s="1">
        <v>35.0</v>
      </c>
    </row>
    <row r="191">
      <c r="A191" s="2">
        <f t="shared" si="1"/>
        <v>189</v>
      </c>
      <c r="B191" s="1" t="s">
        <v>1770</v>
      </c>
      <c r="C191" s="1" t="s">
        <v>1091</v>
      </c>
      <c r="D191" s="1" t="s">
        <v>66</v>
      </c>
      <c r="E191" s="15">
        <f t="shared" si="2"/>
        <v>282</v>
      </c>
      <c r="F191" s="15">
        <f t="shared" si="3"/>
        <v>4.028571429</v>
      </c>
      <c r="G191" s="1">
        <v>70.0</v>
      </c>
      <c r="H191" s="1">
        <v>11.0</v>
      </c>
      <c r="I191" s="1">
        <v>31.0</v>
      </c>
      <c r="J191" s="1">
        <v>42.0</v>
      </c>
      <c r="K191" s="1">
        <v>174.0</v>
      </c>
      <c r="L191" s="1">
        <v>4.0</v>
      </c>
      <c r="M191" s="1">
        <v>15.0</v>
      </c>
      <c r="N191" s="1">
        <v>0.0</v>
      </c>
      <c r="O191" s="1">
        <v>0.0</v>
      </c>
      <c r="P191" s="1">
        <v>52.0</v>
      </c>
      <c r="Q191" s="1">
        <v>79.0</v>
      </c>
    </row>
    <row r="192">
      <c r="A192" s="2">
        <f t="shared" si="1"/>
        <v>189</v>
      </c>
      <c r="B192" s="1" t="s">
        <v>1299</v>
      </c>
      <c r="C192" s="1" t="s">
        <v>1076</v>
      </c>
      <c r="D192" s="1" t="s">
        <v>31</v>
      </c>
      <c r="E192" s="15">
        <f t="shared" si="2"/>
        <v>282</v>
      </c>
      <c r="F192" s="15">
        <f t="shared" si="3"/>
        <v>3.525</v>
      </c>
      <c r="G192" s="1">
        <v>80.0</v>
      </c>
      <c r="H192" s="1">
        <v>14.0</v>
      </c>
      <c r="I192" s="1">
        <v>27.0</v>
      </c>
      <c r="J192" s="1">
        <v>41.0</v>
      </c>
      <c r="K192" s="1">
        <v>164.0</v>
      </c>
      <c r="L192" s="1">
        <v>2.0</v>
      </c>
      <c r="M192" s="1">
        <v>5.0</v>
      </c>
      <c r="N192" s="1">
        <v>2.0</v>
      </c>
      <c r="O192" s="1">
        <v>1.0</v>
      </c>
      <c r="P192" s="1">
        <v>92.0</v>
      </c>
      <c r="Q192" s="1">
        <v>54.0</v>
      </c>
    </row>
    <row r="193">
      <c r="A193" s="2">
        <f t="shared" si="1"/>
        <v>191</v>
      </c>
      <c r="B193" s="1" t="s">
        <v>1585</v>
      </c>
      <c r="C193" s="1" t="s">
        <v>1076</v>
      </c>
      <c r="D193" s="1" t="s">
        <v>28</v>
      </c>
      <c r="E193" s="15">
        <f t="shared" si="2"/>
        <v>281.75</v>
      </c>
      <c r="F193" s="15">
        <f t="shared" si="3"/>
        <v>3.43597561</v>
      </c>
      <c r="G193" s="1">
        <v>82.0</v>
      </c>
      <c r="H193" s="1">
        <v>20.0</v>
      </c>
      <c r="I193" s="1">
        <v>28.0</v>
      </c>
      <c r="J193" s="1">
        <v>48.0</v>
      </c>
      <c r="K193" s="1">
        <v>153.0</v>
      </c>
      <c r="L193" s="1">
        <v>1.0</v>
      </c>
      <c r="M193" s="1">
        <v>3.0</v>
      </c>
      <c r="N193" s="1">
        <v>0.0</v>
      </c>
      <c r="O193" s="1">
        <v>0.0</v>
      </c>
      <c r="P193" s="1">
        <v>65.0</v>
      </c>
      <c r="Q193" s="1">
        <v>30.0</v>
      </c>
    </row>
    <row r="194">
      <c r="A194" s="2">
        <f t="shared" si="1"/>
        <v>192</v>
      </c>
      <c r="B194" s="1" t="s">
        <v>1399</v>
      </c>
      <c r="C194" s="1" t="s">
        <v>1054</v>
      </c>
      <c r="D194" s="1" t="s">
        <v>5</v>
      </c>
      <c r="E194" s="15">
        <f t="shared" si="2"/>
        <v>281.1</v>
      </c>
      <c r="F194" s="15">
        <f t="shared" si="3"/>
        <v>7.207692308</v>
      </c>
      <c r="G194" s="1">
        <v>39.0</v>
      </c>
      <c r="M194" s="12"/>
      <c r="Q194" s="12"/>
      <c r="R194" s="1">
        <v>22.0</v>
      </c>
      <c r="S194" s="1">
        <v>81.0</v>
      </c>
      <c r="T194" s="12">
        <v>1092.0</v>
      </c>
      <c r="U194" s="1">
        <v>3.0</v>
      </c>
    </row>
    <row r="195">
      <c r="A195" s="2">
        <f t="shared" si="1"/>
        <v>193</v>
      </c>
      <c r="B195" s="1" t="s">
        <v>1320</v>
      </c>
      <c r="C195" s="1" t="s">
        <v>1065</v>
      </c>
      <c r="D195" s="1" t="s">
        <v>66</v>
      </c>
      <c r="E195" s="15">
        <f t="shared" si="2"/>
        <v>280.5</v>
      </c>
      <c r="F195" s="15">
        <f t="shared" si="3"/>
        <v>3.420731707</v>
      </c>
      <c r="G195" s="1">
        <v>82.0</v>
      </c>
      <c r="H195" s="1">
        <v>10.0</v>
      </c>
      <c r="I195" s="1">
        <v>38.0</v>
      </c>
      <c r="J195" s="1">
        <v>48.0</v>
      </c>
      <c r="K195" s="1">
        <v>130.0</v>
      </c>
      <c r="L195" s="1">
        <v>4.0</v>
      </c>
      <c r="M195" s="1">
        <v>10.0</v>
      </c>
      <c r="N195" s="1">
        <v>0.0</v>
      </c>
      <c r="O195" s="1">
        <v>0.0</v>
      </c>
      <c r="P195" s="1">
        <v>18.0</v>
      </c>
      <c r="Q195" s="1">
        <v>104.0</v>
      </c>
    </row>
    <row r="196">
      <c r="A196" s="2">
        <f t="shared" si="1"/>
        <v>194</v>
      </c>
      <c r="B196" s="1" t="s">
        <v>1266</v>
      </c>
      <c r="C196" s="1" t="s">
        <v>1069</v>
      </c>
      <c r="D196" s="1" t="s">
        <v>28</v>
      </c>
      <c r="E196" s="15">
        <f t="shared" si="2"/>
        <v>280.25</v>
      </c>
      <c r="F196" s="15">
        <f t="shared" si="3"/>
        <v>3.547468354</v>
      </c>
      <c r="G196" s="1">
        <v>79.0</v>
      </c>
      <c r="H196" s="1">
        <v>15.0</v>
      </c>
      <c r="I196" s="1">
        <v>40.0</v>
      </c>
      <c r="J196" s="1">
        <v>55.0</v>
      </c>
      <c r="K196" s="1">
        <v>126.0</v>
      </c>
      <c r="L196" s="1">
        <v>4.0</v>
      </c>
      <c r="M196" s="1">
        <v>11.0</v>
      </c>
      <c r="N196" s="1">
        <v>0.0</v>
      </c>
      <c r="O196" s="1">
        <v>0.0</v>
      </c>
      <c r="P196" s="1">
        <v>65.0</v>
      </c>
      <c r="Q196" s="1">
        <v>27.0</v>
      </c>
    </row>
    <row r="197">
      <c r="A197" s="2">
        <f t="shared" si="1"/>
        <v>195</v>
      </c>
      <c r="B197" s="1" t="s">
        <v>1237</v>
      </c>
      <c r="C197" s="1" t="s">
        <v>1073</v>
      </c>
      <c r="D197" s="1" t="s">
        <v>66</v>
      </c>
      <c r="E197" s="15">
        <f t="shared" si="2"/>
        <v>280</v>
      </c>
      <c r="F197" s="15">
        <f t="shared" si="3"/>
        <v>3.733333333</v>
      </c>
      <c r="G197" s="1">
        <v>75.0</v>
      </c>
      <c r="H197" s="1">
        <v>13.0</v>
      </c>
      <c r="I197" s="1">
        <v>28.0</v>
      </c>
      <c r="J197" s="1">
        <v>41.0</v>
      </c>
      <c r="K197" s="1">
        <v>155.0</v>
      </c>
      <c r="L197" s="1">
        <v>5.0</v>
      </c>
      <c r="M197" s="1">
        <v>10.0</v>
      </c>
      <c r="N197" s="1">
        <v>2.0</v>
      </c>
      <c r="O197" s="1">
        <v>0.0</v>
      </c>
      <c r="P197" s="1">
        <v>46.0</v>
      </c>
      <c r="Q197" s="1">
        <v>89.0</v>
      </c>
    </row>
    <row r="198">
      <c r="A198" s="2">
        <f t="shared" si="1"/>
        <v>196</v>
      </c>
      <c r="B198" s="1" t="s">
        <v>1532</v>
      </c>
      <c r="C198" s="1" t="s">
        <v>1065</v>
      </c>
      <c r="D198" s="1" t="s">
        <v>5</v>
      </c>
      <c r="E198" s="15">
        <f t="shared" si="2"/>
        <v>279.9</v>
      </c>
      <c r="F198" s="15">
        <f t="shared" si="3"/>
        <v>5.281132075</v>
      </c>
      <c r="G198" s="1">
        <v>53.0</v>
      </c>
      <c r="M198" s="12"/>
      <c r="Q198" s="12"/>
      <c r="R198" s="1">
        <v>14.0</v>
      </c>
      <c r="S198" s="1">
        <v>200.0</v>
      </c>
      <c r="T198" s="12">
        <v>1783.0</v>
      </c>
      <c r="U198" s="1">
        <v>1.0</v>
      </c>
    </row>
    <row r="199">
      <c r="A199" s="2">
        <f t="shared" si="1"/>
        <v>197</v>
      </c>
      <c r="B199" s="1" t="s">
        <v>2086</v>
      </c>
      <c r="C199" s="1" t="s">
        <v>1038</v>
      </c>
      <c r="D199" s="1" t="s">
        <v>31</v>
      </c>
      <c r="E199" s="15">
        <f t="shared" si="2"/>
        <v>277.25</v>
      </c>
      <c r="F199" s="15">
        <f t="shared" si="3"/>
        <v>3.960714286</v>
      </c>
      <c r="G199" s="1">
        <v>70.0</v>
      </c>
      <c r="H199" s="1">
        <v>16.0</v>
      </c>
      <c r="I199" s="1">
        <v>40.0</v>
      </c>
      <c r="J199" s="1">
        <v>56.0</v>
      </c>
      <c r="K199" s="1">
        <v>112.0</v>
      </c>
      <c r="L199" s="1">
        <v>4.0</v>
      </c>
      <c r="M199" s="1">
        <v>8.0</v>
      </c>
      <c r="N199" s="1">
        <v>0.0</v>
      </c>
      <c r="O199" s="1">
        <v>0.0</v>
      </c>
      <c r="P199" s="1">
        <v>41.0</v>
      </c>
      <c r="Q199" s="1">
        <v>38.0</v>
      </c>
    </row>
    <row r="200">
      <c r="A200" s="2">
        <f t="shared" si="1"/>
        <v>198</v>
      </c>
      <c r="B200" s="1" t="s">
        <v>1114</v>
      </c>
      <c r="C200" s="1" t="s">
        <v>1073</v>
      </c>
      <c r="D200" s="1" t="s">
        <v>36</v>
      </c>
      <c r="E200" s="15">
        <f t="shared" si="2"/>
        <v>275.75</v>
      </c>
      <c r="F200" s="15">
        <f t="shared" si="3"/>
        <v>3.362804878</v>
      </c>
      <c r="G200" s="1">
        <v>82.0</v>
      </c>
      <c r="H200" s="1">
        <v>14.0</v>
      </c>
      <c r="I200" s="1">
        <v>25.0</v>
      </c>
      <c r="J200" s="1">
        <v>39.0</v>
      </c>
      <c r="K200" s="1">
        <v>187.0</v>
      </c>
      <c r="L200" s="1">
        <v>0.0</v>
      </c>
      <c r="M200" s="1">
        <v>5.0</v>
      </c>
      <c r="N200" s="1">
        <v>1.0</v>
      </c>
      <c r="O200" s="1">
        <v>0.0</v>
      </c>
      <c r="P200" s="1">
        <v>73.0</v>
      </c>
      <c r="Q200" s="1">
        <v>48.0</v>
      </c>
    </row>
    <row r="201">
      <c r="A201" s="2">
        <f t="shared" si="1"/>
        <v>199</v>
      </c>
      <c r="B201" s="1" t="s">
        <v>1488</v>
      </c>
      <c r="C201" s="1" t="s">
        <v>1032</v>
      </c>
      <c r="D201" s="1" t="s">
        <v>5</v>
      </c>
      <c r="E201" s="15">
        <f t="shared" si="2"/>
        <v>275.4</v>
      </c>
      <c r="F201" s="15">
        <f t="shared" si="3"/>
        <v>6.557142857</v>
      </c>
      <c r="G201" s="1">
        <v>42.0</v>
      </c>
      <c r="M201" s="12"/>
      <c r="Q201" s="12"/>
      <c r="R201" s="1">
        <v>27.0</v>
      </c>
      <c r="S201" s="1">
        <v>96.0</v>
      </c>
      <c r="T201" s="12">
        <v>1088.0</v>
      </c>
      <c r="U201" s="1">
        <v>4.0</v>
      </c>
    </row>
    <row r="202">
      <c r="A202" s="2">
        <f t="shared" si="1"/>
        <v>200</v>
      </c>
      <c r="B202" s="1" t="s">
        <v>1071</v>
      </c>
      <c r="C202" s="1" t="s">
        <v>1036</v>
      </c>
      <c r="D202" s="1" t="s">
        <v>66</v>
      </c>
      <c r="E202" s="15">
        <f t="shared" si="2"/>
        <v>274.25</v>
      </c>
      <c r="F202" s="15">
        <f t="shared" si="3"/>
        <v>3.344512195</v>
      </c>
      <c r="G202" s="1">
        <v>82.0</v>
      </c>
      <c r="H202" s="1">
        <v>8.0</v>
      </c>
      <c r="I202" s="1">
        <v>32.0</v>
      </c>
      <c r="J202" s="1">
        <v>40.0</v>
      </c>
      <c r="K202" s="1">
        <v>156.0</v>
      </c>
      <c r="L202" s="1">
        <v>2.0</v>
      </c>
      <c r="M202" s="1">
        <v>11.0</v>
      </c>
      <c r="N202" s="1">
        <v>0.0</v>
      </c>
      <c r="O202" s="1">
        <v>1.0</v>
      </c>
      <c r="P202" s="1">
        <v>95.0</v>
      </c>
      <c r="Q202" s="1">
        <v>77.0</v>
      </c>
    </row>
    <row r="203">
      <c r="A203" s="2">
        <f t="shared" si="1"/>
        <v>201</v>
      </c>
      <c r="B203" s="1" t="s">
        <v>1346</v>
      </c>
      <c r="C203" s="1" t="s">
        <v>1052</v>
      </c>
      <c r="D203" s="1" t="s">
        <v>5</v>
      </c>
      <c r="E203" s="15">
        <f t="shared" si="2"/>
        <v>271.8</v>
      </c>
      <c r="F203" s="15">
        <f t="shared" si="3"/>
        <v>5.782978723</v>
      </c>
      <c r="G203" s="1">
        <v>47.0</v>
      </c>
      <c r="M203" s="12"/>
      <c r="Q203" s="12"/>
      <c r="R203" s="1">
        <v>24.0</v>
      </c>
      <c r="S203" s="1">
        <v>128.0</v>
      </c>
      <c r="T203" s="12">
        <v>1286.0</v>
      </c>
      <c r="U203" s="1">
        <v>2.0</v>
      </c>
    </row>
    <row r="204">
      <c r="A204" s="2">
        <f t="shared" si="1"/>
        <v>202</v>
      </c>
      <c r="B204" s="1" t="s">
        <v>1397</v>
      </c>
      <c r="C204" s="1" t="s">
        <v>1097</v>
      </c>
      <c r="D204" s="1" t="s">
        <v>36</v>
      </c>
      <c r="E204" s="15">
        <f t="shared" si="2"/>
        <v>270.75</v>
      </c>
      <c r="F204" s="15">
        <f t="shared" si="3"/>
        <v>3.923913043</v>
      </c>
      <c r="G204" s="1">
        <v>69.0</v>
      </c>
      <c r="H204" s="1">
        <v>21.0</v>
      </c>
      <c r="I204" s="1">
        <v>11.0</v>
      </c>
      <c r="J204" s="1">
        <v>32.0</v>
      </c>
      <c r="K204" s="1">
        <v>164.0</v>
      </c>
      <c r="L204" s="1">
        <v>4.0</v>
      </c>
      <c r="M204" s="1">
        <v>0.0</v>
      </c>
      <c r="N204" s="1">
        <v>1.0</v>
      </c>
      <c r="O204" s="1">
        <v>0.0</v>
      </c>
      <c r="P204" s="1">
        <v>139.0</v>
      </c>
      <c r="Q204" s="1">
        <v>49.0</v>
      </c>
    </row>
    <row r="205">
      <c r="A205" s="2">
        <f t="shared" si="1"/>
        <v>203</v>
      </c>
      <c r="B205" s="1" t="s">
        <v>1235</v>
      </c>
      <c r="C205" s="1" t="s">
        <v>1078</v>
      </c>
      <c r="D205" s="1" t="s">
        <v>66</v>
      </c>
      <c r="E205" s="15">
        <f t="shared" si="2"/>
        <v>270.5</v>
      </c>
      <c r="F205" s="15">
        <f t="shared" si="3"/>
        <v>3.756944444</v>
      </c>
      <c r="G205" s="1">
        <v>72.0</v>
      </c>
      <c r="H205" s="1">
        <v>9.0</v>
      </c>
      <c r="I205" s="1">
        <v>29.0</v>
      </c>
      <c r="J205" s="1">
        <v>38.0</v>
      </c>
      <c r="K205" s="1">
        <v>110.0</v>
      </c>
      <c r="L205" s="1">
        <v>1.0</v>
      </c>
      <c r="M205" s="1">
        <v>15.0</v>
      </c>
      <c r="N205" s="1">
        <v>0.0</v>
      </c>
      <c r="O205" s="1">
        <v>0.0</v>
      </c>
      <c r="P205" s="1">
        <v>68.0</v>
      </c>
      <c r="Q205" s="1">
        <v>142.0</v>
      </c>
    </row>
    <row r="206">
      <c r="A206" s="2">
        <f t="shared" si="1"/>
        <v>204</v>
      </c>
      <c r="B206" s="1" t="s">
        <v>1734</v>
      </c>
      <c r="C206" s="1" t="s">
        <v>1120</v>
      </c>
      <c r="D206" s="1" t="s">
        <v>5</v>
      </c>
      <c r="E206" s="15">
        <f t="shared" si="2"/>
        <v>270.3</v>
      </c>
      <c r="F206" s="15">
        <f t="shared" si="3"/>
        <v>4.826785714</v>
      </c>
      <c r="G206" s="1">
        <v>56.0</v>
      </c>
      <c r="M206" s="12"/>
      <c r="Q206" s="12"/>
      <c r="R206" s="1">
        <v>26.0</v>
      </c>
      <c r="S206" s="1">
        <v>167.0</v>
      </c>
      <c r="T206" s="12">
        <v>1436.0</v>
      </c>
      <c r="U206" s="1">
        <v>4.0</v>
      </c>
    </row>
    <row r="207">
      <c r="A207" s="2">
        <f t="shared" si="1"/>
        <v>205</v>
      </c>
      <c r="B207" s="1" t="s">
        <v>1785</v>
      </c>
      <c r="C207" s="1" t="s">
        <v>1172</v>
      </c>
      <c r="D207" s="1" t="s">
        <v>31</v>
      </c>
      <c r="E207" s="15">
        <f t="shared" si="2"/>
        <v>270.25</v>
      </c>
      <c r="F207" s="15">
        <f t="shared" si="3"/>
        <v>3.336419753</v>
      </c>
      <c r="G207" s="1">
        <v>81.0</v>
      </c>
      <c r="H207" s="1">
        <v>20.0</v>
      </c>
      <c r="I207" s="1">
        <v>20.0</v>
      </c>
      <c r="J207" s="1">
        <v>40.0</v>
      </c>
      <c r="K207" s="1">
        <v>175.0</v>
      </c>
      <c r="L207" s="1">
        <v>3.0</v>
      </c>
      <c r="M207" s="1">
        <v>4.0</v>
      </c>
      <c r="N207" s="1">
        <v>0.0</v>
      </c>
      <c r="O207" s="1">
        <v>0.0</v>
      </c>
      <c r="P207" s="1">
        <v>43.0</v>
      </c>
      <c r="Q207" s="1">
        <v>44.0</v>
      </c>
    </row>
    <row r="208">
      <c r="A208" s="2">
        <f t="shared" si="1"/>
        <v>206</v>
      </c>
      <c r="B208" s="1" t="s">
        <v>1505</v>
      </c>
      <c r="C208" s="1" t="s">
        <v>1146</v>
      </c>
      <c r="D208" s="1" t="s">
        <v>28</v>
      </c>
      <c r="E208" s="15">
        <f t="shared" si="2"/>
        <v>270</v>
      </c>
      <c r="F208" s="15">
        <f t="shared" si="3"/>
        <v>3.292682927</v>
      </c>
      <c r="G208" s="1">
        <v>82.0</v>
      </c>
      <c r="H208" s="1">
        <v>16.0</v>
      </c>
      <c r="I208" s="1">
        <v>19.0</v>
      </c>
      <c r="J208" s="1">
        <v>35.0</v>
      </c>
      <c r="K208" s="1">
        <v>115.0</v>
      </c>
      <c r="L208" s="1">
        <v>0.0</v>
      </c>
      <c r="M208" s="1">
        <v>0.0</v>
      </c>
      <c r="N208" s="1">
        <v>1.0</v>
      </c>
      <c r="O208" s="1">
        <v>0.0</v>
      </c>
      <c r="P208" s="1">
        <v>190.0</v>
      </c>
      <c r="Q208" s="1">
        <v>68.0</v>
      </c>
    </row>
    <row r="209">
      <c r="A209" s="2">
        <f t="shared" si="1"/>
        <v>207</v>
      </c>
      <c r="B209" s="1" t="s">
        <v>1591</v>
      </c>
      <c r="C209" s="1" t="s">
        <v>1046</v>
      </c>
      <c r="D209" s="1" t="s">
        <v>28</v>
      </c>
      <c r="E209" s="15">
        <f t="shared" si="2"/>
        <v>269.5</v>
      </c>
      <c r="F209" s="15">
        <f t="shared" si="3"/>
        <v>3.286585366</v>
      </c>
      <c r="G209" s="1">
        <v>82.0</v>
      </c>
      <c r="H209" s="1">
        <v>18.0</v>
      </c>
      <c r="I209" s="1">
        <v>22.0</v>
      </c>
      <c r="J209" s="1">
        <v>40.0</v>
      </c>
      <c r="K209" s="1">
        <v>176.0</v>
      </c>
      <c r="L209" s="1">
        <v>3.0</v>
      </c>
      <c r="M209" s="1">
        <v>1.0</v>
      </c>
      <c r="N209" s="1">
        <v>0.0</v>
      </c>
      <c r="O209" s="1">
        <v>0.0</v>
      </c>
      <c r="P209" s="1">
        <v>78.0</v>
      </c>
      <c r="Q209" s="1">
        <v>30.0</v>
      </c>
    </row>
    <row r="210">
      <c r="A210" s="2">
        <f t="shared" si="1"/>
        <v>208</v>
      </c>
      <c r="B210" s="1" t="s">
        <v>1228</v>
      </c>
      <c r="C210" s="1" t="s">
        <v>1078</v>
      </c>
      <c r="D210" s="1" t="s">
        <v>66</v>
      </c>
      <c r="E210" s="15">
        <f t="shared" si="2"/>
        <v>269.25</v>
      </c>
      <c r="F210" s="15">
        <f t="shared" si="3"/>
        <v>3.283536585</v>
      </c>
      <c r="G210" s="1">
        <v>82.0</v>
      </c>
      <c r="H210" s="1">
        <v>9.0</v>
      </c>
      <c r="I210" s="1">
        <v>17.0</v>
      </c>
      <c r="J210" s="1">
        <v>26.0</v>
      </c>
      <c r="K210" s="1">
        <v>135.0</v>
      </c>
      <c r="L210" s="1">
        <v>0.0</v>
      </c>
      <c r="M210" s="1">
        <v>0.0</v>
      </c>
      <c r="N210" s="1">
        <v>1.0</v>
      </c>
      <c r="O210" s="1">
        <v>1.0</v>
      </c>
      <c r="P210" s="1">
        <v>119.0</v>
      </c>
      <c r="Q210" s="1">
        <v>153.0</v>
      </c>
    </row>
    <row r="211">
      <c r="A211" s="2">
        <f t="shared" si="1"/>
        <v>209</v>
      </c>
      <c r="B211" s="1" t="s">
        <v>1226</v>
      </c>
      <c r="C211" s="1" t="s">
        <v>1046</v>
      </c>
      <c r="D211" s="1" t="s">
        <v>36</v>
      </c>
      <c r="E211" s="15">
        <f t="shared" si="2"/>
        <v>268.75</v>
      </c>
      <c r="F211" s="15">
        <f t="shared" si="3"/>
        <v>3.317901235</v>
      </c>
      <c r="G211" s="1">
        <v>81.0</v>
      </c>
      <c r="H211" s="1">
        <v>17.0</v>
      </c>
      <c r="I211" s="1">
        <v>29.0</v>
      </c>
      <c r="J211" s="1">
        <v>46.0</v>
      </c>
      <c r="K211" s="1">
        <v>167.0</v>
      </c>
      <c r="L211" s="1">
        <v>2.0</v>
      </c>
      <c r="M211" s="1">
        <v>10.0</v>
      </c>
      <c r="N211" s="1">
        <v>0.0</v>
      </c>
      <c r="O211" s="1">
        <v>0.0</v>
      </c>
      <c r="P211" s="1">
        <v>47.0</v>
      </c>
      <c r="Q211" s="1">
        <v>20.0</v>
      </c>
    </row>
    <row r="212">
      <c r="A212" s="2">
        <f t="shared" si="1"/>
        <v>210</v>
      </c>
      <c r="B212" s="1" t="s">
        <v>1306</v>
      </c>
      <c r="C212" s="1" t="s">
        <v>1065</v>
      </c>
      <c r="D212" s="1" t="s">
        <v>31</v>
      </c>
      <c r="E212" s="15">
        <f t="shared" si="2"/>
        <v>267.25</v>
      </c>
      <c r="F212" s="15">
        <f t="shared" si="3"/>
        <v>3.340625</v>
      </c>
      <c r="G212" s="1">
        <v>80.0</v>
      </c>
      <c r="H212" s="1">
        <v>17.0</v>
      </c>
      <c r="I212" s="1">
        <v>26.0</v>
      </c>
      <c r="J212" s="1">
        <v>43.0</v>
      </c>
      <c r="K212" s="1">
        <v>161.0</v>
      </c>
      <c r="L212" s="1">
        <v>7.0</v>
      </c>
      <c r="M212" s="1">
        <v>7.0</v>
      </c>
      <c r="N212" s="1">
        <v>0.0</v>
      </c>
      <c r="O212" s="1">
        <v>0.0</v>
      </c>
      <c r="P212" s="1">
        <v>55.0</v>
      </c>
      <c r="Q212" s="1">
        <v>37.0</v>
      </c>
    </row>
    <row r="213">
      <c r="A213" s="2">
        <f t="shared" si="1"/>
        <v>211</v>
      </c>
      <c r="B213" s="1" t="s">
        <v>1086</v>
      </c>
      <c r="C213" s="1" t="s">
        <v>1087</v>
      </c>
      <c r="D213" s="1" t="s">
        <v>31</v>
      </c>
      <c r="E213" s="15">
        <f t="shared" si="2"/>
        <v>266.75</v>
      </c>
      <c r="F213" s="15">
        <f t="shared" si="3"/>
        <v>4.599137931</v>
      </c>
      <c r="G213" s="1">
        <v>58.0</v>
      </c>
      <c r="H213" s="1">
        <v>14.0</v>
      </c>
      <c r="I213" s="1">
        <v>37.0</v>
      </c>
      <c r="J213" s="1">
        <v>51.0</v>
      </c>
      <c r="K213" s="1">
        <v>139.0</v>
      </c>
      <c r="L213" s="1">
        <v>4.0</v>
      </c>
      <c r="M213" s="1">
        <v>15.0</v>
      </c>
      <c r="N213" s="1">
        <v>0.0</v>
      </c>
      <c r="O213" s="1">
        <v>0.0</v>
      </c>
      <c r="P213" s="1">
        <v>25.0</v>
      </c>
      <c r="Q213" s="1">
        <v>34.0</v>
      </c>
      <c r="T213" s="12"/>
    </row>
    <row r="214">
      <c r="A214" s="2">
        <f t="shared" si="1"/>
        <v>212</v>
      </c>
      <c r="B214" s="1" t="s">
        <v>1041</v>
      </c>
      <c r="C214" s="1" t="s">
        <v>1042</v>
      </c>
      <c r="D214" s="1" t="s">
        <v>36</v>
      </c>
      <c r="E214" s="15">
        <f t="shared" si="2"/>
        <v>264.5</v>
      </c>
      <c r="F214" s="15">
        <f t="shared" si="3"/>
        <v>5.29</v>
      </c>
      <c r="G214" s="1">
        <v>50.0</v>
      </c>
      <c r="H214" s="1">
        <v>19.0</v>
      </c>
      <c r="I214" s="1">
        <v>23.0</v>
      </c>
      <c r="J214" s="1">
        <v>42.0</v>
      </c>
      <c r="K214" s="1">
        <v>157.0</v>
      </c>
      <c r="L214" s="1">
        <v>4.0</v>
      </c>
      <c r="M214" s="1">
        <v>9.0</v>
      </c>
      <c r="N214" s="1">
        <v>0.0</v>
      </c>
      <c r="O214" s="1">
        <v>0.0</v>
      </c>
      <c r="P214" s="1">
        <v>86.0</v>
      </c>
      <c r="Q214" s="1">
        <v>20.0</v>
      </c>
    </row>
    <row r="215">
      <c r="A215" s="2">
        <f t="shared" si="1"/>
        <v>213</v>
      </c>
      <c r="B215" s="1" t="s">
        <v>1373</v>
      </c>
      <c r="C215" s="1" t="s">
        <v>1048</v>
      </c>
      <c r="D215" s="1" t="s">
        <v>28</v>
      </c>
      <c r="E215" s="15">
        <f t="shared" si="2"/>
        <v>264</v>
      </c>
      <c r="F215" s="15">
        <f t="shared" si="3"/>
        <v>3.219512195</v>
      </c>
      <c r="G215" s="1">
        <v>82.0</v>
      </c>
      <c r="H215" s="1">
        <v>17.0</v>
      </c>
      <c r="I215" s="1">
        <v>26.0</v>
      </c>
      <c r="J215" s="1">
        <v>43.0</v>
      </c>
      <c r="K215" s="1">
        <v>132.0</v>
      </c>
      <c r="L215" s="1">
        <v>2.0</v>
      </c>
      <c r="M215" s="1">
        <v>3.0</v>
      </c>
      <c r="N215" s="1">
        <v>0.0</v>
      </c>
      <c r="O215" s="1">
        <v>1.0</v>
      </c>
      <c r="P215" s="1">
        <v>64.0</v>
      </c>
      <c r="Q215" s="1">
        <v>51.0</v>
      </c>
    </row>
    <row r="216">
      <c r="A216" s="2">
        <f t="shared" si="1"/>
        <v>214</v>
      </c>
      <c r="B216" s="1" t="s">
        <v>1269</v>
      </c>
      <c r="C216" s="1" t="s">
        <v>1116</v>
      </c>
      <c r="D216" s="1" t="s">
        <v>28</v>
      </c>
      <c r="E216" s="15">
        <f t="shared" si="2"/>
        <v>263.75</v>
      </c>
      <c r="F216" s="15">
        <f t="shared" si="3"/>
        <v>3.216463415</v>
      </c>
      <c r="G216" s="1">
        <v>82.0</v>
      </c>
      <c r="H216" s="1">
        <v>13.0</v>
      </c>
      <c r="I216" s="1">
        <v>23.0</v>
      </c>
      <c r="J216" s="1">
        <v>36.0</v>
      </c>
      <c r="K216" s="1">
        <v>126.0</v>
      </c>
      <c r="L216" s="1">
        <v>0.0</v>
      </c>
      <c r="M216" s="1">
        <v>2.0</v>
      </c>
      <c r="N216" s="1">
        <v>3.0</v>
      </c>
      <c r="O216" s="1">
        <v>2.0</v>
      </c>
      <c r="P216" s="1">
        <v>161.0</v>
      </c>
      <c r="Q216" s="1">
        <v>46.0</v>
      </c>
    </row>
    <row r="217">
      <c r="A217" s="2">
        <f t="shared" si="1"/>
        <v>215</v>
      </c>
      <c r="B217" s="1" t="s">
        <v>1550</v>
      </c>
      <c r="C217" s="1" t="s">
        <v>1111</v>
      </c>
      <c r="D217" s="1" t="s">
        <v>5</v>
      </c>
      <c r="E217" s="15">
        <f t="shared" si="2"/>
        <v>261.6</v>
      </c>
      <c r="F217" s="15">
        <f t="shared" si="3"/>
        <v>5.232</v>
      </c>
      <c r="G217" s="1">
        <v>50.0</v>
      </c>
      <c r="M217" s="12"/>
      <c r="Q217" s="12"/>
      <c r="R217" s="1">
        <v>18.0</v>
      </c>
      <c r="S217" s="1">
        <v>168.0</v>
      </c>
      <c r="T217" s="12">
        <v>1502.0</v>
      </c>
      <c r="U217" s="1">
        <v>3.0</v>
      </c>
    </row>
    <row r="218">
      <c r="A218" s="2">
        <f t="shared" si="1"/>
        <v>216</v>
      </c>
      <c r="B218" s="1" t="s">
        <v>1520</v>
      </c>
      <c r="C218" s="1" t="s">
        <v>1054</v>
      </c>
      <c r="D218" s="1" t="s">
        <v>5</v>
      </c>
      <c r="E218" s="15">
        <f t="shared" si="2"/>
        <v>261.3</v>
      </c>
      <c r="F218" s="15">
        <f t="shared" si="3"/>
        <v>5.680434783</v>
      </c>
      <c r="G218" s="1">
        <v>46.0</v>
      </c>
      <c r="M218" s="12"/>
      <c r="Q218" s="12"/>
      <c r="R218" s="1">
        <v>24.0</v>
      </c>
      <c r="S218" s="1">
        <v>126.0</v>
      </c>
      <c r="T218" s="12">
        <v>1241.0</v>
      </c>
      <c r="U218" s="1">
        <v>2.0</v>
      </c>
    </row>
    <row r="219">
      <c r="A219" s="2">
        <f t="shared" si="1"/>
        <v>217</v>
      </c>
      <c r="B219" s="1" t="s">
        <v>1457</v>
      </c>
      <c r="C219" s="1" t="s">
        <v>1146</v>
      </c>
      <c r="D219" s="1" t="s">
        <v>28</v>
      </c>
      <c r="E219" s="15">
        <f t="shared" si="2"/>
        <v>261.25</v>
      </c>
      <c r="F219" s="15">
        <f t="shared" si="3"/>
        <v>3.679577465</v>
      </c>
      <c r="G219" s="1">
        <v>71.0</v>
      </c>
      <c r="H219" s="1">
        <v>21.0</v>
      </c>
      <c r="I219" s="1">
        <v>19.0</v>
      </c>
      <c r="J219" s="1">
        <v>40.0</v>
      </c>
      <c r="K219" s="1">
        <v>167.0</v>
      </c>
      <c r="L219" s="1">
        <v>6.0</v>
      </c>
      <c r="M219" s="1">
        <v>2.0</v>
      </c>
      <c r="N219" s="1">
        <v>0.0</v>
      </c>
      <c r="O219" s="1">
        <v>0.0</v>
      </c>
      <c r="P219" s="1">
        <v>55.0</v>
      </c>
      <c r="Q219" s="1">
        <v>25.0</v>
      </c>
    </row>
    <row r="220">
      <c r="A220" s="2">
        <f t="shared" si="1"/>
        <v>217</v>
      </c>
      <c r="B220" s="1" t="s">
        <v>1506</v>
      </c>
      <c r="C220" s="1" t="s">
        <v>1076</v>
      </c>
      <c r="D220" s="1" t="s">
        <v>66</v>
      </c>
      <c r="E220" s="15">
        <f t="shared" si="2"/>
        <v>261.25</v>
      </c>
      <c r="F220" s="15">
        <f t="shared" si="3"/>
        <v>3.349358974</v>
      </c>
      <c r="G220" s="1">
        <v>78.0</v>
      </c>
      <c r="H220" s="1">
        <v>8.0</v>
      </c>
      <c r="I220" s="1">
        <v>18.0</v>
      </c>
      <c r="J220" s="1">
        <v>26.0</v>
      </c>
      <c r="K220" s="1">
        <v>141.0</v>
      </c>
      <c r="L220" s="1">
        <v>0.0</v>
      </c>
      <c r="M220" s="1">
        <v>0.0</v>
      </c>
      <c r="N220" s="1">
        <v>0.0</v>
      </c>
      <c r="O220" s="1">
        <v>2.0</v>
      </c>
      <c r="P220" s="1">
        <v>83.0</v>
      </c>
      <c r="Q220" s="1">
        <v>152.0</v>
      </c>
    </row>
    <row r="221">
      <c r="A221" s="2">
        <f t="shared" si="1"/>
        <v>219</v>
      </c>
      <c r="B221" s="1" t="s">
        <v>1359</v>
      </c>
      <c r="C221" s="1" t="s">
        <v>1052</v>
      </c>
      <c r="D221" s="1" t="s">
        <v>66</v>
      </c>
      <c r="E221" s="15">
        <f t="shared" si="2"/>
        <v>260</v>
      </c>
      <c r="F221" s="15">
        <f t="shared" si="3"/>
        <v>4.262295082</v>
      </c>
      <c r="G221" s="1">
        <v>61.0</v>
      </c>
      <c r="H221" s="1">
        <v>5.0</v>
      </c>
      <c r="I221" s="1">
        <v>26.0</v>
      </c>
      <c r="J221" s="1">
        <v>31.0</v>
      </c>
      <c r="K221" s="1">
        <v>113.0</v>
      </c>
      <c r="L221" s="1">
        <v>2.0</v>
      </c>
      <c r="M221" s="1">
        <v>7.0</v>
      </c>
      <c r="N221" s="1">
        <v>0.0</v>
      </c>
      <c r="O221" s="1">
        <v>0.0</v>
      </c>
      <c r="P221" s="1">
        <v>190.0</v>
      </c>
      <c r="Q221" s="1">
        <v>111.0</v>
      </c>
    </row>
    <row r="222">
      <c r="A222" s="2">
        <f t="shared" si="1"/>
        <v>219</v>
      </c>
      <c r="B222" s="1" t="s">
        <v>1126</v>
      </c>
      <c r="C222" s="1" t="s">
        <v>1085</v>
      </c>
      <c r="D222" s="1" t="s">
        <v>31</v>
      </c>
      <c r="E222" s="15">
        <f t="shared" si="2"/>
        <v>260</v>
      </c>
      <c r="F222" s="15">
        <f t="shared" si="3"/>
        <v>3.170731707</v>
      </c>
      <c r="G222" s="1">
        <v>82.0</v>
      </c>
      <c r="H222" s="1">
        <v>24.0</v>
      </c>
      <c r="I222" s="1">
        <v>17.0</v>
      </c>
      <c r="J222" s="1">
        <v>41.0</v>
      </c>
      <c r="K222" s="1">
        <v>160.0</v>
      </c>
      <c r="L222" s="1">
        <v>3.0</v>
      </c>
      <c r="M222" s="1">
        <v>4.0</v>
      </c>
      <c r="N222" s="1">
        <v>0.0</v>
      </c>
      <c r="O222" s="1">
        <v>0.0</v>
      </c>
      <c r="P222" s="1">
        <v>22.0</v>
      </c>
      <c r="Q222" s="1">
        <v>31.0</v>
      </c>
    </row>
    <row r="223">
      <c r="A223" s="2">
        <f t="shared" si="1"/>
        <v>221</v>
      </c>
      <c r="B223" s="1" t="s">
        <v>1322</v>
      </c>
      <c r="C223" s="1" t="s">
        <v>1146</v>
      </c>
      <c r="D223" s="1" t="s">
        <v>36</v>
      </c>
      <c r="E223" s="15">
        <f t="shared" si="2"/>
        <v>259.75</v>
      </c>
      <c r="F223" s="15">
        <f t="shared" si="3"/>
        <v>3.935606061</v>
      </c>
      <c r="G223" s="1">
        <v>66.0</v>
      </c>
      <c r="H223" s="1">
        <v>21.0</v>
      </c>
      <c r="I223" s="1">
        <v>25.0</v>
      </c>
      <c r="J223" s="1">
        <v>46.0</v>
      </c>
      <c r="K223" s="1">
        <v>147.0</v>
      </c>
      <c r="L223" s="1">
        <v>6.0</v>
      </c>
      <c r="M223" s="1">
        <v>8.0</v>
      </c>
      <c r="N223" s="1">
        <v>0.0</v>
      </c>
      <c r="O223" s="1">
        <v>0.0</v>
      </c>
      <c r="P223" s="1">
        <v>33.0</v>
      </c>
      <c r="Q223" s="1">
        <v>17.0</v>
      </c>
    </row>
    <row r="224">
      <c r="A224" s="2">
        <f t="shared" si="1"/>
        <v>222</v>
      </c>
      <c r="B224" s="1" t="s">
        <v>1395</v>
      </c>
      <c r="C224" s="1" t="s">
        <v>1038</v>
      </c>
      <c r="D224" s="1" t="s">
        <v>66</v>
      </c>
      <c r="E224" s="15">
        <f t="shared" si="2"/>
        <v>259.25</v>
      </c>
      <c r="F224" s="15">
        <f t="shared" si="3"/>
        <v>3.928030303</v>
      </c>
      <c r="G224" s="1">
        <v>66.0</v>
      </c>
      <c r="H224" s="1">
        <v>7.0</v>
      </c>
      <c r="I224" s="1">
        <v>29.0</v>
      </c>
      <c r="J224" s="1">
        <v>36.0</v>
      </c>
      <c r="K224" s="1">
        <v>124.0</v>
      </c>
      <c r="L224" s="1">
        <v>1.0</v>
      </c>
      <c r="M224" s="1">
        <v>7.0</v>
      </c>
      <c r="N224" s="1">
        <v>0.0</v>
      </c>
      <c r="O224" s="1">
        <v>1.0</v>
      </c>
      <c r="P224" s="1">
        <v>137.0</v>
      </c>
      <c r="Q224" s="1">
        <v>85.0</v>
      </c>
    </row>
    <row r="225">
      <c r="A225" s="2">
        <f t="shared" si="1"/>
        <v>222</v>
      </c>
      <c r="B225" s="1" t="s">
        <v>1449</v>
      </c>
      <c r="C225" s="1" t="s">
        <v>1073</v>
      </c>
      <c r="D225" s="1" t="s">
        <v>28</v>
      </c>
      <c r="E225" s="15">
        <f t="shared" si="2"/>
        <v>259.25</v>
      </c>
      <c r="F225" s="15">
        <f t="shared" si="3"/>
        <v>3.161585366</v>
      </c>
      <c r="G225" s="1">
        <v>82.0</v>
      </c>
      <c r="H225" s="1">
        <v>18.0</v>
      </c>
      <c r="I225" s="1">
        <v>25.0</v>
      </c>
      <c r="J225" s="1">
        <v>43.0</v>
      </c>
      <c r="K225" s="1">
        <v>129.0</v>
      </c>
      <c r="L225" s="1">
        <v>3.0</v>
      </c>
      <c r="M225" s="1">
        <v>8.0</v>
      </c>
      <c r="N225" s="1">
        <v>1.0</v>
      </c>
      <c r="O225" s="1">
        <v>0.0</v>
      </c>
      <c r="P225" s="1">
        <v>105.0</v>
      </c>
      <c r="Q225" s="1">
        <v>21.0</v>
      </c>
    </row>
    <row r="226">
      <c r="A226" s="2">
        <f t="shared" si="1"/>
        <v>224</v>
      </c>
      <c r="B226" s="1" t="s">
        <v>1618</v>
      </c>
      <c r="C226" s="1" t="s">
        <v>1054</v>
      </c>
      <c r="D226" s="1" t="s">
        <v>31</v>
      </c>
      <c r="E226" s="15">
        <f t="shared" si="2"/>
        <v>258</v>
      </c>
      <c r="F226" s="15">
        <f t="shared" si="3"/>
        <v>3.146341463</v>
      </c>
      <c r="G226" s="1">
        <v>82.0</v>
      </c>
      <c r="H226" s="1">
        <v>19.0</v>
      </c>
      <c r="I226" s="1">
        <v>19.0</v>
      </c>
      <c r="J226" s="1">
        <v>38.0</v>
      </c>
      <c r="K226" s="1">
        <v>138.0</v>
      </c>
      <c r="L226" s="1">
        <v>3.0</v>
      </c>
      <c r="M226" s="1">
        <v>1.0</v>
      </c>
      <c r="N226" s="1">
        <v>4.0</v>
      </c>
      <c r="O226" s="1">
        <v>1.0</v>
      </c>
      <c r="P226" s="1">
        <v>42.0</v>
      </c>
      <c r="Q226" s="1">
        <v>52.0</v>
      </c>
    </row>
    <row r="227">
      <c r="A227" s="2">
        <f t="shared" si="1"/>
        <v>225</v>
      </c>
      <c r="B227" s="1" t="s">
        <v>1163</v>
      </c>
      <c r="C227" s="1" t="s">
        <v>1040</v>
      </c>
      <c r="D227" s="1" t="s">
        <v>28</v>
      </c>
      <c r="E227" s="15">
        <f t="shared" si="2"/>
        <v>257.75</v>
      </c>
      <c r="F227" s="15">
        <f t="shared" si="3"/>
        <v>3.182098765</v>
      </c>
      <c r="G227" s="1">
        <v>81.0</v>
      </c>
      <c r="H227" s="1">
        <v>16.0</v>
      </c>
      <c r="I227" s="1">
        <v>23.0</v>
      </c>
      <c r="J227" s="1">
        <v>39.0</v>
      </c>
      <c r="K227" s="1">
        <v>135.0</v>
      </c>
      <c r="L227" s="1">
        <v>3.0</v>
      </c>
      <c r="M227" s="1">
        <v>1.0</v>
      </c>
      <c r="N227" s="1">
        <v>0.0</v>
      </c>
      <c r="O227" s="1">
        <v>0.0</v>
      </c>
      <c r="P227" s="1">
        <v>141.0</v>
      </c>
      <c r="Q227" s="1">
        <v>28.0</v>
      </c>
    </row>
    <row r="228">
      <c r="A228" s="2">
        <f t="shared" si="1"/>
        <v>226</v>
      </c>
      <c r="B228" s="1" t="s">
        <v>1255</v>
      </c>
      <c r="C228" s="1" t="s">
        <v>1034</v>
      </c>
      <c r="D228" s="1" t="s">
        <v>28</v>
      </c>
      <c r="E228" s="15">
        <f t="shared" si="2"/>
        <v>257.5</v>
      </c>
      <c r="F228" s="15">
        <f t="shared" si="3"/>
        <v>3.179012346</v>
      </c>
      <c r="G228" s="1">
        <v>81.0</v>
      </c>
      <c r="H228" s="1">
        <v>16.0</v>
      </c>
      <c r="I228" s="1">
        <v>16.0</v>
      </c>
      <c r="J228" s="1">
        <v>32.0</v>
      </c>
      <c r="K228" s="1">
        <v>153.0</v>
      </c>
      <c r="L228" s="1">
        <v>4.0</v>
      </c>
      <c r="M228" s="1">
        <v>5.0</v>
      </c>
      <c r="N228" s="1">
        <v>0.0</v>
      </c>
      <c r="O228" s="1">
        <v>0.0</v>
      </c>
      <c r="P228" s="1">
        <v>188.0</v>
      </c>
      <c r="Q228" s="1">
        <v>28.0</v>
      </c>
    </row>
    <row r="229">
      <c r="A229" s="2">
        <f t="shared" si="1"/>
        <v>227</v>
      </c>
      <c r="B229" s="1" t="s">
        <v>1475</v>
      </c>
      <c r="C229" s="1" t="s">
        <v>1054</v>
      </c>
      <c r="D229" s="1" t="s">
        <v>28</v>
      </c>
      <c r="E229" s="15">
        <f t="shared" si="2"/>
        <v>257</v>
      </c>
      <c r="F229" s="15">
        <f t="shared" si="3"/>
        <v>3.2125</v>
      </c>
      <c r="G229" s="1">
        <v>80.0</v>
      </c>
      <c r="H229" s="1">
        <v>19.0</v>
      </c>
      <c r="I229" s="1">
        <v>27.0</v>
      </c>
      <c r="J229" s="1">
        <v>46.0</v>
      </c>
      <c r="K229" s="1">
        <v>137.0</v>
      </c>
      <c r="L229" s="1">
        <v>5.0</v>
      </c>
      <c r="M229" s="1">
        <v>13.0</v>
      </c>
      <c r="N229" s="1">
        <v>2.0</v>
      </c>
      <c r="O229" s="1">
        <v>0.0</v>
      </c>
      <c r="P229" s="1">
        <v>26.0</v>
      </c>
      <c r="Q229" s="1">
        <v>23.0</v>
      </c>
    </row>
    <row r="230">
      <c r="A230" s="2">
        <f t="shared" si="1"/>
        <v>228</v>
      </c>
      <c r="B230" s="1" t="s">
        <v>1317</v>
      </c>
      <c r="C230" s="1" t="s">
        <v>1091</v>
      </c>
      <c r="D230" s="1" t="s">
        <v>66</v>
      </c>
      <c r="E230" s="15">
        <f t="shared" si="2"/>
        <v>256.75</v>
      </c>
      <c r="F230" s="15">
        <f t="shared" si="3"/>
        <v>3.131097561</v>
      </c>
      <c r="G230" s="1">
        <v>82.0</v>
      </c>
      <c r="H230" s="1">
        <v>6.0</v>
      </c>
      <c r="I230" s="1">
        <v>21.0</v>
      </c>
      <c r="J230" s="1">
        <v>27.0</v>
      </c>
      <c r="K230" s="1">
        <v>115.0</v>
      </c>
      <c r="L230" s="1">
        <v>0.0</v>
      </c>
      <c r="M230" s="1">
        <v>2.0</v>
      </c>
      <c r="N230" s="1">
        <v>0.0</v>
      </c>
      <c r="O230" s="1">
        <v>2.0</v>
      </c>
      <c r="P230" s="1">
        <v>97.0</v>
      </c>
      <c r="Q230" s="1">
        <v>162.0</v>
      </c>
    </row>
    <row r="231">
      <c r="A231" s="2">
        <f t="shared" si="1"/>
        <v>229</v>
      </c>
      <c r="B231" s="1" t="s">
        <v>1509</v>
      </c>
      <c r="C231" s="1" t="s">
        <v>1044</v>
      </c>
      <c r="D231" s="1" t="s">
        <v>31</v>
      </c>
      <c r="E231" s="15">
        <f t="shared" si="2"/>
        <v>256.25</v>
      </c>
      <c r="F231" s="15">
        <f t="shared" si="3"/>
        <v>3.125</v>
      </c>
      <c r="G231" s="1">
        <v>82.0</v>
      </c>
      <c r="H231" s="1">
        <v>20.0</v>
      </c>
      <c r="I231" s="1">
        <v>15.0</v>
      </c>
      <c r="J231" s="1">
        <v>35.0</v>
      </c>
      <c r="K231" s="1">
        <v>158.0</v>
      </c>
      <c r="L231" s="1">
        <v>5.0</v>
      </c>
      <c r="M231" s="1">
        <v>4.0</v>
      </c>
      <c r="N231" s="1">
        <v>0.0</v>
      </c>
      <c r="O231" s="1">
        <v>0.0</v>
      </c>
      <c r="P231" s="1">
        <v>71.0</v>
      </c>
      <c r="Q231" s="1">
        <v>49.0</v>
      </c>
    </row>
    <row r="232">
      <c r="A232" s="2">
        <f t="shared" si="1"/>
        <v>229</v>
      </c>
      <c r="B232" s="1" t="s">
        <v>1527</v>
      </c>
      <c r="C232" s="1" t="s">
        <v>1030</v>
      </c>
      <c r="D232" s="1" t="s">
        <v>66</v>
      </c>
      <c r="E232" s="15">
        <f t="shared" si="2"/>
        <v>256.25</v>
      </c>
      <c r="F232" s="15">
        <f t="shared" si="3"/>
        <v>3.371710526</v>
      </c>
      <c r="G232" s="1">
        <v>76.0</v>
      </c>
      <c r="H232" s="1">
        <v>6.0</v>
      </c>
      <c r="I232" s="1">
        <v>31.0</v>
      </c>
      <c r="J232" s="1">
        <v>37.0</v>
      </c>
      <c r="K232" s="1">
        <v>119.0</v>
      </c>
      <c r="L232" s="1">
        <v>1.0</v>
      </c>
      <c r="M232" s="1">
        <v>7.0</v>
      </c>
      <c r="N232" s="1">
        <v>0.0</v>
      </c>
      <c r="O232" s="1">
        <v>1.0</v>
      </c>
      <c r="P232" s="1">
        <v>67.0</v>
      </c>
      <c r="Q232" s="1">
        <v>116.0</v>
      </c>
    </row>
    <row r="233">
      <c r="A233" s="2">
        <f t="shared" si="1"/>
        <v>229</v>
      </c>
      <c r="B233" s="1" t="s">
        <v>1204</v>
      </c>
      <c r="C233" s="1" t="s">
        <v>1106</v>
      </c>
      <c r="D233" s="1" t="s">
        <v>66</v>
      </c>
      <c r="E233" s="15">
        <f t="shared" si="2"/>
        <v>256.25</v>
      </c>
      <c r="F233" s="15">
        <f t="shared" si="3"/>
        <v>3.243670886</v>
      </c>
      <c r="G233" s="1">
        <v>79.0</v>
      </c>
      <c r="H233" s="1">
        <v>4.0</v>
      </c>
      <c r="I233" s="1">
        <v>23.0</v>
      </c>
      <c r="J233" s="1">
        <v>27.0</v>
      </c>
      <c r="K233" s="1">
        <v>133.0</v>
      </c>
      <c r="L233" s="1">
        <v>0.0</v>
      </c>
      <c r="M233" s="1">
        <v>2.0</v>
      </c>
      <c r="N233" s="1">
        <v>0.0</v>
      </c>
      <c r="O233" s="1">
        <v>1.0</v>
      </c>
      <c r="P233" s="1">
        <v>115.0</v>
      </c>
      <c r="Q233" s="1">
        <v>144.0</v>
      </c>
    </row>
    <row r="234">
      <c r="A234" s="2">
        <f t="shared" si="1"/>
        <v>232</v>
      </c>
      <c r="B234" s="1" t="s">
        <v>1219</v>
      </c>
      <c r="C234" s="1" t="s">
        <v>1054</v>
      </c>
      <c r="D234" s="1" t="s">
        <v>36</v>
      </c>
      <c r="E234" s="15">
        <f t="shared" si="2"/>
        <v>255.5</v>
      </c>
      <c r="F234" s="15">
        <f t="shared" si="3"/>
        <v>4.330508475</v>
      </c>
      <c r="G234" s="1">
        <v>59.0</v>
      </c>
      <c r="H234" s="1">
        <v>15.0</v>
      </c>
      <c r="I234" s="1">
        <v>22.0</v>
      </c>
      <c r="J234" s="1">
        <v>37.0</v>
      </c>
      <c r="K234" s="1">
        <v>149.0</v>
      </c>
      <c r="L234" s="1">
        <v>1.0</v>
      </c>
      <c r="M234" s="1">
        <v>3.0</v>
      </c>
      <c r="N234" s="1">
        <v>2.0</v>
      </c>
      <c r="O234" s="1">
        <v>2.0</v>
      </c>
      <c r="P234" s="1">
        <v>62.0</v>
      </c>
      <c r="Q234" s="1">
        <v>48.0</v>
      </c>
    </row>
    <row r="235">
      <c r="A235" s="2">
        <f t="shared" si="1"/>
        <v>233</v>
      </c>
      <c r="B235" s="1" t="s">
        <v>1277</v>
      </c>
      <c r="C235" s="1" t="s">
        <v>1030</v>
      </c>
      <c r="D235" s="1" t="s">
        <v>31</v>
      </c>
      <c r="E235" s="15">
        <f t="shared" si="2"/>
        <v>255</v>
      </c>
      <c r="F235" s="15">
        <f t="shared" si="3"/>
        <v>3.695652174</v>
      </c>
      <c r="G235" s="1">
        <v>69.0</v>
      </c>
      <c r="H235" s="1">
        <v>16.0</v>
      </c>
      <c r="I235" s="1">
        <v>23.0</v>
      </c>
      <c r="J235" s="1">
        <v>39.0</v>
      </c>
      <c r="K235" s="1">
        <v>184.0</v>
      </c>
      <c r="L235" s="1">
        <v>6.0</v>
      </c>
      <c r="M235" s="1">
        <v>5.0</v>
      </c>
      <c r="N235" s="1">
        <v>0.0</v>
      </c>
      <c r="O235" s="1">
        <v>0.0</v>
      </c>
      <c r="P235" s="1">
        <v>34.0</v>
      </c>
      <c r="Q235" s="1">
        <v>27.0</v>
      </c>
    </row>
    <row r="236">
      <c r="A236" s="2">
        <f t="shared" si="1"/>
        <v>234</v>
      </c>
      <c r="B236" s="1" t="s">
        <v>1704</v>
      </c>
      <c r="C236" s="1" t="s">
        <v>1067</v>
      </c>
      <c r="D236" s="1" t="s">
        <v>28</v>
      </c>
      <c r="E236" s="15">
        <f t="shared" si="2"/>
        <v>254</v>
      </c>
      <c r="F236" s="15">
        <f t="shared" si="3"/>
        <v>3.386666667</v>
      </c>
      <c r="G236" s="1">
        <v>75.0</v>
      </c>
      <c r="H236" s="1">
        <v>28.0</v>
      </c>
      <c r="I236" s="1">
        <v>12.0</v>
      </c>
      <c r="J236" s="1">
        <v>40.0</v>
      </c>
      <c r="K236" s="1">
        <v>161.0</v>
      </c>
      <c r="L236" s="1">
        <v>7.0</v>
      </c>
      <c r="M236" s="1">
        <v>5.0</v>
      </c>
      <c r="N236" s="1">
        <v>0.0</v>
      </c>
      <c r="O236" s="1">
        <v>0.0</v>
      </c>
      <c r="P236" s="1">
        <v>16.0</v>
      </c>
      <c r="Q236" s="1">
        <v>15.0</v>
      </c>
    </row>
    <row r="237">
      <c r="A237" s="2">
        <f t="shared" si="1"/>
        <v>235</v>
      </c>
      <c r="B237" s="1" t="s">
        <v>1162</v>
      </c>
      <c r="C237" s="1" t="s">
        <v>1048</v>
      </c>
      <c r="D237" s="1" t="s">
        <v>5</v>
      </c>
      <c r="E237" s="15">
        <f t="shared" si="2"/>
        <v>253.8</v>
      </c>
      <c r="F237" s="15">
        <f t="shared" si="3"/>
        <v>5.076</v>
      </c>
      <c r="G237" s="1">
        <v>50.0</v>
      </c>
      <c r="M237" s="12"/>
      <c r="Q237" s="12"/>
      <c r="R237" s="1">
        <v>24.0</v>
      </c>
      <c r="S237" s="1">
        <v>145.0</v>
      </c>
      <c r="T237" s="12">
        <v>1321.0</v>
      </c>
      <c r="U237" s="1">
        <v>1.0</v>
      </c>
    </row>
    <row r="238">
      <c r="A238" s="2">
        <f t="shared" si="1"/>
        <v>236</v>
      </c>
      <c r="B238" s="1" t="s">
        <v>1190</v>
      </c>
      <c r="C238" s="1" t="s">
        <v>1036</v>
      </c>
      <c r="D238" s="1" t="s">
        <v>66</v>
      </c>
      <c r="E238" s="15">
        <f t="shared" si="2"/>
        <v>253.75</v>
      </c>
      <c r="F238" s="15">
        <f t="shared" si="3"/>
        <v>3.253205128</v>
      </c>
      <c r="G238" s="1">
        <v>78.0</v>
      </c>
      <c r="H238" s="1">
        <v>9.0</v>
      </c>
      <c r="I238" s="1">
        <v>23.0</v>
      </c>
      <c r="J238" s="1">
        <v>32.0</v>
      </c>
      <c r="K238" s="1">
        <v>135.0</v>
      </c>
      <c r="L238" s="1">
        <v>0.0</v>
      </c>
      <c r="M238" s="1">
        <v>4.0</v>
      </c>
      <c r="N238" s="1">
        <v>0.0</v>
      </c>
      <c r="O238" s="1">
        <v>1.0</v>
      </c>
      <c r="P238" s="1">
        <v>91.0</v>
      </c>
      <c r="Q238" s="1">
        <v>104.0</v>
      </c>
    </row>
    <row r="239">
      <c r="A239" s="2">
        <f t="shared" si="1"/>
        <v>237</v>
      </c>
      <c r="B239" s="1" t="s">
        <v>1485</v>
      </c>
      <c r="C239" s="1" t="s">
        <v>1156</v>
      </c>
      <c r="D239" s="1" t="s">
        <v>36</v>
      </c>
      <c r="E239" s="15">
        <f t="shared" si="2"/>
        <v>253</v>
      </c>
      <c r="F239" s="15">
        <f t="shared" si="3"/>
        <v>3.285714286</v>
      </c>
      <c r="G239" s="1">
        <v>77.0</v>
      </c>
      <c r="H239" s="1">
        <v>11.0</v>
      </c>
      <c r="I239" s="1">
        <v>33.0</v>
      </c>
      <c r="J239" s="1">
        <v>44.0</v>
      </c>
      <c r="K239" s="1">
        <v>123.0</v>
      </c>
      <c r="L239" s="1">
        <v>2.0</v>
      </c>
      <c r="M239" s="1">
        <v>7.0</v>
      </c>
      <c r="N239" s="1">
        <v>2.0</v>
      </c>
      <c r="O239" s="1">
        <v>1.0</v>
      </c>
      <c r="P239" s="1">
        <v>42.0</v>
      </c>
      <c r="Q239" s="1">
        <v>53.0</v>
      </c>
    </row>
    <row r="240">
      <c r="A240" s="2">
        <f t="shared" si="1"/>
        <v>238</v>
      </c>
      <c r="B240" s="1" t="s">
        <v>1248</v>
      </c>
      <c r="C240" s="1" t="s">
        <v>1044</v>
      </c>
      <c r="D240" s="1" t="s">
        <v>66</v>
      </c>
      <c r="E240" s="15">
        <f t="shared" si="2"/>
        <v>252.25</v>
      </c>
      <c r="F240" s="15">
        <f t="shared" si="3"/>
        <v>3.275974026</v>
      </c>
      <c r="G240" s="1">
        <v>77.0</v>
      </c>
      <c r="H240" s="1">
        <v>4.0</v>
      </c>
      <c r="I240" s="1">
        <v>28.0</v>
      </c>
      <c r="J240" s="1">
        <v>32.0</v>
      </c>
      <c r="K240" s="1">
        <v>132.0</v>
      </c>
      <c r="L240" s="1">
        <v>2.0</v>
      </c>
      <c r="M240" s="1">
        <v>15.0</v>
      </c>
      <c r="N240" s="1">
        <v>0.0</v>
      </c>
      <c r="O240" s="1">
        <v>0.0</v>
      </c>
      <c r="P240" s="1">
        <v>43.0</v>
      </c>
      <c r="Q240" s="1">
        <v>147.0</v>
      </c>
    </row>
    <row r="241">
      <c r="A241" s="2">
        <f t="shared" si="1"/>
        <v>238</v>
      </c>
      <c r="B241" s="1" t="s">
        <v>1205</v>
      </c>
      <c r="C241" s="1" t="s">
        <v>1091</v>
      </c>
      <c r="D241" s="1" t="s">
        <v>28</v>
      </c>
      <c r="E241" s="15">
        <f t="shared" si="2"/>
        <v>252.25</v>
      </c>
      <c r="F241" s="15">
        <f t="shared" si="3"/>
        <v>3.076219512</v>
      </c>
      <c r="G241" s="1">
        <v>82.0</v>
      </c>
      <c r="H241" s="1">
        <v>15.0</v>
      </c>
      <c r="I241" s="1">
        <v>24.0</v>
      </c>
      <c r="J241" s="1">
        <v>39.0</v>
      </c>
      <c r="K241" s="1">
        <v>145.0</v>
      </c>
      <c r="L241" s="1">
        <v>0.0</v>
      </c>
      <c r="M241" s="1">
        <v>2.0</v>
      </c>
      <c r="N241" s="1">
        <v>0.0</v>
      </c>
      <c r="O241" s="1">
        <v>0.0</v>
      </c>
      <c r="P241" s="1">
        <v>71.0</v>
      </c>
      <c r="Q241" s="1">
        <v>45.0</v>
      </c>
      <c r="T241" s="12"/>
    </row>
    <row r="242">
      <c r="A242" s="2">
        <f t="shared" si="1"/>
        <v>240</v>
      </c>
      <c r="B242" s="1" t="s">
        <v>1139</v>
      </c>
      <c r="C242" s="1" t="s">
        <v>1032</v>
      </c>
      <c r="D242" s="1" t="s">
        <v>66</v>
      </c>
      <c r="E242" s="15">
        <f t="shared" si="2"/>
        <v>252</v>
      </c>
      <c r="F242" s="15">
        <f t="shared" si="3"/>
        <v>3.876923077</v>
      </c>
      <c r="G242" s="1">
        <v>65.0</v>
      </c>
      <c r="H242" s="1">
        <v>4.0</v>
      </c>
      <c r="I242" s="1">
        <v>37.0</v>
      </c>
      <c r="J242" s="1">
        <v>41.0</v>
      </c>
      <c r="K242" s="1">
        <v>126.0</v>
      </c>
      <c r="L242" s="1">
        <v>1.0</v>
      </c>
      <c r="M242" s="1">
        <v>16.0</v>
      </c>
      <c r="N242" s="1">
        <v>0.0</v>
      </c>
      <c r="O242" s="1">
        <v>0.0</v>
      </c>
      <c r="P242" s="1">
        <v>70.0</v>
      </c>
      <c r="Q242" s="1">
        <v>85.0</v>
      </c>
    </row>
    <row r="243">
      <c r="A243" s="2">
        <f t="shared" si="1"/>
        <v>240</v>
      </c>
      <c r="B243" s="1" t="s">
        <v>1714</v>
      </c>
      <c r="C243" s="1" t="s">
        <v>1175</v>
      </c>
      <c r="D243" s="1" t="s">
        <v>36</v>
      </c>
      <c r="E243" s="15">
        <f t="shared" si="2"/>
        <v>252</v>
      </c>
      <c r="F243" s="15">
        <f t="shared" si="3"/>
        <v>3.705882353</v>
      </c>
      <c r="G243" s="1">
        <v>68.0</v>
      </c>
      <c r="H243" s="1">
        <v>15.0</v>
      </c>
      <c r="I243" s="1">
        <v>32.0</v>
      </c>
      <c r="J243" s="1">
        <v>47.0</v>
      </c>
      <c r="K243" s="1">
        <v>120.0</v>
      </c>
      <c r="L243" s="1">
        <v>3.0</v>
      </c>
      <c r="M243" s="1">
        <v>10.0</v>
      </c>
      <c r="N243" s="1">
        <v>0.0</v>
      </c>
      <c r="O243" s="1">
        <v>0.0</v>
      </c>
      <c r="P243" s="1">
        <v>40.0</v>
      </c>
      <c r="Q243" s="1">
        <v>37.0</v>
      </c>
    </row>
    <row r="244">
      <c r="A244" s="2">
        <f t="shared" si="1"/>
        <v>242</v>
      </c>
      <c r="B244" s="1" t="s">
        <v>1350</v>
      </c>
      <c r="C244" s="1" t="s">
        <v>1073</v>
      </c>
      <c r="D244" s="1" t="s">
        <v>31</v>
      </c>
      <c r="E244" s="15">
        <f t="shared" si="2"/>
        <v>251.75</v>
      </c>
      <c r="F244" s="15">
        <f t="shared" si="3"/>
        <v>3.108024691</v>
      </c>
      <c r="G244" s="1">
        <v>81.0</v>
      </c>
      <c r="H244" s="1">
        <v>17.0</v>
      </c>
      <c r="I244" s="1">
        <v>17.0</v>
      </c>
      <c r="J244" s="1">
        <v>34.0</v>
      </c>
      <c r="K244" s="1">
        <v>124.0</v>
      </c>
      <c r="L244" s="1">
        <v>0.0</v>
      </c>
      <c r="M244" s="1">
        <v>0.0</v>
      </c>
      <c r="N244" s="1">
        <v>1.0</v>
      </c>
      <c r="O244" s="1">
        <v>1.0</v>
      </c>
      <c r="P244" s="1">
        <v>155.0</v>
      </c>
      <c r="Q244" s="1">
        <v>39.0</v>
      </c>
    </row>
    <row r="245">
      <c r="A245" s="2">
        <f t="shared" si="1"/>
        <v>243</v>
      </c>
      <c r="B245" s="1" t="s">
        <v>1675</v>
      </c>
      <c r="C245" s="1" t="s">
        <v>1087</v>
      </c>
      <c r="D245" s="1" t="s">
        <v>66</v>
      </c>
      <c r="E245" s="15">
        <f t="shared" si="2"/>
        <v>251.25</v>
      </c>
      <c r="F245" s="15">
        <f t="shared" si="3"/>
        <v>3.06402439</v>
      </c>
      <c r="G245" s="1">
        <v>82.0</v>
      </c>
      <c r="H245" s="1">
        <v>6.0</v>
      </c>
      <c r="I245" s="1">
        <v>18.0</v>
      </c>
      <c r="J245" s="1">
        <v>24.0</v>
      </c>
      <c r="K245" s="1">
        <v>119.0</v>
      </c>
      <c r="L245" s="1">
        <v>0.0</v>
      </c>
      <c r="M245" s="1">
        <v>0.0</v>
      </c>
      <c r="N245" s="1">
        <v>0.0</v>
      </c>
      <c r="O245" s="1">
        <v>0.0</v>
      </c>
      <c r="P245" s="1">
        <v>107.0</v>
      </c>
      <c r="Q245" s="1">
        <v>168.0</v>
      </c>
    </row>
    <row r="246">
      <c r="A246" s="2">
        <f t="shared" si="1"/>
        <v>244</v>
      </c>
      <c r="B246" s="1" t="s">
        <v>1214</v>
      </c>
      <c r="C246" s="1" t="s">
        <v>1036</v>
      </c>
      <c r="D246" s="1" t="s">
        <v>31</v>
      </c>
      <c r="E246" s="15">
        <f t="shared" si="2"/>
        <v>251</v>
      </c>
      <c r="F246" s="15">
        <f t="shared" si="3"/>
        <v>3.217948718</v>
      </c>
      <c r="G246" s="1">
        <v>78.0</v>
      </c>
      <c r="H246" s="1">
        <v>17.0</v>
      </c>
      <c r="I246" s="1">
        <v>12.0</v>
      </c>
      <c r="J246" s="1">
        <v>29.0</v>
      </c>
      <c r="K246" s="1">
        <v>145.0</v>
      </c>
      <c r="L246" s="1">
        <v>1.0</v>
      </c>
      <c r="M246" s="1">
        <v>0.0</v>
      </c>
      <c r="N246" s="1">
        <v>1.0</v>
      </c>
      <c r="O246" s="1">
        <v>0.0</v>
      </c>
      <c r="P246" s="1">
        <v>168.0</v>
      </c>
      <c r="Q246" s="1">
        <v>44.0</v>
      </c>
    </row>
    <row r="247">
      <c r="A247" s="2">
        <f t="shared" si="1"/>
        <v>245</v>
      </c>
      <c r="B247" s="1" t="s">
        <v>1387</v>
      </c>
      <c r="C247" s="1" t="s">
        <v>1080</v>
      </c>
      <c r="D247" s="1" t="s">
        <v>66</v>
      </c>
      <c r="E247" s="15">
        <f t="shared" si="2"/>
        <v>250</v>
      </c>
      <c r="F247" s="15">
        <f t="shared" si="3"/>
        <v>4.545454545</v>
      </c>
      <c r="G247" s="1">
        <v>55.0</v>
      </c>
      <c r="H247" s="1">
        <v>8.0</v>
      </c>
      <c r="I247" s="1">
        <v>33.0</v>
      </c>
      <c r="J247" s="1">
        <v>41.0</v>
      </c>
      <c r="K247" s="1">
        <v>136.0</v>
      </c>
      <c r="L247" s="1">
        <v>2.0</v>
      </c>
      <c r="M247" s="1">
        <v>7.0</v>
      </c>
      <c r="N247" s="1">
        <v>0.0</v>
      </c>
      <c r="O247" s="1">
        <v>0.0</v>
      </c>
      <c r="P247" s="1">
        <v>16.0</v>
      </c>
      <c r="Q247" s="1">
        <v>86.0</v>
      </c>
    </row>
    <row r="248">
      <c r="A248" s="2">
        <f t="shared" si="1"/>
        <v>246</v>
      </c>
      <c r="B248" s="1" t="s">
        <v>1267</v>
      </c>
      <c r="C248" s="1" t="s">
        <v>1080</v>
      </c>
      <c r="D248" s="1" t="s">
        <v>66</v>
      </c>
      <c r="E248" s="15">
        <f t="shared" si="2"/>
        <v>249.75</v>
      </c>
      <c r="F248" s="15">
        <f t="shared" si="3"/>
        <v>3.045731707</v>
      </c>
      <c r="G248" s="1">
        <v>82.0</v>
      </c>
      <c r="H248" s="1">
        <v>1.0</v>
      </c>
      <c r="I248" s="1">
        <v>16.0</v>
      </c>
      <c r="J248" s="1">
        <v>17.0</v>
      </c>
      <c r="K248" s="1">
        <v>89.0</v>
      </c>
      <c r="L248" s="1">
        <v>0.0</v>
      </c>
      <c r="M248" s="1">
        <v>0.0</v>
      </c>
      <c r="N248" s="1">
        <v>0.0</v>
      </c>
      <c r="O248" s="1">
        <v>2.0</v>
      </c>
      <c r="P248" s="1">
        <v>201.0</v>
      </c>
      <c r="Q248" s="1">
        <v>197.0</v>
      </c>
    </row>
    <row r="249">
      <c r="A249" s="2">
        <f t="shared" si="1"/>
        <v>247</v>
      </c>
      <c r="B249" s="1" t="s">
        <v>1300</v>
      </c>
      <c r="C249" s="1" t="s">
        <v>1048</v>
      </c>
      <c r="D249" s="1" t="s">
        <v>66</v>
      </c>
      <c r="E249" s="15">
        <f t="shared" si="2"/>
        <v>249</v>
      </c>
      <c r="F249" s="15">
        <f t="shared" si="3"/>
        <v>3.458333333</v>
      </c>
      <c r="G249" s="1">
        <v>72.0</v>
      </c>
      <c r="H249" s="1">
        <v>2.0</v>
      </c>
      <c r="I249" s="1">
        <v>15.0</v>
      </c>
      <c r="J249" s="1">
        <v>17.0</v>
      </c>
      <c r="K249" s="1">
        <v>110.0</v>
      </c>
      <c r="L249" s="1">
        <v>0.0</v>
      </c>
      <c r="M249" s="1">
        <v>0.0</v>
      </c>
      <c r="N249" s="1">
        <v>0.0</v>
      </c>
      <c r="O249" s="1">
        <v>0.0</v>
      </c>
      <c r="P249" s="1">
        <v>312.0</v>
      </c>
      <c r="Q249" s="1">
        <v>124.0</v>
      </c>
    </row>
    <row r="250">
      <c r="A250" s="2">
        <f t="shared" si="1"/>
        <v>248</v>
      </c>
      <c r="B250" s="1" t="s">
        <v>1134</v>
      </c>
      <c r="C250" s="1" t="s">
        <v>1120</v>
      </c>
      <c r="D250" s="1" t="s">
        <v>36</v>
      </c>
      <c r="E250" s="15">
        <f t="shared" si="2"/>
        <v>248.25</v>
      </c>
      <c r="F250" s="15">
        <f t="shared" si="3"/>
        <v>3.35472973</v>
      </c>
      <c r="G250" s="1">
        <v>74.0</v>
      </c>
      <c r="H250" s="1">
        <v>17.0</v>
      </c>
      <c r="I250" s="1">
        <v>28.0</v>
      </c>
      <c r="J250" s="1">
        <v>45.0</v>
      </c>
      <c r="K250" s="1">
        <v>134.0</v>
      </c>
      <c r="L250" s="1">
        <v>5.0</v>
      </c>
      <c r="M250" s="1">
        <v>14.0</v>
      </c>
      <c r="N250" s="1">
        <v>0.0</v>
      </c>
      <c r="O250" s="1">
        <v>0.0</v>
      </c>
      <c r="P250" s="1">
        <v>43.0</v>
      </c>
      <c r="Q250" s="1">
        <v>20.0</v>
      </c>
    </row>
    <row r="251">
      <c r="A251" s="2">
        <f t="shared" si="1"/>
        <v>248</v>
      </c>
      <c r="B251" s="1" t="s">
        <v>1706</v>
      </c>
      <c r="C251" s="1" t="s">
        <v>1082</v>
      </c>
      <c r="D251" s="1" t="s">
        <v>28</v>
      </c>
      <c r="E251" s="15">
        <f t="shared" si="2"/>
        <v>248.25</v>
      </c>
      <c r="F251" s="15">
        <f t="shared" si="3"/>
        <v>3.027439024</v>
      </c>
      <c r="G251" s="1">
        <v>82.0</v>
      </c>
      <c r="H251" s="1">
        <v>15.0</v>
      </c>
      <c r="I251" s="1">
        <v>22.0</v>
      </c>
      <c r="J251" s="1">
        <v>37.0</v>
      </c>
      <c r="K251" s="1">
        <v>154.0</v>
      </c>
      <c r="L251" s="1">
        <v>2.0</v>
      </c>
      <c r="M251" s="1">
        <v>5.0</v>
      </c>
      <c r="N251" s="1">
        <v>2.0</v>
      </c>
      <c r="O251" s="1">
        <v>0.0</v>
      </c>
      <c r="P251" s="1">
        <v>57.0</v>
      </c>
      <c r="Q251" s="1">
        <v>39.0</v>
      </c>
    </row>
    <row r="252">
      <c r="A252" s="2">
        <f t="shared" si="1"/>
        <v>250</v>
      </c>
      <c r="B252" s="1" t="s">
        <v>1216</v>
      </c>
      <c r="C252" s="1" t="s">
        <v>1052</v>
      </c>
      <c r="D252" s="1" t="s">
        <v>31</v>
      </c>
      <c r="E252" s="15">
        <f t="shared" si="2"/>
        <v>248</v>
      </c>
      <c r="F252" s="15">
        <f t="shared" si="3"/>
        <v>3.139240506</v>
      </c>
      <c r="G252" s="1">
        <v>79.0</v>
      </c>
      <c r="H252" s="1">
        <v>10.0</v>
      </c>
      <c r="I252" s="1">
        <v>31.0</v>
      </c>
      <c r="J252" s="1">
        <v>41.0</v>
      </c>
      <c r="K252" s="1">
        <v>121.0</v>
      </c>
      <c r="L252" s="1">
        <v>1.0</v>
      </c>
      <c r="M252" s="1">
        <v>11.0</v>
      </c>
      <c r="N252" s="1">
        <v>0.0</v>
      </c>
      <c r="O252" s="1">
        <v>0.0</v>
      </c>
      <c r="P252" s="1">
        <v>78.0</v>
      </c>
      <c r="Q252" s="1">
        <v>60.0</v>
      </c>
    </row>
    <row r="253">
      <c r="A253" s="2">
        <f t="shared" si="1"/>
        <v>251</v>
      </c>
      <c r="B253" s="1" t="s">
        <v>1404</v>
      </c>
      <c r="C253" s="1" t="s">
        <v>1087</v>
      </c>
      <c r="D253" s="1" t="s">
        <v>66</v>
      </c>
      <c r="E253" s="15">
        <f t="shared" si="2"/>
        <v>247.5</v>
      </c>
      <c r="F253" s="15">
        <f t="shared" si="3"/>
        <v>3.018292683</v>
      </c>
      <c r="G253" s="1">
        <v>82.0</v>
      </c>
      <c r="H253" s="1">
        <v>5.0</v>
      </c>
      <c r="I253" s="1">
        <v>21.0</v>
      </c>
      <c r="J253" s="1">
        <v>26.0</v>
      </c>
      <c r="K253" s="1">
        <v>126.0</v>
      </c>
      <c r="L253" s="1">
        <v>1.0</v>
      </c>
      <c r="M253" s="1">
        <v>4.0</v>
      </c>
      <c r="N253" s="1">
        <v>0.0</v>
      </c>
      <c r="O253" s="1">
        <v>0.0</v>
      </c>
      <c r="P253" s="1">
        <v>140.0</v>
      </c>
      <c r="Q253" s="1">
        <v>128.0</v>
      </c>
    </row>
    <row r="254">
      <c r="A254" s="2">
        <f t="shared" si="1"/>
        <v>252</v>
      </c>
      <c r="B254" s="1" t="s">
        <v>1229</v>
      </c>
      <c r="C254" s="1" t="s">
        <v>1046</v>
      </c>
      <c r="D254" s="1" t="s">
        <v>66</v>
      </c>
      <c r="E254" s="15">
        <f t="shared" si="2"/>
        <v>247</v>
      </c>
      <c r="F254" s="15">
        <f t="shared" si="3"/>
        <v>3.859375</v>
      </c>
      <c r="G254" s="1">
        <v>64.0</v>
      </c>
      <c r="H254" s="1">
        <v>9.0</v>
      </c>
      <c r="I254" s="1">
        <v>30.0</v>
      </c>
      <c r="J254" s="1">
        <v>39.0</v>
      </c>
      <c r="K254" s="1">
        <v>124.0</v>
      </c>
      <c r="L254" s="1">
        <v>4.0</v>
      </c>
      <c r="M254" s="1">
        <v>12.0</v>
      </c>
      <c r="N254" s="1">
        <v>0.0</v>
      </c>
      <c r="O254" s="1">
        <v>0.0</v>
      </c>
      <c r="P254" s="1">
        <v>102.0</v>
      </c>
      <c r="Q254" s="1">
        <v>58.0</v>
      </c>
    </row>
    <row r="255">
      <c r="A255" s="2">
        <f t="shared" si="1"/>
        <v>253</v>
      </c>
      <c r="B255" s="1" t="s">
        <v>1602</v>
      </c>
      <c r="C255" s="1" t="s">
        <v>1032</v>
      </c>
      <c r="D255" s="1" t="s">
        <v>31</v>
      </c>
      <c r="E255" s="15">
        <f t="shared" si="2"/>
        <v>246.5</v>
      </c>
      <c r="F255" s="15">
        <f t="shared" si="3"/>
        <v>3.201298701</v>
      </c>
      <c r="G255" s="1">
        <v>77.0</v>
      </c>
      <c r="H255" s="1">
        <v>14.0</v>
      </c>
      <c r="I255" s="1">
        <v>9.0</v>
      </c>
      <c r="J255" s="1">
        <v>23.0</v>
      </c>
      <c r="K255" s="1">
        <v>102.0</v>
      </c>
      <c r="L255" s="1">
        <v>0.0</v>
      </c>
      <c r="M255" s="1">
        <v>0.0</v>
      </c>
      <c r="N255" s="1">
        <v>0.0</v>
      </c>
      <c r="O255" s="1">
        <v>2.0</v>
      </c>
      <c r="P255" s="1">
        <v>244.0</v>
      </c>
      <c r="Q255" s="1">
        <v>81.0</v>
      </c>
      <c r="T255" s="12"/>
    </row>
    <row r="256">
      <c r="A256" s="2">
        <f t="shared" si="1"/>
        <v>254</v>
      </c>
      <c r="B256" s="1" t="s">
        <v>1410</v>
      </c>
      <c r="C256" s="1" t="s">
        <v>1078</v>
      </c>
      <c r="D256" s="1" t="s">
        <v>31</v>
      </c>
      <c r="E256" s="15">
        <f t="shared" si="2"/>
        <v>245.25</v>
      </c>
      <c r="F256" s="15">
        <f t="shared" si="3"/>
        <v>3.892857143</v>
      </c>
      <c r="G256" s="1">
        <v>63.0</v>
      </c>
      <c r="H256" s="1">
        <v>23.0</v>
      </c>
      <c r="I256" s="1">
        <v>18.0</v>
      </c>
      <c r="J256" s="1">
        <v>41.0</v>
      </c>
      <c r="K256" s="1">
        <v>122.0</v>
      </c>
      <c r="L256" s="1">
        <v>5.0</v>
      </c>
      <c r="M256" s="1">
        <v>4.0</v>
      </c>
      <c r="N256" s="1">
        <v>0.0</v>
      </c>
      <c r="O256" s="1">
        <v>0.0</v>
      </c>
      <c r="P256" s="1">
        <v>41.0</v>
      </c>
      <c r="Q256" s="1">
        <v>33.0</v>
      </c>
    </row>
    <row r="257">
      <c r="A257" s="2">
        <f t="shared" si="1"/>
        <v>255</v>
      </c>
      <c r="B257" s="1" t="s">
        <v>1572</v>
      </c>
      <c r="C257" s="1" t="s">
        <v>1172</v>
      </c>
      <c r="D257" s="1" t="s">
        <v>36</v>
      </c>
      <c r="E257" s="15">
        <f t="shared" si="2"/>
        <v>245</v>
      </c>
      <c r="F257" s="15">
        <f t="shared" si="3"/>
        <v>3.141025641</v>
      </c>
      <c r="G257" s="1">
        <v>78.0</v>
      </c>
      <c r="H257" s="1">
        <v>20.0</v>
      </c>
      <c r="I257" s="1">
        <v>17.0</v>
      </c>
      <c r="J257" s="1">
        <v>37.0</v>
      </c>
      <c r="K257" s="1">
        <v>129.0</v>
      </c>
      <c r="L257" s="1">
        <v>7.0</v>
      </c>
      <c r="M257" s="1">
        <v>8.0</v>
      </c>
      <c r="N257" s="1">
        <v>0.0</v>
      </c>
      <c r="O257" s="1">
        <v>0.0</v>
      </c>
      <c r="P257" s="1">
        <v>82.0</v>
      </c>
      <c r="Q257" s="1">
        <v>38.0</v>
      </c>
    </row>
    <row r="258">
      <c r="A258" s="2">
        <f t="shared" si="1"/>
        <v>255</v>
      </c>
      <c r="B258" s="1" t="s">
        <v>1526</v>
      </c>
      <c r="C258" s="1" t="s">
        <v>1032</v>
      </c>
      <c r="D258" s="1" t="s">
        <v>66</v>
      </c>
      <c r="E258" s="15">
        <f t="shared" si="2"/>
        <v>245</v>
      </c>
      <c r="F258" s="15">
        <f t="shared" si="3"/>
        <v>3.5</v>
      </c>
      <c r="G258" s="1">
        <v>70.0</v>
      </c>
      <c r="H258" s="1">
        <v>4.0</v>
      </c>
      <c r="I258" s="1">
        <v>18.0</v>
      </c>
      <c r="J258" s="1">
        <v>22.0</v>
      </c>
      <c r="K258" s="1">
        <v>81.0</v>
      </c>
      <c r="L258" s="1">
        <v>0.0</v>
      </c>
      <c r="M258" s="1">
        <v>0.0</v>
      </c>
      <c r="N258" s="1">
        <v>0.0</v>
      </c>
      <c r="O258" s="1">
        <v>2.0</v>
      </c>
      <c r="P258" s="1">
        <v>318.0</v>
      </c>
      <c r="Q258" s="1">
        <v>98.0</v>
      </c>
    </row>
    <row r="259">
      <c r="A259" s="2">
        <f t="shared" si="1"/>
        <v>255</v>
      </c>
      <c r="B259" s="1" t="s">
        <v>1603</v>
      </c>
      <c r="C259" s="1" t="s">
        <v>1091</v>
      </c>
      <c r="D259" s="1" t="s">
        <v>28</v>
      </c>
      <c r="E259" s="15">
        <f t="shared" si="2"/>
        <v>245</v>
      </c>
      <c r="F259" s="15">
        <f t="shared" si="3"/>
        <v>2.987804878</v>
      </c>
      <c r="G259" s="1">
        <v>82.0</v>
      </c>
      <c r="H259" s="1">
        <v>13.0</v>
      </c>
      <c r="I259" s="1">
        <v>25.0</v>
      </c>
      <c r="J259" s="1">
        <v>38.0</v>
      </c>
      <c r="K259" s="1">
        <v>107.0</v>
      </c>
      <c r="L259" s="1">
        <v>3.0</v>
      </c>
      <c r="M259" s="1">
        <v>5.0</v>
      </c>
      <c r="N259" s="1">
        <v>1.0</v>
      </c>
      <c r="O259" s="1">
        <v>1.0</v>
      </c>
      <c r="P259" s="1">
        <v>86.0</v>
      </c>
      <c r="Q259" s="1">
        <v>65.0</v>
      </c>
    </row>
    <row r="260">
      <c r="A260" s="2">
        <f t="shared" si="1"/>
        <v>258</v>
      </c>
      <c r="B260" s="1" t="s">
        <v>1477</v>
      </c>
      <c r="C260" s="1" t="s">
        <v>1082</v>
      </c>
      <c r="D260" s="1" t="s">
        <v>36</v>
      </c>
      <c r="E260" s="15">
        <f t="shared" si="2"/>
        <v>244.75</v>
      </c>
      <c r="F260" s="15">
        <f t="shared" si="3"/>
        <v>4.219827586</v>
      </c>
      <c r="G260" s="1">
        <v>58.0</v>
      </c>
      <c r="H260" s="1">
        <v>19.0</v>
      </c>
      <c r="I260" s="1">
        <v>16.0</v>
      </c>
      <c r="J260" s="1">
        <v>35.0</v>
      </c>
      <c r="K260" s="1">
        <v>126.0</v>
      </c>
      <c r="L260" s="1">
        <v>9.0</v>
      </c>
      <c r="M260" s="1">
        <v>2.0</v>
      </c>
      <c r="N260" s="1">
        <v>0.0</v>
      </c>
      <c r="O260" s="1">
        <v>0.0</v>
      </c>
      <c r="P260" s="1">
        <v>125.0</v>
      </c>
      <c r="Q260" s="1">
        <v>34.0</v>
      </c>
    </row>
    <row r="261">
      <c r="A261" s="2">
        <f t="shared" si="1"/>
        <v>258</v>
      </c>
      <c r="B261" s="1" t="s">
        <v>1702</v>
      </c>
      <c r="C261" s="1" t="s">
        <v>1044</v>
      </c>
      <c r="D261" s="1" t="s">
        <v>66</v>
      </c>
      <c r="E261" s="15">
        <f t="shared" si="2"/>
        <v>244.75</v>
      </c>
      <c r="F261" s="15">
        <f t="shared" si="3"/>
        <v>3.263333333</v>
      </c>
      <c r="G261" s="1">
        <v>75.0</v>
      </c>
      <c r="H261" s="1">
        <v>6.0</v>
      </c>
      <c r="I261" s="1">
        <v>15.0</v>
      </c>
      <c r="J261" s="1">
        <v>21.0</v>
      </c>
      <c r="K261" s="1">
        <v>136.0</v>
      </c>
      <c r="L261" s="1">
        <v>0.0</v>
      </c>
      <c r="M261" s="1">
        <v>1.0</v>
      </c>
      <c r="N261" s="1">
        <v>0.0</v>
      </c>
      <c r="O261" s="1">
        <v>3.0</v>
      </c>
      <c r="P261" s="1">
        <v>109.0</v>
      </c>
      <c r="Q261" s="1">
        <v>143.0</v>
      </c>
    </row>
    <row r="262">
      <c r="A262" s="2">
        <f t="shared" si="1"/>
        <v>260</v>
      </c>
      <c r="B262" s="1" t="s">
        <v>1281</v>
      </c>
      <c r="C262" s="1" t="s">
        <v>1032</v>
      </c>
      <c r="D262" s="1" t="s">
        <v>66</v>
      </c>
      <c r="E262" s="15">
        <f t="shared" si="2"/>
        <v>243.75</v>
      </c>
      <c r="F262" s="15">
        <f t="shared" si="3"/>
        <v>3.207236842</v>
      </c>
      <c r="G262" s="1">
        <v>76.0</v>
      </c>
      <c r="H262" s="1">
        <v>3.0</v>
      </c>
      <c r="I262" s="1">
        <v>22.0</v>
      </c>
      <c r="J262" s="1">
        <v>25.0</v>
      </c>
      <c r="K262" s="1">
        <v>96.0</v>
      </c>
      <c r="L262" s="1">
        <v>0.0</v>
      </c>
      <c r="M262" s="1">
        <v>0.0</v>
      </c>
      <c r="N262" s="1">
        <v>0.0</v>
      </c>
      <c r="O262" s="1">
        <v>0.0</v>
      </c>
      <c r="P262" s="1">
        <v>163.0</v>
      </c>
      <c r="Q262" s="1">
        <v>151.0</v>
      </c>
    </row>
    <row r="263">
      <c r="A263" s="2">
        <f t="shared" si="1"/>
        <v>261</v>
      </c>
      <c r="B263" s="1" t="s">
        <v>1183</v>
      </c>
      <c r="C263" s="1" t="s">
        <v>1065</v>
      </c>
      <c r="D263" s="1" t="s">
        <v>31</v>
      </c>
      <c r="E263" s="15">
        <f t="shared" si="2"/>
        <v>243</v>
      </c>
      <c r="F263" s="15">
        <f t="shared" si="3"/>
        <v>3.919354839</v>
      </c>
      <c r="G263" s="1">
        <v>62.0</v>
      </c>
      <c r="H263" s="1">
        <v>22.0</v>
      </c>
      <c r="I263" s="1">
        <v>16.0</v>
      </c>
      <c r="J263" s="1">
        <v>38.0</v>
      </c>
      <c r="K263" s="1">
        <v>132.0</v>
      </c>
      <c r="L263" s="1">
        <v>4.0</v>
      </c>
      <c r="M263" s="1">
        <v>6.0</v>
      </c>
      <c r="N263" s="1">
        <v>0.0</v>
      </c>
      <c r="O263" s="1">
        <v>0.0</v>
      </c>
      <c r="P263" s="1">
        <v>28.0</v>
      </c>
      <c r="Q263" s="1">
        <v>46.0</v>
      </c>
      <c r="T263" s="12"/>
    </row>
    <row r="264">
      <c r="A264" s="2">
        <f t="shared" si="1"/>
        <v>262</v>
      </c>
      <c r="B264" s="1" t="s">
        <v>1377</v>
      </c>
      <c r="C264" s="1" t="s">
        <v>1073</v>
      </c>
      <c r="D264" s="1" t="s">
        <v>28</v>
      </c>
      <c r="E264" s="15">
        <f t="shared" si="2"/>
        <v>242.25</v>
      </c>
      <c r="F264" s="15">
        <f t="shared" si="3"/>
        <v>2.954268293</v>
      </c>
      <c r="G264" s="1">
        <v>82.0</v>
      </c>
      <c r="H264" s="1">
        <v>13.0</v>
      </c>
      <c r="I264" s="1">
        <v>21.0</v>
      </c>
      <c r="J264" s="1">
        <v>34.0</v>
      </c>
      <c r="K264" s="1">
        <v>162.0</v>
      </c>
      <c r="L264" s="1">
        <v>0.0</v>
      </c>
      <c r="M264" s="1">
        <v>0.0</v>
      </c>
      <c r="N264" s="1">
        <v>1.0</v>
      </c>
      <c r="O264" s="1">
        <v>1.0</v>
      </c>
      <c r="P264" s="1">
        <v>81.0</v>
      </c>
      <c r="Q264" s="1">
        <v>31.0</v>
      </c>
    </row>
    <row r="265">
      <c r="A265" s="2">
        <f t="shared" si="1"/>
        <v>263</v>
      </c>
      <c r="B265" s="1" t="s">
        <v>1445</v>
      </c>
      <c r="C265" s="1" t="s">
        <v>1032</v>
      </c>
      <c r="D265" s="1" t="s">
        <v>66</v>
      </c>
      <c r="E265" s="15">
        <f t="shared" si="2"/>
        <v>242</v>
      </c>
      <c r="F265" s="15">
        <f t="shared" si="3"/>
        <v>3.457142857</v>
      </c>
      <c r="G265" s="1">
        <v>70.0</v>
      </c>
      <c r="H265" s="1">
        <v>7.0</v>
      </c>
      <c r="I265" s="1">
        <v>35.0</v>
      </c>
      <c r="J265" s="1">
        <v>42.0</v>
      </c>
      <c r="K265" s="1">
        <v>122.0</v>
      </c>
      <c r="L265" s="1">
        <v>0.0</v>
      </c>
      <c r="M265" s="1">
        <v>14.0</v>
      </c>
      <c r="N265" s="1">
        <v>0.0</v>
      </c>
      <c r="O265" s="1">
        <v>0.0</v>
      </c>
      <c r="P265" s="1">
        <v>52.0</v>
      </c>
      <c r="Q265" s="1">
        <v>63.0</v>
      </c>
    </row>
    <row r="266">
      <c r="A266" s="2">
        <f t="shared" si="1"/>
        <v>264</v>
      </c>
      <c r="B266" s="1" t="s">
        <v>1554</v>
      </c>
      <c r="C266" s="1" t="s">
        <v>1082</v>
      </c>
      <c r="D266" s="1" t="s">
        <v>66</v>
      </c>
      <c r="E266" s="15">
        <f t="shared" si="2"/>
        <v>241.75</v>
      </c>
      <c r="F266" s="15">
        <f t="shared" si="3"/>
        <v>3.13961039</v>
      </c>
      <c r="G266" s="1">
        <v>77.0</v>
      </c>
      <c r="H266" s="1">
        <v>5.0</v>
      </c>
      <c r="I266" s="1">
        <v>24.0</v>
      </c>
      <c r="J266" s="1">
        <v>29.0</v>
      </c>
      <c r="K266" s="1">
        <v>109.0</v>
      </c>
      <c r="L266" s="1">
        <v>0.0</v>
      </c>
      <c r="M266" s="1">
        <v>0.0</v>
      </c>
      <c r="N266" s="1">
        <v>0.0</v>
      </c>
      <c r="O266" s="1">
        <v>1.0</v>
      </c>
      <c r="P266" s="1">
        <v>107.0</v>
      </c>
      <c r="Q266" s="1">
        <v>128.0</v>
      </c>
    </row>
    <row r="267">
      <c r="A267" s="2">
        <f t="shared" si="1"/>
        <v>265</v>
      </c>
      <c r="B267" s="1" t="s">
        <v>1334</v>
      </c>
      <c r="C267" s="1" t="s">
        <v>1085</v>
      </c>
      <c r="D267" s="1" t="s">
        <v>66</v>
      </c>
      <c r="E267" s="15">
        <f t="shared" si="2"/>
        <v>241.25</v>
      </c>
      <c r="F267" s="15">
        <f t="shared" si="3"/>
        <v>2.942073171</v>
      </c>
      <c r="G267" s="1">
        <v>82.0</v>
      </c>
      <c r="H267" s="1">
        <v>8.0</v>
      </c>
      <c r="I267" s="1">
        <v>16.0</v>
      </c>
      <c r="J267" s="1">
        <v>24.0</v>
      </c>
      <c r="K267" s="1">
        <v>116.0</v>
      </c>
      <c r="L267" s="1">
        <v>0.0</v>
      </c>
      <c r="M267" s="1">
        <v>0.0</v>
      </c>
      <c r="N267" s="1">
        <v>0.0</v>
      </c>
      <c r="O267" s="1">
        <v>2.0</v>
      </c>
      <c r="P267" s="1">
        <v>87.0</v>
      </c>
      <c r="Q267" s="1">
        <v>147.0</v>
      </c>
    </row>
    <row r="268">
      <c r="A268" s="2">
        <f t="shared" si="1"/>
        <v>266</v>
      </c>
      <c r="B268" s="1" t="s">
        <v>1425</v>
      </c>
      <c r="C268" s="1" t="s">
        <v>1111</v>
      </c>
      <c r="D268" s="1" t="s">
        <v>31</v>
      </c>
      <c r="E268" s="15">
        <f t="shared" si="2"/>
        <v>240</v>
      </c>
      <c r="F268" s="15">
        <f t="shared" si="3"/>
        <v>2.926829268</v>
      </c>
      <c r="G268" s="1">
        <v>82.0</v>
      </c>
      <c r="H268" s="1">
        <v>12.0</v>
      </c>
      <c r="I268" s="1">
        <v>14.0</v>
      </c>
      <c r="J268" s="1">
        <v>26.0</v>
      </c>
      <c r="K268" s="1">
        <v>85.0</v>
      </c>
      <c r="L268" s="1">
        <v>0.0</v>
      </c>
      <c r="M268" s="1">
        <v>0.0</v>
      </c>
      <c r="N268" s="1">
        <v>0.0</v>
      </c>
      <c r="O268" s="1">
        <v>0.0</v>
      </c>
      <c r="P268" s="1">
        <v>304.0</v>
      </c>
      <c r="Q268" s="1">
        <v>51.0</v>
      </c>
    </row>
    <row r="269">
      <c r="A269" s="2">
        <f t="shared" si="1"/>
        <v>266</v>
      </c>
      <c r="B269" s="1" t="s">
        <v>1297</v>
      </c>
      <c r="C269" s="1" t="s">
        <v>1038</v>
      </c>
      <c r="D269" s="1" t="s">
        <v>36</v>
      </c>
      <c r="E269" s="15">
        <f t="shared" si="2"/>
        <v>240</v>
      </c>
      <c r="F269" s="15">
        <f t="shared" si="3"/>
        <v>2.857142857</v>
      </c>
      <c r="G269" s="1">
        <v>84.0</v>
      </c>
      <c r="H269" s="1">
        <v>13.0</v>
      </c>
      <c r="I269" s="1">
        <v>9.0</v>
      </c>
      <c r="J269" s="1">
        <v>22.0</v>
      </c>
      <c r="K269" s="1">
        <v>88.0</v>
      </c>
      <c r="L269" s="1">
        <v>0.0</v>
      </c>
      <c r="M269" s="1">
        <v>0.0</v>
      </c>
      <c r="N269" s="1">
        <v>0.0</v>
      </c>
      <c r="O269" s="1">
        <v>1.0</v>
      </c>
      <c r="P269" s="1">
        <v>268.0</v>
      </c>
      <c r="Q269" s="1">
        <v>83.0</v>
      </c>
    </row>
    <row r="270">
      <c r="A270" s="2">
        <f t="shared" si="1"/>
        <v>268</v>
      </c>
      <c r="B270" s="1" t="s">
        <v>1178</v>
      </c>
      <c r="C270" s="1" t="s">
        <v>1044</v>
      </c>
      <c r="D270" s="1" t="s">
        <v>66</v>
      </c>
      <c r="E270" s="15">
        <f t="shared" si="2"/>
        <v>239.75</v>
      </c>
      <c r="F270" s="15">
        <f t="shared" si="3"/>
        <v>4.994791667</v>
      </c>
      <c r="G270" s="1">
        <v>48.0</v>
      </c>
      <c r="H270" s="1">
        <v>9.0</v>
      </c>
      <c r="I270" s="1">
        <v>24.0</v>
      </c>
      <c r="J270" s="1">
        <v>33.0</v>
      </c>
      <c r="K270" s="1">
        <v>144.0</v>
      </c>
      <c r="L270" s="1">
        <v>4.0</v>
      </c>
      <c r="M270" s="1">
        <v>4.0</v>
      </c>
      <c r="N270" s="1">
        <v>0.0</v>
      </c>
      <c r="O270" s="1">
        <v>0.0</v>
      </c>
      <c r="P270" s="1">
        <v>55.0</v>
      </c>
      <c r="Q270" s="1">
        <v>83.0</v>
      </c>
    </row>
    <row r="271">
      <c r="A271" s="2">
        <f t="shared" si="1"/>
        <v>269</v>
      </c>
      <c r="B271" s="1" t="s">
        <v>2087</v>
      </c>
      <c r="C271" s="1" t="s">
        <v>1111</v>
      </c>
      <c r="D271" s="1" t="s">
        <v>66</v>
      </c>
      <c r="E271" s="15">
        <f t="shared" si="2"/>
        <v>238.5</v>
      </c>
      <c r="F271" s="15">
        <f t="shared" si="3"/>
        <v>2.908536585</v>
      </c>
      <c r="G271" s="1">
        <v>82.0</v>
      </c>
      <c r="H271" s="1">
        <v>7.0</v>
      </c>
      <c r="I271" s="1">
        <v>24.0</v>
      </c>
      <c r="J271" s="1">
        <v>31.0</v>
      </c>
      <c r="K271" s="1">
        <v>93.0</v>
      </c>
      <c r="L271" s="1">
        <v>3.0</v>
      </c>
      <c r="M271" s="1">
        <v>8.0</v>
      </c>
      <c r="N271" s="1">
        <v>0.0</v>
      </c>
      <c r="O271" s="1">
        <v>0.0</v>
      </c>
      <c r="P271" s="1">
        <v>80.0</v>
      </c>
      <c r="Q271" s="1">
        <v>137.0</v>
      </c>
    </row>
    <row r="272">
      <c r="A272" s="2">
        <f t="shared" si="1"/>
        <v>269</v>
      </c>
      <c r="B272" s="1" t="s">
        <v>1652</v>
      </c>
      <c r="C272" s="1" t="s">
        <v>1156</v>
      </c>
      <c r="D272" s="1" t="s">
        <v>66</v>
      </c>
      <c r="E272" s="15">
        <f t="shared" si="2"/>
        <v>238.5</v>
      </c>
      <c r="F272" s="15">
        <f t="shared" si="3"/>
        <v>2.98125</v>
      </c>
      <c r="G272" s="1">
        <v>80.0</v>
      </c>
      <c r="H272" s="1">
        <v>6.0</v>
      </c>
      <c r="I272" s="1">
        <v>7.0</v>
      </c>
      <c r="J272" s="1">
        <v>13.0</v>
      </c>
      <c r="K272" s="1">
        <v>90.0</v>
      </c>
      <c r="L272" s="1">
        <v>0.0</v>
      </c>
      <c r="M272" s="1">
        <v>0.0</v>
      </c>
      <c r="N272" s="1">
        <v>0.0</v>
      </c>
      <c r="O272" s="1">
        <v>1.0</v>
      </c>
      <c r="P272" s="1">
        <v>180.0</v>
      </c>
      <c r="Q272" s="1">
        <v>197.0</v>
      </c>
    </row>
    <row r="273">
      <c r="A273" s="2">
        <f t="shared" si="1"/>
        <v>271</v>
      </c>
      <c r="B273" s="1" t="s">
        <v>1311</v>
      </c>
      <c r="C273" s="1" t="s">
        <v>1120</v>
      </c>
      <c r="D273" s="1" t="s">
        <v>66</v>
      </c>
      <c r="E273" s="15">
        <f t="shared" si="2"/>
        <v>238.25</v>
      </c>
      <c r="F273" s="15">
        <f t="shared" si="3"/>
        <v>3.134868421</v>
      </c>
      <c r="G273" s="1">
        <v>76.0</v>
      </c>
      <c r="H273" s="1">
        <v>5.0</v>
      </c>
      <c r="I273" s="1">
        <v>14.0</v>
      </c>
      <c r="J273" s="1">
        <v>19.0</v>
      </c>
      <c r="K273" s="1">
        <v>110.0</v>
      </c>
      <c r="L273" s="1">
        <v>0.0</v>
      </c>
      <c r="M273" s="1">
        <v>0.0</v>
      </c>
      <c r="N273" s="1">
        <v>0.0</v>
      </c>
      <c r="O273" s="1">
        <v>0.0</v>
      </c>
      <c r="P273" s="1">
        <v>147.0</v>
      </c>
      <c r="Q273" s="1">
        <v>164.0</v>
      </c>
    </row>
    <row r="274">
      <c r="A274" s="2">
        <f t="shared" si="1"/>
        <v>272</v>
      </c>
      <c r="B274" s="1" t="s">
        <v>1553</v>
      </c>
      <c r="C274" s="1" t="s">
        <v>1073</v>
      </c>
      <c r="D274" s="1" t="s">
        <v>66</v>
      </c>
      <c r="E274" s="15">
        <f t="shared" si="2"/>
        <v>237.75</v>
      </c>
      <c r="F274" s="15">
        <f t="shared" si="3"/>
        <v>2.899390244</v>
      </c>
      <c r="G274" s="1">
        <v>82.0</v>
      </c>
      <c r="H274" s="1">
        <v>5.0</v>
      </c>
      <c r="I274" s="1">
        <v>25.0</v>
      </c>
      <c r="J274" s="1">
        <v>30.0</v>
      </c>
      <c r="K274" s="1">
        <v>144.0</v>
      </c>
      <c r="L274" s="1">
        <v>1.0</v>
      </c>
      <c r="M274" s="1">
        <v>3.0</v>
      </c>
      <c r="N274" s="1">
        <v>0.0</v>
      </c>
      <c r="O274" s="1">
        <v>2.0</v>
      </c>
      <c r="P274" s="1">
        <v>37.0</v>
      </c>
      <c r="Q274" s="1">
        <v>110.0</v>
      </c>
    </row>
    <row r="275">
      <c r="A275" s="2">
        <f t="shared" si="1"/>
        <v>273</v>
      </c>
      <c r="B275" s="1" t="s">
        <v>1388</v>
      </c>
      <c r="C275" s="1" t="s">
        <v>1038</v>
      </c>
      <c r="D275" s="1" t="s">
        <v>66</v>
      </c>
      <c r="E275" s="15">
        <f t="shared" si="2"/>
        <v>237</v>
      </c>
      <c r="F275" s="15">
        <f t="shared" si="3"/>
        <v>3.038461538</v>
      </c>
      <c r="G275" s="1">
        <v>78.0</v>
      </c>
      <c r="H275" s="1">
        <v>5.0</v>
      </c>
      <c r="I275" s="1">
        <v>18.0</v>
      </c>
      <c r="J275" s="1">
        <v>23.0</v>
      </c>
      <c r="K275" s="1">
        <v>93.0</v>
      </c>
      <c r="L275" s="1">
        <v>0.0</v>
      </c>
      <c r="M275" s="1">
        <v>0.0</v>
      </c>
      <c r="N275" s="1">
        <v>1.0</v>
      </c>
      <c r="O275" s="1">
        <v>0.0</v>
      </c>
      <c r="P275" s="1">
        <v>208.0</v>
      </c>
      <c r="Q275" s="1">
        <v>120.0</v>
      </c>
      <c r="T275" s="12"/>
    </row>
    <row r="276">
      <c r="A276" s="2">
        <f t="shared" si="1"/>
        <v>274</v>
      </c>
      <c r="B276" s="1" t="s">
        <v>1496</v>
      </c>
      <c r="C276" s="1" t="s">
        <v>1065</v>
      </c>
      <c r="D276" s="1" t="s">
        <v>66</v>
      </c>
      <c r="E276" s="15">
        <f t="shared" si="2"/>
        <v>236.75</v>
      </c>
      <c r="F276" s="15">
        <f t="shared" si="3"/>
        <v>3.156666667</v>
      </c>
      <c r="G276" s="1">
        <v>75.0</v>
      </c>
      <c r="H276" s="1">
        <v>4.0</v>
      </c>
      <c r="I276" s="1">
        <v>23.0</v>
      </c>
      <c r="J276" s="1">
        <v>27.0</v>
      </c>
      <c r="K276" s="1">
        <v>145.0</v>
      </c>
      <c r="L276" s="1">
        <v>1.0</v>
      </c>
      <c r="M276" s="1">
        <v>7.0</v>
      </c>
      <c r="N276" s="1">
        <v>0.0</v>
      </c>
      <c r="O276" s="1">
        <v>0.0</v>
      </c>
      <c r="P276" s="1">
        <v>79.0</v>
      </c>
      <c r="Q276" s="1">
        <v>115.0</v>
      </c>
    </row>
    <row r="277">
      <c r="A277" s="2">
        <f t="shared" si="1"/>
        <v>275</v>
      </c>
      <c r="B277" s="1" t="s">
        <v>1096</v>
      </c>
      <c r="C277" s="1" t="s">
        <v>1097</v>
      </c>
      <c r="D277" s="1" t="s">
        <v>36</v>
      </c>
      <c r="E277" s="15">
        <f t="shared" si="2"/>
        <v>236.5</v>
      </c>
      <c r="F277" s="15">
        <f t="shared" si="3"/>
        <v>5.141304348</v>
      </c>
      <c r="G277" s="1">
        <v>46.0</v>
      </c>
      <c r="H277" s="1">
        <v>26.0</v>
      </c>
      <c r="I277" s="1">
        <v>10.0</v>
      </c>
      <c r="J277" s="1">
        <v>36.0</v>
      </c>
      <c r="K277" s="1">
        <v>158.0</v>
      </c>
      <c r="L277" s="1">
        <v>7.0</v>
      </c>
      <c r="M277" s="1">
        <v>3.0</v>
      </c>
      <c r="N277" s="1">
        <v>0.0</v>
      </c>
      <c r="O277" s="1">
        <v>0.0</v>
      </c>
      <c r="P277" s="1">
        <v>18.0</v>
      </c>
      <c r="Q277" s="1">
        <v>12.0</v>
      </c>
      <c r="T277" s="12"/>
    </row>
    <row r="278">
      <c r="A278" s="2">
        <f t="shared" si="1"/>
        <v>275</v>
      </c>
      <c r="B278" s="1" t="s">
        <v>1261</v>
      </c>
      <c r="C278" s="1" t="s">
        <v>1172</v>
      </c>
      <c r="D278" s="1" t="s">
        <v>31</v>
      </c>
      <c r="E278" s="15">
        <f t="shared" si="2"/>
        <v>236.5</v>
      </c>
      <c r="F278" s="15">
        <f t="shared" si="3"/>
        <v>3.032051282</v>
      </c>
      <c r="G278" s="1">
        <v>78.0</v>
      </c>
      <c r="H278" s="1">
        <v>9.0</v>
      </c>
      <c r="I278" s="1">
        <v>21.0</v>
      </c>
      <c r="J278" s="1">
        <v>30.0</v>
      </c>
      <c r="K278" s="1">
        <v>114.0</v>
      </c>
      <c r="L278" s="1">
        <v>1.0</v>
      </c>
      <c r="M278" s="1">
        <v>0.0</v>
      </c>
      <c r="N278" s="1">
        <v>0.0</v>
      </c>
      <c r="O278" s="1">
        <v>4.0</v>
      </c>
      <c r="P278" s="1">
        <v>112.0</v>
      </c>
      <c r="Q278" s="1">
        <v>80.0</v>
      </c>
    </row>
    <row r="279">
      <c r="A279" s="2">
        <f t="shared" si="1"/>
        <v>277</v>
      </c>
      <c r="B279" s="1" t="s">
        <v>1327</v>
      </c>
      <c r="C279" s="1" t="s">
        <v>1069</v>
      </c>
      <c r="D279" s="1" t="s">
        <v>5</v>
      </c>
      <c r="E279" s="15">
        <f t="shared" si="2"/>
        <v>235.8</v>
      </c>
      <c r="F279" s="15">
        <f t="shared" si="3"/>
        <v>3.996610169</v>
      </c>
      <c r="G279" s="1">
        <v>59.0</v>
      </c>
      <c r="M279" s="12"/>
      <c r="Q279" s="12"/>
      <c r="R279" s="1">
        <v>23.0</v>
      </c>
      <c r="S279" s="1">
        <v>166.0</v>
      </c>
      <c r="T279" s="12">
        <v>1376.0</v>
      </c>
      <c r="U279" s="1">
        <v>1.0</v>
      </c>
    </row>
    <row r="280">
      <c r="A280" s="2">
        <f t="shared" si="1"/>
        <v>277</v>
      </c>
      <c r="B280" s="1" t="s">
        <v>1324</v>
      </c>
      <c r="C280" s="1" t="s">
        <v>1080</v>
      </c>
      <c r="D280" s="1" t="s">
        <v>5</v>
      </c>
      <c r="E280" s="15">
        <f t="shared" si="2"/>
        <v>235.8</v>
      </c>
      <c r="F280" s="15">
        <f t="shared" si="3"/>
        <v>6.372972973</v>
      </c>
      <c r="G280" s="1">
        <v>37.0</v>
      </c>
      <c r="M280" s="12"/>
      <c r="Q280" s="12"/>
      <c r="R280" s="1">
        <v>21.0</v>
      </c>
      <c r="S280" s="1">
        <v>96.0</v>
      </c>
      <c r="T280" s="12">
        <v>1036.0</v>
      </c>
      <c r="U280" s="1">
        <v>2.0</v>
      </c>
    </row>
    <row r="281">
      <c r="A281" s="2">
        <f t="shared" si="1"/>
        <v>279</v>
      </c>
      <c r="B281" s="1" t="s">
        <v>1283</v>
      </c>
      <c r="C281" s="1" t="s">
        <v>1087</v>
      </c>
      <c r="D281" s="1" t="s">
        <v>66</v>
      </c>
      <c r="E281" s="15">
        <f t="shared" si="2"/>
        <v>235</v>
      </c>
      <c r="F281" s="15">
        <f t="shared" si="3"/>
        <v>3.092105263</v>
      </c>
      <c r="G281" s="1">
        <v>76.0</v>
      </c>
      <c r="H281" s="1">
        <v>2.0</v>
      </c>
      <c r="I281" s="1">
        <v>20.0</v>
      </c>
      <c r="J281" s="1">
        <v>22.0</v>
      </c>
      <c r="K281" s="1">
        <v>100.0</v>
      </c>
      <c r="L281" s="1">
        <v>0.0</v>
      </c>
      <c r="M281" s="1">
        <v>0.0</v>
      </c>
      <c r="N281" s="1">
        <v>0.0</v>
      </c>
      <c r="O281" s="1">
        <v>1.0</v>
      </c>
      <c r="P281" s="1">
        <v>198.0</v>
      </c>
      <c r="Q281" s="1">
        <v>129.0</v>
      </c>
    </row>
    <row r="282">
      <c r="A282" s="2">
        <f t="shared" si="1"/>
        <v>280</v>
      </c>
      <c r="B282" s="1" t="s">
        <v>1224</v>
      </c>
      <c r="C282" s="1" t="s">
        <v>1034</v>
      </c>
      <c r="D282" s="1" t="s">
        <v>28</v>
      </c>
      <c r="E282" s="15">
        <f t="shared" si="2"/>
        <v>234.25</v>
      </c>
      <c r="F282" s="15">
        <f t="shared" si="3"/>
        <v>2.928125</v>
      </c>
      <c r="G282" s="1">
        <v>80.0</v>
      </c>
      <c r="H282" s="1">
        <v>17.0</v>
      </c>
      <c r="I282" s="1">
        <v>15.0</v>
      </c>
      <c r="J282" s="1">
        <v>32.0</v>
      </c>
      <c r="K282" s="1">
        <v>120.0</v>
      </c>
      <c r="L282" s="1">
        <v>4.0</v>
      </c>
      <c r="M282" s="1">
        <v>0.0</v>
      </c>
      <c r="N282" s="1">
        <v>1.0</v>
      </c>
      <c r="O282" s="1">
        <v>0.0</v>
      </c>
      <c r="P282" s="1">
        <v>111.0</v>
      </c>
      <c r="Q282" s="1">
        <v>46.0</v>
      </c>
    </row>
    <row r="283">
      <c r="A283" s="2">
        <f t="shared" si="1"/>
        <v>280</v>
      </c>
      <c r="B283" s="1" t="s">
        <v>1109</v>
      </c>
      <c r="C283" s="1" t="s">
        <v>1097</v>
      </c>
      <c r="D283" s="1" t="s">
        <v>66</v>
      </c>
      <c r="E283" s="15">
        <f t="shared" si="2"/>
        <v>234.25</v>
      </c>
      <c r="F283" s="15">
        <f t="shared" si="3"/>
        <v>4.880208333</v>
      </c>
      <c r="G283" s="1">
        <v>48.0</v>
      </c>
      <c r="H283" s="1">
        <v>8.0</v>
      </c>
      <c r="I283" s="1">
        <v>26.0</v>
      </c>
      <c r="J283" s="1">
        <v>34.0</v>
      </c>
      <c r="K283" s="1">
        <v>126.0</v>
      </c>
      <c r="L283" s="1">
        <v>0.0</v>
      </c>
      <c r="M283" s="1">
        <v>9.0</v>
      </c>
      <c r="N283" s="1">
        <v>0.0</v>
      </c>
      <c r="O283" s="1">
        <v>2.0</v>
      </c>
      <c r="P283" s="1">
        <v>53.0</v>
      </c>
      <c r="Q283" s="1">
        <v>80.0</v>
      </c>
    </row>
    <row r="284">
      <c r="A284" s="2">
        <f t="shared" si="1"/>
        <v>282</v>
      </c>
      <c r="B284" s="1" t="s">
        <v>1478</v>
      </c>
      <c r="C284" s="1" t="s">
        <v>1082</v>
      </c>
      <c r="D284" s="1" t="s">
        <v>66</v>
      </c>
      <c r="E284" s="15">
        <f t="shared" si="2"/>
        <v>233.5</v>
      </c>
      <c r="F284" s="15">
        <f t="shared" si="3"/>
        <v>3.288732394</v>
      </c>
      <c r="G284" s="1">
        <v>71.0</v>
      </c>
      <c r="H284" s="1">
        <v>7.0</v>
      </c>
      <c r="I284" s="1">
        <v>28.0</v>
      </c>
      <c r="J284" s="1">
        <v>35.0</v>
      </c>
      <c r="K284" s="1">
        <v>81.0</v>
      </c>
      <c r="L284" s="1">
        <v>0.0</v>
      </c>
      <c r="M284" s="1">
        <v>11.0</v>
      </c>
      <c r="N284" s="1">
        <v>0.0</v>
      </c>
      <c r="O284" s="1">
        <v>0.0</v>
      </c>
      <c r="P284" s="1">
        <v>136.0</v>
      </c>
      <c r="Q284" s="1">
        <v>87.0</v>
      </c>
    </row>
    <row r="285">
      <c r="A285" s="2">
        <f t="shared" si="1"/>
        <v>283</v>
      </c>
      <c r="B285" s="1" t="s">
        <v>1280</v>
      </c>
      <c r="C285" s="1" t="s">
        <v>1038</v>
      </c>
      <c r="D285" s="1" t="s">
        <v>5</v>
      </c>
      <c r="E285" s="15">
        <f t="shared" si="2"/>
        <v>233.1</v>
      </c>
      <c r="F285" s="15">
        <f t="shared" si="3"/>
        <v>6.3</v>
      </c>
      <c r="G285" s="1">
        <v>37.0</v>
      </c>
      <c r="Q285" s="12"/>
      <c r="R285" s="1">
        <v>24.0</v>
      </c>
      <c r="S285" s="1">
        <v>76.0</v>
      </c>
      <c r="T285" s="1">
        <v>877.0</v>
      </c>
      <c r="U285" s="1">
        <v>4.0</v>
      </c>
    </row>
    <row r="286">
      <c r="A286" s="2">
        <f t="shared" si="1"/>
        <v>284</v>
      </c>
      <c r="B286" s="1" t="s">
        <v>1877</v>
      </c>
      <c r="C286" s="1" t="s">
        <v>1038</v>
      </c>
      <c r="D286" s="1" t="s">
        <v>28</v>
      </c>
      <c r="E286" s="15">
        <f t="shared" si="2"/>
        <v>232.25</v>
      </c>
      <c r="F286" s="15">
        <f t="shared" si="3"/>
        <v>3.807377049</v>
      </c>
      <c r="G286" s="1">
        <v>61.0</v>
      </c>
      <c r="H286" s="1">
        <v>16.0</v>
      </c>
      <c r="I286" s="1">
        <v>20.0</v>
      </c>
      <c r="J286" s="1">
        <v>36.0</v>
      </c>
      <c r="K286" s="1">
        <v>150.0</v>
      </c>
      <c r="L286" s="1">
        <v>4.0</v>
      </c>
      <c r="M286" s="1">
        <v>4.0</v>
      </c>
      <c r="N286" s="1">
        <v>0.0</v>
      </c>
      <c r="O286" s="1">
        <v>0.0</v>
      </c>
      <c r="P286" s="1">
        <v>35.0</v>
      </c>
      <c r="Q286" s="1">
        <v>33.0</v>
      </c>
    </row>
    <row r="287">
      <c r="A287" s="2">
        <f t="shared" si="1"/>
        <v>285</v>
      </c>
      <c r="B287" s="1" t="s">
        <v>1411</v>
      </c>
      <c r="C287" s="1" t="s">
        <v>1120</v>
      </c>
      <c r="D287" s="1" t="s">
        <v>31</v>
      </c>
      <c r="E287" s="15">
        <f t="shared" si="2"/>
        <v>232</v>
      </c>
      <c r="F287" s="15">
        <f t="shared" si="3"/>
        <v>2.829268293</v>
      </c>
      <c r="G287" s="1">
        <v>82.0</v>
      </c>
      <c r="H287" s="1">
        <v>9.0</v>
      </c>
      <c r="I287" s="1">
        <v>33.0</v>
      </c>
      <c r="J287" s="1">
        <v>42.0</v>
      </c>
      <c r="K287" s="1">
        <v>120.0</v>
      </c>
      <c r="L287" s="1">
        <v>1.0</v>
      </c>
      <c r="M287" s="1">
        <v>4.0</v>
      </c>
      <c r="N287" s="1">
        <v>1.0</v>
      </c>
      <c r="O287" s="1">
        <v>0.0</v>
      </c>
      <c r="P287" s="1">
        <v>32.0</v>
      </c>
      <c r="Q287" s="1">
        <v>45.0</v>
      </c>
    </row>
    <row r="288">
      <c r="A288" s="2">
        <f t="shared" si="1"/>
        <v>286</v>
      </c>
      <c r="B288" s="1" t="s">
        <v>1409</v>
      </c>
      <c r="C288" s="1" t="s">
        <v>1078</v>
      </c>
      <c r="D288" s="1" t="s">
        <v>5</v>
      </c>
      <c r="E288" s="15">
        <f t="shared" si="2"/>
        <v>231.6</v>
      </c>
      <c r="F288" s="15">
        <f t="shared" si="3"/>
        <v>5.938461538</v>
      </c>
      <c r="G288" s="1">
        <v>39.0</v>
      </c>
      <c r="M288" s="12"/>
      <c r="Q288" s="12"/>
      <c r="R288" s="1">
        <v>18.0</v>
      </c>
      <c r="S288" s="1">
        <v>104.0</v>
      </c>
      <c r="T288" s="12">
        <v>1102.0</v>
      </c>
      <c r="U288" s="1">
        <v>1.0</v>
      </c>
    </row>
    <row r="289">
      <c r="A289" s="2">
        <f t="shared" si="1"/>
        <v>287</v>
      </c>
      <c r="B289" s="1" t="s">
        <v>1447</v>
      </c>
      <c r="C289" s="1" t="s">
        <v>1076</v>
      </c>
      <c r="D289" s="1" t="s">
        <v>66</v>
      </c>
      <c r="E289" s="15">
        <f t="shared" si="2"/>
        <v>231</v>
      </c>
      <c r="F289" s="15">
        <f t="shared" si="3"/>
        <v>2.851851852</v>
      </c>
      <c r="G289" s="1">
        <v>81.0</v>
      </c>
      <c r="H289" s="1">
        <v>7.0</v>
      </c>
      <c r="I289" s="1">
        <v>26.0</v>
      </c>
      <c r="J289" s="1">
        <v>33.0</v>
      </c>
      <c r="K289" s="1">
        <v>102.0</v>
      </c>
      <c r="L289" s="1">
        <v>1.0</v>
      </c>
      <c r="M289" s="1">
        <v>3.0</v>
      </c>
      <c r="N289" s="1">
        <v>1.0</v>
      </c>
      <c r="O289" s="1">
        <v>0.0</v>
      </c>
      <c r="P289" s="1">
        <v>44.0</v>
      </c>
      <c r="Q289" s="1">
        <v>115.0</v>
      </c>
    </row>
    <row r="290">
      <c r="A290" s="2">
        <f t="shared" si="1"/>
        <v>288</v>
      </c>
      <c r="B290" s="1" t="s">
        <v>1279</v>
      </c>
      <c r="C290" s="1" t="s">
        <v>1042</v>
      </c>
      <c r="D290" s="1" t="s">
        <v>36</v>
      </c>
      <c r="E290" s="15">
        <f t="shared" si="2"/>
        <v>230.5</v>
      </c>
      <c r="F290" s="15">
        <f t="shared" si="3"/>
        <v>2.81097561</v>
      </c>
      <c r="G290" s="1">
        <v>82.0</v>
      </c>
      <c r="H290" s="1">
        <v>12.0</v>
      </c>
      <c r="I290" s="1">
        <v>18.0</v>
      </c>
      <c r="J290" s="1">
        <v>30.0</v>
      </c>
      <c r="K290" s="1">
        <v>87.0</v>
      </c>
      <c r="L290" s="1">
        <v>0.0</v>
      </c>
      <c r="M290" s="1">
        <v>2.0</v>
      </c>
      <c r="N290" s="1">
        <v>1.0</v>
      </c>
      <c r="O290" s="1">
        <v>0.0</v>
      </c>
      <c r="P290" s="1">
        <v>164.0</v>
      </c>
      <c r="Q290" s="1">
        <v>72.0</v>
      </c>
    </row>
    <row r="291">
      <c r="A291" s="2">
        <f t="shared" si="1"/>
        <v>288</v>
      </c>
      <c r="B291" s="1" t="s">
        <v>1336</v>
      </c>
      <c r="C291" s="1" t="s">
        <v>1106</v>
      </c>
      <c r="D291" s="1" t="s">
        <v>28</v>
      </c>
      <c r="E291" s="15">
        <f t="shared" si="2"/>
        <v>230.5</v>
      </c>
      <c r="F291" s="15">
        <f t="shared" si="3"/>
        <v>3.246478873</v>
      </c>
      <c r="G291" s="1">
        <v>71.0</v>
      </c>
      <c r="H291" s="1">
        <v>19.0</v>
      </c>
      <c r="I291" s="1">
        <v>18.0</v>
      </c>
      <c r="J291" s="1">
        <v>37.0</v>
      </c>
      <c r="K291" s="1">
        <v>127.0</v>
      </c>
      <c r="L291" s="1">
        <v>2.0</v>
      </c>
      <c r="M291" s="1">
        <v>2.0</v>
      </c>
      <c r="N291" s="1">
        <v>2.0</v>
      </c>
      <c r="O291" s="1">
        <v>1.0</v>
      </c>
      <c r="P291" s="1">
        <v>24.0</v>
      </c>
      <c r="Q291" s="1">
        <v>31.0</v>
      </c>
    </row>
    <row r="292">
      <c r="A292" s="2">
        <f t="shared" si="1"/>
        <v>290</v>
      </c>
      <c r="B292" s="1" t="s">
        <v>1421</v>
      </c>
      <c r="C292" s="1" t="s">
        <v>1069</v>
      </c>
      <c r="D292" s="1" t="s">
        <v>66</v>
      </c>
      <c r="E292" s="15">
        <f t="shared" si="2"/>
        <v>230</v>
      </c>
      <c r="F292" s="15">
        <f t="shared" si="3"/>
        <v>2.804878049</v>
      </c>
      <c r="G292" s="1">
        <v>82.0</v>
      </c>
      <c r="H292" s="1">
        <v>14.0</v>
      </c>
      <c r="I292" s="1">
        <v>7.0</v>
      </c>
      <c r="J292" s="1">
        <v>21.0</v>
      </c>
      <c r="K292" s="1">
        <v>130.0</v>
      </c>
      <c r="L292" s="1">
        <v>0.0</v>
      </c>
      <c r="M292" s="1">
        <v>1.0</v>
      </c>
      <c r="N292" s="1">
        <v>0.0</v>
      </c>
      <c r="O292" s="1">
        <v>0.0</v>
      </c>
      <c r="P292" s="1">
        <v>174.0</v>
      </c>
      <c r="Q292" s="1">
        <v>75.0</v>
      </c>
    </row>
    <row r="293">
      <c r="A293" s="2">
        <f t="shared" si="1"/>
        <v>291</v>
      </c>
      <c r="B293" s="1" t="s">
        <v>1361</v>
      </c>
      <c r="C293" s="1" t="s">
        <v>1065</v>
      </c>
      <c r="D293" s="1" t="s">
        <v>31</v>
      </c>
      <c r="E293" s="15">
        <f t="shared" si="2"/>
        <v>229.75</v>
      </c>
      <c r="F293" s="15">
        <f t="shared" si="3"/>
        <v>2.801829268</v>
      </c>
      <c r="G293" s="1">
        <v>82.0</v>
      </c>
      <c r="H293" s="1">
        <v>15.0</v>
      </c>
      <c r="I293" s="1">
        <v>26.0</v>
      </c>
      <c r="J293" s="1">
        <v>41.0</v>
      </c>
      <c r="K293" s="1">
        <v>130.0</v>
      </c>
      <c r="L293" s="1">
        <v>1.0</v>
      </c>
      <c r="M293" s="1">
        <v>3.0</v>
      </c>
      <c r="N293" s="1">
        <v>0.0</v>
      </c>
      <c r="O293" s="1">
        <v>0.0</v>
      </c>
      <c r="P293" s="1">
        <v>29.0</v>
      </c>
      <c r="Q293" s="1">
        <v>24.0</v>
      </c>
    </row>
    <row r="294">
      <c r="A294" s="2">
        <f t="shared" si="1"/>
        <v>292</v>
      </c>
      <c r="B294" s="1" t="s">
        <v>1606</v>
      </c>
      <c r="C294" s="1" t="s">
        <v>1040</v>
      </c>
      <c r="D294" s="1" t="s">
        <v>36</v>
      </c>
      <c r="E294" s="15">
        <f t="shared" si="2"/>
        <v>229.5</v>
      </c>
      <c r="F294" s="15">
        <f t="shared" si="3"/>
        <v>2.798780488</v>
      </c>
      <c r="G294" s="1">
        <v>82.0</v>
      </c>
      <c r="H294" s="1">
        <v>18.0</v>
      </c>
      <c r="I294" s="1">
        <v>22.0</v>
      </c>
      <c r="J294" s="1">
        <v>40.0</v>
      </c>
      <c r="K294" s="1">
        <v>125.0</v>
      </c>
      <c r="L294" s="1">
        <v>0.0</v>
      </c>
      <c r="M294" s="1">
        <v>3.0</v>
      </c>
      <c r="N294" s="1">
        <v>0.0</v>
      </c>
      <c r="O294" s="1">
        <v>0.0</v>
      </c>
      <c r="P294" s="1">
        <v>26.0</v>
      </c>
      <c r="Q294" s="1">
        <v>27.0</v>
      </c>
    </row>
    <row r="295">
      <c r="A295" s="2">
        <f t="shared" si="1"/>
        <v>293</v>
      </c>
      <c r="B295" s="1" t="s">
        <v>1357</v>
      </c>
      <c r="C295" s="1" t="s">
        <v>1073</v>
      </c>
      <c r="D295" s="1" t="s">
        <v>31</v>
      </c>
      <c r="E295" s="15">
        <f t="shared" si="2"/>
        <v>228.25</v>
      </c>
      <c r="F295" s="15">
        <f t="shared" si="3"/>
        <v>2.926282051</v>
      </c>
      <c r="G295" s="1">
        <v>78.0</v>
      </c>
      <c r="H295" s="1">
        <v>13.0</v>
      </c>
      <c r="I295" s="1">
        <v>23.0</v>
      </c>
      <c r="J295" s="1">
        <v>36.0</v>
      </c>
      <c r="K295" s="1">
        <v>134.0</v>
      </c>
      <c r="L295" s="1">
        <v>7.0</v>
      </c>
      <c r="M295" s="1">
        <v>8.0</v>
      </c>
      <c r="N295" s="1">
        <v>0.0</v>
      </c>
      <c r="O295" s="1">
        <v>0.0</v>
      </c>
      <c r="P295" s="1">
        <v>99.0</v>
      </c>
      <c r="Q295" s="1">
        <v>18.0</v>
      </c>
    </row>
    <row r="296">
      <c r="A296" s="2">
        <f t="shared" si="1"/>
        <v>294</v>
      </c>
      <c r="B296" s="1" t="s">
        <v>2088</v>
      </c>
      <c r="C296" s="1" t="s">
        <v>1069</v>
      </c>
      <c r="D296" s="1" t="s">
        <v>28</v>
      </c>
      <c r="E296" s="15">
        <f t="shared" si="2"/>
        <v>228</v>
      </c>
      <c r="F296" s="15">
        <f t="shared" si="3"/>
        <v>3.081081081</v>
      </c>
      <c r="G296" s="1">
        <v>74.0</v>
      </c>
      <c r="H296" s="1">
        <v>13.0</v>
      </c>
      <c r="I296" s="1">
        <v>13.0</v>
      </c>
      <c r="J296" s="1">
        <v>26.0</v>
      </c>
      <c r="K296" s="1">
        <v>120.0</v>
      </c>
      <c r="L296" s="1">
        <v>4.0</v>
      </c>
      <c r="M296" s="1">
        <v>6.0</v>
      </c>
      <c r="N296" s="1">
        <v>0.0</v>
      </c>
      <c r="O296" s="1">
        <v>0.0</v>
      </c>
      <c r="P296" s="1">
        <v>218.0</v>
      </c>
      <c r="Q296" s="1">
        <v>32.0</v>
      </c>
    </row>
    <row r="297">
      <c r="A297" s="2">
        <f t="shared" si="1"/>
        <v>294</v>
      </c>
      <c r="B297" s="1" t="s">
        <v>1576</v>
      </c>
      <c r="C297" s="1" t="s">
        <v>1032</v>
      </c>
      <c r="D297" s="1" t="s">
        <v>31</v>
      </c>
      <c r="E297" s="15">
        <f t="shared" si="2"/>
        <v>228</v>
      </c>
      <c r="F297" s="15">
        <f t="shared" si="3"/>
        <v>3.123287671</v>
      </c>
      <c r="G297" s="1">
        <v>73.0</v>
      </c>
      <c r="H297" s="1">
        <v>20.0</v>
      </c>
      <c r="I297" s="1">
        <v>19.0</v>
      </c>
      <c r="J297" s="1">
        <v>39.0</v>
      </c>
      <c r="K297" s="1">
        <v>106.0</v>
      </c>
      <c r="L297" s="1">
        <v>3.0</v>
      </c>
      <c r="M297" s="1">
        <v>2.0</v>
      </c>
      <c r="N297" s="1">
        <v>1.0</v>
      </c>
      <c r="O297" s="1">
        <v>2.0</v>
      </c>
      <c r="P297" s="1">
        <v>50.0</v>
      </c>
      <c r="Q297" s="1">
        <v>19.0</v>
      </c>
    </row>
    <row r="298">
      <c r="A298" s="2">
        <f t="shared" si="1"/>
        <v>296</v>
      </c>
      <c r="B298" s="1" t="s">
        <v>1363</v>
      </c>
      <c r="C298" s="1" t="s">
        <v>1067</v>
      </c>
      <c r="D298" s="1" t="s">
        <v>66</v>
      </c>
      <c r="E298" s="15">
        <f t="shared" si="2"/>
        <v>227.75</v>
      </c>
      <c r="F298" s="15">
        <f t="shared" si="3"/>
        <v>2.882911392</v>
      </c>
      <c r="G298" s="1">
        <v>79.0</v>
      </c>
      <c r="H298" s="1">
        <v>4.0</v>
      </c>
      <c r="I298" s="1">
        <v>31.0</v>
      </c>
      <c r="J298" s="1">
        <v>35.0</v>
      </c>
      <c r="K298" s="1">
        <v>130.0</v>
      </c>
      <c r="L298" s="1">
        <v>0.0</v>
      </c>
      <c r="M298" s="1">
        <v>8.0</v>
      </c>
      <c r="N298" s="1">
        <v>0.0</v>
      </c>
      <c r="O298" s="1">
        <v>1.0</v>
      </c>
      <c r="P298" s="1">
        <v>27.0</v>
      </c>
      <c r="Q298" s="1">
        <v>86.0</v>
      </c>
    </row>
    <row r="299">
      <c r="A299" s="2">
        <f t="shared" si="1"/>
        <v>297</v>
      </c>
      <c r="B299" s="1" t="s">
        <v>1209</v>
      </c>
      <c r="C299" s="1" t="s">
        <v>1085</v>
      </c>
      <c r="D299" s="1" t="s">
        <v>28</v>
      </c>
      <c r="E299" s="15">
        <f t="shared" si="2"/>
        <v>226.5</v>
      </c>
      <c r="F299" s="15">
        <f t="shared" si="3"/>
        <v>3.330882353</v>
      </c>
      <c r="G299" s="1">
        <v>68.0</v>
      </c>
      <c r="H299" s="1">
        <v>12.0</v>
      </c>
      <c r="I299" s="1">
        <v>19.0</v>
      </c>
      <c r="J299" s="1">
        <v>31.0</v>
      </c>
      <c r="K299" s="1">
        <v>148.0</v>
      </c>
      <c r="L299" s="1">
        <v>2.0</v>
      </c>
      <c r="M299" s="1">
        <v>3.0</v>
      </c>
      <c r="N299" s="1">
        <v>0.0</v>
      </c>
      <c r="O299" s="1">
        <v>0.0</v>
      </c>
      <c r="P299" s="1">
        <v>88.0</v>
      </c>
      <c r="Q299" s="1">
        <v>39.0</v>
      </c>
    </row>
    <row r="300">
      <c r="A300" s="2">
        <f t="shared" si="1"/>
        <v>298</v>
      </c>
      <c r="B300" s="1" t="s">
        <v>1192</v>
      </c>
      <c r="C300" s="1" t="s">
        <v>1146</v>
      </c>
      <c r="D300" s="1" t="s">
        <v>28</v>
      </c>
      <c r="E300" s="15">
        <f t="shared" si="2"/>
        <v>226.25</v>
      </c>
      <c r="F300" s="15">
        <f t="shared" si="3"/>
        <v>3.709016393</v>
      </c>
      <c r="G300" s="1">
        <v>61.0</v>
      </c>
      <c r="H300" s="1">
        <v>18.0</v>
      </c>
      <c r="I300" s="1">
        <v>13.0</v>
      </c>
      <c r="J300" s="1">
        <v>31.0</v>
      </c>
      <c r="K300" s="1">
        <v>116.0</v>
      </c>
      <c r="L300" s="1">
        <v>4.0</v>
      </c>
      <c r="M300" s="1">
        <v>3.0</v>
      </c>
      <c r="N300" s="1">
        <v>0.0</v>
      </c>
      <c r="O300" s="1">
        <v>0.0</v>
      </c>
      <c r="P300" s="1">
        <v>91.0</v>
      </c>
      <c r="Q300" s="1">
        <v>51.0</v>
      </c>
      <c r="T300" s="12"/>
    </row>
    <row r="301">
      <c r="A301" s="2">
        <f t="shared" si="1"/>
        <v>298</v>
      </c>
      <c r="B301" s="1" t="s">
        <v>1438</v>
      </c>
      <c r="C301" s="1" t="s">
        <v>1146</v>
      </c>
      <c r="D301" s="1" t="s">
        <v>31</v>
      </c>
      <c r="E301" s="15">
        <f t="shared" si="2"/>
        <v>226.25</v>
      </c>
      <c r="F301" s="15">
        <f t="shared" si="3"/>
        <v>2.759146341</v>
      </c>
      <c r="G301" s="1">
        <v>82.0</v>
      </c>
      <c r="H301" s="1">
        <v>13.0</v>
      </c>
      <c r="I301" s="1">
        <v>25.0</v>
      </c>
      <c r="J301" s="1">
        <v>38.0</v>
      </c>
      <c r="K301" s="1">
        <v>101.0</v>
      </c>
      <c r="L301" s="1">
        <v>4.0</v>
      </c>
      <c r="M301" s="1">
        <v>5.0</v>
      </c>
      <c r="N301" s="1">
        <v>0.0</v>
      </c>
      <c r="O301" s="1">
        <v>0.0</v>
      </c>
      <c r="P301" s="1">
        <v>43.0</v>
      </c>
      <c r="Q301" s="1">
        <v>63.0</v>
      </c>
    </row>
    <row r="302">
      <c r="A302" s="2">
        <f t="shared" si="1"/>
        <v>300</v>
      </c>
      <c r="B302" s="1" t="s">
        <v>1857</v>
      </c>
      <c r="C302" s="1" t="s">
        <v>1054</v>
      </c>
      <c r="D302" s="1" t="s">
        <v>66</v>
      </c>
      <c r="E302" s="15">
        <f t="shared" si="2"/>
        <v>225.75</v>
      </c>
      <c r="F302" s="15">
        <f t="shared" si="3"/>
        <v>3.369402985</v>
      </c>
      <c r="G302" s="1">
        <v>67.0</v>
      </c>
      <c r="H302" s="1">
        <v>10.0</v>
      </c>
      <c r="I302" s="1">
        <v>23.0</v>
      </c>
      <c r="J302" s="1">
        <v>33.0</v>
      </c>
      <c r="K302" s="1">
        <v>112.0</v>
      </c>
      <c r="L302" s="1">
        <v>2.0</v>
      </c>
      <c r="M302" s="1">
        <v>8.0</v>
      </c>
      <c r="N302" s="1">
        <v>0.0</v>
      </c>
      <c r="O302" s="1">
        <v>0.0</v>
      </c>
      <c r="P302" s="1">
        <v>55.0</v>
      </c>
      <c r="Q302" s="1">
        <v>84.0</v>
      </c>
    </row>
    <row r="303">
      <c r="A303" s="2">
        <f t="shared" si="1"/>
        <v>300</v>
      </c>
      <c r="B303" s="1" t="s">
        <v>1707</v>
      </c>
      <c r="C303" s="1" t="s">
        <v>1156</v>
      </c>
      <c r="D303" s="1" t="s">
        <v>31</v>
      </c>
      <c r="E303" s="15">
        <f t="shared" si="2"/>
        <v>225.75</v>
      </c>
      <c r="F303" s="15">
        <f t="shared" si="3"/>
        <v>2.857594937</v>
      </c>
      <c r="G303" s="1">
        <v>79.0</v>
      </c>
      <c r="H303" s="1">
        <v>16.0</v>
      </c>
      <c r="I303" s="1">
        <v>24.0</v>
      </c>
      <c r="J303" s="1">
        <v>40.0</v>
      </c>
      <c r="K303" s="1">
        <v>126.0</v>
      </c>
      <c r="L303" s="1">
        <v>5.0</v>
      </c>
      <c r="M303" s="1">
        <v>7.0</v>
      </c>
      <c r="N303" s="1">
        <v>0.0</v>
      </c>
      <c r="O303" s="1">
        <v>0.0</v>
      </c>
      <c r="P303" s="1">
        <v>15.0</v>
      </c>
      <c r="Q303" s="1">
        <v>30.0</v>
      </c>
    </row>
    <row r="304">
      <c r="A304" s="2">
        <f t="shared" si="1"/>
        <v>302</v>
      </c>
      <c r="B304" s="1" t="s">
        <v>1569</v>
      </c>
      <c r="C304" s="1" t="s">
        <v>1052</v>
      </c>
      <c r="D304" s="1" t="s">
        <v>31</v>
      </c>
      <c r="E304" s="15">
        <f t="shared" si="2"/>
        <v>225</v>
      </c>
      <c r="F304" s="15">
        <f t="shared" si="3"/>
        <v>2.848101266</v>
      </c>
      <c r="G304" s="1">
        <v>79.0</v>
      </c>
      <c r="H304" s="1">
        <v>13.0</v>
      </c>
      <c r="I304" s="1">
        <v>16.0</v>
      </c>
      <c r="J304" s="1">
        <v>29.0</v>
      </c>
      <c r="K304" s="1">
        <v>139.0</v>
      </c>
      <c r="L304" s="1">
        <v>4.0</v>
      </c>
      <c r="M304" s="1">
        <v>5.0</v>
      </c>
      <c r="N304" s="1">
        <v>0.0</v>
      </c>
      <c r="O304" s="1">
        <v>1.0</v>
      </c>
      <c r="P304" s="1">
        <v>80.0</v>
      </c>
      <c r="Q304" s="1">
        <v>54.0</v>
      </c>
    </row>
    <row r="305">
      <c r="A305" s="2">
        <f t="shared" si="1"/>
        <v>302</v>
      </c>
      <c r="B305" s="1" t="s">
        <v>1751</v>
      </c>
      <c r="C305" s="1" t="s">
        <v>1091</v>
      </c>
      <c r="D305" s="1" t="s">
        <v>66</v>
      </c>
      <c r="E305" s="15">
        <f t="shared" si="2"/>
        <v>225</v>
      </c>
      <c r="F305" s="15">
        <f t="shared" si="3"/>
        <v>3.040540541</v>
      </c>
      <c r="G305" s="1">
        <v>74.0</v>
      </c>
      <c r="H305" s="1">
        <v>3.0</v>
      </c>
      <c r="I305" s="1">
        <v>17.0</v>
      </c>
      <c r="J305" s="1">
        <v>20.0</v>
      </c>
      <c r="K305" s="1">
        <v>86.0</v>
      </c>
      <c r="L305" s="1">
        <v>1.0</v>
      </c>
      <c r="M305" s="1">
        <v>4.0</v>
      </c>
      <c r="N305" s="1">
        <v>1.0</v>
      </c>
      <c r="O305" s="1">
        <v>2.0</v>
      </c>
      <c r="P305" s="1">
        <v>162.0</v>
      </c>
      <c r="Q305" s="1">
        <v>142.0</v>
      </c>
    </row>
    <row r="306">
      <c r="A306" s="2">
        <f t="shared" si="1"/>
        <v>304</v>
      </c>
      <c r="B306" s="1" t="s">
        <v>1227</v>
      </c>
      <c r="C306" s="1" t="s">
        <v>1038</v>
      </c>
      <c r="D306" s="1" t="s">
        <v>31</v>
      </c>
      <c r="E306" s="15">
        <f t="shared" si="2"/>
        <v>224.75</v>
      </c>
      <c r="F306" s="15">
        <f t="shared" si="3"/>
        <v>2.844936709</v>
      </c>
      <c r="G306" s="1">
        <v>79.0</v>
      </c>
      <c r="H306" s="1">
        <v>17.0</v>
      </c>
      <c r="I306" s="1">
        <v>14.0</v>
      </c>
      <c r="J306" s="1">
        <v>31.0</v>
      </c>
      <c r="K306" s="1">
        <v>120.0</v>
      </c>
      <c r="L306" s="1">
        <v>0.0</v>
      </c>
      <c r="M306" s="1">
        <v>0.0</v>
      </c>
      <c r="N306" s="1">
        <v>0.0</v>
      </c>
      <c r="O306" s="1">
        <v>1.0</v>
      </c>
      <c r="P306" s="1">
        <v>105.0</v>
      </c>
      <c r="Q306" s="1">
        <v>36.0</v>
      </c>
    </row>
    <row r="307">
      <c r="A307" s="2">
        <f t="shared" si="1"/>
        <v>304</v>
      </c>
      <c r="B307" s="1" t="s">
        <v>1969</v>
      </c>
      <c r="C307" s="1" t="s">
        <v>1097</v>
      </c>
      <c r="D307" s="1" t="s">
        <v>31</v>
      </c>
      <c r="E307" s="15">
        <f t="shared" si="2"/>
        <v>224.75</v>
      </c>
      <c r="F307" s="15">
        <f t="shared" si="3"/>
        <v>3.875</v>
      </c>
      <c r="G307" s="1">
        <v>58.0</v>
      </c>
      <c r="H307" s="1">
        <v>14.0</v>
      </c>
      <c r="I307" s="1">
        <v>24.0</v>
      </c>
      <c r="J307" s="1">
        <v>38.0</v>
      </c>
      <c r="K307" s="1">
        <v>107.0</v>
      </c>
      <c r="L307" s="1">
        <v>6.0</v>
      </c>
      <c r="M307" s="1">
        <v>10.0</v>
      </c>
      <c r="N307" s="1">
        <v>0.0</v>
      </c>
      <c r="O307" s="1">
        <v>2.0</v>
      </c>
      <c r="P307" s="1">
        <v>53.0</v>
      </c>
      <c r="Q307" s="1">
        <v>38.0</v>
      </c>
    </row>
    <row r="308">
      <c r="A308" s="2">
        <f t="shared" si="1"/>
        <v>306</v>
      </c>
      <c r="B308" s="1" t="s">
        <v>1133</v>
      </c>
      <c r="C308" s="1" t="s">
        <v>1036</v>
      </c>
      <c r="D308" s="1" t="s">
        <v>28</v>
      </c>
      <c r="E308" s="15">
        <f t="shared" si="2"/>
        <v>223.5</v>
      </c>
      <c r="F308" s="15">
        <f t="shared" si="3"/>
        <v>5.451219512</v>
      </c>
      <c r="G308" s="1">
        <v>41.0</v>
      </c>
      <c r="H308" s="1">
        <v>16.0</v>
      </c>
      <c r="I308" s="1">
        <v>12.0</v>
      </c>
      <c r="J308" s="1">
        <v>28.0</v>
      </c>
      <c r="K308" s="1">
        <v>146.0</v>
      </c>
      <c r="L308" s="1">
        <v>0.0</v>
      </c>
      <c r="M308" s="1">
        <v>2.0</v>
      </c>
      <c r="N308" s="1">
        <v>1.0</v>
      </c>
      <c r="O308" s="1">
        <v>1.0</v>
      </c>
      <c r="P308" s="1">
        <v>124.0</v>
      </c>
      <c r="Q308" s="1">
        <v>15.0</v>
      </c>
    </row>
    <row r="309">
      <c r="A309" s="2">
        <f t="shared" si="1"/>
        <v>306</v>
      </c>
      <c r="B309" s="1" t="s">
        <v>1301</v>
      </c>
      <c r="C309" s="1" t="s">
        <v>1116</v>
      </c>
      <c r="D309" s="1" t="s">
        <v>66</v>
      </c>
      <c r="E309" s="15">
        <f t="shared" si="2"/>
        <v>223.5</v>
      </c>
      <c r="F309" s="15">
        <f t="shared" si="3"/>
        <v>2.98</v>
      </c>
      <c r="G309" s="1">
        <v>75.0</v>
      </c>
      <c r="H309" s="1">
        <v>6.0</v>
      </c>
      <c r="I309" s="1">
        <v>21.0</v>
      </c>
      <c r="J309" s="1">
        <v>27.0</v>
      </c>
      <c r="K309" s="1">
        <v>93.0</v>
      </c>
      <c r="L309" s="1">
        <v>0.0</v>
      </c>
      <c r="M309" s="1">
        <v>0.0</v>
      </c>
      <c r="N309" s="1">
        <v>1.0</v>
      </c>
      <c r="O309" s="1">
        <v>2.0</v>
      </c>
      <c r="P309" s="1">
        <v>120.0</v>
      </c>
      <c r="Q309" s="1">
        <v>102.0</v>
      </c>
    </row>
    <row r="310">
      <c r="A310" s="2">
        <f t="shared" si="1"/>
        <v>308</v>
      </c>
      <c r="B310" s="1" t="s">
        <v>1568</v>
      </c>
      <c r="C310" s="1" t="s">
        <v>1052</v>
      </c>
      <c r="D310" s="1" t="s">
        <v>66</v>
      </c>
      <c r="E310" s="15">
        <f t="shared" si="2"/>
        <v>223.25</v>
      </c>
      <c r="F310" s="15">
        <f t="shared" si="3"/>
        <v>2.722560976</v>
      </c>
      <c r="G310" s="1">
        <v>82.0</v>
      </c>
      <c r="H310" s="1">
        <v>1.0</v>
      </c>
      <c r="I310" s="1">
        <v>24.0</v>
      </c>
      <c r="J310" s="1">
        <v>25.0</v>
      </c>
      <c r="K310" s="1">
        <v>82.0</v>
      </c>
      <c r="L310" s="1">
        <v>0.0</v>
      </c>
      <c r="M310" s="1">
        <v>0.0</v>
      </c>
      <c r="N310" s="1">
        <v>0.0</v>
      </c>
      <c r="O310" s="1">
        <v>2.0</v>
      </c>
      <c r="P310" s="1">
        <v>123.0</v>
      </c>
      <c r="Q310" s="1">
        <v>142.0</v>
      </c>
    </row>
    <row r="311">
      <c r="A311" s="2">
        <f t="shared" si="1"/>
        <v>309</v>
      </c>
      <c r="B311" s="1" t="s">
        <v>1270</v>
      </c>
      <c r="C311" s="1" t="s">
        <v>1106</v>
      </c>
      <c r="D311" s="1" t="s">
        <v>66</v>
      </c>
      <c r="E311" s="15">
        <f t="shared" si="2"/>
        <v>223</v>
      </c>
      <c r="F311" s="15">
        <f t="shared" si="3"/>
        <v>3.53968254</v>
      </c>
      <c r="G311" s="1">
        <v>63.0</v>
      </c>
      <c r="H311" s="1">
        <v>7.0</v>
      </c>
      <c r="I311" s="1">
        <v>25.0</v>
      </c>
      <c r="J311" s="1">
        <v>32.0</v>
      </c>
      <c r="K311" s="1">
        <v>126.0</v>
      </c>
      <c r="L311" s="1">
        <v>4.0</v>
      </c>
      <c r="M311" s="1">
        <v>10.0</v>
      </c>
      <c r="N311" s="1">
        <v>0.0</v>
      </c>
      <c r="O311" s="1">
        <v>0.0</v>
      </c>
      <c r="P311" s="1">
        <v>40.0</v>
      </c>
      <c r="Q311" s="1">
        <v>87.0</v>
      </c>
    </row>
    <row r="312">
      <c r="A312" s="2">
        <f t="shared" si="1"/>
        <v>310</v>
      </c>
      <c r="B312" s="1" t="s">
        <v>1679</v>
      </c>
      <c r="C312" s="1" t="s">
        <v>1042</v>
      </c>
      <c r="D312" s="1" t="s">
        <v>31</v>
      </c>
      <c r="E312" s="15">
        <f t="shared" si="2"/>
        <v>222.5</v>
      </c>
      <c r="F312" s="15">
        <f t="shared" si="3"/>
        <v>3.090277778</v>
      </c>
      <c r="G312" s="1">
        <v>72.0</v>
      </c>
      <c r="H312" s="1">
        <v>14.0</v>
      </c>
      <c r="I312" s="1">
        <v>21.0</v>
      </c>
      <c r="J312" s="1">
        <v>35.0</v>
      </c>
      <c r="K312" s="1">
        <v>131.0</v>
      </c>
      <c r="L312" s="1">
        <v>6.0</v>
      </c>
      <c r="M312" s="1">
        <v>3.0</v>
      </c>
      <c r="N312" s="1">
        <v>0.0</v>
      </c>
      <c r="O312" s="1">
        <v>0.0</v>
      </c>
      <c r="P312" s="1">
        <v>62.0</v>
      </c>
      <c r="Q312" s="1">
        <v>31.0</v>
      </c>
    </row>
    <row r="313">
      <c r="A313" s="2">
        <f t="shared" si="1"/>
        <v>311</v>
      </c>
      <c r="B313" s="1" t="s">
        <v>1534</v>
      </c>
      <c r="C313" s="1" t="s">
        <v>1034</v>
      </c>
      <c r="D313" s="1" t="s">
        <v>28</v>
      </c>
      <c r="E313" s="15">
        <f t="shared" si="2"/>
        <v>222</v>
      </c>
      <c r="F313" s="15">
        <f t="shared" si="3"/>
        <v>2.921052632</v>
      </c>
      <c r="G313" s="1">
        <v>76.0</v>
      </c>
      <c r="H313" s="1">
        <v>6.0</v>
      </c>
      <c r="I313" s="1">
        <v>12.0</v>
      </c>
      <c r="J313" s="1">
        <v>18.0</v>
      </c>
      <c r="K313" s="1">
        <v>107.0</v>
      </c>
      <c r="L313" s="1">
        <v>0.0</v>
      </c>
      <c r="M313" s="1">
        <v>0.0</v>
      </c>
      <c r="N313" s="1">
        <v>0.0</v>
      </c>
      <c r="O313" s="1">
        <v>1.0</v>
      </c>
      <c r="P313" s="1">
        <v>290.0</v>
      </c>
      <c r="Q313" s="1">
        <v>62.0</v>
      </c>
      <c r="T313" s="12"/>
    </row>
    <row r="314">
      <c r="A314" s="2">
        <f t="shared" si="1"/>
        <v>311</v>
      </c>
      <c r="B314" s="1" t="s">
        <v>1651</v>
      </c>
      <c r="C314" s="1" t="s">
        <v>1032</v>
      </c>
      <c r="D314" s="1" t="s">
        <v>66</v>
      </c>
      <c r="E314" s="15">
        <f t="shared" si="2"/>
        <v>222</v>
      </c>
      <c r="F314" s="15">
        <f t="shared" si="3"/>
        <v>2.846153846</v>
      </c>
      <c r="G314" s="1">
        <v>78.0</v>
      </c>
      <c r="H314" s="1">
        <v>4.0</v>
      </c>
      <c r="I314" s="1">
        <v>20.0</v>
      </c>
      <c r="J314" s="1">
        <v>24.0</v>
      </c>
      <c r="K314" s="1">
        <v>107.0</v>
      </c>
      <c r="L314" s="1">
        <v>0.0</v>
      </c>
      <c r="M314" s="1">
        <v>0.0</v>
      </c>
      <c r="N314" s="1">
        <v>1.0</v>
      </c>
      <c r="O314" s="1">
        <v>0.0</v>
      </c>
      <c r="P314" s="1">
        <v>60.0</v>
      </c>
      <c r="Q314" s="1">
        <v>147.0</v>
      </c>
    </row>
    <row r="315">
      <c r="A315" s="2">
        <f t="shared" si="1"/>
        <v>313</v>
      </c>
      <c r="B315" s="1" t="s">
        <v>1441</v>
      </c>
      <c r="C315" s="1" t="s">
        <v>1082</v>
      </c>
      <c r="D315" s="1" t="s">
        <v>66</v>
      </c>
      <c r="E315" s="15">
        <f t="shared" si="2"/>
        <v>220.75</v>
      </c>
      <c r="F315" s="15">
        <f t="shared" si="3"/>
        <v>3.294776119</v>
      </c>
      <c r="G315" s="1">
        <v>67.0</v>
      </c>
      <c r="H315" s="1">
        <v>6.0</v>
      </c>
      <c r="I315" s="1">
        <v>10.0</v>
      </c>
      <c r="J315" s="1">
        <v>16.0</v>
      </c>
      <c r="K315" s="1">
        <v>91.0</v>
      </c>
      <c r="L315" s="1">
        <v>0.0</v>
      </c>
      <c r="M315" s="1">
        <v>0.0</v>
      </c>
      <c r="N315" s="1">
        <v>0.0</v>
      </c>
      <c r="O315" s="1">
        <v>0.0</v>
      </c>
      <c r="P315" s="1">
        <v>217.0</v>
      </c>
      <c r="Q315" s="1">
        <v>128.0</v>
      </c>
    </row>
    <row r="316">
      <c r="A316" s="2">
        <f t="shared" si="1"/>
        <v>313</v>
      </c>
      <c r="B316" s="1" t="s">
        <v>1191</v>
      </c>
      <c r="C316" s="1" t="s">
        <v>1091</v>
      </c>
      <c r="D316" s="1" t="s">
        <v>66</v>
      </c>
      <c r="E316" s="15">
        <f t="shared" si="2"/>
        <v>220.75</v>
      </c>
      <c r="F316" s="15">
        <f t="shared" si="3"/>
        <v>2.725308642</v>
      </c>
      <c r="G316" s="1">
        <v>81.0</v>
      </c>
      <c r="H316" s="1">
        <v>7.0</v>
      </c>
      <c r="I316" s="1">
        <v>16.0</v>
      </c>
      <c r="J316" s="1">
        <v>23.0</v>
      </c>
      <c r="K316" s="1">
        <v>111.0</v>
      </c>
      <c r="L316" s="1">
        <v>0.0</v>
      </c>
      <c r="M316" s="1">
        <v>1.0</v>
      </c>
      <c r="N316" s="1">
        <v>1.0</v>
      </c>
      <c r="O316" s="1">
        <v>0.0</v>
      </c>
      <c r="P316" s="1">
        <v>61.0</v>
      </c>
      <c r="Q316" s="1">
        <v>137.0</v>
      </c>
      <c r="T316" s="12"/>
    </row>
    <row r="317">
      <c r="A317" s="2">
        <f t="shared" si="1"/>
        <v>313</v>
      </c>
      <c r="B317" s="1" t="s">
        <v>1403</v>
      </c>
      <c r="C317" s="1" t="s">
        <v>1042</v>
      </c>
      <c r="D317" s="1" t="s">
        <v>31</v>
      </c>
      <c r="E317" s="15">
        <f t="shared" si="2"/>
        <v>220.75</v>
      </c>
      <c r="F317" s="15">
        <f t="shared" si="3"/>
        <v>2.866883117</v>
      </c>
      <c r="G317" s="1">
        <v>77.0</v>
      </c>
      <c r="H317" s="1">
        <v>12.0</v>
      </c>
      <c r="I317" s="1">
        <v>12.0</v>
      </c>
      <c r="J317" s="1">
        <v>24.0</v>
      </c>
      <c r="K317" s="1">
        <v>140.0</v>
      </c>
      <c r="L317" s="1">
        <v>0.0</v>
      </c>
      <c r="M317" s="1">
        <v>2.0</v>
      </c>
      <c r="N317" s="1">
        <v>2.0</v>
      </c>
      <c r="O317" s="1">
        <v>0.0</v>
      </c>
      <c r="P317" s="1">
        <v>167.0</v>
      </c>
      <c r="Q317" s="1">
        <v>30.0</v>
      </c>
    </row>
    <row r="318">
      <c r="A318" s="2">
        <f t="shared" si="1"/>
        <v>316</v>
      </c>
      <c r="B318" s="1" t="s">
        <v>1492</v>
      </c>
      <c r="C318" s="1" t="s">
        <v>1080</v>
      </c>
      <c r="D318" s="1" t="s">
        <v>66</v>
      </c>
      <c r="E318" s="15">
        <f t="shared" si="2"/>
        <v>220.5</v>
      </c>
      <c r="F318" s="15">
        <f t="shared" si="3"/>
        <v>2.863636364</v>
      </c>
      <c r="G318" s="1">
        <v>77.0</v>
      </c>
      <c r="H318" s="1">
        <v>3.0</v>
      </c>
      <c r="I318" s="1">
        <v>11.0</v>
      </c>
      <c r="J318" s="1">
        <v>14.0</v>
      </c>
      <c r="K318" s="1">
        <v>76.0</v>
      </c>
      <c r="L318" s="1">
        <v>0.0</v>
      </c>
      <c r="M318" s="1">
        <v>0.0</v>
      </c>
      <c r="N318" s="1">
        <v>1.0</v>
      </c>
      <c r="O318" s="1">
        <v>0.0</v>
      </c>
      <c r="P318" s="1">
        <v>48.0</v>
      </c>
      <c r="Q318" s="1">
        <v>244.0</v>
      </c>
    </row>
    <row r="319">
      <c r="A319" s="2">
        <f t="shared" si="1"/>
        <v>317</v>
      </c>
      <c r="B319" s="1" t="s">
        <v>1292</v>
      </c>
      <c r="C319" s="1" t="s">
        <v>1052</v>
      </c>
      <c r="D319" s="1" t="s">
        <v>66</v>
      </c>
      <c r="E319" s="15">
        <f t="shared" si="2"/>
        <v>220.25</v>
      </c>
      <c r="F319" s="15">
        <f t="shared" si="3"/>
        <v>3.238970588</v>
      </c>
      <c r="G319" s="1">
        <v>68.0</v>
      </c>
      <c r="H319" s="1">
        <v>1.0</v>
      </c>
      <c r="I319" s="1">
        <v>23.0</v>
      </c>
      <c r="J319" s="1">
        <v>24.0</v>
      </c>
      <c r="K319" s="1">
        <v>96.0</v>
      </c>
      <c r="L319" s="1">
        <v>0.0</v>
      </c>
      <c r="M319" s="1">
        <v>0.0</v>
      </c>
      <c r="N319" s="1">
        <v>0.0</v>
      </c>
      <c r="O319" s="1">
        <v>0.0</v>
      </c>
      <c r="P319" s="1">
        <v>133.0</v>
      </c>
      <c r="Q319" s="1">
        <v>131.0</v>
      </c>
    </row>
    <row r="320">
      <c r="A320" s="2">
        <f t="shared" si="1"/>
        <v>317</v>
      </c>
      <c r="B320" s="1" t="s">
        <v>1337</v>
      </c>
      <c r="C320" s="1" t="s">
        <v>1048</v>
      </c>
      <c r="D320" s="1" t="s">
        <v>31</v>
      </c>
      <c r="E320" s="15">
        <f t="shared" si="2"/>
        <v>220.25</v>
      </c>
      <c r="F320" s="15">
        <f t="shared" si="3"/>
        <v>3.017123288</v>
      </c>
      <c r="G320" s="1">
        <v>73.0</v>
      </c>
      <c r="H320" s="1">
        <v>12.0</v>
      </c>
      <c r="I320" s="1">
        <v>21.0</v>
      </c>
      <c r="J320" s="1">
        <v>33.0</v>
      </c>
      <c r="K320" s="1">
        <v>152.0</v>
      </c>
      <c r="L320" s="1">
        <v>0.0</v>
      </c>
      <c r="M320" s="1">
        <v>5.0</v>
      </c>
      <c r="N320" s="1">
        <v>2.0</v>
      </c>
      <c r="O320" s="1">
        <v>0.0</v>
      </c>
      <c r="P320" s="1">
        <v>29.0</v>
      </c>
      <c r="Q320" s="1">
        <v>32.0</v>
      </c>
    </row>
    <row r="321">
      <c r="A321" s="2">
        <f t="shared" si="1"/>
        <v>319</v>
      </c>
      <c r="B321" s="1" t="s">
        <v>2089</v>
      </c>
      <c r="C321" s="1" t="s">
        <v>1080</v>
      </c>
      <c r="D321" s="1" t="s">
        <v>36</v>
      </c>
      <c r="E321" s="15">
        <f t="shared" si="2"/>
        <v>220</v>
      </c>
      <c r="F321" s="15">
        <f t="shared" si="3"/>
        <v>2.682926829</v>
      </c>
      <c r="G321" s="1">
        <v>82.0</v>
      </c>
      <c r="H321" s="1">
        <v>14.0</v>
      </c>
      <c r="I321" s="1">
        <v>22.0</v>
      </c>
      <c r="J321" s="1">
        <v>36.0</v>
      </c>
      <c r="K321" s="1">
        <v>149.0</v>
      </c>
      <c r="L321" s="1">
        <v>2.0</v>
      </c>
      <c r="M321" s="1">
        <v>7.0</v>
      </c>
      <c r="N321" s="1">
        <v>0.0</v>
      </c>
      <c r="O321" s="1">
        <v>0.0</v>
      </c>
      <c r="P321" s="1">
        <v>10.0</v>
      </c>
      <c r="Q321" s="1">
        <v>28.0</v>
      </c>
    </row>
    <row r="322">
      <c r="A322" s="2">
        <f t="shared" si="1"/>
        <v>319</v>
      </c>
      <c r="B322" s="1" t="s">
        <v>1459</v>
      </c>
      <c r="C322" s="1" t="s">
        <v>1085</v>
      </c>
      <c r="D322" s="1" t="s">
        <v>66</v>
      </c>
      <c r="E322" s="15">
        <f t="shared" si="2"/>
        <v>220</v>
      </c>
      <c r="F322" s="15">
        <f t="shared" si="3"/>
        <v>2.682926829</v>
      </c>
      <c r="G322" s="1">
        <v>82.0</v>
      </c>
      <c r="H322" s="1">
        <v>6.0</v>
      </c>
      <c r="I322" s="1">
        <v>10.0</v>
      </c>
      <c r="J322" s="1">
        <v>16.0</v>
      </c>
      <c r="K322" s="1">
        <v>86.0</v>
      </c>
      <c r="L322" s="1">
        <v>0.0</v>
      </c>
      <c r="M322" s="1">
        <v>0.0</v>
      </c>
      <c r="N322" s="1">
        <v>0.0</v>
      </c>
      <c r="O322" s="1">
        <v>0.0</v>
      </c>
      <c r="P322" s="1">
        <v>224.0</v>
      </c>
      <c r="Q322" s="1">
        <v>128.0</v>
      </c>
    </row>
    <row r="323">
      <c r="A323" s="2">
        <f t="shared" si="1"/>
        <v>319</v>
      </c>
      <c r="B323" s="1" t="s">
        <v>1621</v>
      </c>
      <c r="C323" s="1" t="s">
        <v>1078</v>
      </c>
      <c r="D323" s="1" t="s">
        <v>28</v>
      </c>
      <c r="E323" s="15">
        <f t="shared" si="2"/>
        <v>220</v>
      </c>
      <c r="F323" s="15">
        <f t="shared" si="3"/>
        <v>2.716049383</v>
      </c>
      <c r="G323" s="1">
        <v>81.0</v>
      </c>
      <c r="H323" s="1">
        <v>11.0</v>
      </c>
      <c r="I323" s="1">
        <v>23.0</v>
      </c>
      <c r="J323" s="1">
        <v>34.0</v>
      </c>
      <c r="K323" s="1">
        <v>108.0</v>
      </c>
      <c r="L323" s="1">
        <v>0.0</v>
      </c>
      <c r="M323" s="1">
        <v>0.0</v>
      </c>
      <c r="N323" s="1">
        <v>0.0</v>
      </c>
      <c r="O323" s="1">
        <v>2.0</v>
      </c>
      <c r="P323" s="1">
        <v>96.0</v>
      </c>
      <c r="Q323" s="1">
        <v>39.0</v>
      </c>
    </row>
    <row r="324">
      <c r="A324" s="2">
        <f t="shared" si="1"/>
        <v>322</v>
      </c>
      <c r="B324" s="1" t="s">
        <v>1249</v>
      </c>
      <c r="C324" s="1" t="s">
        <v>1073</v>
      </c>
      <c r="D324" s="1" t="s">
        <v>31</v>
      </c>
      <c r="E324" s="15">
        <f t="shared" si="2"/>
        <v>219.75</v>
      </c>
      <c r="F324" s="15">
        <f t="shared" si="3"/>
        <v>3.231617647</v>
      </c>
      <c r="G324" s="1">
        <v>68.0</v>
      </c>
      <c r="H324" s="1">
        <v>12.0</v>
      </c>
      <c r="I324" s="1">
        <v>25.0</v>
      </c>
      <c r="J324" s="1">
        <v>37.0</v>
      </c>
      <c r="K324" s="1">
        <v>144.0</v>
      </c>
      <c r="L324" s="1">
        <v>5.0</v>
      </c>
      <c r="M324" s="1">
        <v>6.0</v>
      </c>
      <c r="N324" s="1">
        <v>2.0</v>
      </c>
      <c r="O324" s="1">
        <v>1.0</v>
      </c>
      <c r="P324" s="1">
        <v>15.0</v>
      </c>
      <c r="Q324" s="1">
        <v>18.0</v>
      </c>
    </row>
    <row r="325">
      <c r="A325" s="2">
        <f t="shared" si="1"/>
        <v>323</v>
      </c>
      <c r="B325" s="1" t="s">
        <v>1273</v>
      </c>
      <c r="C325" s="1" t="s">
        <v>1073</v>
      </c>
      <c r="D325" s="1" t="s">
        <v>66</v>
      </c>
      <c r="E325" s="15">
        <f t="shared" si="2"/>
        <v>219.5</v>
      </c>
      <c r="F325" s="15">
        <f t="shared" si="3"/>
        <v>2.888157895</v>
      </c>
      <c r="G325" s="1">
        <v>76.0</v>
      </c>
      <c r="H325" s="1">
        <v>7.0</v>
      </c>
      <c r="I325" s="1">
        <v>20.0</v>
      </c>
      <c r="J325" s="1">
        <v>27.0</v>
      </c>
      <c r="K325" s="1">
        <v>131.0</v>
      </c>
      <c r="L325" s="1">
        <v>0.0</v>
      </c>
      <c r="M325" s="1">
        <v>0.0</v>
      </c>
      <c r="N325" s="1">
        <v>0.0</v>
      </c>
      <c r="O325" s="1">
        <v>1.0</v>
      </c>
      <c r="P325" s="1">
        <v>36.0</v>
      </c>
      <c r="Q325" s="1">
        <v>103.0</v>
      </c>
    </row>
    <row r="326">
      <c r="A326" s="2">
        <f t="shared" si="1"/>
        <v>323</v>
      </c>
      <c r="B326" s="1" t="s">
        <v>1420</v>
      </c>
      <c r="C326" s="1" t="s">
        <v>1078</v>
      </c>
      <c r="D326" s="1" t="s">
        <v>66</v>
      </c>
      <c r="E326" s="15">
        <f t="shared" si="2"/>
        <v>219.5</v>
      </c>
      <c r="F326" s="15">
        <f t="shared" si="3"/>
        <v>2.850649351</v>
      </c>
      <c r="G326" s="1">
        <v>77.0</v>
      </c>
      <c r="H326" s="1">
        <v>5.0</v>
      </c>
      <c r="I326" s="1">
        <v>15.0</v>
      </c>
      <c r="J326" s="1">
        <v>20.0</v>
      </c>
      <c r="K326" s="1">
        <v>90.0</v>
      </c>
      <c r="L326" s="1">
        <v>1.0</v>
      </c>
      <c r="M326" s="1">
        <v>0.0</v>
      </c>
      <c r="N326" s="1">
        <v>0.0</v>
      </c>
      <c r="O326" s="1">
        <v>1.0</v>
      </c>
      <c r="P326" s="1">
        <v>162.0</v>
      </c>
      <c r="Q326" s="1">
        <v>129.0</v>
      </c>
    </row>
    <row r="327">
      <c r="A327" s="2">
        <f t="shared" si="1"/>
        <v>325</v>
      </c>
      <c r="B327" s="1" t="s">
        <v>1549</v>
      </c>
      <c r="C327" s="1" t="s">
        <v>1106</v>
      </c>
      <c r="D327" s="1" t="s">
        <v>36</v>
      </c>
      <c r="E327" s="15">
        <f t="shared" si="2"/>
        <v>219.25</v>
      </c>
      <c r="F327" s="15">
        <f t="shared" si="3"/>
        <v>3.321969697</v>
      </c>
      <c r="G327" s="1">
        <v>66.0</v>
      </c>
      <c r="H327" s="1">
        <v>15.0</v>
      </c>
      <c r="I327" s="1">
        <v>19.0</v>
      </c>
      <c r="J327" s="1">
        <v>34.0</v>
      </c>
      <c r="K327" s="1">
        <v>116.0</v>
      </c>
      <c r="L327" s="1">
        <v>3.0</v>
      </c>
      <c r="M327" s="1">
        <v>3.0</v>
      </c>
      <c r="N327" s="1">
        <v>1.0</v>
      </c>
      <c r="O327" s="1">
        <v>0.0</v>
      </c>
      <c r="P327" s="1">
        <v>99.0</v>
      </c>
      <c r="Q327" s="1">
        <v>20.0</v>
      </c>
    </row>
    <row r="328">
      <c r="A328" s="2">
        <f t="shared" si="1"/>
        <v>325</v>
      </c>
      <c r="B328" s="1" t="s">
        <v>1271</v>
      </c>
      <c r="C328" s="1" t="s">
        <v>1080</v>
      </c>
      <c r="D328" s="1" t="s">
        <v>36</v>
      </c>
      <c r="E328" s="15">
        <f t="shared" si="2"/>
        <v>219.25</v>
      </c>
      <c r="F328" s="15">
        <f t="shared" si="3"/>
        <v>5.098837209</v>
      </c>
      <c r="G328" s="1">
        <v>43.0</v>
      </c>
      <c r="H328" s="1">
        <v>17.0</v>
      </c>
      <c r="I328" s="1">
        <v>21.0</v>
      </c>
      <c r="J328" s="1">
        <v>38.0</v>
      </c>
      <c r="K328" s="1">
        <v>113.0</v>
      </c>
      <c r="L328" s="1">
        <v>3.0</v>
      </c>
      <c r="M328" s="1">
        <v>6.0</v>
      </c>
      <c r="N328" s="1">
        <v>2.0</v>
      </c>
      <c r="O328" s="1">
        <v>0.0</v>
      </c>
      <c r="P328" s="1">
        <v>31.0</v>
      </c>
      <c r="Q328" s="1">
        <v>23.0</v>
      </c>
    </row>
    <row r="329">
      <c r="A329" s="2">
        <f t="shared" si="1"/>
        <v>327</v>
      </c>
      <c r="B329" s="1" t="s">
        <v>1335</v>
      </c>
      <c r="C329" s="1" t="s">
        <v>1116</v>
      </c>
      <c r="D329" s="1" t="s">
        <v>66</v>
      </c>
      <c r="E329" s="15">
        <f t="shared" si="2"/>
        <v>219</v>
      </c>
      <c r="F329" s="15">
        <f t="shared" si="3"/>
        <v>2.670731707</v>
      </c>
      <c r="G329" s="1">
        <v>82.0</v>
      </c>
      <c r="H329" s="1">
        <v>2.0</v>
      </c>
      <c r="I329" s="1">
        <v>21.0</v>
      </c>
      <c r="J329" s="1">
        <v>23.0</v>
      </c>
      <c r="K329" s="1">
        <v>83.0</v>
      </c>
      <c r="L329" s="1">
        <v>0.0</v>
      </c>
      <c r="M329" s="1">
        <v>0.0</v>
      </c>
      <c r="N329" s="1">
        <v>0.0</v>
      </c>
      <c r="O329" s="1">
        <v>1.0</v>
      </c>
      <c r="P329" s="1">
        <v>198.0</v>
      </c>
      <c r="Q329" s="1">
        <v>108.0</v>
      </c>
    </row>
    <row r="330">
      <c r="A330" s="2">
        <f t="shared" si="1"/>
        <v>328</v>
      </c>
      <c r="B330" s="1" t="s">
        <v>1429</v>
      </c>
      <c r="C330" s="1" t="s">
        <v>1078</v>
      </c>
      <c r="D330" s="1" t="s">
        <v>31</v>
      </c>
      <c r="E330" s="15">
        <f t="shared" si="2"/>
        <v>218.75</v>
      </c>
      <c r="F330" s="15">
        <f t="shared" si="3"/>
        <v>3.707627119</v>
      </c>
      <c r="G330" s="1">
        <v>59.0</v>
      </c>
      <c r="H330" s="1">
        <v>14.0</v>
      </c>
      <c r="I330" s="1">
        <v>22.0</v>
      </c>
      <c r="J330" s="1">
        <v>36.0</v>
      </c>
      <c r="K330" s="1">
        <v>133.0</v>
      </c>
      <c r="L330" s="1">
        <v>7.0</v>
      </c>
      <c r="M330" s="1">
        <v>1.0</v>
      </c>
      <c r="N330" s="1">
        <v>0.0</v>
      </c>
      <c r="O330" s="1">
        <v>0.0</v>
      </c>
      <c r="P330" s="1">
        <v>27.0</v>
      </c>
      <c r="Q330" s="1">
        <v>33.0</v>
      </c>
    </row>
    <row r="331">
      <c r="A331" s="2">
        <f t="shared" si="1"/>
        <v>329</v>
      </c>
      <c r="B331" s="1" t="s">
        <v>1378</v>
      </c>
      <c r="C331" s="1" t="s">
        <v>1076</v>
      </c>
      <c r="D331" s="1" t="s">
        <v>28</v>
      </c>
      <c r="E331" s="15">
        <f t="shared" si="2"/>
        <v>218.5</v>
      </c>
      <c r="F331" s="15">
        <f t="shared" si="3"/>
        <v>2.875</v>
      </c>
      <c r="G331" s="1">
        <v>76.0</v>
      </c>
      <c r="H331" s="1">
        <v>13.0</v>
      </c>
      <c r="I331" s="1">
        <v>14.0</v>
      </c>
      <c r="J331" s="1">
        <v>27.0</v>
      </c>
      <c r="K331" s="1">
        <v>167.0</v>
      </c>
      <c r="L331" s="1">
        <v>2.0</v>
      </c>
      <c r="M331" s="1">
        <v>1.0</v>
      </c>
      <c r="N331" s="1">
        <v>0.0</v>
      </c>
      <c r="O331" s="1">
        <v>0.0</v>
      </c>
      <c r="P331" s="1">
        <v>100.0</v>
      </c>
      <c r="Q331" s="1">
        <v>19.0</v>
      </c>
    </row>
    <row r="332">
      <c r="A332" s="2">
        <f t="shared" si="1"/>
        <v>329</v>
      </c>
      <c r="B332" s="1" t="s">
        <v>1136</v>
      </c>
      <c r="C332" s="1" t="s">
        <v>1082</v>
      </c>
      <c r="D332" s="1" t="s">
        <v>66</v>
      </c>
      <c r="E332" s="15">
        <f t="shared" si="2"/>
        <v>218.5</v>
      </c>
      <c r="F332" s="15">
        <f t="shared" si="3"/>
        <v>5.4625</v>
      </c>
      <c r="G332" s="1">
        <v>40.0</v>
      </c>
      <c r="H332" s="1">
        <v>9.0</v>
      </c>
      <c r="I332" s="1">
        <v>20.0</v>
      </c>
      <c r="J332" s="1">
        <v>29.0</v>
      </c>
      <c r="K332" s="1">
        <v>124.0</v>
      </c>
      <c r="L332" s="1">
        <v>3.0</v>
      </c>
      <c r="M332" s="1">
        <v>9.0</v>
      </c>
      <c r="N332" s="1">
        <v>1.0</v>
      </c>
      <c r="O332" s="1">
        <v>0.0</v>
      </c>
      <c r="P332" s="1">
        <v>42.0</v>
      </c>
      <c r="Q332" s="1">
        <v>87.0</v>
      </c>
    </row>
    <row r="333">
      <c r="A333" s="2">
        <f t="shared" si="1"/>
        <v>329</v>
      </c>
      <c r="B333" s="1" t="s">
        <v>1514</v>
      </c>
      <c r="C333" s="1" t="s">
        <v>1040</v>
      </c>
      <c r="D333" s="1" t="s">
        <v>28</v>
      </c>
      <c r="E333" s="15">
        <f t="shared" si="2"/>
        <v>218.5</v>
      </c>
      <c r="F333" s="15">
        <f t="shared" si="3"/>
        <v>2.664634146</v>
      </c>
      <c r="G333" s="1">
        <v>82.0</v>
      </c>
      <c r="H333" s="1">
        <v>11.0</v>
      </c>
      <c r="I333" s="1">
        <v>20.0</v>
      </c>
      <c r="J333" s="1">
        <v>31.0</v>
      </c>
      <c r="K333" s="1">
        <v>89.0</v>
      </c>
      <c r="L333" s="1">
        <v>1.0</v>
      </c>
      <c r="M333" s="1">
        <v>1.0</v>
      </c>
      <c r="N333" s="1">
        <v>0.0</v>
      </c>
      <c r="O333" s="1">
        <v>1.0</v>
      </c>
      <c r="P333" s="1">
        <v>122.0</v>
      </c>
      <c r="Q333" s="1">
        <v>64.0</v>
      </c>
    </row>
    <row r="334">
      <c r="A334" s="2">
        <f t="shared" si="1"/>
        <v>332</v>
      </c>
      <c r="B334" s="1" t="s">
        <v>1282</v>
      </c>
      <c r="C334" s="1" t="s">
        <v>1032</v>
      </c>
      <c r="D334" s="1" t="s">
        <v>31</v>
      </c>
      <c r="E334" s="15">
        <f t="shared" si="2"/>
        <v>218</v>
      </c>
      <c r="F334" s="15">
        <f t="shared" si="3"/>
        <v>2.658536585</v>
      </c>
      <c r="G334" s="1">
        <v>82.0</v>
      </c>
      <c r="H334" s="1">
        <v>10.0</v>
      </c>
      <c r="I334" s="1">
        <v>22.0</v>
      </c>
      <c r="J334" s="1">
        <v>32.0</v>
      </c>
      <c r="K334" s="1">
        <v>133.0</v>
      </c>
      <c r="L334" s="1">
        <v>2.0</v>
      </c>
      <c r="M334" s="1">
        <v>1.0</v>
      </c>
      <c r="N334" s="1">
        <v>1.0</v>
      </c>
      <c r="O334" s="1">
        <v>1.0</v>
      </c>
      <c r="P334" s="1">
        <v>54.0</v>
      </c>
      <c r="Q334" s="1">
        <v>46.0</v>
      </c>
    </row>
    <row r="335">
      <c r="A335" s="2">
        <f t="shared" si="1"/>
        <v>333</v>
      </c>
      <c r="B335" s="1" t="s">
        <v>1726</v>
      </c>
      <c r="C335" s="1" t="s">
        <v>1175</v>
      </c>
      <c r="D335" s="1" t="s">
        <v>36</v>
      </c>
      <c r="E335" s="15">
        <f t="shared" si="2"/>
        <v>217.5</v>
      </c>
      <c r="F335" s="15">
        <f t="shared" si="3"/>
        <v>3.020833333</v>
      </c>
      <c r="G335" s="1">
        <v>72.0</v>
      </c>
      <c r="H335" s="1">
        <v>15.0</v>
      </c>
      <c r="I335" s="1">
        <v>18.0</v>
      </c>
      <c r="J335" s="1">
        <v>33.0</v>
      </c>
      <c r="K335" s="1">
        <v>129.0</v>
      </c>
      <c r="L335" s="1">
        <v>2.0</v>
      </c>
      <c r="M335" s="1">
        <v>1.0</v>
      </c>
      <c r="N335" s="1">
        <v>0.0</v>
      </c>
      <c r="O335" s="1">
        <v>0.0</v>
      </c>
      <c r="P335" s="1">
        <v>70.0</v>
      </c>
      <c r="Q335" s="1">
        <v>28.0</v>
      </c>
    </row>
    <row r="336">
      <c r="A336" s="2">
        <f t="shared" si="1"/>
        <v>334</v>
      </c>
      <c r="B336" s="1" t="s">
        <v>1670</v>
      </c>
      <c r="C336" s="1" t="s">
        <v>1067</v>
      </c>
      <c r="D336" s="1" t="s">
        <v>31</v>
      </c>
      <c r="E336" s="15">
        <f t="shared" si="2"/>
        <v>217.25</v>
      </c>
      <c r="F336" s="15">
        <f t="shared" si="3"/>
        <v>2.896666667</v>
      </c>
      <c r="G336" s="1">
        <v>75.0</v>
      </c>
      <c r="H336" s="1">
        <v>14.0</v>
      </c>
      <c r="I336" s="1">
        <v>23.0</v>
      </c>
      <c r="J336" s="1">
        <v>37.0</v>
      </c>
      <c r="K336" s="1">
        <v>126.0</v>
      </c>
      <c r="L336" s="1">
        <v>1.0</v>
      </c>
      <c r="M336" s="1">
        <v>5.0</v>
      </c>
      <c r="N336" s="1">
        <v>0.0</v>
      </c>
      <c r="O336" s="1">
        <v>1.0</v>
      </c>
      <c r="P336" s="1">
        <v>43.0</v>
      </c>
      <c r="Q336" s="1">
        <v>19.0</v>
      </c>
    </row>
    <row r="337">
      <c r="A337" s="2">
        <f t="shared" si="1"/>
        <v>334</v>
      </c>
      <c r="B337" s="1" t="s">
        <v>1582</v>
      </c>
      <c r="C337" s="1" t="s">
        <v>1172</v>
      </c>
      <c r="D337" s="1" t="s">
        <v>66</v>
      </c>
      <c r="E337" s="15">
        <f t="shared" si="2"/>
        <v>217.25</v>
      </c>
      <c r="F337" s="15">
        <f t="shared" si="3"/>
        <v>2.715625</v>
      </c>
      <c r="G337" s="1">
        <v>80.0</v>
      </c>
      <c r="H337" s="1">
        <v>7.0</v>
      </c>
      <c r="I337" s="1">
        <v>6.0</v>
      </c>
      <c r="J337" s="1">
        <v>13.0</v>
      </c>
      <c r="K337" s="1">
        <v>85.0</v>
      </c>
      <c r="L337" s="1">
        <v>0.0</v>
      </c>
      <c r="M337" s="1">
        <v>0.0</v>
      </c>
      <c r="N337" s="1">
        <v>2.0</v>
      </c>
      <c r="O337" s="1">
        <v>0.0</v>
      </c>
      <c r="P337" s="1">
        <v>165.0</v>
      </c>
      <c r="Q337" s="1">
        <v>160.0</v>
      </c>
    </row>
    <row r="338">
      <c r="A338" s="2">
        <f t="shared" si="1"/>
        <v>336</v>
      </c>
      <c r="B338" s="1" t="s">
        <v>1564</v>
      </c>
      <c r="C338" s="1" t="s">
        <v>1111</v>
      </c>
      <c r="D338" s="1" t="s">
        <v>66</v>
      </c>
      <c r="E338" s="15">
        <f t="shared" si="2"/>
        <v>216.75</v>
      </c>
      <c r="F338" s="15">
        <f t="shared" si="3"/>
        <v>2.778846154</v>
      </c>
      <c r="G338" s="1">
        <v>78.0</v>
      </c>
      <c r="H338" s="1">
        <v>4.0</v>
      </c>
      <c r="I338" s="1">
        <v>30.0</v>
      </c>
      <c r="J338" s="1">
        <v>34.0</v>
      </c>
      <c r="K338" s="1">
        <v>93.0</v>
      </c>
      <c r="L338" s="1">
        <v>1.0</v>
      </c>
      <c r="M338" s="1">
        <v>11.0</v>
      </c>
      <c r="N338" s="1">
        <v>0.0</v>
      </c>
      <c r="O338" s="1">
        <v>0.0</v>
      </c>
      <c r="P338" s="1">
        <v>53.0</v>
      </c>
      <c r="Q338" s="1">
        <v>98.0</v>
      </c>
    </row>
    <row r="339">
      <c r="A339" s="2">
        <f t="shared" si="1"/>
        <v>337</v>
      </c>
      <c r="B339" s="1" t="s">
        <v>1375</v>
      </c>
      <c r="C339" s="1" t="s">
        <v>1146</v>
      </c>
      <c r="D339" s="1" t="s">
        <v>66</v>
      </c>
      <c r="E339" s="15">
        <f t="shared" si="2"/>
        <v>215.5</v>
      </c>
      <c r="F339" s="15">
        <f t="shared" si="3"/>
        <v>2.873333333</v>
      </c>
      <c r="G339" s="1">
        <v>75.0</v>
      </c>
      <c r="H339" s="1">
        <v>9.0</v>
      </c>
      <c r="I339" s="1">
        <v>16.0</v>
      </c>
      <c r="J339" s="1">
        <v>25.0</v>
      </c>
      <c r="K339" s="1">
        <v>76.0</v>
      </c>
      <c r="L339" s="1">
        <v>0.0</v>
      </c>
      <c r="M339" s="1">
        <v>0.0</v>
      </c>
      <c r="N339" s="1">
        <v>0.0</v>
      </c>
      <c r="O339" s="1">
        <v>0.0</v>
      </c>
      <c r="P339" s="1">
        <v>126.0</v>
      </c>
      <c r="Q339" s="1">
        <v>115.0</v>
      </c>
    </row>
    <row r="340">
      <c r="A340" s="2">
        <f t="shared" si="1"/>
        <v>338</v>
      </c>
      <c r="B340" s="1" t="s">
        <v>1600</v>
      </c>
      <c r="C340" s="1" t="s">
        <v>1097</v>
      </c>
      <c r="D340" s="1" t="s">
        <v>28</v>
      </c>
      <c r="E340" s="15">
        <f t="shared" si="2"/>
        <v>215</v>
      </c>
      <c r="F340" s="15">
        <f t="shared" si="3"/>
        <v>3.208955224</v>
      </c>
      <c r="G340" s="1">
        <v>67.0</v>
      </c>
      <c r="H340" s="1">
        <v>14.0</v>
      </c>
      <c r="I340" s="1">
        <v>20.0</v>
      </c>
      <c r="J340" s="1">
        <v>34.0</v>
      </c>
      <c r="K340" s="1">
        <v>148.0</v>
      </c>
      <c r="L340" s="1">
        <v>1.0</v>
      </c>
      <c r="M340" s="1">
        <v>9.0</v>
      </c>
      <c r="N340" s="1">
        <v>0.0</v>
      </c>
      <c r="O340" s="1">
        <v>0.0</v>
      </c>
      <c r="P340" s="1">
        <v>24.0</v>
      </c>
      <c r="Q340" s="1">
        <v>24.0</v>
      </c>
    </row>
    <row r="341">
      <c r="A341" s="2">
        <f t="shared" si="1"/>
        <v>339</v>
      </c>
      <c r="B341" s="1" t="s">
        <v>1369</v>
      </c>
      <c r="C341" s="1" t="s">
        <v>1042</v>
      </c>
      <c r="D341" s="1" t="s">
        <v>31</v>
      </c>
      <c r="E341" s="15">
        <f t="shared" si="2"/>
        <v>214.75</v>
      </c>
      <c r="F341" s="15">
        <f t="shared" si="3"/>
        <v>4.210784314</v>
      </c>
      <c r="G341" s="1">
        <v>51.0</v>
      </c>
      <c r="H341" s="1">
        <v>17.0</v>
      </c>
      <c r="I341" s="1">
        <v>26.0</v>
      </c>
      <c r="J341" s="1">
        <v>43.0</v>
      </c>
      <c r="K341" s="1">
        <v>93.0</v>
      </c>
      <c r="L341" s="1">
        <v>5.0</v>
      </c>
      <c r="M341" s="1">
        <v>7.0</v>
      </c>
      <c r="N341" s="1">
        <v>0.0</v>
      </c>
      <c r="O341" s="1">
        <v>0.0</v>
      </c>
      <c r="P341" s="1">
        <v>9.0</v>
      </c>
      <c r="Q341" s="1">
        <v>23.0</v>
      </c>
    </row>
    <row r="342">
      <c r="A342" s="2">
        <f t="shared" si="1"/>
        <v>340</v>
      </c>
      <c r="B342" s="1" t="s">
        <v>1118</v>
      </c>
      <c r="C342" s="1" t="s">
        <v>1078</v>
      </c>
      <c r="D342" s="1" t="s">
        <v>28</v>
      </c>
      <c r="E342" s="15">
        <f t="shared" si="2"/>
        <v>214</v>
      </c>
      <c r="F342" s="15">
        <f t="shared" si="3"/>
        <v>3.627118644</v>
      </c>
      <c r="G342" s="1">
        <v>59.0</v>
      </c>
      <c r="H342" s="1">
        <v>10.0</v>
      </c>
      <c r="I342" s="1">
        <v>19.0</v>
      </c>
      <c r="J342" s="1">
        <v>29.0</v>
      </c>
      <c r="K342" s="1">
        <v>163.0</v>
      </c>
      <c r="L342" s="1">
        <v>2.0</v>
      </c>
      <c r="M342" s="1">
        <v>5.0</v>
      </c>
      <c r="N342" s="1">
        <v>1.0</v>
      </c>
      <c r="O342" s="1">
        <v>1.0</v>
      </c>
      <c r="P342" s="1">
        <v>60.0</v>
      </c>
      <c r="Q342" s="1">
        <v>23.0</v>
      </c>
      <c r="T342" s="12"/>
    </row>
    <row r="343">
      <c r="A343" s="2">
        <f t="shared" si="1"/>
        <v>341</v>
      </c>
      <c r="B343" s="1" t="s">
        <v>1524</v>
      </c>
      <c r="C343" s="1" t="s">
        <v>1111</v>
      </c>
      <c r="D343" s="1" t="s">
        <v>36</v>
      </c>
      <c r="E343" s="15">
        <f t="shared" si="2"/>
        <v>213.5</v>
      </c>
      <c r="F343" s="15">
        <f t="shared" si="3"/>
        <v>2.66875</v>
      </c>
      <c r="G343" s="1">
        <v>80.0</v>
      </c>
      <c r="H343" s="1">
        <v>13.0</v>
      </c>
      <c r="I343" s="1">
        <v>14.0</v>
      </c>
      <c r="J343" s="1">
        <v>27.0</v>
      </c>
      <c r="K343" s="1">
        <v>122.0</v>
      </c>
      <c r="L343" s="1">
        <v>0.0</v>
      </c>
      <c r="M343" s="1">
        <v>1.0</v>
      </c>
      <c r="N343" s="1">
        <v>1.0</v>
      </c>
      <c r="O343" s="1">
        <v>0.0</v>
      </c>
      <c r="P343" s="1">
        <v>126.0</v>
      </c>
      <c r="Q343" s="1">
        <v>37.0</v>
      </c>
    </row>
    <row r="344">
      <c r="A344" s="2">
        <f t="shared" si="1"/>
        <v>342</v>
      </c>
      <c r="B344" s="1" t="s">
        <v>1605</v>
      </c>
      <c r="C344" s="1" t="s">
        <v>1082</v>
      </c>
      <c r="D344" s="1" t="s">
        <v>66</v>
      </c>
      <c r="E344" s="15">
        <f t="shared" si="2"/>
        <v>213.25</v>
      </c>
      <c r="F344" s="15">
        <f t="shared" si="3"/>
        <v>2.843333333</v>
      </c>
      <c r="G344" s="1">
        <v>75.0</v>
      </c>
      <c r="H344" s="1">
        <v>7.0</v>
      </c>
      <c r="I344" s="1">
        <v>16.0</v>
      </c>
      <c r="J344" s="1">
        <v>23.0</v>
      </c>
      <c r="K344" s="1">
        <v>97.0</v>
      </c>
      <c r="L344" s="1">
        <v>0.0</v>
      </c>
      <c r="M344" s="1">
        <v>1.0</v>
      </c>
      <c r="N344" s="1">
        <v>0.0</v>
      </c>
      <c r="O344" s="1">
        <v>0.0</v>
      </c>
      <c r="P344" s="1">
        <v>21.0</v>
      </c>
      <c r="Q344" s="1">
        <v>160.0</v>
      </c>
    </row>
    <row r="345">
      <c r="A345" s="2">
        <f t="shared" si="1"/>
        <v>343</v>
      </c>
      <c r="B345" s="1" t="s">
        <v>1423</v>
      </c>
      <c r="C345" s="1" t="s">
        <v>1097</v>
      </c>
      <c r="D345" s="1" t="s">
        <v>5</v>
      </c>
      <c r="E345" s="15">
        <f t="shared" si="2"/>
        <v>212.1</v>
      </c>
      <c r="F345" s="15">
        <f t="shared" si="3"/>
        <v>5.3025</v>
      </c>
      <c r="G345" s="1">
        <v>40.0</v>
      </c>
      <c r="M345" s="12"/>
      <c r="Q345" s="12"/>
      <c r="R345" s="1">
        <v>16.0</v>
      </c>
      <c r="S345" s="1">
        <v>133.0</v>
      </c>
      <c r="T345" s="12">
        <v>1212.0</v>
      </c>
      <c r="U345" s="1">
        <v>0.0</v>
      </c>
    </row>
    <row r="346">
      <c r="A346" s="2">
        <f t="shared" si="1"/>
        <v>344</v>
      </c>
      <c r="B346" s="1" t="s">
        <v>1151</v>
      </c>
      <c r="C346" s="1" t="s">
        <v>1116</v>
      </c>
      <c r="D346" s="1" t="s">
        <v>28</v>
      </c>
      <c r="E346" s="15">
        <f t="shared" si="2"/>
        <v>212</v>
      </c>
      <c r="F346" s="15">
        <f t="shared" si="3"/>
        <v>4.711111111</v>
      </c>
      <c r="G346" s="1">
        <v>45.0</v>
      </c>
      <c r="H346" s="1">
        <v>12.0</v>
      </c>
      <c r="I346" s="1">
        <v>26.0</v>
      </c>
      <c r="J346" s="1">
        <v>38.0</v>
      </c>
      <c r="K346" s="1">
        <v>132.0</v>
      </c>
      <c r="L346" s="1">
        <v>3.0</v>
      </c>
      <c r="M346" s="1">
        <v>9.0</v>
      </c>
      <c r="N346" s="1">
        <v>0.0</v>
      </c>
      <c r="O346" s="1">
        <v>0.0</v>
      </c>
      <c r="P346" s="1">
        <v>36.0</v>
      </c>
      <c r="Q346" s="1">
        <v>10.0</v>
      </c>
    </row>
    <row r="347">
      <c r="A347" s="2">
        <f t="shared" si="1"/>
        <v>345</v>
      </c>
      <c r="B347" s="1" t="s">
        <v>1608</v>
      </c>
      <c r="C347" s="1" t="s">
        <v>1076</v>
      </c>
      <c r="D347" s="1" t="s">
        <v>66</v>
      </c>
      <c r="E347" s="15">
        <f t="shared" si="2"/>
        <v>211.75</v>
      </c>
      <c r="F347" s="15">
        <f t="shared" si="3"/>
        <v>2.646875</v>
      </c>
      <c r="G347" s="1">
        <v>80.0</v>
      </c>
      <c r="H347" s="1">
        <v>4.0</v>
      </c>
      <c r="I347" s="1">
        <v>17.0</v>
      </c>
      <c r="J347" s="1">
        <v>21.0</v>
      </c>
      <c r="K347" s="1">
        <v>84.0</v>
      </c>
      <c r="L347" s="1">
        <v>1.0</v>
      </c>
      <c r="M347" s="1">
        <v>0.0</v>
      </c>
      <c r="N347" s="1">
        <v>0.0</v>
      </c>
      <c r="O347" s="1">
        <v>0.0</v>
      </c>
      <c r="P347" s="1">
        <v>101.0</v>
      </c>
      <c r="Q347" s="1">
        <v>151.0</v>
      </c>
    </row>
    <row r="348">
      <c r="A348" s="2">
        <f t="shared" si="1"/>
        <v>346</v>
      </c>
      <c r="B348" s="1" t="s">
        <v>1148</v>
      </c>
      <c r="C348" s="1" t="s">
        <v>1087</v>
      </c>
      <c r="D348" s="1" t="s">
        <v>36</v>
      </c>
      <c r="E348" s="15">
        <f t="shared" si="2"/>
        <v>211.5</v>
      </c>
      <c r="F348" s="15">
        <f t="shared" si="3"/>
        <v>3.845454545</v>
      </c>
      <c r="G348" s="1">
        <v>55.0</v>
      </c>
      <c r="H348" s="1">
        <v>16.0</v>
      </c>
      <c r="I348" s="1">
        <v>17.0</v>
      </c>
      <c r="J348" s="1">
        <v>33.0</v>
      </c>
      <c r="K348" s="1">
        <v>122.0</v>
      </c>
      <c r="L348" s="1">
        <v>3.0</v>
      </c>
      <c r="M348" s="1">
        <v>2.0</v>
      </c>
      <c r="N348" s="1">
        <v>0.0</v>
      </c>
      <c r="O348" s="1">
        <v>0.0</v>
      </c>
      <c r="P348" s="1">
        <v>76.0</v>
      </c>
      <c r="Q348" s="1">
        <v>17.0</v>
      </c>
    </row>
    <row r="349">
      <c r="A349" s="2">
        <f t="shared" si="1"/>
        <v>347</v>
      </c>
      <c r="B349" s="1" t="s">
        <v>1838</v>
      </c>
      <c r="C349" s="1" t="s">
        <v>1111</v>
      </c>
      <c r="D349" s="1" t="s">
        <v>31</v>
      </c>
      <c r="E349" s="15">
        <f t="shared" si="2"/>
        <v>210.75</v>
      </c>
      <c r="F349" s="15">
        <f t="shared" si="3"/>
        <v>2.570121951</v>
      </c>
      <c r="G349" s="1">
        <v>82.0</v>
      </c>
      <c r="H349" s="1">
        <v>15.0</v>
      </c>
      <c r="I349" s="1">
        <v>19.0</v>
      </c>
      <c r="J349" s="1">
        <v>34.0</v>
      </c>
      <c r="K349" s="1">
        <v>94.0</v>
      </c>
      <c r="L349" s="1">
        <v>2.0</v>
      </c>
      <c r="M349" s="1">
        <v>8.0</v>
      </c>
      <c r="N349" s="1">
        <v>0.0</v>
      </c>
      <c r="O349" s="1">
        <v>0.0</v>
      </c>
      <c r="P349" s="1">
        <v>39.0</v>
      </c>
      <c r="Q349" s="1">
        <v>59.0</v>
      </c>
    </row>
    <row r="350">
      <c r="A350" s="2">
        <f t="shared" si="1"/>
        <v>348</v>
      </c>
      <c r="B350" s="1" t="s">
        <v>1254</v>
      </c>
      <c r="C350" s="1" t="s">
        <v>1111</v>
      </c>
      <c r="D350" s="1" t="s">
        <v>28</v>
      </c>
      <c r="E350" s="15">
        <f t="shared" si="2"/>
        <v>210</v>
      </c>
      <c r="F350" s="15">
        <f t="shared" si="3"/>
        <v>3.28125</v>
      </c>
      <c r="G350" s="1">
        <v>64.0</v>
      </c>
      <c r="H350" s="1">
        <v>11.0</v>
      </c>
      <c r="I350" s="1">
        <v>38.0</v>
      </c>
      <c r="J350" s="1">
        <v>49.0</v>
      </c>
      <c r="K350" s="1">
        <v>61.0</v>
      </c>
      <c r="L350" s="1">
        <v>1.0</v>
      </c>
      <c r="M350" s="1">
        <v>12.0</v>
      </c>
      <c r="N350" s="1">
        <v>0.0</v>
      </c>
      <c r="O350" s="1">
        <v>0.0</v>
      </c>
      <c r="P350" s="1">
        <v>24.0</v>
      </c>
      <c r="Q350" s="1">
        <v>20.0</v>
      </c>
    </row>
    <row r="351">
      <c r="A351" s="2">
        <f t="shared" si="1"/>
        <v>349</v>
      </c>
      <c r="B351" s="1" t="s">
        <v>1390</v>
      </c>
      <c r="C351" s="1" t="s">
        <v>1120</v>
      </c>
      <c r="D351" s="1" t="s">
        <v>66</v>
      </c>
      <c r="E351" s="15">
        <f t="shared" si="2"/>
        <v>209.75</v>
      </c>
      <c r="F351" s="15">
        <f t="shared" si="3"/>
        <v>3.329365079</v>
      </c>
      <c r="G351" s="1">
        <v>63.0</v>
      </c>
      <c r="H351" s="1">
        <v>9.0</v>
      </c>
      <c r="I351" s="1">
        <v>9.0</v>
      </c>
      <c r="J351" s="1">
        <v>18.0</v>
      </c>
      <c r="K351" s="1">
        <v>140.0</v>
      </c>
      <c r="L351" s="1">
        <v>0.0</v>
      </c>
      <c r="M351" s="1">
        <v>2.0</v>
      </c>
      <c r="N351" s="1">
        <v>0.0</v>
      </c>
      <c r="O351" s="1">
        <v>0.0</v>
      </c>
      <c r="P351" s="1">
        <v>47.0</v>
      </c>
      <c r="Q351" s="1">
        <v>121.0</v>
      </c>
    </row>
    <row r="352">
      <c r="A352" s="2">
        <f t="shared" si="1"/>
        <v>350</v>
      </c>
      <c r="B352" s="1" t="s">
        <v>1491</v>
      </c>
      <c r="C352" s="1" t="s">
        <v>1067</v>
      </c>
      <c r="D352" s="1" t="s">
        <v>36</v>
      </c>
      <c r="E352" s="15">
        <f t="shared" si="2"/>
        <v>209.5</v>
      </c>
      <c r="F352" s="15">
        <f t="shared" si="3"/>
        <v>2.793333333</v>
      </c>
      <c r="G352" s="1">
        <v>75.0</v>
      </c>
      <c r="H352" s="1">
        <v>11.0</v>
      </c>
      <c r="I352" s="1">
        <v>17.0</v>
      </c>
      <c r="J352" s="1">
        <v>28.0</v>
      </c>
      <c r="K352" s="1">
        <v>150.0</v>
      </c>
      <c r="L352" s="1">
        <v>1.0</v>
      </c>
      <c r="M352" s="1">
        <v>3.0</v>
      </c>
      <c r="N352" s="1">
        <v>1.0</v>
      </c>
      <c r="O352" s="1">
        <v>0.0</v>
      </c>
      <c r="P352" s="1">
        <v>78.0</v>
      </c>
      <c r="Q352" s="1">
        <v>25.0</v>
      </c>
    </row>
    <row r="353">
      <c r="A353" s="2">
        <f t="shared" si="1"/>
        <v>351</v>
      </c>
      <c r="B353" s="1" t="s">
        <v>1167</v>
      </c>
      <c r="C353" s="1" t="s">
        <v>1076</v>
      </c>
      <c r="D353" s="1" t="s">
        <v>28</v>
      </c>
      <c r="E353" s="15">
        <f t="shared" si="2"/>
        <v>209</v>
      </c>
      <c r="F353" s="15">
        <f t="shared" si="3"/>
        <v>2.786666667</v>
      </c>
      <c r="G353" s="1">
        <v>75.0</v>
      </c>
      <c r="H353" s="1">
        <v>13.0</v>
      </c>
      <c r="I353" s="1">
        <v>17.0</v>
      </c>
      <c r="J353" s="1">
        <v>30.0</v>
      </c>
      <c r="K353" s="1">
        <v>131.0</v>
      </c>
      <c r="L353" s="1">
        <v>0.0</v>
      </c>
      <c r="M353" s="1">
        <v>0.0</v>
      </c>
      <c r="N353" s="1">
        <v>2.0</v>
      </c>
      <c r="O353" s="1">
        <v>2.0</v>
      </c>
      <c r="P353" s="1">
        <v>22.0</v>
      </c>
      <c r="Q353" s="1">
        <v>41.0</v>
      </c>
    </row>
    <row r="354">
      <c r="A354" s="2">
        <f t="shared" si="1"/>
        <v>352</v>
      </c>
      <c r="B354" s="1" t="s">
        <v>1639</v>
      </c>
      <c r="C354" s="1" t="s">
        <v>1175</v>
      </c>
      <c r="D354" s="1" t="s">
        <v>31</v>
      </c>
      <c r="E354" s="15">
        <f t="shared" si="2"/>
        <v>208</v>
      </c>
      <c r="F354" s="15">
        <f t="shared" si="3"/>
        <v>2.810810811</v>
      </c>
      <c r="G354" s="1">
        <v>74.0</v>
      </c>
      <c r="H354" s="1">
        <v>14.0</v>
      </c>
      <c r="I354" s="1">
        <v>12.0</v>
      </c>
      <c r="J354" s="1">
        <v>26.0</v>
      </c>
      <c r="K354" s="1">
        <v>119.0</v>
      </c>
      <c r="L354" s="1">
        <v>0.0</v>
      </c>
      <c r="M354" s="1">
        <v>0.0</v>
      </c>
      <c r="N354" s="1">
        <v>1.0</v>
      </c>
      <c r="O354" s="1">
        <v>0.0</v>
      </c>
      <c r="P354" s="1">
        <v>100.0</v>
      </c>
      <c r="Q354" s="1">
        <v>45.0</v>
      </c>
    </row>
    <row r="355">
      <c r="A355" s="2">
        <f t="shared" si="1"/>
        <v>353</v>
      </c>
      <c r="B355" s="1" t="s">
        <v>1412</v>
      </c>
      <c r="C355" s="1" t="s">
        <v>1032</v>
      </c>
      <c r="D355" s="1" t="s">
        <v>36</v>
      </c>
      <c r="E355" s="15">
        <f t="shared" si="2"/>
        <v>207.75</v>
      </c>
      <c r="F355" s="15">
        <f t="shared" si="3"/>
        <v>2.967857143</v>
      </c>
      <c r="G355" s="1">
        <v>70.0</v>
      </c>
      <c r="H355" s="1">
        <v>12.0</v>
      </c>
      <c r="I355" s="1">
        <v>15.0</v>
      </c>
      <c r="J355" s="1">
        <v>27.0</v>
      </c>
      <c r="K355" s="1">
        <v>102.0</v>
      </c>
      <c r="L355" s="1">
        <v>0.0</v>
      </c>
      <c r="M355" s="1">
        <v>0.0</v>
      </c>
      <c r="N355" s="1">
        <v>4.0</v>
      </c>
      <c r="O355" s="1">
        <v>1.0</v>
      </c>
      <c r="P355" s="1">
        <v>125.0</v>
      </c>
      <c r="Q355" s="1">
        <v>33.0</v>
      </c>
    </row>
    <row r="356">
      <c r="A356" s="2">
        <f t="shared" si="1"/>
        <v>354</v>
      </c>
      <c r="B356" s="1" t="s">
        <v>1426</v>
      </c>
      <c r="C356" s="1" t="s">
        <v>1087</v>
      </c>
      <c r="D356" s="1" t="s">
        <v>31</v>
      </c>
      <c r="E356" s="15">
        <f t="shared" si="2"/>
        <v>207.5</v>
      </c>
      <c r="F356" s="15">
        <f t="shared" si="3"/>
        <v>2.561728395</v>
      </c>
      <c r="G356" s="1">
        <v>81.0</v>
      </c>
      <c r="H356" s="1">
        <v>6.0</v>
      </c>
      <c r="I356" s="1">
        <v>15.0</v>
      </c>
      <c r="J356" s="1">
        <v>21.0</v>
      </c>
      <c r="K356" s="1">
        <v>111.0</v>
      </c>
      <c r="L356" s="1">
        <v>0.0</v>
      </c>
      <c r="M356" s="1">
        <v>0.0</v>
      </c>
      <c r="N356" s="1">
        <v>0.0</v>
      </c>
      <c r="O356" s="1">
        <v>2.0</v>
      </c>
      <c r="P356" s="1">
        <v>188.0</v>
      </c>
      <c r="Q356" s="1">
        <v>58.0</v>
      </c>
    </row>
    <row r="357">
      <c r="A357" s="2">
        <f t="shared" si="1"/>
        <v>355</v>
      </c>
      <c r="B357" s="1" t="s">
        <v>1529</v>
      </c>
      <c r="C357" s="1" t="s">
        <v>1036</v>
      </c>
      <c r="D357" s="1" t="s">
        <v>66</v>
      </c>
      <c r="E357" s="15">
        <f t="shared" si="2"/>
        <v>206.75</v>
      </c>
      <c r="F357" s="15">
        <f t="shared" si="3"/>
        <v>2.521341463</v>
      </c>
      <c r="G357" s="1">
        <v>82.0</v>
      </c>
      <c r="H357" s="1">
        <v>3.0</v>
      </c>
      <c r="I357" s="1">
        <v>17.0</v>
      </c>
      <c r="J357" s="1">
        <v>20.0</v>
      </c>
      <c r="K357" s="1">
        <v>114.0</v>
      </c>
      <c r="L357" s="1">
        <v>0.0</v>
      </c>
      <c r="M357" s="1">
        <v>0.0</v>
      </c>
      <c r="N357" s="1">
        <v>0.0</v>
      </c>
      <c r="O357" s="1">
        <v>3.0</v>
      </c>
      <c r="P357" s="1">
        <v>105.0</v>
      </c>
      <c r="Q357" s="1">
        <v>106.0</v>
      </c>
    </row>
    <row r="358">
      <c r="A358" s="2">
        <f t="shared" si="1"/>
        <v>356</v>
      </c>
      <c r="B358" s="1" t="s">
        <v>1472</v>
      </c>
      <c r="C358" s="1" t="s">
        <v>1085</v>
      </c>
      <c r="D358" s="1" t="s">
        <v>66</v>
      </c>
      <c r="E358" s="15">
        <f t="shared" si="2"/>
        <v>205.25</v>
      </c>
      <c r="F358" s="15">
        <f t="shared" si="3"/>
        <v>2.50304878</v>
      </c>
      <c r="G358" s="1">
        <v>82.0</v>
      </c>
      <c r="H358" s="1">
        <v>3.0</v>
      </c>
      <c r="I358" s="1">
        <v>22.0</v>
      </c>
      <c r="J358" s="1">
        <v>25.0</v>
      </c>
      <c r="K358" s="1">
        <v>92.0</v>
      </c>
      <c r="L358" s="1">
        <v>0.0</v>
      </c>
      <c r="M358" s="1">
        <v>4.0</v>
      </c>
      <c r="N358" s="1">
        <v>0.0</v>
      </c>
      <c r="O358" s="1">
        <v>1.0</v>
      </c>
      <c r="P358" s="1">
        <v>81.0</v>
      </c>
      <c r="Q358" s="1">
        <v>115.0</v>
      </c>
    </row>
    <row r="359">
      <c r="A359" s="2">
        <f t="shared" si="1"/>
        <v>357</v>
      </c>
      <c r="B359" s="1" t="s">
        <v>1504</v>
      </c>
      <c r="C359" s="1" t="s">
        <v>1146</v>
      </c>
      <c r="D359" s="1" t="s">
        <v>66</v>
      </c>
      <c r="E359" s="15">
        <f t="shared" si="2"/>
        <v>205</v>
      </c>
      <c r="F359" s="15">
        <f t="shared" si="3"/>
        <v>2.808219178</v>
      </c>
      <c r="G359" s="1">
        <v>73.0</v>
      </c>
      <c r="H359" s="1">
        <v>7.0</v>
      </c>
      <c r="I359" s="1">
        <v>27.0</v>
      </c>
      <c r="J359" s="1">
        <v>34.0</v>
      </c>
      <c r="K359" s="1">
        <v>98.0</v>
      </c>
      <c r="L359" s="1">
        <v>1.0</v>
      </c>
      <c r="M359" s="1">
        <v>12.0</v>
      </c>
      <c r="N359" s="1">
        <v>0.0</v>
      </c>
      <c r="O359" s="1">
        <v>0.0</v>
      </c>
      <c r="P359" s="1">
        <v>30.0</v>
      </c>
      <c r="Q359" s="1">
        <v>72.0</v>
      </c>
    </row>
    <row r="360">
      <c r="A360" s="2">
        <f t="shared" si="1"/>
        <v>358</v>
      </c>
      <c r="B360" s="1" t="s">
        <v>1348</v>
      </c>
      <c r="C360" s="1" t="s">
        <v>1080</v>
      </c>
      <c r="D360" s="1" t="s">
        <v>31</v>
      </c>
      <c r="E360" s="15">
        <f t="shared" si="2"/>
        <v>204.75</v>
      </c>
      <c r="F360" s="15">
        <f t="shared" si="3"/>
        <v>3.15</v>
      </c>
      <c r="G360" s="1">
        <v>65.0</v>
      </c>
      <c r="H360" s="1">
        <v>14.0</v>
      </c>
      <c r="I360" s="1">
        <v>16.0</v>
      </c>
      <c r="J360" s="1">
        <v>30.0</v>
      </c>
      <c r="K360" s="1">
        <v>101.0</v>
      </c>
      <c r="L360" s="1">
        <v>3.0</v>
      </c>
      <c r="M360" s="1">
        <v>3.0</v>
      </c>
      <c r="N360" s="1">
        <v>0.0</v>
      </c>
      <c r="O360" s="1">
        <v>1.0</v>
      </c>
      <c r="P360" s="1">
        <v>83.0</v>
      </c>
      <c r="Q360" s="1">
        <v>41.0</v>
      </c>
      <c r="T360" s="12"/>
    </row>
    <row r="361">
      <c r="A361" s="2">
        <f t="shared" si="1"/>
        <v>359</v>
      </c>
      <c r="B361" s="1" t="s">
        <v>1344</v>
      </c>
      <c r="C361" s="1" t="s">
        <v>1091</v>
      </c>
      <c r="D361" s="1" t="s">
        <v>66</v>
      </c>
      <c r="E361" s="15">
        <f t="shared" si="2"/>
        <v>204</v>
      </c>
      <c r="F361" s="15">
        <f t="shared" si="3"/>
        <v>2.649350649</v>
      </c>
      <c r="G361" s="1">
        <v>77.0</v>
      </c>
      <c r="H361" s="1">
        <v>4.0</v>
      </c>
      <c r="I361" s="1">
        <v>10.0</v>
      </c>
      <c r="J361" s="1">
        <v>14.0</v>
      </c>
      <c r="K361" s="1">
        <v>84.0</v>
      </c>
      <c r="L361" s="1">
        <v>0.0</v>
      </c>
      <c r="M361" s="1">
        <v>0.0</v>
      </c>
      <c r="N361" s="1">
        <v>0.0</v>
      </c>
      <c r="O361" s="1">
        <v>1.0</v>
      </c>
      <c r="P361" s="1">
        <v>126.0</v>
      </c>
      <c r="Q361" s="1">
        <v>161.0</v>
      </c>
    </row>
    <row r="362">
      <c r="A362" s="2">
        <f t="shared" si="1"/>
        <v>360</v>
      </c>
      <c r="B362" s="1" t="s">
        <v>1654</v>
      </c>
      <c r="C362" s="1" t="s">
        <v>1087</v>
      </c>
      <c r="D362" s="1" t="s">
        <v>28</v>
      </c>
      <c r="E362" s="15">
        <f t="shared" si="2"/>
        <v>203.75</v>
      </c>
      <c r="F362" s="15">
        <f t="shared" si="3"/>
        <v>2.515432099</v>
      </c>
      <c r="G362" s="1">
        <v>81.0</v>
      </c>
      <c r="H362" s="1">
        <v>7.0</v>
      </c>
      <c r="I362" s="1">
        <v>12.0</v>
      </c>
      <c r="J362" s="1">
        <v>19.0</v>
      </c>
      <c r="K362" s="1">
        <v>82.0</v>
      </c>
      <c r="L362" s="1">
        <v>0.0</v>
      </c>
      <c r="M362" s="1">
        <v>0.0</v>
      </c>
      <c r="N362" s="1">
        <v>0.0</v>
      </c>
      <c r="O362" s="1">
        <v>0.0</v>
      </c>
      <c r="P362" s="1">
        <v>295.0</v>
      </c>
      <c r="Q362" s="1">
        <v>43.0</v>
      </c>
    </row>
    <row r="363">
      <c r="A363" s="2">
        <f t="shared" si="1"/>
        <v>361</v>
      </c>
      <c r="B363" s="1" t="s">
        <v>1233</v>
      </c>
      <c r="C363" s="1" t="s">
        <v>1036</v>
      </c>
      <c r="D363" s="1" t="s">
        <v>28</v>
      </c>
      <c r="E363" s="15">
        <f t="shared" si="2"/>
        <v>203.5</v>
      </c>
      <c r="F363" s="15">
        <f t="shared" si="3"/>
        <v>3.037313433</v>
      </c>
      <c r="G363" s="1">
        <v>67.0</v>
      </c>
      <c r="H363" s="1">
        <v>13.0</v>
      </c>
      <c r="I363" s="1">
        <v>15.0</v>
      </c>
      <c r="J363" s="1">
        <v>28.0</v>
      </c>
      <c r="K363" s="1">
        <v>126.0</v>
      </c>
      <c r="L363" s="1">
        <v>0.0</v>
      </c>
      <c r="M363" s="1">
        <v>0.0</v>
      </c>
      <c r="N363" s="1">
        <v>1.0</v>
      </c>
      <c r="O363" s="1">
        <v>0.0</v>
      </c>
      <c r="P363" s="1">
        <v>96.0</v>
      </c>
      <c r="Q363" s="1">
        <v>22.0</v>
      </c>
    </row>
    <row r="364">
      <c r="A364" s="2">
        <f t="shared" si="1"/>
        <v>361</v>
      </c>
      <c r="B364" s="1" t="s">
        <v>1480</v>
      </c>
      <c r="C364" s="1" t="s">
        <v>1069</v>
      </c>
      <c r="D364" s="1" t="s">
        <v>31</v>
      </c>
      <c r="E364" s="15">
        <f t="shared" si="2"/>
        <v>203.5</v>
      </c>
      <c r="F364" s="15">
        <f t="shared" si="3"/>
        <v>2.481707317</v>
      </c>
      <c r="G364" s="1">
        <v>82.0</v>
      </c>
      <c r="H364" s="1">
        <v>9.0</v>
      </c>
      <c r="I364" s="1">
        <v>11.0</v>
      </c>
      <c r="J364" s="1">
        <v>20.0</v>
      </c>
      <c r="K364" s="1">
        <v>144.0</v>
      </c>
      <c r="L364" s="1">
        <v>1.0</v>
      </c>
      <c r="M364" s="1">
        <v>0.0</v>
      </c>
      <c r="N364" s="1">
        <v>1.0</v>
      </c>
      <c r="O364" s="1">
        <v>0.0</v>
      </c>
      <c r="P364" s="1">
        <v>158.0</v>
      </c>
      <c r="Q364" s="1">
        <v>33.0</v>
      </c>
    </row>
    <row r="365">
      <c r="A365" s="2">
        <f t="shared" si="1"/>
        <v>361</v>
      </c>
      <c r="B365" s="1" t="s">
        <v>1500</v>
      </c>
      <c r="C365" s="1" t="s">
        <v>1030</v>
      </c>
      <c r="D365" s="1" t="s">
        <v>31</v>
      </c>
      <c r="E365" s="15">
        <f t="shared" si="2"/>
        <v>203.5</v>
      </c>
      <c r="F365" s="15">
        <f t="shared" si="3"/>
        <v>2.481707317</v>
      </c>
      <c r="G365" s="1">
        <v>82.0</v>
      </c>
      <c r="H365" s="1">
        <v>9.0</v>
      </c>
      <c r="I365" s="1">
        <v>17.0</v>
      </c>
      <c r="J365" s="1">
        <v>26.0</v>
      </c>
      <c r="K365" s="1">
        <v>104.0</v>
      </c>
      <c r="L365" s="1">
        <v>0.0</v>
      </c>
      <c r="M365" s="1">
        <v>0.0</v>
      </c>
      <c r="N365" s="1">
        <v>2.0</v>
      </c>
      <c r="O365" s="1">
        <v>1.0</v>
      </c>
      <c r="P365" s="1">
        <v>116.0</v>
      </c>
      <c r="Q365" s="1">
        <v>50.0</v>
      </c>
    </row>
    <row r="366">
      <c r="A366" s="2">
        <f t="shared" si="1"/>
        <v>364</v>
      </c>
      <c r="B366" s="1" t="s">
        <v>1360</v>
      </c>
      <c r="C366" s="1" t="s">
        <v>1040</v>
      </c>
      <c r="D366" s="1" t="s">
        <v>66</v>
      </c>
      <c r="E366" s="15">
        <f t="shared" si="2"/>
        <v>202.75</v>
      </c>
      <c r="F366" s="15">
        <f t="shared" si="3"/>
        <v>2.50308642</v>
      </c>
      <c r="G366" s="1">
        <v>81.0</v>
      </c>
      <c r="H366" s="1">
        <v>5.0</v>
      </c>
      <c r="I366" s="1">
        <v>13.0</v>
      </c>
      <c r="J366" s="1">
        <v>18.0</v>
      </c>
      <c r="K366" s="1">
        <v>79.0</v>
      </c>
      <c r="L366" s="1">
        <v>0.0</v>
      </c>
      <c r="M366" s="1">
        <v>0.0</v>
      </c>
      <c r="N366" s="1">
        <v>0.0</v>
      </c>
      <c r="O366" s="1">
        <v>0.0</v>
      </c>
      <c r="P366" s="1">
        <v>147.0</v>
      </c>
      <c r="Q366" s="1">
        <v>130.0</v>
      </c>
    </row>
    <row r="367">
      <c r="A367" s="2">
        <f t="shared" si="1"/>
        <v>364</v>
      </c>
      <c r="B367" s="1" t="s">
        <v>1451</v>
      </c>
      <c r="C367" s="1" t="s">
        <v>1080</v>
      </c>
      <c r="D367" s="1" t="s">
        <v>66</v>
      </c>
      <c r="E367" s="15">
        <f t="shared" si="2"/>
        <v>202.75</v>
      </c>
      <c r="F367" s="15">
        <f t="shared" si="3"/>
        <v>2.50308642</v>
      </c>
      <c r="G367" s="1">
        <v>81.0</v>
      </c>
      <c r="H367" s="1">
        <v>3.0</v>
      </c>
      <c r="I367" s="1">
        <v>14.0</v>
      </c>
      <c r="J367" s="1">
        <v>17.0</v>
      </c>
      <c r="K367" s="1">
        <v>103.0</v>
      </c>
      <c r="L367" s="1">
        <v>0.0</v>
      </c>
      <c r="M367" s="1">
        <v>0.0</v>
      </c>
      <c r="N367" s="1">
        <v>0.0</v>
      </c>
      <c r="O367" s="1">
        <v>0.0</v>
      </c>
      <c r="P367" s="1">
        <v>117.0</v>
      </c>
      <c r="Q367" s="1">
        <v>133.0</v>
      </c>
    </row>
    <row r="368">
      <c r="A368" s="2">
        <f t="shared" si="1"/>
        <v>366</v>
      </c>
      <c r="B368" s="1" t="s">
        <v>1689</v>
      </c>
      <c r="C368" s="1" t="s">
        <v>1080</v>
      </c>
      <c r="D368" s="1" t="s">
        <v>28</v>
      </c>
      <c r="E368" s="15">
        <f t="shared" si="2"/>
        <v>202.25</v>
      </c>
      <c r="F368" s="15">
        <f t="shared" si="3"/>
        <v>3.611607143</v>
      </c>
      <c r="G368" s="1">
        <v>56.0</v>
      </c>
      <c r="H368" s="1">
        <v>16.0</v>
      </c>
      <c r="I368" s="1">
        <v>9.0</v>
      </c>
      <c r="J368" s="1">
        <v>25.0</v>
      </c>
      <c r="K368" s="1">
        <v>118.0</v>
      </c>
      <c r="L368" s="1">
        <v>0.0</v>
      </c>
      <c r="M368" s="1">
        <v>0.0</v>
      </c>
      <c r="N368" s="1">
        <v>0.0</v>
      </c>
      <c r="O368" s="1">
        <v>0.0</v>
      </c>
      <c r="P368" s="1">
        <v>133.0</v>
      </c>
      <c r="Q368" s="1">
        <v>22.0</v>
      </c>
    </row>
    <row r="369">
      <c r="A369" s="2">
        <f t="shared" si="1"/>
        <v>367</v>
      </c>
      <c r="B369" s="1" t="s">
        <v>1433</v>
      </c>
      <c r="C369" s="1" t="s">
        <v>1172</v>
      </c>
      <c r="D369" s="1" t="s">
        <v>31</v>
      </c>
      <c r="E369" s="15">
        <f t="shared" si="2"/>
        <v>201.25</v>
      </c>
      <c r="F369" s="15">
        <f t="shared" si="3"/>
        <v>3.59375</v>
      </c>
      <c r="G369" s="1">
        <v>56.0</v>
      </c>
      <c r="H369" s="1">
        <v>12.0</v>
      </c>
      <c r="I369" s="1">
        <v>20.0</v>
      </c>
      <c r="J369" s="1">
        <v>32.0</v>
      </c>
      <c r="K369" s="1">
        <v>125.0</v>
      </c>
      <c r="L369" s="1">
        <v>4.0</v>
      </c>
      <c r="M369" s="1">
        <v>5.0</v>
      </c>
      <c r="N369" s="1">
        <v>0.0</v>
      </c>
      <c r="O369" s="1">
        <v>0.0</v>
      </c>
      <c r="P369" s="1">
        <v>49.0</v>
      </c>
      <c r="Q369" s="1">
        <v>25.0</v>
      </c>
    </row>
    <row r="370">
      <c r="A370" s="2">
        <f t="shared" si="1"/>
        <v>367</v>
      </c>
      <c r="B370" s="1" t="s">
        <v>1416</v>
      </c>
      <c r="C370" s="1" t="s">
        <v>1097</v>
      </c>
      <c r="D370" s="1" t="s">
        <v>66</v>
      </c>
      <c r="E370" s="15">
        <f t="shared" si="2"/>
        <v>201.25</v>
      </c>
      <c r="F370" s="15">
        <f t="shared" si="3"/>
        <v>3.245967742</v>
      </c>
      <c r="G370" s="1">
        <v>62.0</v>
      </c>
      <c r="H370" s="1">
        <v>3.0</v>
      </c>
      <c r="I370" s="1">
        <v>17.0</v>
      </c>
      <c r="J370" s="1">
        <v>20.0</v>
      </c>
      <c r="K370" s="1">
        <v>63.0</v>
      </c>
      <c r="L370" s="1">
        <v>0.0</v>
      </c>
      <c r="M370" s="1">
        <v>0.0</v>
      </c>
      <c r="N370" s="1">
        <v>0.0</v>
      </c>
      <c r="O370" s="1">
        <v>1.0</v>
      </c>
      <c r="P370" s="1">
        <v>61.0</v>
      </c>
      <c r="Q370" s="1">
        <v>176.0</v>
      </c>
    </row>
    <row r="371">
      <c r="A371" s="2">
        <f t="shared" si="1"/>
        <v>369</v>
      </c>
      <c r="B371" s="1" t="s">
        <v>1669</v>
      </c>
      <c r="C371" s="1" t="s">
        <v>1146</v>
      </c>
      <c r="D371" s="1" t="s">
        <v>28</v>
      </c>
      <c r="E371" s="15">
        <f t="shared" si="2"/>
        <v>200.75</v>
      </c>
      <c r="F371" s="15">
        <f t="shared" si="3"/>
        <v>4.096938776</v>
      </c>
      <c r="G371" s="1">
        <v>49.0</v>
      </c>
      <c r="H371" s="1">
        <v>13.0</v>
      </c>
      <c r="I371" s="1">
        <v>26.0</v>
      </c>
      <c r="J371" s="1">
        <v>39.0</v>
      </c>
      <c r="K371" s="1">
        <v>105.0</v>
      </c>
      <c r="L371" s="1">
        <v>4.0</v>
      </c>
      <c r="M371" s="1">
        <v>10.0</v>
      </c>
      <c r="N371" s="1">
        <v>0.0</v>
      </c>
      <c r="O371" s="1">
        <v>0.0</v>
      </c>
      <c r="P371" s="1">
        <v>17.0</v>
      </c>
      <c r="Q371" s="1">
        <v>15.0</v>
      </c>
    </row>
    <row r="372">
      <c r="A372" s="2">
        <f t="shared" si="1"/>
        <v>369</v>
      </c>
      <c r="B372" s="1" t="s">
        <v>1510</v>
      </c>
      <c r="C372" s="1" t="s">
        <v>1034</v>
      </c>
      <c r="D372" s="1" t="s">
        <v>66</v>
      </c>
      <c r="E372" s="15">
        <f t="shared" si="2"/>
        <v>200.75</v>
      </c>
      <c r="F372" s="15">
        <f t="shared" si="3"/>
        <v>2.573717949</v>
      </c>
      <c r="G372" s="1">
        <v>78.0</v>
      </c>
      <c r="H372" s="1">
        <v>3.0</v>
      </c>
      <c r="I372" s="1">
        <v>14.0</v>
      </c>
      <c r="J372" s="1">
        <v>17.0</v>
      </c>
      <c r="K372" s="1">
        <v>109.0</v>
      </c>
      <c r="L372" s="1">
        <v>0.0</v>
      </c>
      <c r="M372" s="1">
        <v>0.0</v>
      </c>
      <c r="N372" s="1">
        <v>0.0</v>
      </c>
      <c r="O372" s="1">
        <v>0.0</v>
      </c>
      <c r="P372" s="1">
        <v>117.0</v>
      </c>
      <c r="Q372" s="1">
        <v>123.0</v>
      </c>
    </row>
    <row r="373">
      <c r="A373" s="2">
        <f t="shared" si="1"/>
        <v>369</v>
      </c>
      <c r="B373" s="1" t="s">
        <v>1476</v>
      </c>
      <c r="C373" s="1" t="s">
        <v>1034</v>
      </c>
      <c r="D373" s="1" t="s">
        <v>66</v>
      </c>
      <c r="E373" s="15">
        <f t="shared" si="2"/>
        <v>200.75</v>
      </c>
      <c r="F373" s="15">
        <f t="shared" si="3"/>
        <v>2.867857143</v>
      </c>
      <c r="G373" s="1">
        <v>70.0</v>
      </c>
      <c r="H373" s="1">
        <v>2.0</v>
      </c>
      <c r="I373" s="1">
        <v>14.0</v>
      </c>
      <c r="J373" s="1">
        <v>16.0</v>
      </c>
      <c r="K373" s="1">
        <v>87.0</v>
      </c>
      <c r="L373" s="1">
        <v>0.0</v>
      </c>
      <c r="M373" s="1">
        <v>0.0</v>
      </c>
      <c r="N373" s="1">
        <v>1.0</v>
      </c>
      <c r="O373" s="1">
        <v>1.0</v>
      </c>
      <c r="P373" s="1">
        <v>209.0</v>
      </c>
      <c r="Q373" s="1">
        <v>100.0</v>
      </c>
    </row>
    <row r="374">
      <c r="A374" s="2">
        <f t="shared" si="1"/>
        <v>372</v>
      </c>
      <c r="B374" s="1" t="s">
        <v>1668</v>
      </c>
      <c r="C374" s="1" t="s">
        <v>1106</v>
      </c>
      <c r="D374" s="1" t="s">
        <v>28</v>
      </c>
      <c r="E374" s="15">
        <f t="shared" si="2"/>
        <v>200.5</v>
      </c>
      <c r="F374" s="15">
        <f t="shared" si="3"/>
        <v>2.823943662</v>
      </c>
      <c r="G374" s="1">
        <v>71.0</v>
      </c>
      <c r="H374" s="1">
        <v>9.0</v>
      </c>
      <c r="I374" s="1">
        <v>16.0</v>
      </c>
      <c r="J374" s="1">
        <v>25.0</v>
      </c>
      <c r="K374" s="1">
        <v>70.0</v>
      </c>
      <c r="L374" s="1">
        <v>0.0</v>
      </c>
      <c r="M374" s="1">
        <v>1.0</v>
      </c>
      <c r="N374" s="1">
        <v>0.0</v>
      </c>
      <c r="O374" s="1">
        <v>0.0</v>
      </c>
      <c r="P374" s="1">
        <v>238.0</v>
      </c>
      <c r="Q374" s="1">
        <v>35.0</v>
      </c>
    </row>
    <row r="375">
      <c r="A375" s="2">
        <f t="shared" si="1"/>
        <v>373</v>
      </c>
      <c r="B375" s="1" t="s">
        <v>1384</v>
      </c>
      <c r="C375" s="1" t="s">
        <v>1042</v>
      </c>
      <c r="D375" s="1" t="s">
        <v>66</v>
      </c>
      <c r="E375" s="15">
        <f t="shared" si="2"/>
        <v>200.25</v>
      </c>
      <c r="F375" s="15">
        <f t="shared" si="3"/>
        <v>2.820422535</v>
      </c>
      <c r="G375" s="1">
        <v>71.0</v>
      </c>
      <c r="H375" s="1">
        <v>2.0</v>
      </c>
      <c r="I375" s="1">
        <v>18.0</v>
      </c>
      <c r="J375" s="1">
        <v>20.0</v>
      </c>
      <c r="K375" s="1">
        <v>78.0</v>
      </c>
      <c r="L375" s="1">
        <v>0.0</v>
      </c>
      <c r="M375" s="1">
        <v>0.0</v>
      </c>
      <c r="N375" s="1">
        <v>0.0</v>
      </c>
      <c r="O375" s="1">
        <v>0.0</v>
      </c>
      <c r="P375" s="1">
        <v>63.0</v>
      </c>
      <c r="Q375" s="1">
        <v>165.0</v>
      </c>
    </row>
    <row r="376">
      <c r="A376" s="2">
        <f t="shared" si="1"/>
        <v>373</v>
      </c>
      <c r="B376" s="1" t="s">
        <v>1351</v>
      </c>
      <c r="C376" s="1" t="s">
        <v>1030</v>
      </c>
      <c r="D376" s="1" t="s">
        <v>31</v>
      </c>
      <c r="E376" s="15">
        <f t="shared" si="2"/>
        <v>200.25</v>
      </c>
      <c r="F376" s="15">
        <f t="shared" si="3"/>
        <v>2.383928571</v>
      </c>
      <c r="G376" s="1">
        <v>84.0</v>
      </c>
      <c r="H376" s="1">
        <v>10.0</v>
      </c>
      <c r="I376" s="1">
        <v>13.0</v>
      </c>
      <c r="J376" s="1">
        <v>23.0</v>
      </c>
      <c r="K376" s="1">
        <v>140.0</v>
      </c>
      <c r="L376" s="1">
        <v>0.0</v>
      </c>
      <c r="M376" s="1">
        <v>0.0</v>
      </c>
      <c r="N376" s="1">
        <v>1.0</v>
      </c>
      <c r="O376" s="1">
        <v>0.0</v>
      </c>
      <c r="P376" s="1">
        <v>93.0</v>
      </c>
      <c r="Q376" s="1">
        <v>42.0</v>
      </c>
    </row>
    <row r="377">
      <c r="A377" s="2">
        <f t="shared" si="1"/>
        <v>373</v>
      </c>
      <c r="B377" s="1" t="s">
        <v>1490</v>
      </c>
      <c r="C377" s="1" t="s">
        <v>1156</v>
      </c>
      <c r="D377" s="1" t="s">
        <v>31</v>
      </c>
      <c r="E377" s="15">
        <f t="shared" si="2"/>
        <v>200.25</v>
      </c>
      <c r="F377" s="15">
        <f t="shared" si="3"/>
        <v>2.820422535</v>
      </c>
      <c r="G377" s="1">
        <v>71.0</v>
      </c>
      <c r="H377" s="1">
        <v>11.0</v>
      </c>
      <c r="I377" s="1">
        <v>9.0</v>
      </c>
      <c r="J377" s="1">
        <v>20.0</v>
      </c>
      <c r="K377" s="1">
        <v>100.0</v>
      </c>
      <c r="L377" s="1">
        <v>1.0</v>
      </c>
      <c r="M377" s="1">
        <v>0.0</v>
      </c>
      <c r="N377" s="1">
        <v>1.0</v>
      </c>
      <c r="O377" s="1">
        <v>1.0</v>
      </c>
      <c r="P377" s="1">
        <v>187.0</v>
      </c>
      <c r="Q377" s="1">
        <v>46.0</v>
      </c>
    </row>
    <row r="378">
      <c r="A378" s="2">
        <f t="shared" si="1"/>
        <v>373</v>
      </c>
      <c r="B378" s="1" t="s">
        <v>1732</v>
      </c>
      <c r="C378" s="1" t="s">
        <v>1085</v>
      </c>
      <c r="D378" s="1" t="s">
        <v>31</v>
      </c>
      <c r="E378" s="15">
        <f t="shared" si="2"/>
        <v>200.25</v>
      </c>
      <c r="F378" s="15">
        <f t="shared" si="3"/>
        <v>2.442073171</v>
      </c>
      <c r="G378" s="1">
        <v>82.0</v>
      </c>
      <c r="H378" s="1">
        <v>9.0</v>
      </c>
      <c r="I378" s="1">
        <v>19.0</v>
      </c>
      <c r="J378" s="1">
        <v>28.0</v>
      </c>
      <c r="K378" s="1">
        <v>92.0</v>
      </c>
      <c r="L378" s="1">
        <v>0.0</v>
      </c>
      <c r="M378" s="1">
        <v>0.0</v>
      </c>
      <c r="N378" s="1">
        <v>0.0</v>
      </c>
      <c r="O378" s="1">
        <v>3.0</v>
      </c>
      <c r="P378" s="1">
        <v>125.0</v>
      </c>
      <c r="Q378" s="1">
        <v>39.0</v>
      </c>
    </row>
    <row r="379">
      <c r="A379" s="2">
        <f t="shared" si="1"/>
        <v>377</v>
      </c>
      <c r="B379" s="1" t="s">
        <v>1245</v>
      </c>
      <c r="C379" s="1" t="s">
        <v>1156</v>
      </c>
      <c r="D379" s="1" t="s">
        <v>28</v>
      </c>
      <c r="E379" s="15">
        <f t="shared" si="2"/>
        <v>200</v>
      </c>
      <c r="F379" s="15">
        <f t="shared" si="3"/>
        <v>3.389830508</v>
      </c>
      <c r="G379" s="1">
        <v>59.0</v>
      </c>
      <c r="H379" s="1">
        <v>21.0</v>
      </c>
      <c r="I379" s="1">
        <v>4.0</v>
      </c>
      <c r="J379" s="1">
        <v>25.0</v>
      </c>
      <c r="K379" s="1">
        <v>131.0</v>
      </c>
      <c r="L379" s="1">
        <v>7.0</v>
      </c>
      <c r="M379" s="1">
        <v>1.0</v>
      </c>
      <c r="N379" s="1">
        <v>0.0</v>
      </c>
      <c r="O379" s="1">
        <v>0.0</v>
      </c>
      <c r="P379" s="1">
        <v>34.0</v>
      </c>
      <c r="Q379" s="1">
        <v>39.0</v>
      </c>
    </row>
    <row r="380">
      <c r="A380" s="2">
        <f t="shared" si="1"/>
        <v>378</v>
      </c>
      <c r="B380" s="1" t="s">
        <v>1314</v>
      </c>
      <c r="C380" s="1" t="s">
        <v>1120</v>
      </c>
      <c r="D380" s="1" t="s">
        <v>31</v>
      </c>
      <c r="E380" s="15">
        <f t="shared" si="2"/>
        <v>199.75</v>
      </c>
      <c r="F380" s="15">
        <f t="shared" si="3"/>
        <v>3.566964286</v>
      </c>
      <c r="G380" s="1">
        <v>56.0</v>
      </c>
      <c r="H380" s="1">
        <v>10.0</v>
      </c>
      <c r="I380" s="1">
        <v>19.0</v>
      </c>
      <c r="J380" s="1">
        <v>29.0</v>
      </c>
      <c r="K380" s="1">
        <v>88.0</v>
      </c>
      <c r="L380" s="1">
        <v>0.0</v>
      </c>
      <c r="M380" s="1">
        <v>1.0</v>
      </c>
      <c r="N380" s="1">
        <v>0.0</v>
      </c>
      <c r="O380" s="1">
        <v>0.0</v>
      </c>
      <c r="P380" s="1">
        <v>119.0</v>
      </c>
      <c r="Q380" s="1">
        <v>48.0</v>
      </c>
    </row>
    <row r="381">
      <c r="A381" s="2">
        <f t="shared" si="1"/>
        <v>378</v>
      </c>
      <c r="B381" s="1" t="s">
        <v>1333</v>
      </c>
      <c r="C381" s="1" t="s">
        <v>1046</v>
      </c>
      <c r="D381" s="1" t="s">
        <v>66</v>
      </c>
      <c r="E381" s="15">
        <f t="shared" si="2"/>
        <v>199.75</v>
      </c>
      <c r="F381" s="15">
        <f t="shared" si="3"/>
        <v>2.560897436</v>
      </c>
      <c r="G381" s="1">
        <v>78.0</v>
      </c>
      <c r="H381" s="1">
        <v>1.0</v>
      </c>
      <c r="I381" s="1">
        <v>16.0</v>
      </c>
      <c r="J381" s="1">
        <v>17.0</v>
      </c>
      <c r="K381" s="1">
        <v>100.0</v>
      </c>
      <c r="L381" s="1">
        <v>0.0</v>
      </c>
      <c r="M381" s="1">
        <v>0.0</v>
      </c>
      <c r="N381" s="1">
        <v>0.0</v>
      </c>
      <c r="O381" s="1">
        <v>1.0</v>
      </c>
      <c r="P381" s="1">
        <v>93.0</v>
      </c>
      <c r="Q381" s="1">
        <v>144.0</v>
      </c>
      <c r="T381" s="12"/>
    </row>
    <row r="382">
      <c r="A382" s="2">
        <f t="shared" si="1"/>
        <v>380</v>
      </c>
      <c r="B382" s="1" t="s">
        <v>1450</v>
      </c>
      <c r="C382" s="1" t="s">
        <v>1040</v>
      </c>
      <c r="D382" s="1" t="s">
        <v>28</v>
      </c>
      <c r="E382" s="15">
        <f t="shared" si="2"/>
        <v>199.5</v>
      </c>
      <c r="F382" s="15">
        <f t="shared" si="3"/>
        <v>2.462962963</v>
      </c>
      <c r="G382" s="1">
        <v>81.0</v>
      </c>
      <c r="H382" s="1">
        <v>11.0</v>
      </c>
      <c r="I382" s="1">
        <v>14.0</v>
      </c>
      <c r="J382" s="1">
        <v>25.0</v>
      </c>
      <c r="K382" s="1">
        <v>123.0</v>
      </c>
      <c r="L382" s="1">
        <v>0.0</v>
      </c>
      <c r="M382" s="1">
        <v>0.0</v>
      </c>
      <c r="N382" s="1">
        <v>1.0</v>
      </c>
      <c r="O382" s="1">
        <v>0.0</v>
      </c>
      <c r="P382" s="1">
        <v>98.0</v>
      </c>
      <c r="Q382" s="1">
        <v>40.0</v>
      </c>
    </row>
    <row r="383">
      <c r="A383" s="2">
        <f t="shared" si="1"/>
        <v>381</v>
      </c>
      <c r="B383" s="1" t="s">
        <v>1330</v>
      </c>
      <c r="C383" s="1" t="s">
        <v>1146</v>
      </c>
      <c r="D383" s="1" t="s">
        <v>66</v>
      </c>
      <c r="E383" s="15">
        <f t="shared" si="2"/>
        <v>197.75</v>
      </c>
      <c r="F383" s="15">
        <f t="shared" si="3"/>
        <v>2.411585366</v>
      </c>
      <c r="G383" s="1">
        <v>82.0</v>
      </c>
      <c r="H383" s="1">
        <v>3.0</v>
      </c>
      <c r="I383" s="1">
        <v>17.0</v>
      </c>
      <c r="J383" s="1">
        <v>20.0</v>
      </c>
      <c r="K383" s="1">
        <v>76.0</v>
      </c>
      <c r="L383" s="1">
        <v>0.0</v>
      </c>
      <c r="M383" s="1">
        <v>0.0</v>
      </c>
      <c r="N383" s="1">
        <v>0.0</v>
      </c>
      <c r="O383" s="1">
        <v>0.0</v>
      </c>
      <c r="P383" s="1">
        <v>203.0</v>
      </c>
      <c r="Q383" s="1">
        <v>89.0</v>
      </c>
      <c r="T383" s="12"/>
    </row>
    <row r="384">
      <c r="A384" s="2">
        <f t="shared" si="1"/>
        <v>382</v>
      </c>
      <c r="B384" s="1" t="s">
        <v>1676</v>
      </c>
      <c r="C384" s="1" t="s">
        <v>1146</v>
      </c>
      <c r="D384" s="1" t="s">
        <v>5</v>
      </c>
      <c r="E384" s="15">
        <f t="shared" si="2"/>
        <v>197.7</v>
      </c>
      <c r="F384" s="15">
        <f t="shared" si="3"/>
        <v>4.11875</v>
      </c>
      <c r="G384" s="1">
        <v>48.0</v>
      </c>
      <c r="M384" s="12"/>
      <c r="Q384" s="12"/>
      <c r="R384" s="1">
        <v>27.0</v>
      </c>
      <c r="S384" s="1">
        <v>131.0</v>
      </c>
      <c r="T384" s="12">
        <v>1014.0</v>
      </c>
      <c r="U384" s="1">
        <v>3.0</v>
      </c>
    </row>
    <row r="385">
      <c r="A385" s="2">
        <f t="shared" si="1"/>
        <v>383</v>
      </c>
      <c r="B385" s="1" t="s">
        <v>1308</v>
      </c>
      <c r="C385" s="1" t="s">
        <v>1054</v>
      </c>
      <c r="D385" s="1" t="s">
        <v>66</v>
      </c>
      <c r="E385" s="15">
        <f t="shared" si="2"/>
        <v>197.25</v>
      </c>
      <c r="F385" s="15">
        <f t="shared" si="3"/>
        <v>2.496835443</v>
      </c>
      <c r="G385" s="1">
        <v>79.0</v>
      </c>
      <c r="H385" s="1">
        <v>3.0</v>
      </c>
      <c r="I385" s="1">
        <v>12.0</v>
      </c>
      <c r="J385" s="1">
        <v>15.0</v>
      </c>
      <c r="K385" s="1">
        <v>79.0</v>
      </c>
      <c r="L385" s="1">
        <v>0.0</v>
      </c>
      <c r="M385" s="1">
        <v>0.0</v>
      </c>
      <c r="N385" s="1">
        <v>0.0</v>
      </c>
      <c r="O385" s="1">
        <v>1.0</v>
      </c>
      <c r="P385" s="1">
        <v>115.0</v>
      </c>
      <c r="Q385" s="1">
        <v>155.0</v>
      </c>
    </row>
    <row r="386">
      <c r="A386" s="2">
        <f t="shared" si="1"/>
        <v>384</v>
      </c>
      <c r="B386" s="1" t="s">
        <v>1463</v>
      </c>
      <c r="C386" s="1" t="s">
        <v>1030</v>
      </c>
      <c r="D386" s="1" t="s">
        <v>31</v>
      </c>
      <c r="E386" s="15">
        <f t="shared" si="2"/>
        <v>197</v>
      </c>
      <c r="F386" s="15">
        <f t="shared" si="3"/>
        <v>2.402439024</v>
      </c>
      <c r="G386" s="1">
        <v>82.0</v>
      </c>
      <c r="H386" s="1">
        <v>14.0</v>
      </c>
      <c r="I386" s="1">
        <v>16.0</v>
      </c>
      <c r="J386" s="1">
        <v>30.0</v>
      </c>
      <c r="K386" s="1">
        <v>116.0</v>
      </c>
      <c r="L386" s="1">
        <v>1.0</v>
      </c>
      <c r="M386" s="1">
        <v>1.0</v>
      </c>
      <c r="N386" s="1">
        <v>0.0</v>
      </c>
      <c r="O386" s="1">
        <v>0.0</v>
      </c>
      <c r="P386" s="1">
        <v>60.0</v>
      </c>
      <c r="Q386" s="1">
        <v>26.0</v>
      </c>
    </row>
    <row r="387">
      <c r="A387" s="2">
        <f t="shared" si="1"/>
        <v>385</v>
      </c>
      <c r="B387" s="1" t="s">
        <v>1548</v>
      </c>
      <c r="C387" s="1" t="s">
        <v>1087</v>
      </c>
      <c r="D387" s="1" t="s">
        <v>66</v>
      </c>
      <c r="E387" s="15">
        <f t="shared" si="2"/>
        <v>196.75</v>
      </c>
      <c r="F387" s="15">
        <f t="shared" si="3"/>
        <v>3.225409836</v>
      </c>
      <c r="G387" s="1">
        <v>61.0</v>
      </c>
      <c r="H387" s="1">
        <v>6.0</v>
      </c>
      <c r="I387" s="1">
        <v>15.0</v>
      </c>
      <c r="J387" s="1">
        <v>21.0</v>
      </c>
      <c r="K387" s="1">
        <v>97.0</v>
      </c>
      <c r="L387" s="1">
        <v>0.0</v>
      </c>
      <c r="M387" s="1">
        <v>0.0</v>
      </c>
      <c r="N387" s="1">
        <v>0.0</v>
      </c>
      <c r="O387" s="1">
        <v>1.0</v>
      </c>
      <c r="P387" s="1">
        <v>77.0</v>
      </c>
      <c r="Q387" s="1">
        <v>110.0</v>
      </c>
    </row>
    <row r="388">
      <c r="A388" s="2">
        <f t="shared" si="1"/>
        <v>386</v>
      </c>
      <c r="B388" s="1" t="s">
        <v>1498</v>
      </c>
      <c r="C388" s="1" t="s">
        <v>1087</v>
      </c>
      <c r="D388" s="1" t="s">
        <v>28</v>
      </c>
      <c r="E388" s="15">
        <f t="shared" si="2"/>
        <v>195.75</v>
      </c>
      <c r="F388" s="15">
        <f t="shared" si="3"/>
        <v>2.575657895</v>
      </c>
      <c r="G388" s="1">
        <v>76.0</v>
      </c>
      <c r="H388" s="1">
        <v>17.0</v>
      </c>
      <c r="I388" s="1">
        <v>13.0</v>
      </c>
      <c r="J388" s="1">
        <v>30.0</v>
      </c>
      <c r="K388" s="1">
        <v>131.0</v>
      </c>
      <c r="L388" s="1">
        <v>1.0</v>
      </c>
      <c r="M388" s="1">
        <v>2.0</v>
      </c>
      <c r="N388" s="1">
        <v>0.0</v>
      </c>
      <c r="O388" s="1">
        <v>0.0</v>
      </c>
      <c r="P388" s="1">
        <v>47.0</v>
      </c>
      <c r="Q388" s="1">
        <v>6.0</v>
      </c>
      <c r="T388" s="12"/>
    </row>
    <row r="389">
      <c r="A389" s="2">
        <f t="shared" si="1"/>
        <v>387</v>
      </c>
      <c r="B389" s="1" t="s">
        <v>1252</v>
      </c>
      <c r="C389" s="1" t="s">
        <v>1034</v>
      </c>
      <c r="D389" s="1" t="s">
        <v>31</v>
      </c>
      <c r="E389" s="15">
        <f t="shared" si="2"/>
        <v>194.5</v>
      </c>
      <c r="F389" s="15">
        <f t="shared" si="3"/>
        <v>3.353448276</v>
      </c>
      <c r="G389" s="1">
        <v>58.0</v>
      </c>
      <c r="H389" s="1">
        <v>11.0</v>
      </c>
      <c r="I389" s="1">
        <v>18.0</v>
      </c>
      <c r="J389" s="1">
        <v>29.0</v>
      </c>
      <c r="K389" s="1">
        <v>111.0</v>
      </c>
      <c r="L389" s="1">
        <v>1.0</v>
      </c>
      <c r="M389" s="1">
        <v>1.0</v>
      </c>
      <c r="N389" s="1">
        <v>2.0</v>
      </c>
      <c r="O389" s="1">
        <v>0.0</v>
      </c>
      <c r="P389" s="1">
        <v>34.0</v>
      </c>
      <c r="Q389" s="1">
        <v>46.0</v>
      </c>
    </row>
    <row r="390">
      <c r="A390" s="2">
        <f t="shared" si="1"/>
        <v>388</v>
      </c>
      <c r="B390" s="1" t="s">
        <v>1468</v>
      </c>
      <c r="C390" s="1" t="s">
        <v>1054</v>
      </c>
      <c r="D390" s="1" t="s">
        <v>28</v>
      </c>
      <c r="E390" s="15">
        <f t="shared" si="2"/>
        <v>194.25</v>
      </c>
      <c r="F390" s="15">
        <f t="shared" si="3"/>
        <v>2.988461538</v>
      </c>
      <c r="G390" s="1">
        <v>65.0</v>
      </c>
      <c r="H390" s="1">
        <v>7.0</v>
      </c>
      <c r="I390" s="1">
        <v>14.0</v>
      </c>
      <c r="J390" s="1">
        <v>21.0</v>
      </c>
      <c r="K390" s="1">
        <v>83.0</v>
      </c>
      <c r="L390" s="1">
        <v>0.0</v>
      </c>
      <c r="M390" s="1">
        <v>3.0</v>
      </c>
      <c r="N390" s="1">
        <v>0.0</v>
      </c>
      <c r="O390" s="1">
        <v>0.0</v>
      </c>
      <c r="P390" s="1">
        <v>237.0</v>
      </c>
      <c r="Q390" s="1">
        <v>40.0</v>
      </c>
    </row>
    <row r="391">
      <c r="A391" s="2">
        <f t="shared" si="1"/>
        <v>388</v>
      </c>
      <c r="B391" s="1" t="s">
        <v>1601</v>
      </c>
      <c r="C391" s="1" t="s">
        <v>1085</v>
      </c>
      <c r="D391" s="1" t="s">
        <v>36</v>
      </c>
      <c r="E391" s="15">
        <f t="shared" si="2"/>
        <v>194.25</v>
      </c>
      <c r="F391" s="15">
        <f t="shared" si="3"/>
        <v>2.660958904</v>
      </c>
      <c r="G391" s="1">
        <v>73.0</v>
      </c>
      <c r="H391" s="1">
        <v>7.0</v>
      </c>
      <c r="I391" s="1">
        <v>26.0</v>
      </c>
      <c r="J391" s="1">
        <v>33.0</v>
      </c>
      <c r="K391" s="1">
        <v>110.0</v>
      </c>
      <c r="L391" s="1">
        <v>0.0</v>
      </c>
      <c r="M391" s="1">
        <v>8.0</v>
      </c>
      <c r="N391" s="1">
        <v>0.0</v>
      </c>
      <c r="O391" s="1">
        <v>0.0</v>
      </c>
      <c r="P391" s="1">
        <v>33.0</v>
      </c>
      <c r="Q391" s="1">
        <v>43.0</v>
      </c>
    </row>
    <row r="392">
      <c r="A392" s="2">
        <f t="shared" si="1"/>
        <v>388</v>
      </c>
      <c r="B392" s="1" t="s">
        <v>1801</v>
      </c>
      <c r="C392" s="1" t="s">
        <v>1032</v>
      </c>
      <c r="D392" s="1" t="s">
        <v>66</v>
      </c>
      <c r="E392" s="15">
        <f t="shared" si="2"/>
        <v>194.25</v>
      </c>
      <c r="F392" s="15">
        <f t="shared" si="3"/>
        <v>2.428125</v>
      </c>
      <c r="G392" s="1">
        <v>80.0</v>
      </c>
      <c r="H392" s="1">
        <v>2.0</v>
      </c>
      <c r="I392" s="1">
        <v>16.0</v>
      </c>
      <c r="J392" s="1">
        <v>18.0</v>
      </c>
      <c r="K392" s="1">
        <v>60.0</v>
      </c>
      <c r="L392" s="1">
        <v>0.0</v>
      </c>
      <c r="M392" s="1">
        <v>0.0</v>
      </c>
      <c r="N392" s="1">
        <v>0.0</v>
      </c>
      <c r="O392" s="1">
        <v>0.0</v>
      </c>
      <c r="P392" s="1">
        <v>151.0</v>
      </c>
      <c r="Q392" s="1">
        <v>139.0</v>
      </c>
    </row>
    <row r="393">
      <c r="A393" s="2">
        <f t="shared" si="1"/>
        <v>388</v>
      </c>
      <c r="B393" s="1" t="s">
        <v>1623</v>
      </c>
      <c r="C393" s="1" t="s">
        <v>1048</v>
      </c>
      <c r="D393" s="1" t="s">
        <v>28</v>
      </c>
      <c r="E393" s="15">
        <f t="shared" si="2"/>
        <v>194.25</v>
      </c>
      <c r="F393" s="15">
        <f t="shared" si="3"/>
        <v>2.368902439</v>
      </c>
      <c r="G393" s="1">
        <v>82.0</v>
      </c>
      <c r="H393" s="1">
        <v>12.0</v>
      </c>
      <c r="I393" s="1">
        <v>8.0</v>
      </c>
      <c r="J393" s="1">
        <v>20.0</v>
      </c>
      <c r="K393" s="1">
        <v>134.0</v>
      </c>
      <c r="L393" s="1">
        <v>0.0</v>
      </c>
      <c r="M393" s="1">
        <v>0.0</v>
      </c>
      <c r="N393" s="1">
        <v>0.0</v>
      </c>
      <c r="O393" s="1">
        <v>0.0</v>
      </c>
      <c r="P393" s="1">
        <v>149.0</v>
      </c>
      <c r="Q393" s="1">
        <v>24.0</v>
      </c>
    </row>
    <row r="394">
      <c r="A394" s="2">
        <f t="shared" si="1"/>
        <v>388</v>
      </c>
      <c r="B394" s="1" t="s">
        <v>2090</v>
      </c>
      <c r="C394" s="1" t="s">
        <v>1048</v>
      </c>
      <c r="D394" s="1" t="s">
        <v>31</v>
      </c>
      <c r="E394" s="15">
        <f t="shared" si="2"/>
        <v>194.25</v>
      </c>
      <c r="F394" s="15">
        <f t="shared" si="3"/>
        <v>2.697916667</v>
      </c>
      <c r="G394" s="1">
        <v>72.0</v>
      </c>
      <c r="H394" s="1">
        <v>14.0</v>
      </c>
      <c r="I394" s="1">
        <v>15.0</v>
      </c>
      <c r="J394" s="1">
        <v>29.0</v>
      </c>
      <c r="K394" s="1">
        <v>106.0</v>
      </c>
      <c r="L394" s="1">
        <v>0.0</v>
      </c>
      <c r="M394" s="1">
        <v>0.0</v>
      </c>
      <c r="N394" s="1">
        <v>2.0</v>
      </c>
      <c r="O394" s="1">
        <v>0.0</v>
      </c>
      <c r="P394" s="1">
        <v>27.0</v>
      </c>
      <c r="Q394" s="1">
        <v>45.0</v>
      </c>
    </row>
    <row r="395">
      <c r="A395" s="2">
        <f t="shared" si="1"/>
        <v>393</v>
      </c>
      <c r="B395" s="1" t="s">
        <v>1508</v>
      </c>
      <c r="C395" s="1" t="s">
        <v>1065</v>
      </c>
      <c r="D395" s="1" t="s">
        <v>66</v>
      </c>
      <c r="E395" s="15">
        <f t="shared" si="2"/>
        <v>193.5</v>
      </c>
      <c r="F395" s="15">
        <f t="shared" si="3"/>
        <v>2.480769231</v>
      </c>
      <c r="G395" s="1">
        <v>78.0</v>
      </c>
      <c r="H395" s="1">
        <v>3.0</v>
      </c>
      <c r="I395" s="1">
        <v>7.0</v>
      </c>
      <c r="J395" s="1">
        <v>10.0</v>
      </c>
      <c r="K395" s="1">
        <v>82.0</v>
      </c>
      <c r="L395" s="1">
        <v>0.0</v>
      </c>
      <c r="M395" s="1">
        <v>0.0</v>
      </c>
      <c r="N395" s="1">
        <v>0.0</v>
      </c>
      <c r="O395" s="1">
        <v>0.0</v>
      </c>
      <c r="P395" s="1">
        <v>216.0</v>
      </c>
      <c r="Q395" s="1">
        <v>128.0</v>
      </c>
    </row>
    <row r="396">
      <c r="A396" s="2">
        <f t="shared" si="1"/>
        <v>393</v>
      </c>
      <c r="B396" s="1" t="s">
        <v>1296</v>
      </c>
      <c r="C396" s="1" t="s">
        <v>1046</v>
      </c>
      <c r="D396" s="1" t="s">
        <v>28</v>
      </c>
      <c r="E396" s="15">
        <f t="shared" si="2"/>
        <v>193.5</v>
      </c>
      <c r="F396" s="15">
        <f t="shared" si="3"/>
        <v>2.449367089</v>
      </c>
      <c r="G396" s="1">
        <v>79.0</v>
      </c>
      <c r="H396" s="1">
        <v>11.0</v>
      </c>
      <c r="I396" s="1">
        <v>12.0</v>
      </c>
      <c r="J396" s="1">
        <v>23.0</v>
      </c>
      <c r="K396" s="1">
        <v>71.0</v>
      </c>
      <c r="L396" s="1">
        <v>1.0</v>
      </c>
      <c r="M396" s="1">
        <v>0.0</v>
      </c>
      <c r="N396" s="1">
        <v>1.0</v>
      </c>
      <c r="O396" s="1">
        <v>0.0</v>
      </c>
      <c r="P396" s="1">
        <v>222.0</v>
      </c>
      <c r="Q396" s="1">
        <v>30.0</v>
      </c>
    </row>
    <row r="397">
      <c r="A397" s="2">
        <f t="shared" si="1"/>
        <v>393</v>
      </c>
      <c r="B397" s="1" t="s">
        <v>1886</v>
      </c>
      <c r="C397" s="1" t="s">
        <v>1078</v>
      </c>
      <c r="D397" s="1" t="s">
        <v>5</v>
      </c>
      <c r="E397" s="15">
        <f t="shared" si="2"/>
        <v>193.5</v>
      </c>
      <c r="F397" s="15">
        <f t="shared" si="3"/>
        <v>5.22972973</v>
      </c>
      <c r="G397" s="1">
        <v>37.0</v>
      </c>
      <c r="Q397" s="12"/>
      <c r="R397" s="1">
        <v>24.0</v>
      </c>
      <c r="S397" s="1">
        <v>92.0</v>
      </c>
      <c r="T397" s="1">
        <v>855.0</v>
      </c>
      <c r="U397" s="1">
        <v>1.0</v>
      </c>
    </row>
    <row r="398">
      <c r="A398" s="2">
        <f t="shared" si="1"/>
        <v>393</v>
      </c>
      <c r="B398" s="1" t="s">
        <v>1435</v>
      </c>
      <c r="C398" s="1" t="s">
        <v>1038</v>
      </c>
      <c r="D398" s="1" t="s">
        <v>66</v>
      </c>
      <c r="E398" s="15">
        <f t="shared" si="2"/>
        <v>193.5</v>
      </c>
      <c r="F398" s="15">
        <f t="shared" si="3"/>
        <v>2.58</v>
      </c>
      <c r="G398" s="1">
        <v>75.0</v>
      </c>
      <c r="H398" s="1">
        <v>3.0</v>
      </c>
      <c r="I398" s="1">
        <v>13.0</v>
      </c>
      <c r="J398" s="1">
        <v>16.0</v>
      </c>
      <c r="K398" s="1">
        <v>94.0</v>
      </c>
      <c r="L398" s="1">
        <v>0.0</v>
      </c>
      <c r="M398" s="1">
        <v>0.0</v>
      </c>
      <c r="N398" s="1">
        <v>0.0</v>
      </c>
      <c r="O398" s="1">
        <v>2.0</v>
      </c>
      <c r="P398" s="1">
        <v>128.0</v>
      </c>
      <c r="Q398" s="1">
        <v>116.0</v>
      </c>
    </row>
    <row r="399">
      <c r="A399" s="2">
        <f t="shared" si="1"/>
        <v>397</v>
      </c>
      <c r="B399" s="1" t="s">
        <v>1581</v>
      </c>
      <c r="C399" s="1" t="s">
        <v>1120</v>
      </c>
      <c r="D399" s="1" t="s">
        <v>66</v>
      </c>
      <c r="E399" s="15">
        <f t="shared" si="2"/>
        <v>192.5</v>
      </c>
      <c r="F399" s="15">
        <f t="shared" si="3"/>
        <v>2.467948718</v>
      </c>
      <c r="G399" s="1">
        <v>78.0</v>
      </c>
      <c r="H399" s="1">
        <v>6.0</v>
      </c>
      <c r="I399" s="1">
        <v>17.0</v>
      </c>
      <c r="J399" s="1">
        <v>23.0</v>
      </c>
      <c r="K399" s="1">
        <v>62.0</v>
      </c>
      <c r="L399" s="1">
        <v>0.0</v>
      </c>
      <c r="M399" s="1">
        <v>0.0</v>
      </c>
      <c r="N399" s="1">
        <v>0.0</v>
      </c>
      <c r="O399" s="1">
        <v>0.0</v>
      </c>
      <c r="P399" s="1">
        <v>78.0</v>
      </c>
      <c r="Q399" s="1">
        <v>128.0</v>
      </c>
    </row>
    <row r="400">
      <c r="A400" s="2">
        <f t="shared" si="1"/>
        <v>397</v>
      </c>
      <c r="B400" s="1" t="s">
        <v>1858</v>
      </c>
      <c r="C400" s="1" t="s">
        <v>1175</v>
      </c>
      <c r="D400" s="1" t="s">
        <v>66</v>
      </c>
      <c r="E400" s="15">
        <f t="shared" si="2"/>
        <v>192.5</v>
      </c>
      <c r="F400" s="15">
        <f t="shared" si="3"/>
        <v>2.5</v>
      </c>
      <c r="G400" s="1">
        <v>77.0</v>
      </c>
      <c r="H400" s="1">
        <v>1.0</v>
      </c>
      <c r="I400" s="1">
        <v>23.0</v>
      </c>
      <c r="J400" s="1">
        <v>24.0</v>
      </c>
      <c r="K400" s="1">
        <v>58.0</v>
      </c>
      <c r="L400" s="1">
        <v>0.0</v>
      </c>
      <c r="M400" s="1">
        <v>1.0</v>
      </c>
      <c r="N400" s="1">
        <v>0.0</v>
      </c>
      <c r="O400" s="1">
        <v>1.0</v>
      </c>
      <c r="P400" s="1">
        <v>102.0</v>
      </c>
      <c r="Q400" s="1">
        <v>125.0</v>
      </c>
    </row>
    <row r="401">
      <c r="A401" s="2">
        <f t="shared" si="1"/>
        <v>399</v>
      </c>
      <c r="B401" s="1" t="s">
        <v>1479</v>
      </c>
      <c r="C401" s="1" t="s">
        <v>1082</v>
      </c>
      <c r="D401" s="1" t="s">
        <v>31</v>
      </c>
      <c r="E401" s="15">
        <f t="shared" si="2"/>
        <v>192</v>
      </c>
      <c r="F401" s="15">
        <f t="shared" si="3"/>
        <v>2.953846154</v>
      </c>
      <c r="G401" s="1">
        <v>65.0</v>
      </c>
      <c r="H401" s="1">
        <v>13.0</v>
      </c>
      <c r="I401" s="1">
        <v>12.0</v>
      </c>
      <c r="J401" s="1">
        <v>25.0</v>
      </c>
      <c r="K401" s="1">
        <v>62.0</v>
      </c>
      <c r="L401" s="1">
        <v>0.0</v>
      </c>
      <c r="M401" s="1">
        <v>0.0</v>
      </c>
      <c r="N401" s="1">
        <v>0.0</v>
      </c>
      <c r="O401" s="1">
        <v>1.0</v>
      </c>
      <c r="P401" s="1">
        <v>136.0</v>
      </c>
      <c r="Q401" s="1">
        <v>61.0</v>
      </c>
    </row>
    <row r="402">
      <c r="A402" s="2">
        <f t="shared" si="1"/>
        <v>399</v>
      </c>
      <c r="B402" s="1" t="s">
        <v>1597</v>
      </c>
      <c r="C402" s="1" t="s">
        <v>1073</v>
      </c>
      <c r="D402" s="1" t="s">
        <v>36</v>
      </c>
      <c r="E402" s="15">
        <f t="shared" si="2"/>
        <v>192</v>
      </c>
      <c r="F402" s="15">
        <f t="shared" si="3"/>
        <v>2.4</v>
      </c>
      <c r="G402" s="1">
        <v>80.0</v>
      </c>
      <c r="H402" s="1">
        <v>10.0</v>
      </c>
      <c r="I402" s="1">
        <v>19.0</v>
      </c>
      <c r="J402" s="1">
        <v>29.0</v>
      </c>
      <c r="K402" s="1">
        <v>76.0</v>
      </c>
      <c r="L402" s="1">
        <v>0.0</v>
      </c>
      <c r="M402" s="1">
        <v>0.0</v>
      </c>
      <c r="N402" s="1">
        <v>0.0</v>
      </c>
      <c r="O402" s="1">
        <v>3.0</v>
      </c>
      <c r="P402" s="1">
        <v>104.0</v>
      </c>
      <c r="Q402" s="1">
        <v>40.0</v>
      </c>
    </row>
    <row r="403">
      <c r="A403" s="2">
        <f t="shared" si="1"/>
        <v>401</v>
      </c>
      <c r="B403" s="1" t="s">
        <v>1593</v>
      </c>
      <c r="C403" s="1" t="s">
        <v>1065</v>
      </c>
      <c r="D403" s="1" t="s">
        <v>36</v>
      </c>
      <c r="E403" s="15">
        <f t="shared" si="2"/>
        <v>191.5</v>
      </c>
      <c r="F403" s="15">
        <f t="shared" si="3"/>
        <v>2.364197531</v>
      </c>
      <c r="G403" s="1">
        <v>81.0</v>
      </c>
      <c r="H403" s="1">
        <v>10.0</v>
      </c>
      <c r="I403" s="1">
        <v>16.0</v>
      </c>
      <c r="J403" s="1">
        <v>26.0</v>
      </c>
      <c r="K403" s="1">
        <v>141.0</v>
      </c>
      <c r="L403" s="1">
        <v>4.0</v>
      </c>
      <c r="M403" s="1">
        <v>3.0</v>
      </c>
      <c r="N403" s="1">
        <v>0.0</v>
      </c>
      <c r="O403" s="1">
        <v>0.0</v>
      </c>
      <c r="P403" s="1">
        <v>10.0</v>
      </c>
      <c r="Q403" s="1">
        <v>51.0</v>
      </c>
      <c r="T403" s="12"/>
    </row>
    <row r="404">
      <c r="A404" s="2">
        <f t="shared" si="1"/>
        <v>402</v>
      </c>
      <c r="B404" s="1" t="s">
        <v>1648</v>
      </c>
      <c r="C404" s="1" t="s">
        <v>1052</v>
      </c>
      <c r="D404" s="1" t="s">
        <v>5</v>
      </c>
      <c r="E404" s="15">
        <f t="shared" si="2"/>
        <v>191.4</v>
      </c>
      <c r="F404" s="15">
        <f t="shared" si="3"/>
        <v>5.036842105</v>
      </c>
      <c r="G404" s="1">
        <v>38.0</v>
      </c>
      <c r="M404" s="12"/>
      <c r="Q404" s="12"/>
      <c r="R404" s="1">
        <v>15.0</v>
      </c>
      <c r="S404" s="1">
        <v>109.0</v>
      </c>
      <c r="T404" s="12">
        <v>1033.0</v>
      </c>
      <c r="U404" s="1">
        <v>0.0</v>
      </c>
    </row>
    <row r="405">
      <c r="A405" s="2">
        <f t="shared" si="1"/>
        <v>403</v>
      </c>
      <c r="B405" s="1" t="s">
        <v>1417</v>
      </c>
      <c r="C405" s="1" t="s">
        <v>1078</v>
      </c>
      <c r="D405" s="1" t="s">
        <v>66</v>
      </c>
      <c r="E405" s="15">
        <f t="shared" si="2"/>
        <v>190.5</v>
      </c>
      <c r="F405" s="15">
        <f t="shared" si="3"/>
        <v>2.645833333</v>
      </c>
      <c r="G405" s="1">
        <v>72.0</v>
      </c>
      <c r="H405" s="1">
        <v>6.0</v>
      </c>
      <c r="I405" s="1">
        <v>13.0</v>
      </c>
      <c r="J405" s="1">
        <v>19.0</v>
      </c>
      <c r="K405" s="1">
        <v>89.0</v>
      </c>
      <c r="L405" s="1">
        <v>0.0</v>
      </c>
      <c r="M405" s="1">
        <v>0.0</v>
      </c>
      <c r="N405" s="1">
        <v>1.0</v>
      </c>
      <c r="O405" s="1">
        <v>1.0</v>
      </c>
      <c r="P405" s="1">
        <v>74.0</v>
      </c>
      <c r="Q405" s="1">
        <v>115.0</v>
      </c>
    </row>
    <row r="406">
      <c r="A406" s="2">
        <f t="shared" si="1"/>
        <v>404</v>
      </c>
      <c r="B406" s="1" t="s">
        <v>1695</v>
      </c>
      <c r="C406" s="1" t="s">
        <v>1156</v>
      </c>
      <c r="D406" s="1" t="s">
        <v>28</v>
      </c>
      <c r="E406" s="15">
        <f t="shared" si="2"/>
        <v>190</v>
      </c>
      <c r="F406" s="15">
        <f t="shared" si="3"/>
        <v>2.638888889</v>
      </c>
      <c r="G406" s="1">
        <v>72.0</v>
      </c>
      <c r="H406" s="1">
        <v>12.0</v>
      </c>
      <c r="I406" s="1">
        <v>12.0</v>
      </c>
      <c r="J406" s="1">
        <v>24.0</v>
      </c>
      <c r="K406" s="1">
        <v>98.0</v>
      </c>
      <c r="L406" s="1">
        <v>0.0</v>
      </c>
      <c r="M406" s="1">
        <v>0.0</v>
      </c>
      <c r="N406" s="1">
        <v>0.0</v>
      </c>
      <c r="O406" s="1">
        <v>2.0</v>
      </c>
      <c r="P406" s="1">
        <v>124.0</v>
      </c>
      <c r="Q406" s="1">
        <v>32.0</v>
      </c>
    </row>
    <row r="407">
      <c r="A407" s="2">
        <f t="shared" si="1"/>
        <v>405</v>
      </c>
      <c r="B407" s="1" t="s">
        <v>1331</v>
      </c>
      <c r="C407" s="1" t="s">
        <v>1156</v>
      </c>
      <c r="D407" s="1" t="s">
        <v>66</v>
      </c>
      <c r="E407" s="15">
        <f t="shared" si="2"/>
        <v>189.75</v>
      </c>
      <c r="F407" s="15">
        <f t="shared" si="3"/>
        <v>2.710714286</v>
      </c>
      <c r="G407" s="1">
        <v>70.0</v>
      </c>
      <c r="H407" s="1">
        <v>1.0</v>
      </c>
      <c r="I407" s="1">
        <v>12.0</v>
      </c>
      <c r="J407" s="1">
        <v>13.0</v>
      </c>
      <c r="K407" s="1">
        <v>102.0</v>
      </c>
      <c r="L407" s="1">
        <v>0.0</v>
      </c>
      <c r="M407" s="1">
        <v>0.0</v>
      </c>
      <c r="N407" s="1">
        <v>0.0</v>
      </c>
      <c r="O407" s="1">
        <v>0.0</v>
      </c>
      <c r="P407" s="1">
        <v>119.0</v>
      </c>
      <c r="Q407" s="1">
        <v>137.0</v>
      </c>
    </row>
    <row r="408">
      <c r="A408" s="2">
        <f t="shared" si="1"/>
        <v>406</v>
      </c>
      <c r="B408" s="1" t="s">
        <v>1499</v>
      </c>
      <c r="C408" s="1" t="s">
        <v>1116</v>
      </c>
      <c r="D408" s="1" t="s">
        <v>28</v>
      </c>
      <c r="E408" s="15">
        <f t="shared" si="2"/>
        <v>188.5</v>
      </c>
      <c r="F408" s="15">
        <f t="shared" si="3"/>
        <v>2.692857143</v>
      </c>
      <c r="G408" s="1">
        <v>70.0</v>
      </c>
      <c r="H408" s="1">
        <v>8.0</v>
      </c>
      <c r="I408" s="1">
        <v>13.0</v>
      </c>
      <c r="J408" s="1">
        <v>21.0</v>
      </c>
      <c r="K408" s="1">
        <v>112.0</v>
      </c>
      <c r="L408" s="1">
        <v>0.0</v>
      </c>
      <c r="M408" s="1">
        <v>1.0</v>
      </c>
      <c r="N408" s="1">
        <v>1.0</v>
      </c>
      <c r="O408" s="1">
        <v>2.0</v>
      </c>
      <c r="P408" s="1">
        <v>118.0</v>
      </c>
      <c r="Q408" s="1">
        <v>44.0</v>
      </c>
    </row>
    <row r="409">
      <c r="A409" s="2">
        <f t="shared" si="1"/>
        <v>407</v>
      </c>
      <c r="B409" s="1" t="s">
        <v>1573</v>
      </c>
      <c r="C409" s="1" t="s">
        <v>1076</v>
      </c>
      <c r="D409" s="1" t="s">
        <v>31</v>
      </c>
      <c r="E409" s="15">
        <f t="shared" si="2"/>
        <v>188.25</v>
      </c>
      <c r="F409" s="15">
        <f t="shared" si="3"/>
        <v>2.353125</v>
      </c>
      <c r="G409" s="1">
        <v>80.0</v>
      </c>
      <c r="H409" s="1">
        <v>4.0</v>
      </c>
      <c r="I409" s="1">
        <v>22.0</v>
      </c>
      <c r="J409" s="1">
        <v>26.0</v>
      </c>
      <c r="K409" s="1">
        <v>90.0</v>
      </c>
      <c r="L409" s="1">
        <v>0.0</v>
      </c>
      <c r="M409" s="1">
        <v>0.0</v>
      </c>
      <c r="N409" s="1">
        <v>0.0</v>
      </c>
      <c r="O409" s="1">
        <v>1.0</v>
      </c>
      <c r="P409" s="1">
        <v>127.0</v>
      </c>
      <c r="Q409" s="1">
        <v>51.0</v>
      </c>
    </row>
    <row r="410">
      <c r="A410" s="2">
        <f t="shared" si="1"/>
        <v>408</v>
      </c>
      <c r="B410" s="1" t="s">
        <v>1814</v>
      </c>
      <c r="C410" s="1" t="s">
        <v>1175</v>
      </c>
      <c r="D410" s="1" t="s">
        <v>31</v>
      </c>
      <c r="E410" s="15">
        <f t="shared" si="2"/>
        <v>187.75</v>
      </c>
      <c r="F410" s="15">
        <f t="shared" si="3"/>
        <v>2.346875</v>
      </c>
      <c r="G410" s="1">
        <v>80.0</v>
      </c>
      <c r="H410" s="1">
        <v>10.0</v>
      </c>
      <c r="I410" s="1">
        <v>9.0</v>
      </c>
      <c r="J410" s="1">
        <v>19.0</v>
      </c>
      <c r="K410" s="1">
        <v>111.0</v>
      </c>
      <c r="L410" s="1">
        <v>1.0</v>
      </c>
      <c r="M410" s="1">
        <v>0.0</v>
      </c>
      <c r="N410" s="1">
        <v>1.0</v>
      </c>
      <c r="O410" s="1">
        <v>1.0</v>
      </c>
      <c r="P410" s="1">
        <v>133.0</v>
      </c>
      <c r="Q410" s="1">
        <v>46.0</v>
      </c>
    </row>
    <row r="411">
      <c r="A411" s="2">
        <f t="shared" si="1"/>
        <v>409</v>
      </c>
      <c r="B411" s="1" t="s">
        <v>1379</v>
      </c>
      <c r="C411" s="1" t="s">
        <v>1116</v>
      </c>
      <c r="D411" s="1" t="s">
        <v>31</v>
      </c>
      <c r="E411" s="15">
        <f t="shared" si="2"/>
        <v>187.5</v>
      </c>
      <c r="F411" s="15">
        <f t="shared" si="3"/>
        <v>2.435064935</v>
      </c>
      <c r="G411" s="1">
        <v>77.0</v>
      </c>
      <c r="H411" s="1">
        <v>8.0</v>
      </c>
      <c r="I411" s="1">
        <v>17.0</v>
      </c>
      <c r="J411" s="1">
        <v>25.0</v>
      </c>
      <c r="K411" s="1">
        <v>108.0</v>
      </c>
      <c r="L411" s="1">
        <v>1.0</v>
      </c>
      <c r="M411" s="1">
        <v>2.0</v>
      </c>
      <c r="N411" s="1">
        <v>0.0</v>
      </c>
      <c r="O411" s="1">
        <v>0.0</v>
      </c>
      <c r="P411" s="1">
        <v>108.0</v>
      </c>
      <c r="Q411" s="1">
        <v>39.0</v>
      </c>
    </row>
    <row r="412">
      <c r="A412" s="2">
        <f t="shared" si="1"/>
        <v>409</v>
      </c>
      <c r="B412" s="1" t="s">
        <v>1566</v>
      </c>
      <c r="C412" s="1" t="s">
        <v>1097</v>
      </c>
      <c r="D412" s="1" t="s">
        <v>5</v>
      </c>
      <c r="E412" s="15">
        <f t="shared" si="2"/>
        <v>187.5</v>
      </c>
      <c r="F412" s="15">
        <f t="shared" si="3"/>
        <v>4.464285714</v>
      </c>
      <c r="G412" s="1">
        <v>42.0</v>
      </c>
      <c r="M412" s="12"/>
      <c r="Q412" s="12"/>
      <c r="R412" s="1">
        <v>15.0</v>
      </c>
      <c r="S412" s="1">
        <v>145.0</v>
      </c>
      <c r="T412" s="12">
        <v>1190.0</v>
      </c>
      <c r="U412" s="1">
        <v>1.0</v>
      </c>
    </row>
    <row r="413">
      <c r="A413" s="2">
        <f t="shared" si="1"/>
        <v>411</v>
      </c>
      <c r="B413" s="1" t="s">
        <v>1667</v>
      </c>
      <c r="C413" s="1" t="s">
        <v>1085</v>
      </c>
      <c r="D413" s="1" t="s">
        <v>66</v>
      </c>
      <c r="E413" s="15">
        <f t="shared" si="2"/>
        <v>187</v>
      </c>
      <c r="F413" s="15">
        <f t="shared" si="3"/>
        <v>2.367088608</v>
      </c>
      <c r="G413" s="1">
        <v>79.0</v>
      </c>
      <c r="H413" s="1">
        <v>6.0</v>
      </c>
      <c r="I413" s="1">
        <v>15.0</v>
      </c>
      <c r="J413" s="1">
        <v>21.0</v>
      </c>
      <c r="K413" s="1">
        <v>106.0</v>
      </c>
      <c r="L413" s="1">
        <v>1.0</v>
      </c>
      <c r="M413" s="1">
        <v>0.0</v>
      </c>
      <c r="N413" s="1">
        <v>0.0</v>
      </c>
      <c r="O413" s="1">
        <v>0.0</v>
      </c>
      <c r="P413" s="1">
        <v>108.0</v>
      </c>
      <c r="Q413" s="1">
        <v>70.0</v>
      </c>
    </row>
    <row r="414">
      <c r="A414" s="2">
        <f t="shared" si="1"/>
        <v>412</v>
      </c>
      <c r="B414" s="1" t="s">
        <v>1650</v>
      </c>
      <c r="C414" s="1" t="s">
        <v>1038</v>
      </c>
      <c r="D414" s="1" t="s">
        <v>66</v>
      </c>
      <c r="E414" s="15">
        <f t="shared" si="2"/>
        <v>186.75</v>
      </c>
      <c r="F414" s="15">
        <f t="shared" si="3"/>
        <v>2.49</v>
      </c>
      <c r="G414" s="1">
        <v>75.0</v>
      </c>
      <c r="H414" s="1">
        <v>4.0</v>
      </c>
      <c r="I414" s="1">
        <v>22.0</v>
      </c>
      <c r="J414" s="1">
        <v>26.0</v>
      </c>
      <c r="K414" s="1">
        <v>102.0</v>
      </c>
      <c r="L414" s="1">
        <v>0.0</v>
      </c>
      <c r="M414" s="1">
        <v>0.0</v>
      </c>
      <c r="N414" s="1">
        <v>0.0</v>
      </c>
      <c r="O414" s="1">
        <v>0.0</v>
      </c>
      <c r="P414" s="1">
        <v>51.0</v>
      </c>
      <c r="Q414" s="1">
        <v>78.0</v>
      </c>
    </row>
    <row r="415">
      <c r="A415" s="2">
        <f t="shared" si="1"/>
        <v>413</v>
      </c>
      <c r="B415" s="1" t="s">
        <v>1381</v>
      </c>
      <c r="C415" s="1" t="s">
        <v>1146</v>
      </c>
      <c r="D415" s="1" t="s">
        <v>31</v>
      </c>
      <c r="E415" s="15">
        <f t="shared" si="2"/>
        <v>186.25</v>
      </c>
      <c r="F415" s="15">
        <f t="shared" si="3"/>
        <v>2.623239437</v>
      </c>
      <c r="G415" s="1">
        <v>71.0</v>
      </c>
      <c r="H415" s="1">
        <v>14.0</v>
      </c>
      <c r="I415" s="1">
        <v>13.0</v>
      </c>
      <c r="J415" s="1">
        <v>27.0</v>
      </c>
      <c r="K415" s="1">
        <v>122.0</v>
      </c>
      <c r="L415" s="1">
        <v>0.0</v>
      </c>
      <c r="M415" s="1">
        <v>2.0</v>
      </c>
      <c r="N415" s="1">
        <v>0.0</v>
      </c>
      <c r="O415" s="1">
        <v>0.0</v>
      </c>
      <c r="P415" s="1">
        <v>69.0</v>
      </c>
      <c r="Q415" s="1">
        <v>12.0</v>
      </c>
    </row>
    <row r="416">
      <c r="A416" s="2">
        <f t="shared" si="1"/>
        <v>414</v>
      </c>
      <c r="B416" s="1" t="s">
        <v>1316</v>
      </c>
      <c r="C416" s="1" t="s">
        <v>1082</v>
      </c>
      <c r="D416" s="1" t="s">
        <v>36</v>
      </c>
      <c r="E416" s="15">
        <f t="shared" si="2"/>
        <v>186</v>
      </c>
      <c r="F416" s="15">
        <f t="shared" si="3"/>
        <v>2.776119403</v>
      </c>
      <c r="G416" s="1">
        <v>67.0</v>
      </c>
      <c r="H416" s="1">
        <v>11.0</v>
      </c>
      <c r="I416" s="1">
        <v>16.0</v>
      </c>
      <c r="J416" s="1">
        <v>27.0</v>
      </c>
      <c r="K416" s="1">
        <v>119.0</v>
      </c>
      <c r="L416" s="1">
        <v>1.0</v>
      </c>
      <c r="M416" s="1">
        <v>1.0</v>
      </c>
      <c r="N416" s="1">
        <v>0.0</v>
      </c>
      <c r="O416" s="1">
        <v>0.0</v>
      </c>
      <c r="P416" s="1">
        <v>68.0</v>
      </c>
      <c r="Q416" s="1">
        <v>24.0</v>
      </c>
    </row>
    <row r="417">
      <c r="A417" s="2">
        <f t="shared" si="1"/>
        <v>414</v>
      </c>
      <c r="B417" s="1" t="s">
        <v>1202</v>
      </c>
      <c r="C417" s="1" t="s">
        <v>1067</v>
      </c>
      <c r="D417" s="1" t="s">
        <v>36</v>
      </c>
      <c r="E417" s="15">
        <f t="shared" si="2"/>
        <v>186</v>
      </c>
      <c r="F417" s="15">
        <f t="shared" si="3"/>
        <v>2.415584416</v>
      </c>
      <c r="G417" s="1">
        <v>77.0</v>
      </c>
      <c r="H417" s="1">
        <v>12.0</v>
      </c>
      <c r="I417" s="1">
        <v>20.0</v>
      </c>
      <c r="J417" s="1">
        <v>32.0</v>
      </c>
      <c r="K417" s="1">
        <v>125.0</v>
      </c>
      <c r="L417" s="1">
        <v>2.0</v>
      </c>
      <c r="M417" s="1">
        <v>3.0</v>
      </c>
      <c r="N417" s="1">
        <v>0.0</v>
      </c>
      <c r="O417" s="1">
        <v>0.0</v>
      </c>
      <c r="P417" s="1">
        <v>18.0</v>
      </c>
      <c r="Q417" s="1">
        <v>10.0</v>
      </c>
    </row>
    <row r="418">
      <c r="A418" s="2">
        <f t="shared" si="1"/>
        <v>416</v>
      </c>
      <c r="B418" s="1" t="s">
        <v>1525</v>
      </c>
      <c r="C418" s="1" t="s">
        <v>1048</v>
      </c>
      <c r="D418" s="1" t="s">
        <v>31</v>
      </c>
      <c r="E418" s="15">
        <f t="shared" si="2"/>
        <v>185.25</v>
      </c>
      <c r="F418" s="15">
        <f t="shared" si="3"/>
        <v>2.344936709</v>
      </c>
      <c r="G418" s="1">
        <v>79.0</v>
      </c>
      <c r="H418" s="1">
        <v>9.0</v>
      </c>
      <c r="I418" s="1">
        <v>18.0</v>
      </c>
      <c r="J418" s="1">
        <v>27.0</v>
      </c>
      <c r="K418" s="1">
        <v>102.0</v>
      </c>
      <c r="L418" s="1">
        <v>0.0</v>
      </c>
      <c r="M418" s="1">
        <v>0.0</v>
      </c>
      <c r="N418" s="1">
        <v>0.0</v>
      </c>
      <c r="O418" s="1">
        <v>0.0</v>
      </c>
      <c r="P418" s="1">
        <v>87.0</v>
      </c>
      <c r="Q418" s="1">
        <v>36.0</v>
      </c>
    </row>
    <row r="419">
      <c r="A419" s="2">
        <f t="shared" si="1"/>
        <v>417</v>
      </c>
      <c r="B419" s="1" t="s">
        <v>1822</v>
      </c>
      <c r="C419" s="1" t="s">
        <v>1172</v>
      </c>
      <c r="D419" s="1" t="s">
        <v>66</v>
      </c>
      <c r="E419" s="15">
        <f t="shared" si="2"/>
        <v>185</v>
      </c>
      <c r="F419" s="15">
        <f t="shared" si="3"/>
        <v>2.534246575</v>
      </c>
      <c r="G419" s="1">
        <v>73.0</v>
      </c>
      <c r="H419" s="1">
        <v>4.0</v>
      </c>
      <c r="I419" s="1">
        <v>12.0</v>
      </c>
      <c r="J419" s="1">
        <v>16.0</v>
      </c>
      <c r="K419" s="1">
        <v>86.0</v>
      </c>
      <c r="L419" s="1">
        <v>1.0</v>
      </c>
      <c r="M419" s="1">
        <v>3.0</v>
      </c>
      <c r="N419" s="1">
        <v>0.0</v>
      </c>
      <c r="O419" s="1">
        <v>0.0</v>
      </c>
      <c r="P419" s="1">
        <v>116.0</v>
      </c>
      <c r="Q419" s="1">
        <v>118.0</v>
      </c>
    </row>
    <row r="420">
      <c r="A420" s="2">
        <f t="shared" si="1"/>
        <v>417</v>
      </c>
      <c r="B420" s="1" t="s">
        <v>1624</v>
      </c>
      <c r="C420" s="1" t="s">
        <v>1040</v>
      </c>
      <c r="D420" s="1" t="s">
        <v>31</v>
      </c>
      <c r="E420" s="15">
        <f t="shared" si="2"/>
        <v>185</v>
      </c>
      <c r="F420" s="15">
        <f t="shared" si="3"/>
        <v>2.983870968</v>
      </c>
      <c r="G420" s="1">
        <v>62.0</v>
      </c>
      <c r="H420" s="1">
        <v>8.0</v>
      </c>
      <c r="I420" s="1">
        <v>11.0</v>
      </c>
      <c r="J420" s="1">
        <v>19.0</v>
      </c>
      <c r="K420" s="1">
        <v>109.0</v>
      </c>
      <c r="L420" s="1">
        <v>0.0</v>
      </c>
      <c r="M420" s="1">
        <v>0.0</v>
      </c>
      <c r="N420" s="1">
        <v>1.0</v>
      </c>
      <c r="O420" s="1">
        <v>0.0</v>
      </c>
      <c r="P420" s="1">
        <v>118.0</v>
      </c>
      <c r="Q420" s="1">
        <v>60.0</v>
      </c>
    </row>
    <row r="421">
      <c r="A421" s="2">
        <f t="shared" si="1"/>
        <v>419</v>
      </c>
      <c r="B421" s="1" t="s">
        <v>1577</v>
      </c>
      <c r="C421" s="1" t="s">
        <v>1032</v>
      </c>
      <c r="D421" s="1" t="s">
        <v>36</v>
      </c>
      <c r="E421" s="15">
        <f t="shared" si="2"/>
        <v>184</v>
      </c>
      <c r="F421" s="15">
        <f t="shared" si="3"/>
        <v>2.243902439</v>
      </c>
      <c r="G421" s="1">
        <v>82.0</v>
      </c>
      <c r="H421" s="1">
        <v>7.0</v>
      </c>
      <c r="I421" s="1">
        <v>20.0</v>
      </c>
      <c r="J421" s="1">
        <v>27.0</v>
      </c>
      <c r="K421" s="1">
        <v>107.0</v>
      </c>
      <c r="L421" s="1">
        <v>0.0</v>
      </c>
      <c r="M421" s="1">
        <v>0.0</v>
      </c>
      <c r="N421" s="1">
        <v>0.0</v>
      </c>
      <c r="O421" s="1">
        <v>3.0</v>
      </c>
      <c r="P421" s="1">
        <v>74.0</v>
      </c>
      <c r="Q421" s="1">
        <v>29.0</v>
      </c>
    </row>
    <row r="422">
      <c r="A422" s="2">
        <f t="shared" si="1"/>
        <v>420</v>
      </c>
      <c r="B422" s="1" t="s">
        <v>1140</v>
      </c>
      <c r="C422" s="1" t="s">
        <v>1032</v>
      </c>
      <c r="D422" s="1" t="s">
        <v>31</v>
      </c>
      <c r="E422" s="15">
        <f t="shared" si="2"/>
        <v>183</v>
      </c>
      <c r="F422" s="15">
        <f t="shared" si="3"/>
        <v>3.452830189</v>
      </c>
      <c r="G422" s="1">
        <v>53.0</v>
      </c>
      <c r="H422" s="1">
        <v>16.0</v>
      </c>
      <c r="I422" s="1">
        <v>14.0</v>
      </c>
      <c r="J422" s="1">
        <v>30.0</v>
      </c>
      <c r="K422" s="1">
        <v>102.0</v>
      </c>
      <c r="L422" s="1">
        <v>1.0</v>
      </c>
      <c r="M422" s="1">
        <v>4.0</v>
      </c>
      <c r="N422" s="1">
        <v>1.0</v>
      </c>
      <c r="O422" s="1">
        <v>0.0</v>
      </c>
      <c r="P422" s="1">
        <v>18.0</v>
      </c>
      <c r="Q422" s="1">
        <v>23.0</v>
      </c>
    </row>
    <row r="423">
      <c r="A423" s="2">
        <f t="shared" si="1"/>
        <v>421</v>
      </c>
      <c r="B423" s="1" t="s">
        <v>1396</v>
      </c>
      <c r="C423" s="1" t="s">
        <v>1080</v>
      </c>
      <c r="D423" s="1" t="s">
        <v>36</v>
      </c>
      <c r="E423" s="15">
        <f t="shared" si="2"/>
        <v>182.75</v>
      </c>
      <c r="F423" s="15">
        <f t="shared" si="3"/>
        <v>2.469594595</v>
      </c>
      <c r="G423" s="1">
        <v>74.0</v>
      </c>
      <c r="H423" s="1">
        <v>8.0</v>
      </c>
      <c r="I423" s="1">
        <v>10.0</v>
      </c>
      <c r="J423" s="1">
        <v>18.0</v>
      </c>
      <c r="K423" s="1">
        <v>63.0</v>
      </c>
      <c r="L423" s="1">
        <v>0.0</v>
      </c>
      <c r="M423" s="1">
        <v>0.0</v>
      </c>
      <c r="N423" s="1">
        <v>0.0</v>
      </c>
      <c r="O423" s="1">
        <v>0.0</v>
      </c>
      <c r="P423" s="1">
        <v>279.0</v>
      </c>
      <c r="Q423" s="1">
        <v>31.0</v>
      </c>
    </row>
    <row r="424">
      <c r="A424" s="2">
        <f t="shared" si="1"/>
        <v>422</v>
      </c>
      <c r="B424" s="1" t="s">
        <v>1460</v>
      </c>
      <c r="C424" s="1" t="s">
        <v>1032</v>
      </c>
      <c r="D424" s="1" t="s">
        <v>66</v>
      </c>
      <c r="E424" s="15">
        <f t="shared" si="2"/>
        <v>182.25</v>
      </c>
      <c r="F424" s="15">
        <f t="shared" si="3"/>
        <v>2.720149254</v>
      </c>
      <c r="G424" s="1">
        <v>67.0</v>
      </c>
      <c r="H424" s="1">
        <v>6.0</v>
      </c>
      <c r="I424" s="1">
        <v>12.0</v>
      </c>
      <c r="J424" s="1">
        <v>18.0</v>
      </c>
      <c r="K424" s="1">
        <v>84.0</v>
      </c>
      <c r="L424" s="1">
        <v>0.0</v>
      </c>
      <c r="M424" s="1">
        <v>1.0</v>
      </c>
      <c r="N424" s="1">
        <v>1.0</v>
      </c>
      <c r="O424" s="1">
        <v>1.0</v>
      </c>
      <c r="P424" s="1">
        <v>107.0</v>
      </c>
      <c r="Q424" s="1">
        <v>93.0</v>
      </c>
    </row>
    <row r="425">
      <c r="A425" s="2">
        <f t="shared" si="1"/>
        <v>423</v>
      </c>
      <c r="B425" s="1" t="s">
        <v>1466</v>
      </c>
      <c r="C425" s="1" t="s">
        <v>1080</v>
      </c>
      <c r="D425" s="1" t="s">
        <v>31</v>
      </c>
      <c r="E425" s="15">
        <f t="shared" si="2"/>
        <v>182</v>
      </c>
      <c r="F425" s="15">
        <f t="shared" si="3"/>
        <v>2.71641791</v>
      </c>
      <c r="G425" s="1">
        <v>67.0</v>
      </c>
      <c r="H425" s="1">
        <v>16.0</v>
      </c>
      <c r="I425" s="1">
        <v>11.0</v>
      </c>
      <c r="J425" s="1">
        <v>27.0</v>
      </c>
      <c r="K425" s="1">
        <v>99.0</v>
      </c>
      <c r="L425" s="1">
        <v>1.0</v>
      </c>
      <c r="M425" s="1">
        <v>1.0</v>
      </c>
      <c r="N425" s="1">
        <v>0.0</v>
      </c>
      <c r="O425" s="1">
        <v>0.0</v>
      </c>
      <c r="P425" s="1">
        <v>56.0</v>
      </c>
      <c r="Q425" s="1">
        <v>27.0</v>
      </c>
    </row>
    <row r="426">
      <c r="A426" s="2">
        <f t="shared" si="1"/>
        <v>424</v>
      </c>
      <c r="B426" s="1" t="s">
        <v>1724</v>
      </c>
      <c r="C426" s="1" t="s">
        <v>1146</v>
      </c>
      <c r="D426" s="1" t="s">
        <v>66</v>
      </c>
      <c r="E426" s="15">
        <f t="shared" si="2"/>
        <v>181.75</v>
      </c>
      <c r="F426" s="15">
        <f t="shared" si="3"/>
        <v>2.330128205</v>
      </c>
      <c r="G426" s="1">
        <v>78.0</v>
      </c>
      <c r="H426" s="1">
        <v>3.0</v>
      </c>
      <c r="I426" s="1">
        <v>13.0</v>
      </c>
      <c r="J426" s="1">
        <v>16.0</v>
      </c>
      <c r="K426" s="1">
        <v>87.0</v>
      </c>
      <c r="L426" s="1">
        <v>0.0</v>
      </c>
      <c r="M426" s="1">
        <v>0.0</v>
      </c>
      <c r="N426" s="1">
        <v>0.0</v>
      </c>
      <c r="O426" s="1">
        <v>1.0</v>
      </c>
      <c r="P426" s="1">
        <v>143.0</v>
      </c>
      <c r="Q426" s="1">
        <v>96.0</v>
      </c>
    </row>
    <row r="427">
      <c r="A427" s="2">
        <f t="shared" si="1"/>
        <v>425</v>
      </c>
      <c r="B427" s="1" t="s">
        <v>2091</v>
      </c>
      <c r="C427" s="1" t="s">
        <v>1091</v>
      </c>
      <c r="D427" s="1" t="s">
        <v>36</v>
      </c>
      <c r="E427" s="15">
        <f t="shared" si="2"/>
        <v>181.5</v>
      </c>
      <c r="F427" s="15">
        <f t="shared" si="3"/>
        <v>3.025</v>
      </c>
      <c r="G427" s="1">
        <v>60.0</v>
      </c>
      <c r="H427" s="1">
        <v>9.0</v>
      </c>
      <c r="I427" s="1">
        <v>6.0</v>
      </c>
      <c r="J427" s="1">
        <v>15.0</v>
      </c>
      <c r="K427" s="1">
        <v>89.0</v>
      </c>
      <c r="L427" s="1">
        <v>0.0</v>
      </c>
      <c r="M427" s="1">
        <v>0.0</v>
      </c>
      <c r="N427" s="1">
        <v>0.0</v>
      </c>
      <c r="O427" s="1">
        <v>0.0</v>
      </c>
      <c r="P427" s="1">
        <v>190.0</v>
      </c>
      <c r="Q427" s="1">
        <v>62.0</v>
      </c>
    </row>
    <row r="428">
      <c r="A428" s="2">
        <f t="shared" si="1"/>
        <v>425</v>
      </c>
      <c r="B428" s="1" t="s">
        <v>1427</v>
      </c>
      <c r="C428" s="1" t="s">
        <v>1054</v>
      </c>
      <c r="D428" s="1" t="s">
        <v>66</v>
      </c>
      <c r="E428" s="15">
        <f t="shared" si="2"/>
        <v>181.5</v>
      </c>
      <c r="F428" s="15">
        <f t="shared" si="3"/>
        <v>2.297468354</v>
      </c>
      <c r="G428" s="1">
        <v>79.0</v>
      </c>
      <c r="H428" s="1">
        <v>4.0</v>
      </c>
      <c r="I428" s="1">
        <v>10.0</v>
      </c>
      <c r="J428" s="1">
        <v>14.0</v>
      </c>
      <c r="K428" s="1">
        <v>99.0</v>
      </c>
      <c r="L428" s="1">
        <v>0.0</v>
      </c>
      <c r="M428" s="1">
        <v>0.0</v>
      </c>
      <c r="N428" s="1">
        <v>0.0</v>
      </c>
      <c r="O428" s="1">
        <v>0.0</v>
      </c>
      <c r="P428" s="1">
        <v>104.0</v>
      </c>
      <c r="Q428" s="1">
        <v>116.0</v>
      </c>
    </row>
    <row r="429">
      <c r="A429" s="2">
        <f t="shared" si="1"/>
        <v>427</v>
      </c>
      <c r="B429" s="1" t="s">
        <v>1781</v>
      </c>
      <c r="C429" s="1" t="s">
        <v>1097</v>
      </c>
      <c r="D429" s="1" t="s">
        <v>28</v>
      </c>
      <c r="E429" s="15">
        <f t="shared" si="2"/>
        <v>181.25</v>
      </c>
      <c r="F429" s="15">
        <f t="shared" si="3"/>
        <v>2.83203125</v>
      </c>
      <c r="G429" s="1">
        <v>64.0</v>
      </c>
      <c r="H429" s="1">
        <v>10.0</v>
      </c>
      <c r="I429" s="1">
        <v>18.0</v>
      </c>
      <c r="J429" s="1">
        <v>28.0</v>
      </c>
      <c r="K429" s="1">
        <v>88.0</v>
      </c>
      <c r="L429" s="1">
        <v>0.0</v>
      </c>
      <c r="M429" s="1">
        <v>3.0</v>
      </c>
      <c r="N429" s="1">
        <v>1.0</v>
      </c>
      <c r="O429" s="1">
        <v>0.0</v>
      </c>
      <c r="P429" s="1">
        <v>13.0</v>
      </c>
      <c r="Q429" s="1">
        <v>66.0</v>
      </c>
    </row>
    <row r="430">
      <c r="A430" s="2">
        <f t="shared" si="1"/>
        <v>427</v>
      </c>
      <c r="B430" s="1" t="s">
        <v>1543</v>
      </c>
      <c r="C430" s="1" t="s">
        <v>1085</v>
      </c>
      <c r="D430" s="1" t="s">
        <v>31</v>
      </c>
      <c r="E430" s="15">
        <f t="shared" si="2"/>
        <v>181.25</v>
      </c>
      <c r="F430" s="15">
        <f t="shared" si="3"/>
        <v>2.237654321</v>
      </c>
      <c r="G430" s="1">
        <v>81.0</v>
      </c>
      <c r="H430" s="1">
        <v>11.0</v>
      </c>
      <c r="I430" s="1">
        <v>9.0</v>
      </c>
      <c r="J430" s="1">
        <v>20.0</v>
      </c>
      <c r="K430" s="1">
        <v>88.0</v>
      </c>
      <c r="L430" s="1">
        <v>0.0</v>
      </c>
      <c r="M430" s="1">
        <v>0.0</v>
      </c>
      <c r="N430" s="1">
        <v>1.0</v>
      </c>
      <c r="O430" s="1">
        <v>1.0</v>
      </c>
      <c r="P430" s="1">
        <v>89.0</v>
      </c>
      <c r="Q430" s="1">
        <v>69.0</v>
      </c>
    </row>
    <row r="431">
      <c r="A431" s="2">
        <f t="shared" si="1"/>
        <v>429</v>
      </c>
      <c r="B431" s="1" t="s">
        <v>1697</v>
      </c>
      <c r="C431" s="1" t="s">
        <v>1097</v>
      </c>
      <c r="D431" s="1" t="s">
        <v>66</v>
      </c>
      <c r="E431" s="15">
        <f t="shared" si="2"/>
        <v>181</v>
      </c>
      <c r="F431" s="15">
        <f t="shared" si="3"/>
        <v>2.967213115</v>
      </c>
      <c r="G431" s="1">
        <v>61.0</v>
      </c>
      <c r="H431" s="1">
        <v>2.0</v>
      </c>
      <c r="I431" s="1">
        <v>11.0</v>
      </c>
      <c r="J431" s="1">
        <v>13.0</v>
      </c>
      <c r="K431" s="1">
        <v>69.0</v>
      </c>
      <c r="L431" s="1">
        <v>0.0</v>
      </c>
      <c r="M431" s="1">
        <v>0.0</v>
      </c>
      <c r="N431" s="1">
        <v>0.0</v>
      </c>
      <c r="O431" s="1">
        <v>1.0</v>
      </c>
      <c r="P431" s="1">
        <v>112.0</v>
      </c>
      <c r="Q431" s="1">
        <v>149.0</v>
      </c>
      <c r="T431" s="12"/>
    </row>
    <row r="432">
      <c r="A432" s="2">
        <f t="shared" si="1"/>
        <v>429</v>
      </c>
      <c r="B432" s="1" t="s">
        <v>1253</v>
      </c>
      <c r="C432" s="1" t="s">
        <v>1042</v>
      </c>
      <c r="D432" s="1" t="s">
        <v>66</v>
      </c>
      <c r="E432" s="15">
        <f t="shared" si="2"/>
        <v>181</v>
      </c>
      <c r="F432" s="15">
        <f t="shared" si="3"/>
        <v>2.701492537</v>
      </c>
      <c r="G432" s="1">
        <v>67.0</v>
      </c>
      <c r="H432" s="1">
        <v>3.0</v>
      </c>
      <c r="I432" s="1">
        <v>9.0</v>
      </c>
      <c r="J432" s="1">
        <v>12.0</v>
      </c>
      <c r="K432" s="1">
        <v>77.0</v>
      </c>
      <c r="L432" s="1">
        <v>0.0</v>
      </c>
      <c r="M432" s="1">
        <v>0.0</v>
      </c>
      <c r="N432" s="1">
        <v>0.0</v>
      </c>
      <c r="O432" s="1">
        <v>1.0</v>
      </c>
      <c r="P432" s="1">
        <v>250.0</v>
      </c>
      <c r="Q432" s="1">
        <v>75.0</v>
      </c>
    </row>
    <row r="433">
      <c r="A433" s="2">
        <f t="shared" si="1"/>
        <v>431</v>
      </c>
      <c r="B433" s="1" t="s">
        <v>1633</v>
      </c>
      <c r="C433" s="1" t="s">
        <v>1175</v>
      </c>
      <c r="D433" s="1" t="s">
        <v>5</v>
      </c>
      <c r="E433" s="15">
        <f t="shared" si="2"/>
        <v>180.9</v>
      </c>
      <c r="F433" s="15">
        <f t="shared" si="3"/>
        <v>4.206976744</v>
      </c>
      <c r="G433" s="1">
        <v>43.0</v>
      </c>
      <c r="M433" s="12"/>
      <c r="Q433" s="12"/>
      <c r="R433" s="1">
        <v>12.0</v>
      </c>
      <c r="S433" s="1">
        <v>147.0</v>
      </c>
      <c r="T433" s="12">
        <v>1188.0</v>
      </c>
      <c r="U433" s="1">
        <v>3.0</v>
      </c>
    </row>
    <row r="434">
      <c r="A434" s="2">
        <f t="shared" si="1"/>
        <v>432</v>
      </c>
      <c r="B434" s="1" t="s">
        <v>1408</v>
      </c>
      <c r="C434" s="1" t="s">
        <v>1036</v>
      </c>
      <c r="D434" s="1" t="s">
        <v>66</v>
      </c>
      <c r="E434" s="15">
        <f t="shared" si="2"/>
        <v>180.25</v>
      </c>
      <c r="F434" s="15">
        <f t="shared" si="3"/>
        <v>2.253125</v>
      </c>
      <c r="G434" s="1">
        <v>80.0</v>
      </c>
      <c r="H434" s="1">
        <v>1.0</v>
      </c>
      <c r="I434" s="1">
        <v>14.0</v>
      </c>
      <c r="J434" s="1">
        <v>15.0</v>
      </c>
      <c r="K434" s="1">
        <v>88.0</v>
      </c>
      <c r="L434" s="1">
        <v>0.0</v>
      </c>
      <c r="M434" s="1">
        <v>0.0</v>
      </c>
      <c r="N434" s="1">
        <v>0.0</v>
      </c>
      <c r="O434" s="1">
        <v>0.0</v>
      </c>
      <c r="P434" s="1">
        <v>139.0</v>
      </c>
      <c r="Q434" s="1">
        <v>110.0</v>
      </c>
    </row>
    <row r="435">
      <c r="A435" s="2">
        <f t="shared" si="1"/>
        <v>433</v>
      </c>
      <c r="B435" s="1" t="s">
        <v>1242</v>
      </c>
      <c r="C435" s="1" t="s">
        <v>1038</v>
      </c>
      <c r="D435" s="1" t="s">
        <v>28</v>
      </c>
      <c r="E435" s="15">
        <f t="shared" si="2"/>
        <v>180</v>
      </c>
      <c r="F435" s="15">
        <f t="shared" si="3"/>
        <v>3.6</v>
      </c>
      <c r="G435" s="1">
        <v>50.0</v>
      </c>
      <c r="H435" s="1">
        <v>8.0</v>
      </c>
      <c r="I435" s="1">
        <v>22.0</v>
      </c>
      <c r="J435" s="1">
        <v>30.0</v>
      </c>
      <c r="K435" s="1">
        <v>107.0</v>
      </c>
      <c r="L435" s="1">
        <v>4.0</v>
      </c>
      <c r="M435" s="1">
        <v>6.0</v>
      </c>
      <c r="N435" s="1">
        <v>0.0</v>
      </c>
      <c r="O435" s="1">
        <v>0.0</v>
      </c>
      <c r="P435" s="1">
        <v>54.0</v>
      </c>
      <c r="Q435" s="1">
        <v>22.0</v>
      </c>
    </row>
    <row r="436">
      <c r="A436" s="2">
        <f t="shared" si="1"/>
        <v>434</v>
      </c>
      <c r="B436" s="1" t="s">
        <v>1240</v>
      </c>
      <c r="C436" s="1" t="s">
        <v>1038</v>
      </c>
      <c r="D436" s="1" t="s">
        <v>28</v>
      </c>
      <c r="E436" s="15">
        <f t="shared" si="2"/>
        <v>179.75</v>
      </c>
      <c r="F436" s="15">
        <f t="shared" si="3"/>
        <v>2.995833333</v>
      </c>
      <c r="G436" s="1">
        <v>60.0</v>
      </c>
      <c r="H436" s="1">
        <v>10.0</v>
      </c>
      <c r="I436" s="1">
        <v>16.0</v>
      </c>
      <c r="J436" s="1">
        <v>26.0</v>
      </c>
      <c r="K436" s="1">
        <v>71.0</v>
      </c>
      <c r="L436" s="1">
        <v>2.0</v>
      </c>
      <c r="M436" s="1">
        <v>3.0</v>
      </c>
      <c r="N436" s="1">
        <v>0.0</v>
      </c>
      <c r="O436" s="1">
        <v>0.0</v>
      </c>
      <c r="P436" s="1">
        <v>147.0</v>
      </c>
      <c r="Q436" s="1">
        <v>29.0</v>
      </c>
    </row>
    <row r="437">
      <c r="A437" s="2">
        <f t="shared" si="1"/>
        <v>435</v>
      </c>
      <c r="B437" s="1" t="s">
        <v>1647</v>
      </c>
      <c r="C437" s="1" t="s">
        <v>1078</v>
      </c>
      <c r="D437" s="1" t="s">
        <v>36</v>
      </c>
      <c r="E437" s="15">
        <f t="shared" si="2"/>
        <v>179.5</v>
      </c>
      <c r="F437" s="15">
        <f t="shared" si="3"/>
        <v>3.205357143</v>
      </c>
      <c r="G437" s="1">
        <v>56.0</v>
      </c>
      <c r="H437" s="1">
        <v>13.0</v>
      </c>
      <c r="I437" s="1">
        <v>15.0</v>
      </c>
      <c r="J437" s="1">
        <v>28.0</v>
      </c>
      <c r="K437" s="1">
        <v>122.0</v>
      </c>
      <c r="L437" s="1">
        <v>8.0</v>
      </c>
      <c r="M437" s="1">
        <v>4.0</v>
      </c>
      <c r="N437" s="1">
        <v>0.0</v>
      </c>
      <c r="O437" s="1">
        <v>0.0</v>
      </c>
      <c r="P437" s="1">
        <v>40.0</v>
      </c>
      <c r="Q437" s="1">
        <v>10.0</v>
      </c>
    </row>
    <row r="438">
      <c r="A438" s="2">
        <f t="shared" si="1"/>
        <v>436</v>
      </c>
      <c r="B438" s="1" t="s">
        <v>1622</v>
      </c>
      <c r="C438" s="1" t="s">
        <v>1042</v>
      </c>
      <c r="D438" s="1" t="s">
        <v>66</v>
      </c>
      <c r="E438" s="15">
        <f t="shared" si="2"/>
        <v>179.25</v>
      </c>
      <c r="F438" s="15">
        <f t="shared" si="3"/>
        <v>2.268987342</v>
      </c>
      <c r="G438" s="1">
        <v>79.0</v>
      </c>
      <c r="H438" s="1">
        <v>2.0</v>
      </c>
      <c r="I438" s="1">
        <v>9.0</v>
      </c>
      <c r="J438" s="1">
        <v>11.0</v>
      </c>
      <c r="K438" s="1">
        <v>101.0</v>
      </c>
      <c r="L438" s="1">
        <v>0.0</v>
      </c>
      <c r="M438" s="1">
        <v>1.0</v>
      </c>
      <c r="N438" s="1">
        <v>0.0</v>
      </c>
      <c r="O438" s="1">
        <v>0.0</v>
      </c>
      <c r="P438" s="1">
        <v>113.0</v>
      </c>
      <c r="Q438" s="1">
        <v>129.0</v>
      </c>
    </row>
    <row r="439">
      <c r="A439" s="2">
        <f t="shared" si="1"/>
        <v>437</v>
      </c>
      <c r="B439" s="1" t="s">
        <v>1394</v>
      </c>
      <c r="C439" s="1" t="s">
        <v>1091</v>
      </c>
      <c r="D439" s="1" t="s">
        <v>28</v>
      </c>
      <c r="E439" s="15">
        <f t="shared" si="2"/>
        <v>179</v>
      </c>
      <c r="F439" s="15">
        <f t="shared" si="3"/>
        <v>2.93442623</v>
      </c>
      <c r="G439" s="1">
        <v>61.0</v>
      </c>
      <c r="H439" s="1">
        <v>12.0</v>
      </c>
      <c r="I439" s="1">
        <v>17.0</v>
      </c>
      <c r="J439" s="1">
        <v>29.0</v>
      </c>
      <c r="K439" s="1">
        <v>119.0</v>
      </c>
      <c r="L439" s="1">
        <v>2.0</v>
      </c>
      <c r="M439" s="1">
        <v>2.0</v>
      </c>
      <c r="N439" s="1">
        <v>0.0</v>
      </c>
      <c r="O439" s="1">
        <v>0.0</v>
      </c>
      <c r="P439" s="1">
        <v>18.0</v>
      </c>
      <c r="Q439" s="1">
        <v>20.0</v>
      </c>
    </row>
    <row r="440">
      <c r="A440" s="2">
        <f t="shared" si="1"/>
        <v>438</v>
      </c>
      <c r="B440" s="1" t="s">
        <v>1483</v>
      </c>
      <c r="C440" s="1" t="s">
        <v>1120</v>
      </c>
      <c r="D440" s="1" t="s">
        <v>28</v>
      </c>
      <c r="E440" s="15">
        <f t="shared" si="2"/>
        <v>178.25</v>
      </c>
      <c r="F440" s="15">
        <f t="shared" si="3"/>
        <v>2.256329114</v>
      </c>
      <c r="G440" s="1">
        <v>79.0</v>
      </c>
      <c r="H440" s="1">
        <v>14.0</v>
      </c>
      <c r="I440" s="1">
        <v>10.0</v>
      </c>
      <c r="J440" s="1">
        <v>24.0</v>
      </c>
      <c r="K440" s="1">
        <v>106.0</v>
      </c>
      <c r="L440" s="1">
        <v>0.0</v>
      </c>
      <c r="M440" s="1">
        <v>0.0</v>
      </c>
      <c r="N440" s="1">
        <v>2.0</v>
      </c>
      <c r="O440" s="1">
        <v>0.0</v>
      </c>
      <c r="P440" s="1">
        <v>39.0</v>
      </c>
      <c r="Q440" s="1">
        <v>37.0</v>
      </c>
    </row>
    <row r="441">
      <c r="A441" s="2">
        <f t="shared" si="1"/>
        <v>439</v>
      </c>
      <c r="B441" s="1" t="s">
        <v>1143</v>
      </c>
      <c r="C441" s="1" t="s">
        <v>1054</v>
      </c>
      <c r="D441" s="1" t="s">
        <v>36</v>
      </c>
      <c r="E441" s="15">
        <f t="shared" si="2"/>
        <v>177.75</v>
      </c>
      <c r="F441" s="15">
        <f t="shared" si="3"/>
        <v>3.485294118</v>
      </c>
      <c r="G441" s="1">
        <v>51.0</v>
      </c>
      <c r="H441" s="1">
        <v>11.0</v>
      </c>
      <c r="I441" s="1">
        <v>16.0</v>
      </c>
      <c r="J441" s="1">
        <v>27.0</v>
      </c>
      <c r="K441" s="1">
        <v>102.0</v>
      </c>
      <c r="L441" s="1">
        <v>0.0</v>
      </c>
      <c r="M441" s="1">
        <v>1.0</v>
      </c>
      <c r="N441" s="1">
        <v>2.0</v>
      </c>
      <c r="O441" s="1">
        <v>0.0</v>
      </c>
      <c r="P441" s="1">
        <v>41.0</v>
      </c>
      <c r="Q441" s="1">
        <v>30.0</v>
      </c>
    </row>
    <row r="442">
      <c r="A442" s="2">
        <f t="shared" si="1"/>
        <v>440</v>
      </c>
      <c r="B442" s="1" t="s">
        <v>1293</v>
      </c>
      <c r="C442" s="1" t="s">
        <v>1175</v>
      </c>
      <c r="D442" s="1" t="s">
        <v>66</v>
      </c>
      <c r="E442" s="15">
        <f t="shared" si="2"/>
        <v>176.75</v>
      </c>
      <c r="F442" s="15">
        <f t="shared" si="3"/>
        <v>2.454861111</v>
      </c>
      <c r="G442" s="1">
        <v>72.0</v>
      </c>
      <c r="H442" s="1">
        <v>4.0</v>
      </c>
      <c r="I442" s="1">
        <v>7.0</v>
      </c>
      <c r="J442" s="1">
        <v>11.0</v>
      </c>
      <c r="K442" s="1">
        <v>66.0</v>
      </c>
      <c r="L442" s="1">
        <v>0.0</v>
      </c>
      <c r="M442" s="1">
        <v>1.0</v>
      </c>
      <c r="N442" s="1">
        <v>0.0</v>
      </c>
      <c r="O442" s="1">
        <v>0.0</v>
      </c>
      <c r="P442" s="1">
        <v>129.0</v>
      </c>
      <c r="Q442" s="1">
        <v>145.0</v>
      </c>
    </row>
    <row r="443">
      <c r="A443" s="2">
        <f t="shared" si="1"/>
        <v>441</v>
      </c>
      <c r="B443" s="1" t="s">
        <v>1448</v>
      </c>
      <c r="C443" s="1" t="s">
        <v>1120</v>
      </c>
      <c r="D443" s="1" t="s">
        <v>31</v>
      </c>
      <c r="E443" s="15">
        <f t="shared" si="2"/>
        <v>176</v>
      </c>
      <c r="F443" s="15">
        <f t="shared" si="3"/>
        <v>2.172839506</v>
      </c>
      <c r="G443" s="1">
        <v>81.0</v>
      </c>
      <c r="H443" s="1">
        <v>9.0</v>
      </c>
      <c r="I443" s="1">
        <v>11.0</v>
      </c>
      <c r="J443" s="1">
        <v>20.0</v>
      </c>
      <c r="K443" s="1">
        <v>85.0</v>
      </c>
      <c r="L443" s="1">
        <v>1.0</v>
      </c>
      <c r="M443" s="1">
        <v>3.0</v>
      </c>
      <c r="N443" s="1">
        <v>0.0</v>
      </c>
      <c r="O443" s="1">
        <v>0.0</v>
      </c>
      <c r="P443" s="1">
        <v>152.0</v>
      </c>
      <c r="Q443" s="1">
        <v>44.0</v>
      </c>
    </row>
    <row r="444">
      <c r="A444" s="2">
        <f t="shared" si="1"/>
        <v>441</v>
      </c>
      <c r="B444" s="1" t="s">
        <v>1811</v>
      </c>
      <c r="C444" s="1" t="s">
        <v>1048</v>
      </c>
      <c r="D444" s="1" t="s">
        <v>66</v>
      </c>
      <c r="E444" s="15">
        <f t="shared" si="2"/>
        <v>176</v>
      </c>
      <c r="F444" s="15">
        <f t="shared" si="3"/>
        <v>2.146341463</v>
      </c>
      <c r="G444" s="1">
        <v>82.0</v>
      </c>
      <c r="H444" s="1">
        <v>3.0</v>
      </c>
      <c r="I444" s="1">
        <v>12.0</v>
      </c>
      <c r="J444" s="1">
        <v>15.0</v>
      </c>
      <c r="K444" s="1">
        <v>55.0</v>
      </c>
      <c r="L444" s="1">
        <v>0.0</v>
      </c>
      <c r="M444" s="1">
        <v>0.0</v>
      </c>
      <c r="N444" s="1">
        <v>0.0</v>
      </c>
      <c r="O444" s="1">
        <v>0.0</v>
      </c>
      <c r="P444" s="1">
        <v>152.0</v>
      </c>
      <c r="Q444" s="1">
        <v>122.0</v>
      </c>
    </row>
    <row r="445">
      <c r="A445" s="2">
        <f t="shared" si="1"/>
        <v>443</v>
      </c>
      <c r="B445" s="1" t="s">
        <v>1584</v>
      </c>
      <c r="C445" s="1" t="s">
        <v>1034</v>
      </c>
      <c r="D445" s="1" t="s">
        <v>36</v>
      </c>
      <c r="E445" s="15">
        <f t="shared" si="2"/>
        <v>175.5</v>
      </c>
      <c r="F445" s="15">
        <f t="shared" si="3"/>
        <v>2.166666667</v>
      </c>
      <c r="G445" s="1">
        <v>81.0</v>
      </c>
      <c r="H445" s="1">
        <v>12.0</v>
      </c>
      <c r="I445" s="1">
        <v>13.0</v>
      </c>
      <c r="J445" s="1">
        <v>25.0</v>
      </c>
      <c r="K445" s="1">
        <v>116.0</v>
      </c>
      <c r="L445" s="1">
        <v>6.0</v>
      </c>
      <c r="M445" s="1">
        <v>6.0</v>
      </c>
      <c r="N445" s="1">
        <v>0.0</v>
      </c>
      <c r="O445" s="1">
        <v>0.0</v>
      </c>
      <c r="P445" s="1">
        <v>48.0</v>
      </c>
      <c r="Q445" s="1">
        <v>25.0</v>
      </c>
      <c r="T445" s="12"/>
    </row>
    <row r="446">
      <c r="A446" s="2">
        <f t="shared" si="1"/>
        <v>444</v>
      </c>
      <c r="B446" s="1" t="s">
        <v>1864</v>
      </c>
      <c r="C446" s="1" t="s">
        <v>1120</v>
      </c>
      <c r="D446" s="1" t="s">
        <v>36</v>
      </c>
      <c r="E446" s="15">
        <f t="shared" si="2"/>
        <v>174.5</v>
      </c>
      <c r="F446" s="15">
        <f t="shared" si="3"/>
        <v>2.604477612</v>
      </c>
      <c r="G446" s="1">
        <v>67.0</v>
      </c>
      <c r="H446" s="1">
        <v>15.0</v>
      </c>
      <c r="I446" s="1">
        <v>13.0</v>
      </c>
      <c r="J446" s="1">
        <v>28.0</v>
      </c>
      <c r="K446" s="1">
        <v>98.0</v>
      </c>
      <c r="L446" s="1">
        <v>5.0</v>
      </c>
      <c r="M446" s="1">
        <v>4.0</v>
      </c>
      <c r="N446" s="1">
        <v>0.0</v>
      </c>
      <c r="O446" s="1">
        <v>0.0</v>
      </c>
      <c r="P446" s="1">
        <v>20.0</v>
      </c>
      <c r="Q446" s="1">
        <v>28.0</v>
      </c>
    </row>
    <row r="447">
      <c r="A447" s="2">
        <f t="shared" si="1"/>
        <v>444</v>
      </c>
      <c r="B447" s="1" t="s">
        <v>1562</v>
      </c>
      <c r="C447" s="1" t="s">
        <v>1067</v>
      </c>
      <c r="D447" s="1" t="s">
        <v>31</v>
      </c>
      <c r="E447" s="15">
        <f t="shared" si="2"/>
        <v>174.5</v>
      </c>
      <c r="F447" s="15">
        <f t="shared" si="3"/>
        <v>2.18125</v>
      </c>
      <c r="G447" s="1">
        <v>80.0</v>
      </c>
      <c r="H447" s="1">
        <v>10.0</v>
      </c>
      <c r="I447" s="1">
        <v>8.0</v>
      </c>
      <c r="J447" s="1">
        <v>18.0</v>
      </c>
      <c r="K447" s="1">
        <v>114.0</v>
      </c>
      <c r="L447" s="1">
        <v>0.0</v>
      </c>
      <c r="M447" s="1">
        <v>1.0</v>
      </c>
      <c r="N447" s="1">
        <v>0.0</v>
      </c>
      <c r="O447" s="1">
        <v>0.0</v>
      </c>
      <c r="P447" s="1">
        <v>96.0</v>
      </c>
      <c r="Q447" s="1">
        <v>49.0</v>
      </c>
      <c r="T447" s="12"/>
    </row>
    <row r="448">
      <c r="A448" s="2">
        <f t="shared" si="1"/>
        <v>446</v>
      </c>
      <c r="B448" s="1" t="s">
        <v>1875</v>
      </c>
      <c r="C448" s="1" t="s">
        <v>1030</v>
      </c>
      <c r="D448" s="1" t="s">
        <v>28</v>
      </c>
      <c r="E448" s="15">
        <f t="shared" si="2"/>
        <v>174.25</v>
      </c>
      <c r="F448" s="15">
        <f t="shared" si="3"/>
        <v>2.151234568</v>
      </c>
      <c r="G448" s="1">
        <v>81.0</v>
      </c>
      <c r="H448" s="1">
        <v>12.0</v>
      </c>
      <c r="I448" s="1">
        <v>12.0</v>
      </c>
      <c r="J448" s="1">
        <v>24.0</v>
      </c>
      <c r="K448" s="1">
        <v>115.0</v>
      </c>
      <c r="L448" s="1">
        <v>0.0</v>
      </c>
      <c r="M448" s="1">
        <v>1.0</v>
      </c>
      <c r="N448" s="1">
        <v>0.0</v>
      </c>
      <c r="O448" s="1">
        <v>0.0</v>
      </c>
      <c r="P448" s="1">
        <v>43.0</v>
      </c>
      <c r="Q448" s="1">
        <v>32.0</v>
      </c>
      <c r="T448" s="12"/>
    </row>
    <row r="449">
      <c r="A449" s="2">
        <f t="shared" si="1"/>
        <v>447</v>
      </c>
      <c r="B449" s="1" t="s">
        <v>1487</v>
      </c>
      <c r="C449" s="1" t="s">
        <v>1034</v>
      </c>
      <c r="D449" s="1" t="s">
        <v>66</v>
      </c>
      <c r="E449" s="15">
        <f t="shared" si="2"/>
        <v>173.75</v>
      </c>
      <c r="F449" s="15">
        <f t="shared" si="3"/>
        <v>2.518115942</v>
      </c>
      <c r="G449" s="1">
        <v>69.0</v>
      </c>
      <c r="H449" s="1">
        <v>5.0</v>
      </c>
      <c r="I449" s="1">
        <v>15.0</v>
      </c>
      <c r="J449" s="1">
        <v>20.0</v>
      </c>
      <c r="K449" s="1">
        <v>111.0</v>
      </c>
      <c r="L449" s="1">
        <v>0.0</v>
      </c>
      <c r="M449" s="1">
        <v>0.0</v>
      </c>
      <c r="N449" s="1">
        <v>0.0</v>
      </c>
      <c r="O449" s="1">
        <v>0.0</v>
      </c>
      <c r="P449" s="1">
        <v>73.0</v>
      </c>
      <c r="Q449" s="1">
        <v>65.0</v>
      </c>
      <c r="T449" s="12"/>
    </row>
    <row r="450">
      <c r="A450" s="2">
        <f t="shared" si="1"/>
        <v>447</v>
      </c>
      <c r="B450" s="1" t="s">
        <v>1677</v>
      </c>
      <c r="C450" s="1" t="s">
        <v>1036</v>
      </c>
      <c r="D450" s="1" t="s">
        <v>28</v>
      </c>
      <c r="E450" s="15">
        <f t="shared" si="2"/>
        <v>173.75</v>
      </c>
      <c r="F450" s="15">
        <f t="shared" si="3"/>
        <v>2.995689655</v>
      </c>
      <c r="G450" s="1">
        <v>58.0</v>
      </c>
      <c r="H450" s="1">
        <v>10.0</v>
      </c>
      <c r="I450" s="1">
        <v>15.0</v>
      </c>
      <c r="J450" s="1">
        <v>25.0</v>
      </c>
      <c r="K450" s="1">
        <v>97.0</v>
      </c>
      <c r="L450" s="1">
        <v>0.0</v>
      </c>
      <c r="M450" s="1">
        <v>0.0</v>
      </c>
      <c r="N450" s="1">
        <v>1.0</v>
      </c>
      <c r="O450" s="1">
        <v>1.0</v>
      </c>
      <c r="P450" s="1">
        <v>77.0</v>
      </c>
      <c r="Q450" s="1">
        <v>24.0</v>
      </c>
    </row>
    <row r="451">
      <c r="A451" s="2">
        <f t="shared" si="1"/>
        <v>449</v>
      </c>
      <c r="B451" s="1" t="s">
        <v>1656</v>
      </c>
      <c r="C451" s="1" t="s">
        <v>1073</v>
      </c>
      <c r="D451" s="1" t="s">
        <v>5</v>
      </c>
      <c r="E451" s="15">
        <f t="shared" si="2"/>
        <v>173.1</v>
      </c>
      <c r="F451" s="15">
        <f t="shared" si="3"/>
        <v>5.091176471</v>
      </c>
      <c r="G451" s="1">
        <v>34.0</v>
      </c>
      <c r="Q451" s="12"/>
      <c r="R451" s="1">
        <v>21.0</v>
      </c>
      <c r="S451" s="1">
        <v>82.0</v>
      </c>
      <c r="T451" s="1">
        <v>767.0</v>
      </c>
      <c r="U451" s="1">
        <v>1.0</v>
      </c>
    </row>
    <row r="452">
      <c r="A452" s="2">
        <f t="shared" si="1"/>
        <v>450</v>
      </c>
      <c r="B452" s="1" t="s">
        <v>1263</v>
      </c>
      <c r="C452" s="1" t="s">
        <v>1172</v>
      </c>
      <c r="D452" s="1" t="s">
        <v>28</v>
      </c>
      <c r="E452" s="15">
        <f t="shared" si="2"/>
        <v>173</v>
      </c>
      <c r="F452" s="15">
        <f t="shared" si="3"/>
        <v>2.471428571</v>
      </c>
      <c r="G452" s="1">
        <v>70.0</v>
      </c>
      <c r="H452" s="1">
        <v>9.0</v>
      </c>
      <c r="I452" s="1">
        <v>16.0</v>
      </c>
      <c r="J452" s="1">
        <v>25.0</v>
      </c>
      <c r="K452" s="1">
        <v>116.0</v>
      </c>
      <c r="L452" s="1">
        <v>0.0</v>
      </c>
      <c r="M452" s="1">
        <v>4.0</v>
      </c>
      <c r="N452" s="1">
        <v>0.0</v>
      </c>
      <c r="O452" s="1">
        <v>0.0</v>
      </c>
      <c r="P452" s="1">
        <v>38.0</v>
      </c>
      <c r="Q452" s="1">
        <v>34.0</v>
      </c>
    </row>
    <row r="453">
      <c r="A453" s="2">
        <f t="shared" si="1"/>
        <v>450</v>
      </c>
      <c r="B453" s="1" t="s">
        <v>1386</v>
      </c>
      <c r="C453" s="1" t="s">
        <v>1054</v>
      </c>
      <c r="D453" s="1" t="s">
        <v>66</v>
      </c>
      <c r="E453" s="15">
        <f t="shared" si="2"/>
        <v>173</v>
      </c>
      <c r="F453" s="15">
        <f t="shared" si="3"/>
        <v>2.883333333</v>
      </c>
      <c r="G453" s="1">
        <v>60.0</v>
      </c>
      <c r="H453" s="1">
        <v>3.0</v>
      </c>
      <c r="I453" s="1">
        <v>11.0</v>
      </c>
      <c r="J453" s="1">
        <v>14.0</v>
      </c>
      <c r="K453" s="1">
        <v>90.0</v>
      </c>
      <c r="L453" s="1">
        <v>0.0</v>
      </c>
      <c r="M453" s="1">
        <v>0.0</v>
      </c>
      <c r="N453" s="1">
        <v>0.0</v>
      </c>
      <c r="O453" s="1">
        <v>2.0</v>
      </c>
      <c r="P453" s="1">
        <v>50.0</v>
      </c>
      <c r="Q453" s="1">
        <v>130.0</v>
      </c>
    </row>
    <row r="454">
      <c r="A454" s="2">
        <f t="shared" si="1"/>
        <v>452</v>
      </c>
      <c r="B454" s="1" t="s">
        <v>2092</v>
      </c>
      <c r="C454" s="1" t="s">
        <v>1172</v>
      </c>
      <c r="D454" s="1" t="s">
        <v>31</v>
      </c>
      <c r="E454" s="15">
        <f t="shared" si="2"/>
        <v>172.75</v>
      </c>
      <c r="F454" s="15">
        <f t="shared" si="3"/>
        <v>3.259433962</v>
      </c>
      <c r="G454" s="1">
        <v>53.0</v>
      </c>
      <c r="H454" s="1">
        <v>15.0</v>
      </c>
      <c r="I454" s="1">
        <v>16.0</v>
      </c>
      <c r="J454" s="1">
        <v>31.0</v>
      </c>
      <c r="K454" s="1">
        <v>87.0</v>
      </c>
      <c r="L454" s="1">
        <v>9.0</v>
      </c>
      <c r="M454" s="1">
        <v>3.0</v>
      </c>
      <c r="N454" s="1">
        <v>0.0</v>
      </c>
      <c r="O454" s="1">
        <v>0.0</v>
      </c>
      <c r="P454" s="1">
        <v>9.0</v>
      </c>
      <c r="Q454" s="1">
        <v>23.0</v>
      </c>
    </row>
    <row r="455">
      <c r="A455" s="2">
        <f t="shared" si="1"/>
        <v>452</v>
      </c>
      <c r="B455" s="1" t="s">
        <v>1630</v>
      </c>
      <c r="C455" s="1" t="s">
        <v>1082</v>
      </c>
      <c r="D455" s="1" t="s">
        <v>28</v>
      </c>
      <c r="E455" s="15">
        <f t="shared" si="2"/>
        <v>172.75</v>
      </c>
      <c r="F455" s="15">
        <f t="shared" si="3"/>
        <v>2.69921875</v>
      </c>
      <c r="G455" s="1">
        <v>64.0</v>
      </c>
      <c r="H455" s="1">
        <v>11.0</v>
      </c>
      <c r="I455" s="1">
        <v>22.0</v>
      </c>
      <c r="J455" s="1">
        <v>33.0</v>
      </c>
      <c r="K455" s="1">
        <v>80.0</v>
      </c>
      <c r="L455" s="1">
        <v>1.0</v>
      </c>
      <c r="M455" s="1">
        <v>4.0</v>
      </c>
      <c r="N455" s="1">
        <v>0.0</v>
      </c>
      <c r="O455" s="1">
        <v>0.0</v>
      </c>
      <c r="P455" s="1">
        <v>39.0</v>
      </c>
      <c r="Q455" s="1">
        <v>15.0</v>
      </c>
    </row>
    <row r="456">
      <c r="A456" s="2">
        <f t="shared" si="1"/>
        <v>454</v>
      </c>
      <c r="B456" s="1" t="s">
        <v>1465</v>
      </c>
      <c r="C456" s="1" t="s">
        <v>1052</v>
      </c>
      <c r="D456" s="1" t="s">
        <v>66</v>
      </c>
      <c r="E456" s="15">
        <f t="shared" si="2"/>
        <v>172.5</v>
      </c>
      <c r="F456" s="15">
        <f t="shared" si="3"/>
        <v>2.574626866</v>
      </c>
      <c r="G456" s="1">
        <v>67.0</v>
      </c>
      <c r="H456" s="1">
        <v>3.0</v>
      </c>
      <c r="I456" s="1">
        <v>13.0</v>
      </c>
      <c r="J456" s="1">
        <v>16.0</v>
      </c>
      <c r="K456" s="1">
        <v>84.0</v>
      </c>
      <c r="L456" s="1">
        <v>0.0</v>
      </c>
      <c r="M456" s="1">
        <v>0.0</v>
      </c>
      <c r="N456" s="1">
        <v>0.0</v>
      </c>
      <c r="O456" s="1">
        <v>0.0</v>
      </c>
      <c r="P456" s="1">
        <v>96.0</v>
      </c>
      <c r="Q456" s="1">
        <v>108.0</v>
      </c>
    </row>
    <row r="457">
      <c r="A457" s="2">
        <f t="shared" si="1"/>
        <v>455</v>
      </c>
      <c r="B457" s="1" t="s">
        <v>1598</v>
      </c>
      <c r="C457" s="1" t="s">
        <v>1116</v>
      </c>
      <c r="D457" s="1" t="s">
        <v>66</v>
      </c>
      <c r="E457" s="15">
        <f t="shared" si="2"/>
        <v>171.75</v>
      </c>
      <c r="F457" s="15">
        <f t="shared" si="3"/>
        <v>2.419014085</v>
      </c>
      <c r="G457" s="1">
        <v>71.0</v>
      </c>
      <c r="H457" s="1">
        <v>7.0</v>
      </c>
      <c r="I457" s="1">
        <v>12.0</v>
      </c>
      <c r="J457" s="1">
        <v>19.0</v>
      </c>
      <c r="K457" s="1">
        <v>101.0</v>
      </c>
      <c r="L457" s="1">
        <v>3.0</v>
      </c>
      <c r="M457" s="1">
        <v>2.0</v>
      </c>
      <c r="N457" s="1">
        <v>0.0</v>
      </c>
      <c r="O457" s="1">
        <v>0.0</v>
      </c>
      <c r="P457" s="1">
        <v>45.0</v>
      </c>
      <c r="Q457" s="1">
        <v>85.0</v>
      </c>
    </row>
    <row r="458">
      <c r="A458" s="2">
        <f t="shared" si="1"/>
        <v>456</v>
      </c>
      <c r="B458" s="1" t="s">
        <v>1673</v>
      </c>
      <c r="C458" s="1" t="s">
        <v>1091</v>
      </c>
      <c r="D458" s="1" t="s">
        <v>28</v>
      </c>
      <c r="E458" s="15">
        <f t="shared" si="2"/>
        <v>171.5</v>
      </c>
      <c r="F458" s="15">
        <f t="shared" si="3"/>
        <v>2.14375</v>
      </c>
      <c r="G458" s="1">
        <v>80.0</v>
      </c>
      <c r="H458" s="1">
        <v>6.0</v>
      </c>
      <c r="I458" s="1">
        <v>6.0</v>
      </c>
      <c r="J458" s="1">
        <v>12.0</v>
      </c>
      <c r="K458" s="1">
        <v>70.0</v>
      </c>
      <c r="L458" s="1">
        <v>0.0</v>
      </c>
      <c r="M458" s="1">
        <v>0.0</v>
      </c>
      <c r="N458" s="1">
        <v>1.0</v>
      </c>
      <c r="O458" s="1">
        <v>0.0</v>
      </c>
      <c r="P458" s="1">
        <v>306.0</v>
      </c>
      <c r="Q458" s="1">
        <v>26.0</v>
      </c>
    </row>
    <row r="459">
      <c r="A459" s="2">
        <f t="shared" si="1"/>
        <v>457</v>
      </c>
      <c r="B459" s="1" t="s">
        <v>1383</v>
      </c>
      <c r="C459" s="1" t="s">
        <v>1106</v>
      </c>
      <c r="D459" s="1" t="s">
        <v>36</v>
      </c>
      <c r="E459" s="15">
        <f t="shared" si="2"/>
        <v>170.5</v>
      </c>
      <c r="F459" s="15">
        <f t="shared" si="3"/>
        <v>2.471014493</v>
      </c>
      <c r="G459" s="1">
        <v>69.0</v>
      </c>
      <c r="H459" s="1">
        <v>10.0</v>
      </c>
      <c r="I459" s="1">
        <v>9.0</v>
      </c>
      <c r="J459" s="1">
        <v>19.0</v>
      </c>
      <c r="K459" s="1">
        <v>86.0</v>
      </c>
      <c r="L459" s="1">
        <v>0.0</v>
      </c>
      <c r="M459" s="1">
        <v>0.0</v>
      </c>
      <c r="N459" s="1">
        <v>1.0</v>
      </c>
      <c r="O459" s="1">
        <v>0.0</v>
      </c>
      <c r="P459" s="1">
        <v>122.0</v>
      </c>
      <c r="Q459" s="1">
        <v>46.0</v>
      </c>
    </row>
    <row r="460">
      <c r="A460" s="2">
        <f t="shared" si="1"/>
        <v>457</v>
      </c>
      <c r="B460" s="1" t="s">
        <v>1515</v>
      </c>
      <c r="C460" s="1" t="s">
        <v>1054</v>
      </c>
      <c r="D460" s="1" t="s">
        <v>31</v>
      </c>
      <c r="E460" s="15">
        <f t="shared" si="2"/>
        <v>170.5</v>
      </c>
      <c r="F460" s="15">
        <f t="shared" si="3"/>
        <v>2.104938272</v>
      </c>
      <c r="G460" s="1">
        <v>81.0</v>
      </c>
      <c r="H460" s="1">
        <v>6.0</v>
      </c>
      <c r="I460" s="1">
        <v>12.0</v>
      </c>
      <c r="J460" s="1">
        <v>18.0</v>
      </c>
      <c r="K460" s="1">
        <v>87.0</v>
      </c>
      <c r="L460" s="1">
        <v>0.0</v>
      </c>
      <c r="M460" s="1">
        <v>0.0</v>
      </c>
      <c r="N460" s="1">
        <v>3.0</v>
      </c>
      <c r="O460" s="1">
        <v>1.0</v>
      </c>
      <c r="P460" s="1">
        <v>124.0</v>
      </c>
      <c r="Q460" s="1">
        <v>50.0</v>
      </c>
    </row>
    <row r="461">
      <c r="A461" s="2">
        <f t="shared" si="1"/>
        <v>459</v>
      </c>
      <c r="B461" s="1" t="s">
        <v>1413</v>
      </c>
      <c r="C461" s="1" t="s">
        <v>1106</v>
      </c>
      <c r="D461" s="1" t="s">
        <v>66</v>
      </c>
      <c r="E461" s="15">
        <f t="shared" si="2"/>
        <v>170.25</v>
      </c>
      <c r="F461" s="15">
        <f t="shared" si="3"/>
        <v>2.182692308</v>
      </c>
      <c r="G461" s="1">
        <v>78.0</v>
      </c>
      <c r="H461" s="1">
        <v>2.0</v>
      </c>
      <c r="I461" s="1">
        <v>21.0</v>
      </c>
      <c r="J461" s="1">
        <v>23.0</v>
      </c>
      <c r="K461" s="1">
        <v>79.0</v>
      </c>
      <c r="L461" s="1">
        <v>0.0</v>
      </c>
      <c r="M461" s="1">
        <v>0.0</v>
      </c>
      <c r="N461" s="1">
        <v>0.0</v>
      </c>
      <c r="O461" s="1">
        <v>0.0</v>
      </c>
      <c r="P461" s="1">
        <v>43.0</v>
      </c>
      <c r="Q461" s="1">
        <v>96.0</v>
      </c>
    </row>
    <row r="462">
      <c r="A462" s="2">
        <f t="shared" si="1"/>
        <v>460</v>
      </c>
      <c r="B462" s="1" t="s">
        <v>1552</v>
      </c>
      <c r="C462" s="1" t="s">
        <v>1030</v>
      </c>
      <c r="D462" s="1" t="s">
        <v>66</v>
      </c>
      <c r="E462" s="15">
        <f t="shared" si="2"/>
        <v>169.75</v>
      </c>
      <c r="F462" s="15">
        <f t="shared" si="3"/>
        <v>2.045180723</v>
      </c>
      <c r="G462" s="1">
        <v>83.0</v>
      </c>
      <c r="H462" s="1">
        <v>2.0</v>
      </c>
      <c r="I462" s="1">
        <v>6.0</v>
      </c>
      <c r="J462" s="1">
        <v>8.0</v>
      </c>
      <c r="K462" s="1">
        <v>92.0</v>
      </c>
      <c r="L462" s="1">
        <v>0.0</v>
      </c>
      <c r="M462" s="1">
        <v>0.0</v>
      </c>
      <c r="N462" s="1">
        <v>0.0</v>
      </c>
      <c r="O462" s="1">
        <v>2.0</v>
      </c>
      <c r="P462" s="1">
        <v>117.0</v>
      </c>
      <c r="Q462" s="1">
        <v>127.0</v>
      </c>
    </row>
    <row r="463">
      <c r="A463" s="2">
        <f t="shared" si="1"/>
        <v>461</v>
      </c>
      <c r="B463" s="1" t="s">
        <v>1382</v>
      </c>
      <c r="C463" s="1" t="s">
        <v>1030</v>
      </c>
      <c r="D463" s="1" t="s">
        <v>66</v>
      </c>
      <c r="E463" s="15">
        <f t="shared" si="2"/>
        <v>169</v>
      </c>
      <c r="F463" s="15">
        <f t="shared" si="3"/>
        <v>4.023809524</v>
      </c>
      <c r="G463" s="1">
        <v>42.0</v>
      </c>
      <c r="H463" s="1">
        <v>10.0</v>
      </c>
      <c r="I463" s="1">
        <v>14.0</v>
      </c>
      <c r="J463" s="1">
        <v>24.0</v>
      </c>
      <c r="K463" s="1">
        <v>65.0</v>
      </c>
      <c r="L463" s="1">
        <v>2.0</v>
      </c>
      <c r="M463" s="1">
        <v>4.0</v>
      </c>
      <c r="N463" s="1">
        <v>1.0</v>
      </c>
      <c r="O463" s="1">
        <v>0.0</v>
      </c>
      <c r="P463" s="1">
        <v>82.0</v>
      </c>
      <c r="Q463" s="1">
        <v>54.0</v>
      </c>
    </row>
    <row r="464">
      <c r="A464" s="2">
        <f t="shared" si="1"/>
        <v>462</v>
      </c>
      <c r="B464" s="1" t="s">
        <v>1541</v>
      </c>
      <c r="C464" s="1" t="s">
        <v>1175</v>
      </c>
      <c r="D464" s="1" t="s">
        <v>31</v>
      </c>
      <c r="E464" s="15">
        <f t="shared" si="2"/>
        <v>168.75</v>
      </c>
      <c r="F464" s="15">
        <f t="shared" si="3"/>
        <v>2.960526316</v>
      </c>
      <c r="G464" s="1">
        <v>57.0</v>
      </c>
      <c r="H464" s="1">
        <v>10.0</v>
      </c>
      <c r="I464" s="1">
        <v>7.0</v>
      </c>
      <c r="J464" s="1">
        <v>17.0</v>
      </c>
      <c r="K464" s="1">
        <v>119.0</v>
      </c>
      <c r="L464" s="1">
        <v>0.0</v>
      </c>
      <c r="M464" s="1">
        <v>0.0</v>
      </c>
      <c r="N464" s="1">
        <v>0.0</v>
      </c>
      <c r="O464" s="1">
        <v>1.0</v>
      </c>
      <c r="P464" s="1">
        <v>97.0</v>
      </c>
      <c r="Q464" s="1">
        <v>34.0</v>
      </c>
    </row>
    <row r="465">
      <c r="A465" s="2">
        <f t="shared" si="1"/>
        <v>463</v>
      </c>
      <c r="B465" s="1" t="s">
        <v>1181</v>
      </c>
      <c r="C465" s="1" t="s">
        <v>1046</v>
      </c>
      <c r="D465" s="1" t="s">
        <v>5</v>
      </c>
      <c r="E465" s="15">
        <f t="shared" si="2"/>
        <v>168.3</v>
      </c>
      <c r="F465" s="15">
        <f t="shared" si="3"/>
        <v>5.259375</v>
      </c>
      <c r="G465" s="1">
        <v>32.0</v>
      </c>
      <c r="M465" s="12"/>
      <c r="Q465" s="12"/>
      <c r="R465" s="1">
        <v>14.0</v>
      </c>
      <c r="S465" s="1">
        <v>99.0</v>
      </c>
      <c r="T465" s="1">
        <v>906.0</v>
      </c>
      <c r="U465" s="1">
        <v>1.0</v>
      </c>
    </row>
    <row r="466">
      <c r="A466" s="2">
        <f t="shared" si="1"/>
        <v>464</v>
      </c>
      <c r="B466" s="1" t="s">
        <v>1275</v>
      </c>
      <c r="C466" s="1" t="s">
        <v>1146</v>
      </c>
      <c r="D466" s="1" t="s">
        <v>31</v>
      </c>
      <c r="E466" s="15">
        <f t="shared" si="2"/>
        <v>167.75</v>
      </c>
      <c r="F466" s="15">
        <f t="shared" si="3"/>
        <v>2.43115942</v>
      </c>
      <c r="G466" s="1">
        <v>69.0</v>
      </c>
      <c r="H466" s="1">
        <v>9.0</v>
      </c>
      <c r="I466" s="1">
        <v>19.0</v>
      </c>
      <c r="J466" s="1">
        <v>28.0</v>
      </c>
      <c r="K466" s="1">
        <v>81.0</v>
      </c>
      <c r="L466" s="1">
        <v>1.0</v>
      </c>
      <c r="M466" s="1">
        <v>0.0</v>
      </c>
      <c r="N466" s="1">
        <v>0.0</v>
      </c>
      <c r="O466" s="1">
        <v>0.0</v>
      </c>
      <c r="P466" s="1">
        <v>53.0</v>
      </c>
      <c r="Q466" s="1">
        <v>33.0</v>
      </c>
    </row>
    <row r="467">
      <c r="A467" s="2">
        <f t="shared" si="1"/>
        <v>465</v>
      </c>
      <c r="B467" s="1" t="s">
        <v>1928</v>
      </c>
      <c r="C467" s="1" t="s">
        <v>1036</v>
      </c>
      <c r="D467" s="1" t="s">
        <v>5</v>
      </c>
      <c r="E467" s="15">
        <f t="shared" si="2"/>
        <v>167.1</v>
      </c>
      <c r="F467" s="15">
        <f t="shared" si="3"/>
        <v>4.641666667</v>
      </c>
      <c r="G467" s="1">
        <v>36.0</v>
      </c>
      <c r="M467" s="12"/>
      <c r="Q467" s="12"/>
      <c r="R467" s="1">
        <v>21.0</v>
      </c>
      <c r="S467" s="1">
        <v>115.0</v>
      </c>
      <c r="T467" s="1">
        <v>912.0</v>
      </c>
      <c r="U467" s="1">
        <v>1.0</v>
      </c>
    </row>
    <row r="468">
      <c r="A468" s="2">
        <f t="shared" si="1"/>
        <v>466</v>
      </c>
      <c r="B468" s="1" t="s">
        <v>1839</v>
      </c>
      <c r="C468" s="1" t="s">
        <v>1065</v>
      </c>
      <c r="D468" s="1" t="s">
        <v>28</v>
      </c>
      <c r="E468" s="15">
        <f t="shared" si="2"/>
        <v>167</v>
      </c>
      <c r="F468" s="15">
        <f t="shared" si="3"/>
        <v>2.226666667</v>
      </c>
      <c r="G468" s="1">
        <v>75.0</v>
      </c>
      <c r="H468" s="1">
        <v>12.0</v>
      </c>
      <c r="I468" s="1">
        <v>7.0</v>
      </c>
      <c r="J468" s="1">
        <v>19.0</v>
      </c>
      <c r="K468" s="1">
        <v>91.0</v>
      </c>
      <c r="L468" s="1">
        <v>0.0</v>
      </c>
      <c r="M468" s="1">
        <v>0.0</v>
      </c>
      <c r="N468" s="1">
        <v>2.0</v>
      </c>
      <c r="O468" s="1">
        <v>0.0</v>
      </c>
      <c r="P468" s="1">
        <v>84.0</v>
      </c>
      <c r="Q468" s="1">
        <v>43.0</v>
      </c>
    </row>
    <row r="469">
      <c r="A469" s="2">
        <f t="shared" si="1"/>
        <v>467</v>
      </c>
      <c r="B469" s="1" t="s">
        <v>1264</v>
      </c>
      <c r="C469" s="1" t="s">
        <v>1172</v>
      </c>
      <c r="D469" s="1" t="s">
        <v>5</v>
      </c>
      <c r="E469" s="15">
        <f t="shared" si="2"/>
        <v>166.8</v>
      </c>
      <c r="F469" s="15">
        <f t="shared" si="3"/>
        <v>4.276923077</v>
      </c>
      <c r="G469" s="1">
        <v>39.0</v>
      </c>
      <c r="M469" s="12"/>
      <c r="Q469" s="12"/>
      <c r="R469" s="1">
        <v>10.0</v>
      </c>
      <c r="S469" s="1">
        <v>132.0</v>
      </c>
      <c r="T469" s="12">
        <v>1116.0</v>
      </c>
      <c r="U469" s="1">
        <v>0.0</v>
      </c>
    </row>
    <row r="470">
      <c r="A470" s="2">
        <f t="shared" si="1"/>
        <v>468</v>
      </c>
      <c r="B470" s="1" t="s">
        <v>1372</v>
      </c>
      <c r="C470" s="1" t="s">
        <v>1116</v>
      </c>
      <c r="D470" s="1" t="s">
        <v>28</v>
      </c>
      <c r="E470" s="15">
        <f t="shared" si="2"/>
        <v>166.75</v>
      </c>
      <c r="F470" s="15">
        <f t="shared" si="3"/>
        <v>3.269607843</v>
      </c>
      <c r="G470" s="1">
        <v>51.0</v>
      </c>
      <c r="H470" s="1">
        <v>8.0</v>
      </c>
      <c r="I470" s="1">
        <v>22.0</v>
      </c>
      <c r="J470" s="1">
        <v>30.0</v>
      </c>
      <c r="K470" s="1">
        <v>90.0</v>
      </c>
      <c r="L470" s="1">
        <v>1.0</v>
      </c>
      <c r="M470" s="1">
        <v>4.0</v>
      </c>
      <c r="N470" s="1">
        <v>0.0</v>
      </c>
      <c r="O470" s="1">
        <v>0.0</v>
      </c>
      <c r="P470" s="1">
        <v>35.0</v>
      </c>
      <c r="Q470" s="1">
        <v>22.0</v>
      </c>
    </row>
    <row r="471">
      <c r="A471" s="2">
        <f t="shared" si="1"/>
        <v>468</v>
      </c>
      <c r="B471" s="1" t="s">
        <v>1561</v>
      </c>
      <c r="C471" s="1" t="s">
        <v>1042</v>
      </c>
      <c r="D471" s="1" t="s">
        <v>31</v>
      </c>
      <c r="E471" s="15">
        <f t="shared" si="2"/>
        <v>166.75</v>
      </c>
      <c r="F471" s="15">
        <f t="shared" si="3"/>
        <v>3.031818182</v>
      </c>
      <c r="G471" s="1">
        <v>55.0</v>
      </c>
      <c r="H471" s="1">
        <v>12.0</v>
      </c>
      <c r="I471" s="1">
        <v>16.0</v>
      </c>
      <c r="J471" s="1">
        <v>28.0</v>
      </c>
      <c r="K471" s="1">
        <v>86.0</v>
      </c>
      <c r="L471" s="1">
        <v>5.0</v>
      </c>
      <c r="M471" s="1">
        <v>5.0</v>
      </c>
      <c r="N471" s="1">
        <v>0.0</v>
      </c>
      <c r="O471" s="1">
        <v>0.0</v>
      </c>
      <c r="P471" s="1">
        <v>49.0</v>
      </c>
      <c r="Q471" s="1">
        <v>19.0</v>
      </c>
    </row>
    <row r="472">
      <c r="A472" s="2">
        <f t="shared" si="1"/>
        <v>470</v>
      </c>
      <c r="B472" s="1" t="s">
        <v>1678</v>
      </c>
      <c r="C472" s="1" t="s">
        <v>1036</v>
      </c>
      <c r="D472" s="1" t="s">
        <v>31</v>
      </c>
      <c r="E472" s="15">
        <f t="shared" si="2"/>
        <v>166</v>
      </c>
      <c r="F472" s="15">
        <f t="shared" si="3"/>
        <v>2.075</v>
      </c>
      <c r="G472" s="1">
        <v>80.0</v>
      </c>
      <c r="H472" s="1">
        <v>13.0</v>
      </c>
      <c r="I472" s="1">
        <v>7.0</v>
      </c>
      <c r="J472" s="1">
        <v>20.0</v>
      </c>
      <c r="K472" s="1">
        <v>92.0</v>
      </c>
      <c r="L472" s="1">
        <v>0.0</v>
      </c>
      <c r="M472" s="1">
        <v>0.0</v>
      </c>
      <c r="N472" s="1">
        <v>2.0</v>
      </c>
      <c r="O472" s="1">
        <v>1.0</v>
      </c>
      <c r="P472" s="1">
        <v>54.0</v>
      </c>
      <c r="Q472" s="1">
        <v>42.0</v>
      </c>
    </row>
    <row r="473">
      <c r="A473" s="2">
        <f t="shared" si="1"/>
        <v>471</v>
      </c>
      <c r="B473" s="1" t="s">
        <v>1188</v>
      </c>
      <c r="C473" s="1" t="s">
        <v>1082</v>
      </c>
      <c r="D473" s="1" t="s">
        <v>36</v>
      </c>
      <c r="E473" s="15">
        <f t="shared" si="2"/>
        <v>165.75</v>
      </c>
      <c r="F473" s="15">
        <f t="shared" si="3"/>
        <v>5.022727273</v>
      </c>
      <c r="G473" s="1">
        <v>33.0</v>
      </c>
      <c r="H473" s="1">
        <v>13.0</v>
      </c>
      <c r="I473" s="1">
        <v>9.0</v>
      </c>
      <c r="J473" s="1">
        <v>22.0</v>
      </c>
      <c r="K473" s="1">
        <v>82.0</v>
      </c>
      <c r="L473" s="1">
        <v>4.0</v>
      </c>
      <c r="M473" s="1">
        <v>1.0</v>
      </c>
      <c r="N473" s="1">
        <v>0.0</v>
      </c>
      <c r="O473" s="1">
        <v>0.0</v>
      </c>
      <c r="P473" s="1">
        <v>97.0</v>
      </c>
      <c r="Q473" s="1">
        <v>30.0</v>
      </c>
    </row>
    <row r="474">
      <c r="A474" s="2">
        <f t="shared" si="1"/>
        <v>471</v>
      </c>
      <c r="B474" s="1" t="s">
        <v>1764</v>
      </c>
      <c r="C474" s="1" t="s">
        <v>1067</v>
      </c>
      <c r="D474" s="1" t="s">
        <v>31</v>
      </c>
      <c r="E474" s="15">
        <f t="shared" si="2"/>
        <v>165.75</v>
      </c>
      <c r="F474" s="15">
        <f t="shared" si="3"/>
        <v>2.334507042</v>
      </c>
      <c r="G474" s="1">
        <v>71.0</v>
      </c>
      <c r="H474" s="1">
        <v>7.0</v>
      </c>
      <c r="I474" s="1">
        <v>18.0</v>
      </c>
      <c r="J474" s="1">
        <v>25.0</v>
      </c>
      <c r="K474" s="1">
        <v>98.0</v>
      </c>
      <c r="L474" s="1">
        <v>0.0</v>
      </c>
      <c r="M474" s="1">
        <v>0.0</v>
      </c>
      <c r="N474" s="1">
        <v>0.0</v>
      </c>
      <c r="O474" s="1">
        <v>0.0</v>
      </c>
      <c r="P474" s="1">
        <v>61.0</v>
      </c>
      <c r="Q474" s="1">
        <v>32.0</v>
      </c>
    </row>
    <row r="475">
      <c r="A475" s="2">
        <f t="shared" si="1"/>
        <v>471</v>
      </c>
      <c r="B475" s="1" t="s">
        <v>1826</v>
      </c>
      <c r="C475" s="1" t="s">
        <v>1073</v>
      </c>
      <c r="D475" s="1" t="s">
        <v>36</v>
      </c>
      <c r="E475" s="15">
        <f t="shared" si="2"/>
        <v>165.75</v>
      </c>
      <c r="F475" s="15">
        <f t="shared" si="3"/>
        <v>2.21</v>
      </c>
      <c r="G475" s="1">
        <v>75.0</v>
      </c>
      <c r="H475" s="1">
        <v>5.0</v>
      </c>
      <c r="I475" s="1">
        <v>11.0</v>
      </c>
      <c r="J475" s="1">
        <v>16.0</v>
      </c>
      <c r="K475" s="1">
        <v>125.0</v>
      </c>
      <c r="L475" s="1">
        <v>0.0</v>
      </c>
      <c r="M475" s="1">
        <v>0.0</v>
      </c>
      <c r="N475" s="1">
        <v>0.0</v>
      </c>
      <c r="O475" s="1">
        <v>0.0</v>
      </c>
      <c r="P475" s="1">
        <v>139.0</v>
      </c>
      <c r="Q475" s="1">
        <v>26.0</v>
      </c>
    </row>
    <row r="476">
      <c r="A476" s="2">
        <f t="shared" si="1"/>
        <v>471</v>
      </c>
      <c r="B476" s="1" t="s">
        <v>1599</v>
      </c>
      <c r="C476" s="1" t="s">
        <v>1067</v>
      </c>
      <c r="D476" s="1" t="s">
        <v>31</v>
      </c>
      <c r="E476" s="15">
        <f t="shared" si="2"/>
        <v>165.75</v>
      </c>
      <c r="F476" s="15">
        <f t="shared" si="3"/>
        <v>2.239864865</v>
      </c>
      <c r="G476" s="1">
        <v>74.0</v>
      </c>
      <c r="H476" s="1">
        <v>9.0</v>
      </c>
      <c r="I476" s="1">
        <v>17.0</v>
      </c>
      <c r="J476" s="1">
        <v>26.0</v>
      </c>
      <c r="K476" s="1">
        <v>78.0</v>
      </c>
      <c r="L476" s="1">
        <v>1.0</v>
      </c>
      <c r="M476" s="1">
        <v>2.0</v>
      </c>
      <c r="N476" s="1">
        <v>1.0</v>
      </c>
      <c r="O476" s="1">
        <v>0.0</v>
      </c>
      <c r="P476" s="1">
        <v>93.0</v>
      </c>
      <c r="Q476" s="1">
        <v>20.0</v>
      </c>
    </row>
    <row r="477">
      <c r="A477" s="2">
        <f t="shared" si="1"/>
        <v>475</v>
      </c>
      <c r="B477" s="1" t="s">
        <v>1072</v>
      </c>
      <c r="C477" s="1" t="s">
        <v>1087</v>
      </c>
      <c r="D477" s="1" t="s">
        <v>66</v>
      </c>
      <c r="E477" s="15">
        <f t="shared" si="2"/>
        <v>165</v>
      </c>
      <c r="F477" s="15">
        <f t="shared" si="3"/>
        <v>2.323943662</v>
      </c>
      <c r="G477" s="1">
        <v>71.0</v>
      </c>
      <c r="H477" s="1">
        <v>5.0</v>
      </c>
      <c r="I477" s="1">
        <v>18.0</v>
      </c>
      <c r="J477" s="1">
        <v>23.0</v>
      </c>
      <c r="K477" s="1">
        <v>89.0</v>
      </c>
      <c r="L477" s="1">
        <v>0.0</v>
      </c>
      <c r="M477" s="1">
        <v>2.0</v>
      </c>
      <c r="N477" s="1">
        <v>0.0</v>
      </c>
      <c r="O477" s="1">
        <v>0.0</v>
      </c>
      <c r="P477" s="1">
        <v>38.0</v>
      </c>
      <c r="Q477" s="1">
        <v>69.0</v>
      </c>
    </row>
    <row r="478">
      <c r="A478" s="2">
        <f t="shared" si="1"/>
        <v>476</v>
      </c>
      <c r="B478" s="1" t="s">
        <v>1595</v>
      </c>
      <c r="C478" s="1" t="s">
        <v>1078</v>
      </c>
      <c r="D478" s="1" t="s">
        <v>28</v>
      </c>
      <c r="E478" s="15">
        <f t="shared" si="2"/>
        <v>164.5</v>
      </c>
      <c r="F478" s="15">
        <f t="shared" si="3"/>
        <v>2.885964912</v>
      </c>
      <c r="G478" s="1">
        <v>57.0</v>
      </c>
      <c r="H478" s="1">
        <v>12.0</v>
      </c>
      <c r="I478" s="1">
        <v>7.0</v>
      </c>
      <c r="J478" s="1">
        <v>19.0</v>
      </c>
      <c r="K478" s="1">
        <v>90.0</v>
      </c>
      <c r="L478" s="1">
        <v>1.0</v>
      </c>
      <c r="M478" s="1">
        <v>0.0</v>
      </c>
      <c r="N478" s="1">
        <v>0.0</v>
      </c>
      <c r="O478" s="1">
        <v>0.0</v>
      </c>
      <c r="P478" s="1">
        <v>144.0</v>
      </c>
      <c r="Q478" s="1">
        <v>17.0</v>
      </c>
    </row>
    <row r="479">
      <c r="A479" s="2">
        <f t="shared" si="1"/>
        <v>476</v>
      </c>
      <c r="B479" s="1" t="s">
        <v>2093</v>
      </c>
      <c r="C479" s="1" t="s">
        <v>1030</v>
      </c>
      <c r="D479" s="1" t="s">
        <v>31</v>
      </c>
      <c r="E479" s="15">
        <f t="shared" si="2"/>
        <v>164.5</v>
      </c>
      <c r="F479" s="15">
        <f t="shared" si="3"/>
        <v>2.530769231</v>
      </c>
      <c r="G479" s="1">
        <v>65.0</v>
      </c>
      <c r="H479" s="1">
        <v>13.0</v>
      </c>
      <c r="I479" s="1">
        <v>8.0</v>
      </c>
      <c r="J479" s="1">
        <v>21.0</v>
      </c>
      <c r="K479" s="1">
        <v>112.0</v>
      </c>
      <c r="L479" s="1">
        <v>0.0</v>
      </c>
      <c r="M479" s="1">
        <v>1.0</v>
      </c>
      <c r="N479" s="1">
        <v>0.0</v>
      </c>
      <c r="O479" s="1">
        <v>0.0</v>
      </c>
      <c r="P479" s="1">
        <v>68.0</v>
      </c>
      <c r="Q479" s="1">
        <v>18.0</v>
      </c>
      <c r="T479" s="12"/>
    </row>
    <row r="480">
      <c r="A480" s="2">
        <f t="shared" si="1"/>
        <v>476</v>
      </c>
      <c r="B480" s="1" t="s">
        <v>1715</v>
      </c>
      <c r="C480" s="1" t="s">
        <v>1052</v>
      </c>
      <c r="D480" s="1" t="s">
        <v>66</v>
      </c>
      <c r="E480" s="15">
        <f t="shared" si="2"/>
        <v>164.5</v>
      </c>
      <c r="F480" s="15">
        <f t="shared" si="3"/>
        <v>2.193333333</v>
      </c>
      <c r="G480" s="1">
        <v>75.0</v>
      </c>
      <c r="H480" s="1">
        <v>5.0</v>
      </c>
      <c r="I480" s="1">
        <v>16.0</v>
      </c>
      <c r="J480" s="1">
        <v>21.0</v>
      </c>
      <c r="K480" s="1">
        <v>108.0</v>
      </c>
      <c r="L480" s="1">
        <v>1.0</v>
      </c>
      <c r="M480" s="1">
        <v>2.0</v>
      </c>
      <c r="N480" s="1">
        <v>0.0</v>
      </c>
      <c r="O480" s="1">
        <v>0.0</v>
      </c>
      <c r="P480" s="1">
        <v>88.0</v>
      </c>
      <c r="Q480" s="1">
        <v>36.0</v>
      </c>
    </row>
    <row r="481">
      <c r="A481" s="2">
        <f t="shared" si="1"/>
        <v>479</v>
      </c>
      <c r="B481" s="1" t="s">
        <v>1556</v>
      </c>
      <c r="C481" s="1" t="s">
        <v>1097</v>
      </c>
      <c r="D481" s="1" t="s">
        <v>31</v>
      </c>
      <c r="E481" s="15">
        <f t="shared" si="2"/>
        <v>164.25</v>
      </c>
      <c r="F481" s="15">
        <f t="shared" si="3"/>
        <v>2.607142857</v>
      </c>
      <c r="G481" s="1">
        <v>63.0</v>
      </c>
      <c r="H481" s="1">
        <v>7.0</v>
      </c>
      <c r="I481" s="1">
        <v>8.0</v>
      </c>
      <c r="J481" s="1">
        <v>15.0</v>
      </c>
      <c r="K481" s="1">
        <v>70.0</v>
      </c>
      <c r="L481" s="1">
        <v>0.0</v>
      </c>
      <c r="M481" s="1">
        <v>1.0</v>
      </c>
      <c r="N481" s="1">
        <v>0.0</v>
      </c>
      <c r="O481" s="1">
        <v>0.0</v>
      </c>
      <c r="P481" s="1">
        <v>239.0</v>
      </c>
      <c r="Q481" s="1">
        <v>28.0</v>
      </c>
    </row>
    <row r="482">
      <c r="A482" s="2">
        <f t="shared" si="1"/>
        <v>480</v>
      </c>
      <c r="B482" s="1" t="s">
        <v>2048</v>
      </c>
      <c r="C482" s="1" t="s">
        <v>1032</v>
      </c>
      <c r="D482" s="1" t="s">
        <v>31</v>
      </c>
      <c r="E482" s="15">
        <f t="shared" si="2"/>
        <v>163.75</v>
      </c>
      <c r="F482" s="15">
        <f t="shared" si="3"/>
        <v>2.126623377</v>
      </c>
      <c r="G482" s="1">
        <v>77.0</v>
      </c>
      <c r="H482" s="1">
        <v>10.0</v>
      </c>
      <c r="I482" s="1">
        <v>4.0</v>
      </c>
      <c r="J482" s="1">
        <v>14.0</v>
      </c>
      <c r="K482" s="1">
        <v>89.0</v>
      </c>
      <c r="L482" s="1">
        <v>0.0</v>
      </c>
      <c r="M482" s="1">
        <v>0.0</v>
      </c>
      <c r="N482" s="1">
        <v>0.0</v>
      </c>
      <c r="O482" s="1">
        <v>0.0</v>
      </c>
      <c r="P482" s="1">
        <v>163.0</v>
      </c>
      <c r="Q482" s="1">
        <v>43.0</v>
      </c>
    </row>
    <row r="483">
      <c r="A483" s="2">
        <f t="shared" si="1"/>
        <v>480</v>
      </c>
      <c r="B483" s="1" t="s">
        <v>1799</v>
      </c>
      <c r="C483" s="1" t="s">
        <v>1044</v>
      </c>
      <c r="D483" s="1" t="s">
        <v>28</v>
      </c>
      <c r="E483" s="15">
        <f t="shared" si="2"/>
        <v>163.75</v>
      </c>
      <c r="F483" s="15">
        <f t="shared" si="3"/>
        <v>2.183333333</v>
      </c>
      <c r="G483" s="1">
        <v>75.0</v>
      </c>
      <c r="H483" s="1">
        <v>9.0</v>
      </c>
      <c r="I483" s="1">
        <v>2.0</v>
      </c>
      <c r="J483" s="1">
        <v>11.0</v>
      </c>
      <c r="K483" s="1">
        <v>79.0</v>
      </c>
      <c r="L483" s="1">
        <v>0.0</v>
      </c>
      <c r="M483" s="1">
        <v>0.0</v>
      </c>
      <c r="N483" s="1">
        <v>3.0</v>
      </c>
      <c r="O483" s="1">
        <v>0.0</v>
      </c>
      <c r="P483" s="1">
        <v>165.0</v>
      </c>
      <c r="Q483" s="1">
        <v>61.0</v>
      </c>
    </row>
    <row r="484">
      <c r="A484" s="2">
        <f t="shared" si="1"/>
        <v>482</v>
      </c>
      <c r="B484" s="1" t="s">
        <v>1587</v>
      </c>
      <c r="C484" s="1" t="s">
        <v>1156</v>
      </c>
      <c r="D484" s="1" t="s">
        <v>36</v>
      </c>
      <c r="E484" s="15">
        <f t="shared" si="2"/>
        <v>163.5</v>
      </c>
      <c r="F484" s="15">
        <f t="shared" si="3"/>
        <v>2.477272727</v>
      </c>
      <c r="G484" s="1">
        <v>66.0</v>
      </c>
      <c r="H484" s="1">
        <v>5.0</v>
      </c>
      <c r="I484" s="1">
        <v>10.0</v>
      </c>
      <c r="J484" s="1">
        <v>15.0</v>
      </c>
      <c r="K484" s="1">
        <v>75.0</v>
      </c>
      <c r="L484" s="1">
        <v>0.0</v>
      </c>
      <c r="M484" s="1">
        <v>0.0</v>
      </c>
      <c r="N484" s="1">
        <v>0.0</v>
      </c>
      <c r="O484" s="1">
        <v>0.0</v>
      </c>
      <c r="P484" s="1">
        <v>178.0</v>
      </c>
      <c r="Q484" s="1">
        <v>58.0</v>
      </c>
    </row>
    <row r="485">
      <c r="A485" s="2">
        <f t="shared" si="1"/>
        <v>482</v>
      </c>
      <c r="B485" s="1" t="s">
        <v>1234</v>
      </c>
      <c r="C485" s="1" t="s">
        <v>1044</v>
      </c>
      <c r="D485" s="1" t="s">
        <v>5</v>
      </c>
      <c r="E485" s="15">
        <f t="shared" si="2"/>
        <v>163.5</v>
      </c>
      <c r="F485" s="15">
        <f t="shared" si="3"/>
        <v>4.541666667</v>
      </c>
      <c r="G485" s="1">
        <v>36.0</v>
      </c>
      <c r="Q485" s="12"/>
      <c r="R485" s="1">
        <v>17.0</v>
      </c>
      <c r="S485" s="1">
        <v>95.0</v>
      </c>
      <c r="T485" s="1">
        <v>840.0</v>
      </c>
      <c r="U485" s="1">
        <v>1.0</v>
      </c>
    </row>
    <row r="486">
      <c r="A486" s="2">
        <f t="shared" si="1"/>
        <v>484</v>
      </c>
      <c r="B486" s="1" t="s">
        <v>1547</v>
      </c>
      <c r="C486" s="1" t="s">
        <v>1054</v>
      </c>
      <c r="D486" s="1" t="s">
        <v>31</v>
      </c>
      <c r="E486" s="15">
        <f t="shared" si="2"/>
        <v>163.25</v>
      </c>
      <c r="F486" s="15">
        <f t="shared" si="3"/>
        <v>2.436567164</v>
      </c>
      <c r="G486" s="1">
        <v>67.0</v>
      </c>
      <c r="H486" s="1">
        <v>10.0</v>
      </c>
      <c r="I486" s="1">
        <v>18.0</v>
      </c>
      <c r="J486" s="1">
        <v>28.0</v>
      </c>
      <c r="K486" s="1">
        <v>69.0</v>
      </c>
      <c r="L486" s="1">
        <v>3.0</v>
      </c>
      <c r="M486" s="1">
        <v>5.0</v>
      </c>
      <c r="N486" s="1">
        <v>0.0</v>
      </c>
      <c r="O486" s="1">
        <v>0.0</v>
      </c>
      <c r="P486" s="1">
        <v>63.0</v>
      </c>
      <c r="Q486" s="1">
        <v>28.0</v>
      </c>
    </row>
    <row r="487">
      <c r="A487" s="2">
        <f t="shared" si="1"/>
        <v>485</v>
      </c>
      <c r="B487" s="1" t="s">
        <v>1843</v>
      </c>
      <c r="C487" s="1" t="s">
        <v>1120</v>
      </c>
      <c r="D487" s="1" t="s">
        <v>36</v>
      </c>
      <c r="E487" s="15">
        <f t="shared" si="2"/>
        <v>163</v>
      </c>
      <c r="F487" s="15">
        <f t="shared" si="3"/>
        <v>2.672131148</v>
      </c>
      <c r="G487" s="1">
        <v>61.0</v>
      </c>
      <c r="H487" s="1">
        <v>8.0</v>
      </c>
      <c r="I487" s="1">
        <v>10.0</v>
      </c>
      <c r="J487" s="1">
        <v>18.0</v>
      </c>
      <c r="K487" s="1">
        <v>55.0</v>
      </c>
      <c r="L487" s="1">
        <v>0.0</v>
      </c>
      <c r="M487" s="1">
        <v>0.0</v>
      </c>
      <c r="N487" s="1">
        <v>0.0</v>
      </c>
      <c r="O487" s="1">
        <v>1.0</v>
      </c>
      <c r="P487" s="1">
        <v>160.0</v>
      </c>
      <c r="Q487" s="1">
        <v>55.0</v>
      </c>
    </row>
    <row r="488">
      <c r="A488" s="2">
        <f t="shared" si="1"/>
        <v>486</v>
      </c>
      <c r="B488" s="1" t="s">
        <v>1528</v>
      </c>
      <c r="C488" s="1" t="s">
        <v>1054</v>
      </c>
      <c r="D488" s="1" t="s">
        <v>31</v>
      </c>
      <c r="E488" s="15">
        <f t="shared" si="2"/>
        <v>162.5</v>
      </c>
      <c r="F488" s="15">
        <f t="shared" si="3"/>
        <v>2.5</v>
      </c>
      <c r="G488" s="1">
        <v>65.0</v>
      </c>
      <c r="H488" s="1">
        <v>10.0</v>
      </c>
      <c r="I488" s="1">
        <v>18.0</v>
      </c>
      <c r="J488" s="1">
        <v>28.0</v>
      </c>
      <c r="K488" s="1">
        <v>85.0</v>
      </c>
      <c r="L488" s="1">
        <v>0.0</v>
      </c>
      <c r="M488" s="1">
        <v>3.0</v>
      </c>
      <c r="N488" s="1">
        <v>1.0</v>
      </c>
      <c r="O488" s="1">
        <v>0.0</v>
      </c>
      <c r="P488" s="1">
        <v>46.0</v>
      </c>
      <c r="Q488" s="1">
        <v>15.0</v>
      </c>
    </row>
    <row r="489">
      <c r="A489" s="2">
        <f t="shared" si="1"/>
        <v>487</v>
      </c>
      <c r="B489" s="1" t="s">
        <v>1380</v>
      </c>
      <c r="C489" s="1" t="s">
        <v>1080</v>
      </c>
      <c r="D489" s="1" t="s">
        <v>31</v>
      </c>
      <c r="E489" s="15">
        <f t="shared" si="2"/>
        <v>162</v>
      </c>
      <c r="F489" s="15">
        <f t="shared" si="3"/>
        <v>2.945454545</v>
      </c>
      <c r="G489" s="1">
        <v>55.0</v>
      </c>
      <c r="H489" s="1">
        <v>13.0</v>
      </c>
      <c r="I489" s="1">
        <v>5.0</v>
      </c>
      <c r="J489" s="1">
        <v>18.0</v>
      </c>
      <c r="K489" s="1">
        <v>76.0</v>
      </c>
      <c r="L489" s="1">
        <v>0.0</v>
      </c>
      <c r="M489" s="1">
        <v>0.0</v>
      </c>
      <c r="N489" s="1">
        <v>0.0</v>
      </c>
      <c r="O489" s="1">
        <v>0.0</v>
      </c>
      <c r="P489" s="1">
        <v>168.0</v>
      </c>
      <c r="Q489" s="1">
        <v>17.0</v>
      </c>
    </row>
    <row r="490">
      <c r="A490" s="2">
        <f t="shared" si="1"/>
        <v>487</v>
      </c>
      <c r="B490" s="1" t="s">
        <v>2094</v>
      </c>
      <c r="C490" s="1" t="s">
        <v>1044</v>
      </c>
      <c r="D490" s="1" t="s">
        <v>31</v>
      </c>
      <c r="E490" s="15">
        <f t="shared" si="2"/>
        <v>162</v>
      </c>
      <c r="F490" s="15">
        <f t="shared" si="3"/>
        <v>2.612903226</v>
      </c>
      <c r="G490" s="1">
        <v>62.0</v>
      </c>
      <c r="H490" s="1">
        <v>13.0</v>
      </c>
      <c r="I490" s="1">
        <v>10.0</v>
      </c>
      <c r="J490" s="1">
        <v>23.0</v>
      </c>
      <c r="K490" s="1">
        <v>92.0</v>
      </c>
      <c r="L490" s="1">
        <v>5.0</v>
      </c>
      <c r="M490" s="1">
        <v>5.0</v>
      </c>
      <c r="N490" s="1">
        <v>0.0</v>
      </c>
      <c r="O490" s="1">
        <v>0.0</v>
      </c>
      <c r="P490" s="1">
        <v>90.0</v>
      </c>
      <c r="Q490" s="1">
        <v>10.0</v>
      </c>
    </row>
    <row r="491">
      <c r="A491" s="2">
        <f t="shared" si="1"/>
        <v>489</v>
      </c>
      <c r="B491" s="1" t="s">
        <v>1757</v>
      </c>
      <c r="C491" s="1" t="s">
        <v>1052</v>
      </c>
      <c r="D491" s="1" t="s">
        <v>31</v>
      </c>
      <c r="E491" s="15">
        <f t="shared" si="2"/>
        <v>161.75</v>
      </c>
      <c r="F491" s="15">
        <f t="shared" si="3"/>
        <v>2.608870968</v>
      </c>
      <c r="G491" s="1">
        <v>62.0</v>
      </c>
      <c r="H491" s="1">
        <v>10.0</v>
      </c>
      <c r="I491" s="1">
        <v>9.0</v>
      </c>
      <c r="J491" s="1">
        <v>19.0</v>
      </c>
      <c r="K491" s="1">
        <v>91.0</v>
      </c>
      <c r="L491" s="1">
        <v>0.0</v>
      </c>
      <c r="M491" s="1">
        <v>1.0</v>
      </c>
      <c r="N491" s="1">
        <v>0.0</v>
      </c>
      <c r="O491" s="1">
        <v>0.0</v>
      </c>
      <c r="P491" s="1">
        <v>19.0</v>
      </c>
      <c r="Q491" s="1">
        <v>79.0</v>
      </c>
      <c r="T491" s="12"/>
    </row>
    <row r="492">
      <c r="A492" s="2">
        <f t="shared" si="1"/>
        <v>489</v>
      </c>
      <c r="B492" s="1" t="s">
        <v>1260</v>
      </c>
      <c r="C492" s="1" t="s">
        <v>1078</v>
      </c>
      <c r="D492" s="1" t="s">
        <v>66</v>
      </c>
      <c r="E492" s="15">
        <f t="shared" si="2"/>
        <v>161.75</v>
      </c>
      <c r="F492" s="15">
        <f t="shared" si="3"/>
        <v>2.310714286</v>
      </c>
      <c r="G492" s="1">
        <v>70.0</v>
      </c>
      <c r="H492" s="1">
        <v>3.0</v>
      </c>
      <c r="I492" s="1">
        <v>10.0</v>
      </c>
      <c r="J492" s="1">
        <v>13.0</v>
      </c>
      <c r="K492" s="1">
        <v>94.0</v>
      </c>
      <c r="L492" s="1">
        <v>0.0</v>
      </c>
      <c r="M492" s="1">
        <v>1.0</v>
      </c>
      <c r="N492" s="1">
        <v>0.0</v>
      </c>
      <c r="O492" s="1">
        <v>0.0</v>
      </c>
      <c r="P492" s="1">
        <v>77.0</v>
      </c>
      <c r="Q492" s="1">
        <v>104.0</v>
      </c>
    </row>
    <row r="493">
      <c r="A493" s="2">
        <f t="shared" si="1"/>
        <v>489</v>
      </c>
      <c r="B493" s="1" t="s">
        <v>1611</v>
      </c>
      <c r="C493" s="1" t="s">
        <v>1097</v>
      </c>
      <c r="D493" s="1" t="s">
        <v>66</v>
      </c>
      <c r="E493" s="15">
        <f t="shared" si="2"/>
        <v>161.75</v>
      </c>
      <c r="F493" s="15">
        <f t="shared" si="3"/>
        <v>2.100649351</v>
      </c>
      <c r="G493" s="1">
        <v>77.0</v>
      </c>
      <c r="H493" s="1">
        <v>3.0</v>
      </c>
      <c r="I493" s="1">
        <v>12.0</v>
      </c>
      <c r="J493" s="1">
        <v>15.0</v>
      </c>
      <c r="K493" s="1">
        <v>92.0</v>
      </c>
      <c r="L493" s="1">
        <v>0.0</v>
      </c>
      <c r="M493" s="1">
        <v>0.0</v>
      </c>
      <c r="N493" s="1">
        <v>0.0</v>
      </c>
      <c r="O493" s="1">
        <v>0.0</v>
      </c>
      <c r="P493" s="1">
        <v>93.0</v>
      </c>
      <c r="Q493" s="1">
        <v>86.0</v>
      </c>
    </row>
    <row r="494">
      <c r="A494" s="2">
        <f t="shared" si="1"/>
        <v>492</v>
      </c>
      <c r="B494" s="1" t="s">
        <v>1607</v>
      </c>
      <c r="C494" s="1" t="s">
        <v>1065</v>
      </c>
      <c r="D494" s="1" t="s">
        <v>28</v>
      </c>
      <c r="E494" s="15">
        <f t="shared" si="2"/>
        <v>160.5</v>
      </c>
      <c r="F494" s="15">
        <f t="shared" si="3"/>
        <v>2.326086957</v>
      </c>
      <c r="G494" s="1">
        <v>69.0</v>
      </c>
      <c r="H494" s="1">
        <v>9.0</v>
      </c>
      <c r="I494" s="1">
        <v>10.0</v>
      </c>
      <c r="J494" s="1">
        <v>19.0</v>
      </c>
      <c r="K494" s="1">
        <v>107.0</v>
      </c>
      <c r="L494" s="1">
        <v>0.0</v>
      </c>
      <c r="M494" s="1">
        <v>0.0</v>
      </c>
      <c r="N494" s="1">
        <v>0.0</v>
      </c>
      <c r="O494" s="1">
        <v>0.0</v>
      </c>
      <c r="P494" s="1">
        <v>110.0</v>
      </c>
      <c r="Q494" s="1">
        <v>18.0</v>
      </c>
      <c r="T494" s="12"/>
    </row>
    <row r="495">
      <c r="A495" s="2">
        <f t="shared" si="1"/>
        <v>493</v>
      </c>
      <c r="B495" s="1" t="s">
        <v>1174</v>
      </c>
      <c r="C495" s="1" t="s">
        <v>1175</v>
      </c>
      <c r="D495" s="1" t="s">
        <v>28</v>
      </c>
      <c r="E495" s="15">
        <f t="shared" si="2"/>
        <v>160.25</v>
      </c>
      <c r="F495" s="15">
        <f t="shared" si="3"/>
        <v>2.391791045</v>
      </c>
      <c r="G495" s="1">
        <v>67.0</v>
      </c>
      <c r="H495" s="1">
        <v>6.0</v>
      </c>
      <c r="I495" s="1">
        <v>17.0</v>
      </c>
      <c r="J495" s="1">
        <v>23.0</v>
      </c>
      <c r="K495" s="1">
        <v>118.0</v>
      </c>
      <c r="L495" s="1">
        <v>1.0</v>
      </c>
      <c r="M495" s="1">
        <v>2.0</v>
      </c>
      <c r="N495" s="1">
        <v>0.0</v>
      </c>
      <c r="O495" s="1">
        <v>0.0</v>
      </c>
      <c r="P495" s="1">
        <v>53.0</v>
      </c>
      <c r="Q495" s="1">
        <v>20.0</v>
      </c>
    </row>
    <row r="496">
      <c r="A496" s="2">
        <f t="shared" si="1"/>
        <v>494</v>
      </c>
      <c r="B496" s="1" t="s">
        <v>1238</v>
      </c>
      <c r="C496" s="1" t="s">
        <v>1067</v>
      </c>
      <c r="D496" s="1" t="s">
        <v>5</v>
      </c>
      <c r="E496" s="15">
        <f t="shared" si="2"/>
        <v>160.2</v>
      </c>
      <c r="F496" s="15">
        <f t="shared" si="3"/>
        <v>4.854545455</v>
      </c>
      <c r="G496" s="1">
        <v>33.0</v>
      </c>
      <c r="M496" s="12"/>
      <c r="Q496" s="12"/>
      <c r="R496" s="1">
        <v>17.0</v>
      </c>
      <c r="S496" s="1">
        <v>115.0</v>
      </c>
      <c r="T496" s="1">
        <v>939.0</v>
      </c>
      <c r="U496" s="1">
        <v>0.0</v>
      </c>
    </row>
    <row r="497">
      <c r="A497" s="2">
        <f t="shared" si="1"/>
        <v>495</v>
      </c>
      <c r="B497" s="1" t="s">
        <v>1400</v>
      </c>
      <c r="C497" s="1" t="s">
        <v>1076</v>
      </c>
      <c r="D497" s="1" t="s">
        <v>28</v>
      </c>
      <c r="E497" s="15">
        <f t="shared" si="2"/>
        <v>160</v>
      </c>
      <c r="F497" s="15">
        <f t="shared" si="3"/>
        <v>3.265306122</v>
      </c>
      <c r="G497" s="1">
        <v>49.0</v>
      </c>
      <c r="H497" s="1">
        <v>8.0</v>
      </c>
      <c r="I497" s="1">
        <v>15.0</v>
      </c>
      <c r="J497" s="1">
        <v>23.0</v>
      </c>
      <c r="K497" s="1">
        <v>79.0</v>
      </c>
      <c r="L497" s="1">
        <v>1.0</v>
      </c>
      <c r="M497" s="1">
        <v>2.0</v>
      </c>
      <c r="N497" s="1">
        <v>0.0</v>
      </c>
      <c r="O497" s="1">
        <v>0.0</v>
      </c>
      <c r="P497" s="1">
        <v>70.0</v>
      </c>
      <c r="Q497" s="1">
        <v>44.0</v>
      </c>
    </row>
    <row r="498">
      <c r="A498" s="2">
        <f t="shared" si="1"/>
        <v>495</v>
      </c>
      <c r="B498" s="1" t="s">
        <v>1497</v>
      </c>
      <c r="C498" s="1" t="s">
        <v>1040</v>
      </c>
      <c r="D498" s="1" t="s">
        <v>66</v>
      </c>
      <c r="E498" s="15">
        <f t="shared" si="2"/>
        <v>160</v>
      </c>
      <c r="F498" s="15">
        <f t="shared" si="3"/>
        <v>2.53968254</v>
      </c>
      <c r="G498" s="1">
        <v>63.0</v>
      </c>
      <c r="H498" s="1">
        <v>1.0</v>
      </c>
      <c r="I498" s="1">
        <v>17.0</v>
      </c>
      <c r="J498" s="1">
        <v>18.0</v>
      </c>
      <c r="K498" s="1">
        <v>75.0</v>
      </c>
      <c r="L498" s="1">
        <v>0.0</v>
      </c>
      <c r="M498" s="1">
        <v>0.0</v>
      </c>
      <c r="N498" s="1">
        <v>1.0</v>
      </c>
      <c r="O498" s="1">
        <v>1.0</v>
      </c>
      <c r="P498" s="1">
        <v>68.0</v>
      </c>
      <c r="Q498" s="1">
        <v>92.0</v>
      </c>
    </row>
    <row r="499">
      <c r="A499" s="2">
        <f t="shared" si="1"/>
        <v>497</v>
      </c>
      <c r="B499" s="1" t="s">
        <v>1424</v>
      </c>
      <c r="C499" s="1" t="s">
        <v>1046</v>
      </c>
      <c r="D499" s="1" t="s">
        <v>36</v>
      </c>
      <c r="E499" s="15">
        <f t="shared" si="2"/>
        <v>159.25</v>
      </c>
      <c r="F499" s="15">
        <f t="shared" si="3"/>
        <v>3.461956522</v>
      </c>
      <c r="G499" s="1">
        <v>46.0</v>
      </c>
      <c r="H499" s="1">
        <v>13.0</v>
      </c>
      <c r="I499" s="1">
        <v>15.0</v>
      </c>
      <c r="J499" s="1">
        <v>28.0</v>
      </c>
      <c r="K499" s="1">
        <v>91.0</v>
      </c>
      <c r="L499" s="1">
        <v>1.0</v>
      </c>
      <c r="M499" s="1">
        <v>2.0</v>
      </c>
      <c r="N499" s="1">
        <v>0.0</v>
      </c>
      <c r="O499" s="1">
        <v>0.0</v>
      </c>
      <c r="P499" s="1">
        <v>13.0</v>
      </c>
      <c r="Q499" s="1">
        <v>14.0</v>
      </c>
    </row>
    <row r="500">
      <c r="A500" s="2">
        <f t="shared" si="1"/>
        <v>497</v>
      </c>
      <c r="B500" s="1" t="s">
        <v>1620</v>
      </c>
      <c r="C500" s="1" t="s">
        <v>1030</v>
      </c>
      <c r="D500" s="1" t="s">
        <v>28</v>
      </c>
      <c r="E500" s="15">
        <f t="shared" si="2"/>
        <v>159.25</v>
      </c>
      <c r="F500" s="15">
        <f t="shared" si="3"/>
        <v>2.015822785</v>
      </c>
      <c r="G500" s="1">
        <v>79.0</v>
      </c>
      <c r="H500" s="1">
        <v>10.0</v>
      </c>
      <c r="I500" s="1">
        <v>9.0</v>
      </c>
      <c r="J500" s="1">
        <v>19.0</v>
      </c>
      <c r="K500" s="1">
        <v>85.0</v>
      </c>
      <c r="L500" s="1">
        <v>0.0</v>
      </c>
      <c r="M500" s="1">
        <v>0.0</v>
      </c>
      <c r="N500" s="1">
        <v>0.0</v>
      </c>
      <c r="O500" s="1">
        <v>2.0</v>
      </c>
      <c r="P500" s="1">
        <v>55.0</v>
      </c>
      <c r="Q500" s="1">
        <v>54.0</v>
      </c>
    </row>
    <row r="501">
      <c r="A501" s="2">
        <f t="shared" si="1"/>
        <v>499</v>
      </c>
      <c r="B501" s="1" t="s">
        <v>1590</v>
      </c>
      <c r="C501" s="1" t="s">
        <v>1175</v>
      </c>
      <c r="D501" s="1" t="s">
        <v>66</v>
      </c>
      <c r="E501" s="15">
        <f t="shared" si="2"/>
        <v>158.25</v>
      </c>
      <c r="F501" s="15">
        <f t="shared" si="3"/>
        <v>2.028846154</v>
      </c>
      <c r="G501" s="1">
        <v>78.0</v>
      </c>
      <c r="H501" s="1">
        <v>1.0</v>
      </c>
      <c r="I501" s="1">
        <v>17.0</v>
      </c>
      <c r="J501" s="1">
        <v>18.0</v>
      </c>
      <c r="K501" s="1">
        <v>67.0</v>
      </c>
      <c r="L501" s="1">
        <v>0.0</v>
      </c>
      <c r="M501" s="1">
        <v>0.0</v>
      </c>
      <c r="N501" s="1">
        <v>0.0</v>
      </c>
      <c r="O501" s="1">
        <v>0.0</v>
      </c>
      <c r="P501" s="1">
        <v>45.0</v>
      </c>
      <c r="Q501" s="1">
        <v>116.0</v>
      </c>
    </row>
    <row r="502">
      <c r="A502" s="2">
        <f t="shared" si="1"/>
        <v>500</v>
      </c>
      <c r="B502" s="1" t="s">
        <v>1345</v>
      </c>
      <c r="C502" s="1" t="s">
        <v>1052</v>
      </c>
      <c r="D502" s="1" t="s">
        <v>31</v>
      </c>
      <c r="E502" s="15">
        <f t="shared" si="2"/>
        <v>158</v>
      </c>
      <c r="F502" s="15">
        <f t="shared" si="3"/>
        <v>2.430769231</v>
      </c>
      <c r="G502" s="1">
        <v>65.0</v>
      </c>
      <c r="H502" s="1">
        <v>8.0</v>
      </c>
      <c r="I502" s="1">
        <v>14.0</v>
      </c>
      <c r="J502" s="1">
        <v>22.0</v>
      </c>
      <c r="K502" s="1">
        <v>96.0</v>
      </c>
      <c r="L502" s="1">
        <v>1.0</v>
      </c>
      <c r="M502" s="1">
        <v>1.0</v>
      </c>
      <c r="N502" s="1">
        <v>0.0</v>
      </c>
      <c r="O502" s="1">
        <v>0.0</v>
      </c>
      <c r="P502" s="1">
        <v>76.0</v>
      </c>
      <c r="Q502" s="1">
        <v>26.0</v>
      </c>
    </row>
    <row r="503">
      <c r="A503" s="2">
        <f t="shared" si="1"/>
        <v>500</v>
      </c>
      <c r="B503" s="1" t="s">
        <v>1612</v>
      </c>
      <c r="C503" s="1" t="s">
        <v>1111</v>
      </c>
      <c r="D503" s="1" t="s">
        <v>66</v>
      </c>
      <c r="E503" s="15">
        <f t="shared" si="2"/>
        <v>158</v>
      </c>
      <c r="F503" s="15">
        <f t="shared" si="3"/>
        <v>2.323529412</v>
      </c>
      <c r="G503" s="1">
        <v>68.0</v>
      </c>
      <c r="H503" s="1">
        <v>4.0</v>
      </c>
      <c r="I503" s="1">
        <v>3.0</v>
      </c>
      <c r="J503" s="1">
        <v>7.0</v>
      </c>
      <c r="K503" s="1">
        <v>68.0</v>
      </c>
      <c r="L503" s="1">
        <v>0.0</v>
      </c>
      <c r="M503" s="1">
        <v>0.0</v>
      </c>
      <c r="N503" s="1">
        <v>0.0</v>
      </c>
      <c r="O503" s="1">
        <v>0.0</v>
      </c>
      <c r="P503" s="1">
        <v>152.0</v>
      </c>
      <c r="Q503" s="1">
        <v>118.0</v>
      </c>
    </row>
    <row r="504">
      <c r="A504" s="2">
        <f t="shared" si="1"/>
        <v>502</v>
      </c>
      <c r="B504" s="1" t="s">
        <v>1760</v>
      </c>
      <c r="C504" s="1" t="s">
        <v>1073</v>
      </c>
      <c r="D504" s="1" t="s">
        <v>5</v>
      </c>
      <c r="E504" s="15">
        <f t="shared" si="2"/>
        <v>157.8</v>
      </c>
      <c r="F504" s="15">
        <f t="shared" si="3"/>
        <v>5.844444444</v>
      </c>
      <c r="G504" s="1">
        <v>27.0</v>
      </c>
      <c r="Q504" s="12"/>
      <c r="R504" s="1">
        <v>19.0</v>
      </c>
      <c r="S504" s="1">
        <v>58.0</v>
      </c>
      <c r="T504" s="1">
        <v>586.0</v>
      </c>
      <c r="U504" s="1">
        <v>4.0</v>
      </c>
    </row>
    <row r="505">
      <c r="A505" s="2">
        <f t="shared" si="1"/>
        <v>503</v>
      </c>
      <c r="B505" s="1" t="s">
        <v>1513</v>
      </c>
      <c r="C505" s="1" t="s">
        <v>1044</v>
      </c>
      <c r="D505" s="1" t="s">
        <v>66</v>
      </c>
      <c r="E505" s="15">
        <f t="shared" si="2"/>
        <v>157.75</v>
      </c>
      <c r="F505" s="15">
        <f t="shared" si="3"/>
        <v>2.131756757</v>
      </c>
      <c r="G505" s="1">
        <v>74.0</v>
      </c>
      <c r="H505" s="1">
        <v>2.0</v>
      </c>
      <c r="I505" s="1">
        <v>16.0</v>
      </c>
      <c r="J505" s="1">
        <v>18.0</v>
      </c>
      <c r="K505" s="1">
        <v>74.0</v>
      </c>
      <c r="L505" s="1">
        <v>0.0</v>
      </c>
      <c r="M505" s="1">
        <v>1.0</v>
      </c>
      <c r="N505" s="1">
        <v>0.0</v>
      </c>
      <c r="O505" s="1">
        <v>0.0</v>
      </c>
      <c r="P505" s="1">
        <v>49.0</v>
      </c>
      <c r="Q505" s="1">
        <v>103.0</v>
      </c>
    </row>
    <row r="506">
      <c r="A506" s="2">
        <f t="shared" si="1"/>
        <v>504</v>
      </c>
      <c r="B506" s="1" t="s">
        <v>2095</v>
      </c>
      <c r="C506" s="1" t="s">
        <v>1046</v>
      </c>
      <c r="D506" s="1" t="s">
        <v>31</v>
      </c>
      <c r="E506" s="15">
        <f t="shared" si="2"/>
        <v>157.5</v>
      </c>
      <c r="F506" s="15">
        <f t="shared" si="3"/>
        <v>2.5</v>
      </c>
      <c r="G506" s="1">
        <v>63.0</v>
      </c>
      <c r="H506" s="1">
        <v>11.0</v>
      </c>
      <c r="I506" s="1">
        <v>6.0</v>
      </c>
      <c r="J506" s="1">
        <v>17.0</v>
      </c>
      <c r="K506" s="1">
        <v>94.0</v>
      </c>
      <c r="L506" s="1">
        <v>4.0</v>
      </c>
      <c r="M506" s="1">
        <v>1.0</v>
      </c>
      <c r="N506" s="1">
        <v>1.0</v>
      </c>
      <c r="O506" s="1">
        <v>0.0</v>
      </c>
      <c r="P506" s="1">
        <v>84.0</v>
      </c>
      <c r="Q506" s="1">
        <v>40.0</v>
      </c>
    </row>
    <row r="507">
      <c r="A507" s="2">
        <f t="shared" si="1"/>
        <v>505</v>
      </c>
      <c r="B507" s="1" t="s">
        <v>1575</v>
      </c>
      <c r="C507" s="1" t="s">
        <v>1030</v>
      </c>
      <c r="D507" s="1" t="s">
        <v>66</v>
      </c>
      <c r="E507" s="15">
        <f t="shared" si="2"/>
        <v>156.25</v>
      </c>
      <c r="F507" s="15">
        <f t="shared" si="3"/>
        <v>2.48015873</v>
      </c>
      <c r="G507" s="1">
        <v>63.0</v>
      </c>
      <c r="H507" s="1">
        <v>0.0</v>
      </c>
      <c r="I507" s="1">
        <v>8.0</v>
      </c>
      <c r="J507" s="1">
        <v>8.0</v>
      </c>
      <c r="K507" s="1">
        <v>98.0</v>
      </c>
      <c r="L507" s="1">
        <v>0.0</v>
      </c>
      <c r="M507" s="1">
        <v>0.0</v>
      </c>
      <c r="N507" s="1">
        <v>0.0</v>
      </c>
      <c r="O507" s="1">
        <v>1.0</v>
      </c>
      <c r="P507" s="1">
        <v>121.0</v>
      </c>
      <c r="Q507" s="1">
        <v>102.0</v>
      </c>
    </row>
    <row r="508">
      <c r="A508" s="2">
        <f t="shared" si="1"/>
        <v>506</v>
      </c>
      <c r="B508" s="1" t="s">
        <v>1431</v>
      </c>
      <c r="C508" s="1" t="s">
        <v>1069</v>
      </c>
      <c r="D508" s="1" t="s">
        <v>66</v>
      </c>
      <c r="E508" s="15">
        <f t="shared" si="2"/>
        <v>155.75</v>
      </c>
      <c r="F508" s="15">
        <f t="shared" si="3"/>
        <v>2.396153846</v>
      </c>
      <c r="G508" s="1">
        <v>65.0</v>
      </c>
      <c r="H508" s="1">
        <v>1.0</v>
      </c>
      <c r="I508" s="1">
        <v>12.0</v>
      </c>
      <c r="J508" s="1">
        <v>13.0</v>
      </c>
      <c r="K508" s="1">
        <v>75.0</v>
      </c>
      <c r="L508" s="1">
        <v>0.0</v>
      </c>
      <c r="M508" s="1">
        <v>1.0</v>
      </c>
      <c r="N508" s="1">
        <v>0.0</v>
      </c>
      <c r="O508" s="1">
        <v>0.0</v>
      </c>
      <c r="P508" s="1">
        <v>51.0</v>
      </c>
      <c r="Q508" s="1">
        <v>130.0</v>
      </c>
    </row>
    <row r="509">
      <c r="A509" s="2">
        <f t="shared" si="1"/>
        <v>507</v>
      </c>
      <c r="B509" s="1" t="s">
        <v>1692</v>
      </c>
      <c r="C509" s="1" t="s">
        <v>1036</v>
      </c>
      <c r="D509" s="1" t="s">
        <v>31</v>
      </c>
      <c r="E509" s="15">
        <f t="shared" si="2"/>
        <v>155.5</v>
      </c>
      <c r="F509" s="15">
        <f t="shared" si="3"/>
        <v>2.356060606</v>
      </c>
      <c r="G509" s="1">
        <v>66.0</v>
      </c>
      <c r="H509" s="1">
        <v>10.0</v>
      </c>
      <c r="I509" s="1">
        <v>15.0</v>
      </c>
      <c r="J509" s="1">
        <v>25.0</v>
      </c>
      <c r="K509" s="1">
        <v>79.0</v>
      </c>
      <c r="L509" s="1">
        <v>0.0</v>
      </c>
      <c r="M509" s="1">
        <v>0.0</v>
      </c>
      <c r="N509" s="1">
        <v>3.0</v>
      </c>
      <c r="O509" s="1">
        <v>1.0</v>
      </c>
      <c r="P509" s="1">
        <v>20.0</v>
      </c>
      <c r="Q509" s="1">
        <v>26.0</v>
      </c>
    </row>
    <row r="510">
      <c r="A510" s="2">
        <f t="shared" si="1"/>
        <v>508</v>
      </c>
      <c r="B510" s="1" t="s">
        <v>1356</v>
      </c>
      <c r="C510" s="1" t="s">
        <v>1042</v>
      </c>
      <c r="D510" s="1" t="s">
        <v>28</v>
      </c>
      <c r="E510" s="15">
        <f t="shared" si="2"/>
        <v>155</v>
      </c>
      <c r="F510" s="15">
        <f t="shared" si="3"/>
        <v>2.246376812</v>
      </c>
      <c r="G510" s="1">
        <v>69.0</v>
      </c>
      <c r="H510" s="1">
        <v>4.0</v>
      </c>
      <c r="I510" s="1">
        <v>13.0</v>
      </c>
      <c r="J510" s="1">
        <v>17.0</v>
      </c>
      <c r="K510" s="1">
        <v>64.0</v>
      </c>
      <c r="L510" s="1">
        <v>0.0</v>
      </c>
      <c r="M510" s="1">
        <v>0.0</v>
      </c>
      <c r="N510" s="1">
        <v>0.0</v>
      </c>
      <c r="O510" s="1">
        <v>2.0</v>
      </c>
      <c r="P510" s="1">
        <v>198.0</v>
      </c>
      <c r="Q510" s="1">
        <v>25.0</v>
      </c>
    </row>
    <row r="511">
      <c r="A511" s="2">
        <f t="shared" si="1"/>
        <v>509</v>
      </c>
      <c r="B511" s="1" t="s">
        <v>1655</v>
      </c>
      <c r="C511" s="1" t="s">
        <v>1036</v>
      </c>
      <c r="D511" s="1" t="s">
        <v>36</v>
      </c>
      <c r="E511" s="15">
        <f t="shared" si="2"/>
        <v>154.25</v>
      </c>
      <c r="F511" s="15">
        <f t="shared" si="3"/>
        <v>2.706140351</v>
      </c>
      <c r="G511" s="1">
        <v>57.0</v>
      </c>
      <c r="H511" s="1">
        <v>11.0</v>
      </c>
      <c r="I511" s="1">
        <v>10.0</v>
      </c>
      <c r="J511" s="1">
        <v>21.0</v>
      </c>
      <c r="K511" s="1">
        <v>56.0</v>
      </c>
      <c r="L511" s="1">
        <v>0.0</v>
      </c>
      <c r="M511" s="1">
        <v>0.0</v>
      </c>
      <c r="N511" s="1">
        <v>0.0</v>
      </c>
      <c r="O511" s="1">
        <v>0.0</v>
      </c>
      <c r="P511" s="1">
        <v>157.0</v>
      </c>
      <c r="Q511" s="1">
        <v>15.0</v>
      </c>
    </row>
    <row r="512">
      <c r="A512" s="2">
        <f t="shared" si="1"/>
        <v>509</v>
      </c>
      <c r="B512" s="1" t="s">
        <v>1658</v>
      </c>
      <c r="C512" s="1" t="s">
        <v>1097</v>
      </c>
      <c r="D512" s="1" t="s">
        <v>66</v>
      </c>
      <c r="E512" s="15">
        <f t="shared" si="2"/>
        <v>154.25</v>
      </c>
      <c r="F512" s="15">
        <f t="shared" si="3"/>
        <v>2.373076923</v>
      </c>
      <c r="G512" s="1">
        <v>65.0</v>
      </c>
      <c r="H512" s="1">
        <v>4.0</v>
      </c>
      <c r="I512" s="1">
        <v>13.0</v>
      </c>
      <c r="J512" s="1">
        <v>17.0</v>
      </c>
      <c r="K512" s="1">
        <v>70.0</v>
      </c>
      <c r="L512" s="1">
        <v>0.0</v>
      </c>
      <c r="M512" s="1">
        <v>1.0</v>
      </c>
      <c r="N512" s="1">
        <v>0.0</v>
      </c>
      <c r="O512" s="1">
        <v>0.0</v>
      </c>
      <c r="P512" s="1">
        <v>53.0</v>
      </c>
      <c r="Q512" s="1">
        <v>98.0</v>
      </c>
      <c r="T512" s="12"/>
    </row>
    <row r="513">
      <c r="A513" s="2">
        <f t="shared" si="1"/>
        <v>509</v>
      </c>
      <c r="B513" s="1" t="s">
        <v>1731</v>
      </c>
      <c r="C513" s="1" t="s">
        <v>1097</v>
      </c>
      <c r="D513" s="1" t="s">
        <v>28</v>
      </c>
      <c r="E513" s="15">
        <f t="shared" si="2"/>
        <v>154.25</v>
      </c>
      <c r="F513" s="15">
        <f t="shared" si="3"/>
        <v>4.536764706</v>
      </c>
      <c r="G513" s="1">
        <v>34.0</v>
      </c>
      <c r="H513" s="1">
        <v>14.0</v>
      </c>
      <c r="I513" s="1">
        <v>6.0</v>
      </c>
      <c r="J513" s="1">
        <v>20.0</v>
      </c>
      <c r="K513" s="1">
        <v>58.0</v>
      </c>
      <c r="L513" s="1">
        <v>4.0</v>
      </c>
      <c r="M513" s="1">
        <v>0.0</v>
      </c>
      <c r="N513" s="1">
        <v>1.0</v>
      </c>
      <c r="O513" s="1">
        <v>0.0</v>
      </c>
      <c r="P513" s="1">
        <v>57.0</v>
      </c>
      <c r="Q513" s="1">
        <v>56.0</v>
      </c>
    </row>
    <row r="514">
      <c r="A514" s="2">
        <f t="shared" si="1"/>
        <v>512</v>
      </c>
      <c r="B514" s="1" t="s">
        <v>1680</v>
      </c>
      <c r="C514" s="1" t="s">
        <v>1069</v>
      </c>
      <c r="D514" s="1" t="s">
        <v>66</v>
      </c>
      <c r="E514" s="15">
        <f t="shared" si="2"/>
        <v>154</v>
      </c>
      <c r="F514" s="15">
        <f t="shared" si="3"/>
        <v>1.901234568</v>
      </c>
      <c r="G514" s="1">
        <v>81.0</v>
      </c>
      <c r="H514" s="1">
        <v>3.0</v>
      </c>
      <c r="I514" s="1">
        <v>11.0</v>
      </c>
      <c r="J514" s="1">
        <v>14.0</v>
      </c>
      <c r="K514" s="1">
        <v>88.0</v>
      </c>
      <c r="L514" s="1">
        <v>0.0</v>
      </c>
      <c r="M514" s="1">
        <v>0.0</v>
      </c>
      <c r="N514" s="1">
        <v>0.0</v>
      </c>
      <c r="O514" s="1">
        <v>0.0</v>
      </c>
      <c r="P514" s="1">
        <v>70.0</v>
      </c>
      <c r="Q514" s="1">
        <v>92.0</v>
      </c>
    </row>
    <row r="515">
      <c r="A515" s="2">
        <f t="shared" si="1"/>
        <v>513</v>
      </c>
      <c r="B515" s="1" t="s">
        <v>1565</v>
      </c>
      <c r="C515" s="1" t="s">
        <v>1054</v>
      </c>
      <c r="D515" s="1" t="s">
        <v>66</v>
      </c>
      <c r="E515" s="15">
        <f t="shared" si="2"/>
        <v>153.75</v>
      </c>
      <c r="F515" s="15">
        <f t="shared" si="3"/>
        <v>2.47983871</v>
      </c>
      <c r="G515" s="1">
        <v>62.0</v>
      </c>
      <c r="H515" s="1">
        <v>3.0</v>
      </c>
      <c r="I515" s="1">
        <v>26.0</v>
      </c>
      <c r="J515" s="1">
        <v>29.0</v>
      </c>
      <c r="K515" s="1">
        <v>77.0</v>
      </c>
      <c r="L515" s="1">
        <v>0.0</v>
      </c>
      <c r="M515" s="1">
        <v>18.0</v>
      </c>
      <c r="N515" s="1">
        <v>0.0</v>
      </c>
      <c r="O515" s="1">
        <v>0.0</v>
      </c>
      <c r="P515" s="1">
        <v>19.0</v>
      </c>
      <c r="Q515" s="1">
        <v>38.0</v>
      </c>
    </row>
    <row r="516">
      <c r="A516" s="2">
        <f t="shared" si="1"/>
        <v>514</v>
      </c>
      <c r="B516" s="1" t="s">
        <v>1558</v>
      </c>
      <c r="C516" s="1" t="s">
        <v>1146</v>
      </c>
      <c r="D516" s="1" t="s">
        <v>5</v>
      </c>
      <c r="E516" s="15">
        <f t="shared" si="2"/>
        <v>153.6</v>
      </c>
      <c r="F516" s="15">
        <f t="shared" si="3"/>
        <v>3.938461538</v>
      </c>
      <c r="G516" s="1">
        <v>39.0</v>
      </c>
      <c r="Q516" s="12"/>
      <c r="R516" s="1">
        <v>17.0</v>
      </c>
      <c r="S516" s="1">
        <v>98.0</v>
      </c>
      <c r="T516" s="1">
        <v>832.0</v>
      </c>
      <c r="U516" s="1">
        <v>0.0</v>
      </c>
    </row>
    <row r="517">
      <c r="A517" s="2">
        <f t="shared" si="1"/>
        <v>515</v>
      </c>
      <c r="B517" s="1" t="s">
        <v>1946</v>
      </c>
      <c r="C517" s="1" t="s">
        <v>1069</v>
      </c>
      <c r="D517" s="1" t="s">
        <v>28</v>
      </c>
      <c r="E517" s="15">
        <f t="shared" si="2"/>
        <v>153.5</v>
      </c>
      <c r="F517" s="15">
        <f t="shared" si="3"/>
        <v>1.993506494</v>
      </c>
      <c r="G517" s="1">
        <v>77.0</v>
      </c>
      <c r="H517" s="1">
        <v>7.0</v>
      </c>
      <c r="I517" s="1">
        <v>12.0</v>
      </c>
      <c r="J517" s="1">
        <v>19.0</v>
      </c>
      <c r="K517" s="1">
        <v>73.0</v>
      </c>
      <c r="L517" s="1">
        <v>0.0</v>
      </c>
      <c r="M517" s="1">
        <v>0.0</v>
      </c>
      <c r="N517" s="1">
        <v>0.0</v>
      </c>
      <c r="O517" s="1">
        <v>0.0</v>
      </c>
      <c r="P517" s="1">
        <v>168.0</v>
      </c>
      <c r="Q517" s="1">
        <v>15.0</v>
      </c>
    </row>
    <row r="518">
      <c r="A518" s="2">
        <f t="shared" si="1"/>
        <v>516</v>
      </c>
      <c r="B518" s="1" t="s">
        <v>1775</v>
      </c>
      <c r="C518" s="1" t="s">
        <v>1048</v>
      </c>
      <c r="D518" s="1" t="s">
        <v>66</v>
      </c>
      <c r="E518" s="15">
        <f t="shared" si="2"/>
        <v>153.25</v>
      </c>
      <c r="F518" s="15">
        <f t="shared" si="3"/>
        <v>1.868902439</v>
      </c>
      <c r="G518" s="1">
        <v>82.0</v>
      </c>
      <c r="H518" s="1">
        <v>4.0</v>
      </c>
      <c r="I518" s="1">
        <v>12.0</v>
      </c>
      <c r="J518" s="1">
        <v>16.0</v>
      </c>
      <c r="K518" s="1">
        <v>78.0</v>
      </c>
      <c r="L518" s="1">
        <v>0.0</v>
      </c>
      <c r="M518" s="1">
        <v>0.0</v>
      </c>
      <c r="N518" s="1">
        <v>0.0</v>
      </c>
      <c r="O518" s="1">
        <v>0.0</v>
      </c>
      <c r="P518" s="1">
        <v>101.0</v>
      </c>
      <c r="Q518" s="1">
        <v>70.0</v>
      </c>
    </row>
    <row r="519">
      <c r="A519" s="2">
        <f t="shared" si="1"/>
        <v>517</v>
      </c>
      <c r="B519" s="1" t="s">
        <v>1461</v>
      </c>
      <c r="C519" s="1" t="s">
        <v>1080</v>
      </c>
      <c r="D519" s="1" t="s">
        <v>5</v>
      </c>
      <c r="E519" s="15">
        <f t="shared" si="2"/>
        <v>152.7</v>
      </c>
      <c r="F519" s="15">
        <f t="shared" si="3"/>
        <v>5.655555556</v>
      </c>
      <c r="G519" s="1">
        <v>27.0</v>
      </c>
      <c r="Q519" s="12"/>
      <c r="R519" s="1">
        <v>16.0</v>
      </c>
      <c r="S519" s="1">
        <v>62.0</v>
      </c>
      <c r="T519" s="1">
        <v>659.0</v>
      </c>
      <c r="U519" s="1">
        <v>0.0</v>
      </c>
    </row>
    <row r="520">
      <c r="A520" s="2">
        <f t="shared" si="1"/>
        <v>518</v>
      </c>
      <c r="B520" s="1" t="s">
        <v>1516</v>
      </c>
      <c r="C520" s="1" t="s">
        <v>1073</v>
      </c>
      <c r="D520" s="1" t="s">
        <v>66</v>
      </c>
      <c r="E520" s="15">
        <f t="shared" si="2"/>
        <v>152.5</v>
      </c>
      <c r="F520" s="15">
        <f t="shared" si="3"/>
        <v>1.955128205</v>
      </c>
      <c r="G520" s="1">
        <v>78.0</v>
      </c>
      <c r="H520" s="1">
        <v>6.0</v>
      </c>
      <c r="I520" s="1">
        <v>8.0</v>
      </c>
      <c r="J520" s="1">
        <v>14.0</v>
      </c>
      <c r="K520" s="1">
        <v>93.0</v>
      </c>
      <c r="L520" s="1">
        <v>0.0</v>
      </c>
      <c r="M520" s="1">
        <v>0.0</v>
      </c>
      <c r="N520" s="1">
        <v>1.0</v>
      </c>
      <c r="O520" s="1">
        <v>1.0</v>
      </c>
      <c r="P520" s="1">
        <v>78.0</v>
      </c>
      <c r="Q520" s="1">
        <v>63.0</v>
      </c>
    </row>
    <row r="521">
      <c r="A521" s="2">
        <f t="shared" si="1"/>
        <v>519</v>
      </c>
      <c r="B521" s="1" t="s">
        <v>1354</v>
      </c>
      <c r="C521" s="1" t="s">
        <v>1046</v>
      </c>
      <c r="D521" s="1" t="s">
        <v>66</v>
      </c>
      <c r="E521" s="15">
        <f t="shared" si="2"/>
        <v>152</v>
      </c>
      <c r="F521" s="15">
        <f t="shared" si="3"/>
        <v>2.814814815</v>
      </c>
      <c r="G521" s="1">
        <v>54.0</v>
      </c>
      <c r="H521" s="1">
        <v>2.0</v>
      </c>
      <c r="I521" s="1">
        <v>20.0</v>
      </c>
      <c r="J521" s="1">
        <v>22.0</v>
      </c>
      <c r="K521" s="1">
        <v>90.0</v>
      </c>
      <c r="L521" s="1">
        <v>0.0</v>
      </c>
      <c r="M521" s="1">
        <v>4.0</v>
      </c>
      <c r="N521" s="1">
        <v>0.0</v>
      </c>
      <c r="O521" s="1">
        <v>1.0</v>
      </c>
      <c r="P521" s="1">
        <v>58.0</v>
      </c>
      <c r="Q521" s="1">
        <v>43.0</v>
      </c>
    </row>
    <row r="522">
      <c r="A522" s="2">
        <f t="shared" si="1"/>
        <v>520</v>
      </c>
      <c r="B522" s="1" t="s">
        <v>2096</v>
      </c>
      <c r="C522" s="1" t="s">
        <v>1034</v>
      </c>
      <c r="D522" s="1" t="s">
        <v>31</v>
      </c>
      <c r="E522" s="15">
        <f t="shared" si="2"/>
        <v>150.75</v>
      </c>
      <c r="F522" s="15">
        <f t="shared" si="3"/>
        <v>2.791666667</v>
      </c>
      <c r="G522" s="1">
        <v>54.0</v>
      </c>
      <c r="H522" s="1">
        <v>5.0</v>
      </c>
      <c r="I522" s="1">
        <v>10.0</v>
      </c>
      <c r="J522" s="1">
        <v>15.0</v>
      </c>
      <c r="K522" s="1">
        <v>124.0</v>
      </c>
      <c r="L522" s="1">
        <v>0.0</v>
      </c>
      <c r="M522" s="1">
        <v>0.0</v>
      </c>
      <c r="N522" s="1">
        <v>0.0</v>
      </c>
      <c r="O522" s="1">
        <v>0.0</v>
      </c>
      <c r="P522" s="1">
        <v>107.0</v>
      </c>
      <c r="Q522" s="1">
        <v>19.0</v>
      </c>
      <c r="T522" s="12"/>
    </row>
    <row r="523">
      <c r="A523" s="2">
        <f t="shared" si="1"/>
        <v>521</v>
      </c>
      <c r="B523" s="1" t="s">
        <v>1440</v>
      </c>
      <c r="C523" s="1" t="s">
        <v>1036</v>
      </c>
      <c r="D523" s="1" t="s">
        <v>31</v>
      </c>
      <c r="E523" s="15">
        <f t="shared" si="2"/>
        <v>150.5</v>
      </c>
      <c r="F523" s="15">
        <f t="shared" si="3"/>
        <v>2.640350877</v>
      </c>
      <c r="G523" s="1">
        <v>57.0</v>
      </c>
      <c r="H523" s="1">
        <v>11.0</v>
      </c>
      <c r="I523" s="1">
        <v>12.0</v>
      </c>
      <c r="J523" s="1">
        <v>23.0</v>
      </c>
      <c r="K523" s="1">
        <v>78.0</v>
      </c>
      <c r="L523" s="1">
        <v>0.0</v>
      </c>
      <c r="M523" s="1">
        <v>0.0</v>
      </c>
      <c r="N523" s="1">
        <v>2.0</v>
      </c>
      <c r="O523" s="1">
        <v>1.0</v>
      </c>
      <c r="P523" s="1">
        <v>40.0</v>
      </c>
      <c r="Q523" s="1">
        <v>20.0</v>
      </c>
    </row>
    <row r="524">
      <c r="A524" s="2">
        <f t="shared" si="1"/>
        <v>522</v>
      </c>
      <c r="B524" s="1" t="s">
        <v>1635</v>
      </c>
      <c r="C524" s="1" t="s">
        <v>1085</v>
      </c>
      <c r="D524" s="1" t="s">
        <v>66</v>
      </c>
      <c r="E524" s="15">
        <f t="shared" si="2"/>
        <v>149.75</v>
      </c>
      <c r="F524" s="15">
        <f t="shared" si="3"/>
        <v>2.495833333</v>
      </c>
      <c r="G524" s="1">
        <v>60.0</v>
      </c>
      <c r="H524" s="1">
        <v>6.0</v>
      </c>
      <c r="I524" s="1">
        <v>10.0</v>
      </c>
      <c r="J524" s="1">
        <v>16.0</v>
      </c>
      <c r="K524" s="1">
        <v>94.0</v>
      </c>
      <c r="L524" s="1">
        <v>1.0</v>
      </c>
      <c r="M524" s="1">
        <v>2.0</v>
      </c>
      <c r="N524" s="1">
        <v>0.0</v>
      </c>
      <c r="O524" s="1">
        <v>0.0</v>
      </c>
      <c r="P524" s="1">
        <v>49.0</v>
      </c>
      <c r="Q524" s="1">
        <v>67.0</v>
      </c>
      <c r="T524" s="12"/>
    </row>
    <row r="525">
      <c r="A525" s="2">
        <f t="shared" si="1"/>
        <v>523</v>
      </c>
      <c r="B525" s="1" t="s">
        <v>1539</v>
      </c>
      <c r="C525" s="1" t="s">
        <v>1080</v>
      </c>
      <c r="D525" s="1" t="s">
        <v>5</v>
      </c>
      <c r="E525" s="15">
        <f t="shared" si="2"/>
        <v>149.4</v>
      </c>
      <c r="F525" s="15">
        <f t="shared" si="3"/>
        <v>3.643902439</v>
      </c>
      <c r="G525" s="1">
        <v>41.0</v>
      </c>
      <c r="M525" s="12"/>
      <c r="Q525" s="12"/>
      <c r="R525" s="1">
        <v>16.0</v>
      </c>
      <c r="S525" s="1">
        <v>127.0</v>
      </c>
      <c r="T525" s="1">
        <v>953.0</v>
      </c>
      <c r="U525" s="1">
        <v>2.0</v>
      </c>
    </row>
    <row r="526">
      <c r="A526" s="2">
        <f t="shared" si="1"/>
        <v>524</v>
      </c>
      <c r="B526" s="1" t="s">
        <v>1274</v>
      </c>
      <c r="C526" s="1" t="s">
        <v>1111</v>
      </c>
      <c r="D526" s="1" t="s">
        <v>5</v>
      </c>
      <c r="E526" s="15">
        <f t="shared" si="2"/>
        <v>148.8</v>
      </c>
      <c r="F526" s="15">
        <f t="shared" si="3"/>
        <v>5.511111111</v>
      </c>
      <c r="G526" s="1">
        <v>27.0</v>
      </c>
      <c r="Q526" s="12"/>
      <c r="R526" s="1">
        <v>6.0</v>
      </c>
      <c r="S526" s="1">
        <v>89.0</v>
      </c>
      <c r="T526" s="1">
        <v>871.0</v>
      </c>
      <c r="U526" s="1">
        <v>1.0</v>
      </c>
    </row>
    <row r="527">
      <c r="A527" s="2">
        <f t="shared" si="1"/>
        <v>525</v>
      </c>
      <c r="B527" s="1" t="s">
        <v>2019</v>
      </c>
      <c r="C527" s="1" t="s">
        <v>1065</v>
      </c>
      <c r="D527" s="1" t="s">
        <v>28</v>
      </c>
      <c r="E527" s="15">
        <f t="shared" si="2"/>
        <v>148.75</v>
      </c>
      <c r="F527" s="15">
        <f t="shared" si="3"/>
        <v>2.32421875</v>
      </c>
      <c r="G527" s="1">
        <v>64.0</v>
      </c>
      <c r="H527" s="1">
        <v>9.0</v>
      </c>
      <c r="I527" s="1">
        <v>10.0</v>
      </c>
      <c r="J527" s="1">
        <v>19.0</v>
      </c>
      <c r="K527" s="1">
        <v>89.0</v>
      </c>
      <c r="L527" s="1">
        <v>0.0</v>
      </c>
      <c r="M527" s="1">
        <v>2.0</v>
      </c>
      <c r="N527" s="1">
        <v>0.0</v>
      </c>
      <c r="O527" s="1">
        <v>0.0</v>
      </c>
      <c r="P527" s="1">
        <v>81.0</v>
      </c>
      <c r="Q527" s="1">
        <v>27.0</v>
      </c>
    </row>
    <row r="528">
      <c r="A528" s="2">
        <f t="shared" si="1"/>
        <v>526</v>
      </c>
      <c r="B528" s="1" t="s">
        <v>1535</v>
      </c>
      <c r="C528" s="1" t="s">
        <v>1076</v>
      </c>
      <c r="D528" s="1" t="s">
        <v>66</v>
      </c>
      <c r="E528" s="15">
        <f t="shared" si="2"/>
        <v>147</v>
      </c>
      <c r="F528" s="15">
        <f t="shared" si="3"/>
        <v>2.296875</v>
      </c>
      <c r="G528" s="1">
        <v>64.0</v>
      </c>
      <c r="H528" s="1">
        <v>4.0</v>
      </c>
      <c r="I528" s="1">
        <v>14.0</v>
      </c>
      <c r="J528" s="1">
        <v>18.0</v>
      </c>
      <c r="K528" s="1">
        <v>67.0</v>
      </c>
      <c r="L528" s="1">
        <v>0.0</v>
      </c>
      <c r="M528" s="1">
        <v>0.0</v>
      </c>
      <c r="N528" s="1">
        <v>0.0</v>
      </c>
      <c r="O528" s="1">
        <v>1.0</v>
      </c>
      <c r="P528" s="1">
        <v>44.0</v>
      </c>
      <c r="Q528" s="1">
        <v>81.0</v>
      </c>
    </row>
    <row r="529">
      <c r="A529" s="2">
        <f t="shared" si="1"/>
        <v>527</v>
      </c>
      <c r="B529" s="1" t="s">
        <v>1629</v>
      </c>
      <c r="C529" s="1" t="s">
        <v>1097</v>
      </c>
      <c r="D529" s="1" t="s">
        <v>66</v>
      </c>
      <c r="E529" s="15">
        <f t="shared" si="2"/>
        <v>146.75</v>
      </c>
      <c r="F529" s="15">
        <f t="shared" si="3"/>
        <v>2.87745098</v>
      </c>
      <c r="G529" s="1">
        <v>51.0</v>
      </c>
      <c r="H529" s="1">
        <v>5.0</v>
      </c>
      <c r="I529" s="1">
        <v>8.0</v>
      </c>
      <c r="J529" s="1">
        <v>13.0</v>
      </c>
      <c r="K529" s="1">
        <v>75.0</v>
      </c>
      <c r="L529" s="1">
        <v>2.0</v>
      </c>
      <c r="M529" s="1">
        <v>1.0</v>
      </c>
      <c r="N529" s="1">
        <v>0.0</v>
      </c>
      <c r="O529" s="1">
        <v>0.0</v>
      </c>
      <c r="P529" s="1">
        <v>159.0</v>
      </c>
      <c r="Q529" s="1">
        <v>46.0</v>
      </c>
    </row>
    <row r="530">
      <c r="A530" s="2">
        <f t="shared" si="1"/>
        <v>527</v>
      </c>
      <c r="B530" s="1" t="s">
        <v>1856</v>
      </c>
      <c r="C530" s="1" t="s">
        <v>1054</v>
      </c>
      <c r="D530" s="1" t="s">
        <v>31</v>
      </c>
      <c r="E530" s="15">
        <f t="shared" si="2"/>
        <v>146.75</v>
      </c>
      <c r="F530" s="15">
        <f t="shared" si="3"/>
        <v>2.487288136</v>
      </c>
      <c r="G530" s="1">
        <v>59.0</v>
      </c>
      <c r="H530" s="1">
        <v>7.0</v>
      </c>
      <c r="I530" s="1">
        <v>10.0</v>
      </c>
      <c r="J530" s="1">
        <v>17.0</v>
      </c>
      <c r="K530" s="1">
        <v>92.0</v>
      </c>
      <c r="L530" s="1">
        <v>0.0</v>
      </c>
      <c r="M530" s="1">
        <v>0.0</v>
      </c>
      <c r="N530" s="1">
        <v>0.0</v>
      </c>
      <c r="O530" s="1">
        <v>2.0</v>
      </c>
      <c r="P530" s="1">
        <v>87.0</v>
      </c>
      <c r="Q530" s="1">
        <v>27.0</v>
      </c>
    </row>
    <row r="531">
      <c r="A531" s="2">
        <f t="shared" si="1"/>
        <v>529</v>
      </c>
      <c r="B531" s="1" t="s">
        <v>1531</v>
      </c>
      <c r="C531" s="1" t="s">
        <v>1080</v>
      </c>
      <c r="D531" s="1" t="s">
        <v>66</v>
      </c>
      <c r="E531" s="15">
        <f t="shared" si="2"/>
        <v>146.5</v>
      </c>
      <c r="F531" s="15">
        <f t="shared" si="3"/>
        <v>2.483050847</v>
      </c>
      <c r="G531" s="1">
        <v>59.0</v>
      </c>
      <c r="H531" s="1">
        <v>5.0</v>
      </c>
      <c r="I531" s="1">
        <v>7.0</v>
      </c>
      <c r="J531" s="1">
        <v>12.0</v>
      </c>
      <c r="K531" s="1">
        <v>64.0</v>
      </c>
      <c r="L531" s="1">
        <v>0.0</v>
      </c>
      <c r="M531" s="1">
        <v>0.0</v>
      </c>
      <c r="N531" s="1">
        <v>0.0</v>
      </c>
      <c r="O531" s="1">
        <v>0.0</v>
      </c>
      <c r="P531" s="1">
        <v>90.0</v>
      </c>
      <c r="Q531" s="1">
        <v>97.0</v>
      </c>
    </row>
    <row r="532">
      <c r="A532" s="2">
        <f t="shared" si="1"/>
        <v>530</v>
      </c>
      <c r="B532" s="1" t="s">
        <v>1470</v>
      </c>
      <c r="C532" s="1" t="s">
        <v>1067</v>
      </c>
      <c r="D532" s="1" t="s">
        <v>66</v>
      </c>
      <c r="E532" s="15">
        <f t="shared" si="2"/>
        <v>146.25</v>
      </c>
      <c r="F532" s="15">
        <f t="shared" si="3"/>
        <v>2.150735294</v>
      </c>
      <c r="G532" s="1">
        <v>68.0</v>
      </c>
      <c r="H532" s="1">
        <v>2.0</v>
      </c>
      <c r="I532" s="1">
        <v>12.0</v>
      </c>
      <c r="J532" s="1">
        <v>14.0</v>
      </c>
      <c r="K532" s="1">
        <v>41.0</v>
      </c>
      <c r="L532" s="1">
        <v>0.0</v>
      </c>
      <c r="M532" s="1">
        <v>0.0</v>
      </c>
      <c r="N532" s="1">
        <v>1.0</v>
      </c>
      <c r="O532" s="1">
        <v>1.0</v>
      </c>
      <c r="P532" s="1">
        <v>99.0</v>
      </c>
      <c r="Q532" s="1">
        <v>104.0</v>
      </c>
    </row>
    <row r="533">
      <c r="A533" s="2">
        <f t="shared" si="1"/>
        <v>531</v>
      </c>
      <c r="B533" s="1" t="s">
        <v>2097</v>
      </c>
      <c r="C533" s="1" t="s">
        <v>1570</v>
      </c>
      <c r="D533" s="1" t="s">
        <v>5</v>
      </c>
      <c r="E533" s="15">
        <f t="shared" si="2"/>
        <v>146.1</v>
      </c>
      <c r="F533" s="15">
        <f t="shared" si="3"/>
        <v>5.619230769</v>
      </c>
      <c r="G533" s="1">
        <v>26.0</v>
      </c>
      <c r="Q533" s="12"/>
      <c r="R533" s="1">
        <v>11.0</v>
      </c>
      <c r="S533" s="1">
        <v>76.0</v>
      </c>
      <c r="T533" s="1">
        <v>747.0</v>
      </c>
      <c r="U533" s="1">
        <v>1.0</v>
      </c>
    </row>
    <row r="534">
      <c r="A534" s="2">
        <f t="shared" si="1"/>
        <v>532</v>
      </c>
      <c r="B534" s="1" t="s">
        <v>1646</v>
      </c>
      <c r="C534" s="1" t="s">
        <v>1067</v>
      </c>
      <c r="D534" s="1" t="s">
        <v>66</v>
      </c>
      <c r="E534" s="15">
        <f t="shared" si="2"/>
        <v>145.25</v>
      </c>
      <c r="F534" s="15">
        <f t="shared" si="3"/>
        <v>2.640909091</v>
      </c>
      <c r="G534" s="1">
        <v>55.0</v>
      </c>
      <c r="H534" s="1">
        <v>2.0</v>
      </c>
      <c r="I534" s="1">
        <v>8.0</v>
      </c>
      <c r="J534" s="1">
        <v>10.0</v>
      </c>
      <c r="K534" s="1">
        <v>76.0</v>
      </c>
      <c r="L534" s="1">
        <v>0.0</v>
      </c>
      <c r="M534" s="1">
        <v>0.0</v>
      </c>
      <c r="N534" s="1">
        <v>0.0</v>
      </c>
      <c r="O534" s="1">
        <v>1.0</v>
      </c>
      <c r="P534" s="1">
        <v>107.0</v>
      </c>
      <c r="Q534" s="1">
        <v>91.0</v>
      </c>
    </row>
    <row r="535">
      <c r="A535" s="2">
        <f t="shared" si="1"/>
        <v>533</v>
      </c>
      <c r="B535" s="1" t="s">
        <v>1880</v>
      </c>
      <c r="C535" s="1" t="s">
        <v>1097</v>
      </c>
      <c r="D535" s="1" t="s">
        <v>36</v>
      </c>
      <c r="E535" s="15">
        <f t="shared" si="2"/>
        <v>143.75</v>
      </c>
      <c r="F535" s="15">
        <f t="shared" si="3"/>
        <v>2.178030303</v>
      </c>
      <c r="G535" s="1">
        <v>66.0</v>
      </c>
      <c r="H535" s="1">
        <v>7.0</v>
      </c>
      <c r="I535" s="1">
        <v>10.0</v>
      </c>
      <c r="J535" s="1">
        <v>17.0</v>
      </c>
      <c r="K535" s="1">
        <v>116.0</v>
      </c>
      <c r="L535" s="1">
        <v>1.0</v>
      </c>
      <c r="M535" s="1">
        <v>2.0</v>
      </c>
      <c r="N535" s="1">
        <v>0.0</v>
      </c>
      <c r="O535" s="1">
        <v>0.0</v>
      </c>
      <c r="P535" s="1">
        <v>43.0</v>
      </c>
      <c r="Q535" s="1">
        <v>27.0</v>
      </c>
    </row>
    <row r="536">
      <c r="A536" s="2">
        <f t="shared" si="1"/>
        <v>533</v>
      </c>
      <c r="B536" s="1" t="s">
        <v>2098</v>
      </c>
      <c r="C536" s="1" t="s">
        <v>1044</v>
      </c>
      <c r="D536" s="1" t="s">
        <v>66</v>
      </c>
      <c r="E536" s="15">
        <f t="shared" si="2"/>
        <v>143.75</v>
      </c>
      <c r="F536" s="15">
        <f t="shared" si="3"/>
        <v>2.211538462</v>
      </c>
      <c r="G536" s="1">
        <v>65.0</v>
      </c>
      <c r="H536" s="1">
        <v>2.0</v>
      </c>
      <c r="I536" s="1">
        <v>14.0</v>
      </c>
      <c r="J536" s="1">
        <v>16.0</v>
      </c>
      <c r="K536" s="1">
        <v>73.0</v>
      </c>
      <c r="L536" s="1">
        <v>0.0</v>
      </c>
      <c r="M536" s="1">
        <v>0.0</v>
      </c>
      <c r="N536" s="1">
        <v>0.0</v>
      </c>
      <c r="O536" s="1">
        <v>1.0</v>
      </c>
      <c r="P536" s="1">
        <v>79.0</v>
      </c>
      <c r="Q536" s="1">
        <v>69.0</v>
      </c>
    </row>
    <row r="537">
      <c r="A537" s="2">
        <f t="shared" si="1"/>
        <v>535</v>
      </c>
      <c r="B537" s="1" t="s">
        <v>1329</v>
      </c>
      <c r="C537" s="1" t="s">
        <v>1097</v>
      </c>
      <c r="D537" s="1" t="s">
        <v>66</v>
      </c>
      <c r="E537" s="15">
        <f t="shared" si="2"/>
        <v>143.5</v>
      </c>
      <c r="F537" s="15">
        <f t="shared" si="3"/>
        <v>3.261363636</v>
      </c>
      <c r="G537" s="1">
        <v>44.0</v>
      </c>
      <c r="H537" s="1">
        <v>4.0</v>
      </c>
      <c r="I537" s="1">
        <v>14.0</v>
      </c>
      <c r="J537" s="1">
        <v>18.0</v>
      </c>
      <c r="K537" s="1">
        <v>48.0</v>
      </c>
      <c r="L537" s="1">
        <v>0.0</v>
      </c>
      <c r="M537" s="1">
        <v>0.0</v>
      </c>
      <c r="N537" s="1">
        <v>0.0</v>
      </c>
      <c r="O537" s="1">
        <v>0.0</v>
      </c>
      <c r="P537" s="1">
        <v>84.0</v>
      </c>
      <c r="Q537" s="1">
        <v>77.0</v>
      </c>
    </row>
    <row r="538">
      <c r="A538" s="2">
        <f t="shared" si="1"/>
        <v>536</v>
      </c>
      <c r="B538" s="1" t="s">
        <v>1256</v>
      </c>
      <c r="C538" s="1" t="s">
        <v>1097</v>
      </c>
      <c r="D538" s="1" t="s">
        <v>31</v>
      </c>
      <c r="E538" s="15">
        <f t="shared" si="2"/>
        <v>143.25</v>
      </c>
      <c r="F538" s="15">
        <f t="shared" si="3"/>
        <v>2.469827586</v>
      </c>
      <c r="G538" s="1">
        <v>58.0</v>
      </c>
      <c r="H538" s="1">
        <v>2.0</v>
      </c>
      <c r="I538" s="1">
        <v>27.0</v>
      </c>
      <c r="J538" s="1">
        <v>29.0</v>
      </c>
      <c r="K538" s="1">
        <v>69.0</v>
      </c>
      <c r="L538" s="1">
        <v>0.0</v>
      </c>
      <c r="M538" s="1">
        <v>9.0</v>
      </c>
      <c r="N538" s="1">
        <v>0.0</v>
      </c>
      <c r="O538" s="1">
        <v>0.0</v>
      </c>
      <c r="P538" s="1">
        <v>29.0</v>
      </c>
      <c r="Q538" s="1">
        <v>23.0</v>
      </c>
    </row>
    <row r="539">
      <c r="A539" s="2">
        <f t="shared" si="1"/>
        <v>536</v>
      </c>
      <c r="B539" s="1" t="s">
        <v>2099</v>
      </c>
      <c r="C539" s="1" t="s">
        <v>1052</v>
      </c>
      <c r="D539" s="1" t="s">
        <v>36</v>
      </c>
      <c r="E539" s="15">
        <f t="shared" si="2"/>
        <v>143.25</v>
      </c>
      <c r="F539" s="15">
        <f t="shared" si="3"/>
        <v>2.310483871</v>
      </c>
      <c r="G539" s="1">
        <v>62.0</v>
      </c>
      <c r="H539" s="1">
        <v>6.0</v>
      </c>
      <c r="I539" s="1">
        <v>6.0</v>
      </c>
      <c r="J539" s="1">
        <v>12.0</v>
      </c>
      <c r="K539" s="1">
        <v>71.0</v>
      </c>
      <c r="L539" s="1">
        <v>0.0</v>
      </c>
      <c r="M539" s="1">
        <v>0.0</v>
      </c>
      <c r="N539" s="1">
        <v>0.0</v>
      </c>
      <c r="O539" s="1">
        <v>0.0</v>
      </c>
      <c r="P539" s="1">
        <v>195.0</v>
      </c>
      <c r="Q539" s="1">
        <v>28.0</v>
      </c>
    </row>
    <row r="540">
      <c r="A540" s="2">
        <f t="shared" si="1"/>
        <v>536</v>
      </c>
      <c r="B540" s="1" t="s">
        <v>1453</v>
      </c>
      <c r="C540" s="1" t="s">
        <v>1032</v>
      </c>
      <c r="D540" s="1" t="s">
        <v>66</v>
      </c>
      <c r="E540" s="15">
        <f t="shared" si="2"/>
        <v>143.25</v>
      </c>
      <c r="F540" s="15">
        <f t="shared" si="3"/>
        <v>2.469827586</v>
      </c>
      <c r="G540" s="1">
        <v>58.0</v>
      </c>
      <c r="H540" s="1">
        <v>2.0</v>
      </c>
      <c r="I540" s="1">
        <v>12.0</v>
      </c>
      <c r="J540" s="1">
        <v>14.0</v>
      </c>
      <c r="K540" s="1">
        <v>58.0</v>
      </c>
      <c r="L540" s="1">
        <v>0.0</v>
      </c>
      <c r="M540" s="1">
        <v>0.0</v>
      </c>
      <c r="N540" s="1">
        <v>0.0</v>
      </c>
      <c r="O540" s="1">
        <v>1.0</v>
      </c>
      <c r="P540" s="1">
        <v>47.0</v>
      </c>
      <c r="Q540" s="1">
        <v>111.0</v>
      </c>
    </row>
    <row r="541">
      <c r="A541" s="2">
        <f t="shared" si="1"/>
        <v>539</v>
      </c>
      <c r="B541" s="1" t="s">
        <v>1750</v>
      </c>
      <c r="C541" s="1" t="s">
        <v>1156</v>
      </c>
      <c r="D541" s="1" t="s">
        <v>66</v>
      </c>
      <c r="E541" s="15">
        <f t="shared" si="2"/>
        <v>142.75</v>
      </c>
      <c r="F541" s="15">
        <f t="shared" si="3"/>
        <v>3.10326087</v>
      </c>
      <c r="G541" s="1">
        <v>46.0</v>
      </c>
      <c r="H541" s="1">
        <v>5.0</v>
      </c>
      <c r="I541" s="1">
        <v>19.0</v>
      </c>
      <c r="J541" s="1">
        <v>24.0</v>
      </c>
      <c r="K541" s="1">
        <v>68.0</v>
      </c>
      <c r="L541" s="1">
        <v>0.0</v>
      </c>
      <c r="M541" s="1">
        <v>9.0</v>
      </c>
      <c r="N541" s="1">
        <v>0.0</v>
      </c>
      <c r="O541" s="1">
        <v>0.0</v>
      </c>
      <c r="P541" s="1">
        <v>23.0</v>
      </c>
      <c r="Q541" s="1">
        <v>47.0</v>
      </c>
    </row>
    <row r="542">
      <c r="A542" s="2">
        <f t="shared" si="1"/>
        <v>539</v>
      </c>
      <c r="B542" s="1" t="s">
        <v>1830</v>
      </c>
      <c r="C542" s="1" t="s">
        <v>1046</v>
      </c>
      <c r="D542" s="1" t="s">
        <v>66</v>
      </c>
      <c r="E542" s="15">
        <f t="shared" si="2"/>
        <v>142.75</v>
      </c>
      <c r="F542" s="15">
        <f t="shared" si="3"/>
        <v>2.340163934</v>
      </c>
      <c r="G542" s="1">
        <v>61.0</v>
      </c>
      <c r="H542" s="1">
        <v>3.0</v>
      </c>
      <c r="I542" s="1">
        <v>13.0</v>
      </c>
      <c r="J542" s="1">
        <v>16.0</v>
      </c>
      <c r="K542" s="1">
        <v>75.0</v>
      </c>
      <c r="L542" s="1">
        <v>0.0</v>
      </c>
      <c r="M542" s="1">
        <v>0.0</v>
      </c>
      <c r="N542" s="1">
        <v>0.0</v>
      </c>
      <c r="O542" s="1">
        <v>1.0</v>
      </c>
      <c r="P542" s="1">
        <v>39.0</v>
      </c>
      <c r="Q542" s="1">
        <v>82.0</v>
      </c>
    </row>
    <row r="543">
      <c r="A543" s="2">
        <f t="shared" si="1"/>
        <v>541</v>
      </c>
      <c r="B543" s="1" t="s">
        <v>2100</v>
      </c>
      <c r="C543" s="1" t="s">
        <v>1078</v>
      </c>
      <c r="D543" s="1" t="s">
        <v>66</v>
      </c>
      <c r="E543" s="15">
        <f t="shared" si="2"/>
        <v>142.5</v>
      </c>
      <c r="F543" s="15">
        <f t="shared" si="3"/>
        <v>2.2265625</v>
      </c>
      <c r="G543" s="1">
        <v>64.0</v>
      </c>
      <c r="H543" s="1">
        <v>2.0</v>
      </c>
      <c r="I543" s="1">
        <v>9.0</v>
      </c>
      <c r="J543" s="1">
        <v>11.0</v>
      </c>
      <c r="K543" s="1">
        <v>56.0</v>
      </c>
      <c r="L543" s="1">
        <v>0.0</v>
      </c>
      <c r="M543" s="1">
        <v>0.0</v>
      </c>
      <c r="N543" s="1">
        <v>0.0</v>
      </c>
      <c r="O543" s="1">
        <v>0.0</v>
      </c>
      <c r="P543" s="1">
        <v>106.0</v>
      </c>
      <c r="Q543" s="1">
        <v>104.0</v>
      </c>
    </row>
    <row r="544">
      <c r="A544" s="2">
        <f t="shared" si="1"/>
        <v>542</v>
      </c>
      <c r="B544" s="1" t="s">
        <v>2101</v>
      </c>
      <c r="C544" s="1" t="s">
        <v>1087</v>
      </c>
      <c r="D544" s="1" t="s">
        <v>28</v>
      </c>
      <c r="E544" s="15">
        <f t="shared" si="2"/>
        <v>141.25</v>
      </c>
      <c r="F544" s="15">
        <f t="shared" si="3"/>
        <v>2.20703125</v>
      </c>
      <c r="G544" s="1">
        <v>64.0</v>
      </c>
      <c r="H544" s="1">
        <v>8.0</v>
      </c>
      <c r="I544" s="1">
        <v>17.0</v>
      </c>
      <c r="J544" s="1">
        <v>25.0</v>
      </c>
      <c r="K544" s="1">
        <v>72.0</v>
      </c>
      <c r="L544" s="1">
        <v>0.0</v>
      </c>
      <c r="M544" s="1">
        <v>3.0</v>
      </c>
      <c r="N544" s="1">
        <v>0.0</v>
      </c>
      <c r="O544" s="1">
        <v>0.0</v>
      </c>
      <c r="P544" s="1">
        <v>11.0</v>
      </c>
      <c r="Q544" s="1">
        <v>31.0</v>
      </c>
    </row>
    <row r="545">
      <c r="A545" s="2">
        <f t="shared" si="1"/>
        <v>542</v>
      </c>
      <c r="B545" s="1" t="s">
        <v>1371</v>
      </c>
      <c r="C545" s="1" t="s">
        <v>1040</v>
      </c>
      <c r="D545" s="1" t="s">
        <v>66</v>
      </c>
      <c r="E545" s="15">
        <f t="shared" si="2"/>
        <v>141.25</v>
      </c>
      <c r="F545" s="15">
        <f t="shared" si="3"/>
        <v>1.74382716</v>
      </c>
      <c r="G545" s="1">
        <v>81.0</v>
      </c>
      <c r="H545" s="1">
        <v>1.0</v>
      </c>
      <c r="I545" s="1">
        <v>5.0</v>
      </c>
      <c r="J545" s="1">
        <v>6.0</v>
      </c>
      <c r="K545" s="1">
        <v>62.0</v>
      </c>
      <c r="L545" s="1">
        <v>0.0</v>
      </c>
      <c r="M545" s="1">
        <v>0.0</v>
      </c>
      <c r="N545" s="1">
        <v>0.0</v>
      </c>
      <c r="O545" s="1">
        <v>0.0</v>
      </c>
      <c r="P545" s="1">
        <v>151.0</v>
      </c>
      <c r="Q545" s="1">
        <v>106.0</v>
      </c>
      <c r="T545" s="12"/>
    </row>
    <row r="546">
      <c r="A546" s="2">
        <f t="shared" si="1"/>
        <v>544</v>
      </c>
      <c r="B546" s="1" t="s">
        <v>2102</v>
      </c>
      <c r="C546" s="1" t="s">
        <v>1172</v>
      </c>
      <c r="D546" s="1" t="s">
        <v>5</v>
      </c>
      <c r="E546" s="15">
        <f t="shared" si="2"/>
        <v>141</v>
      </c>
      <c r="F546" s="15">
        <f t="shared" si="3"/>
        <v>5.222222222</v>
      </c>
      <c r="G546" s="1">
        <v>27.0</v>
      </c>
      <c r="Q546" s="12"/>
      <c r="R546" s="1">
        <v>9.0</v>
      </c>
      <c r="S546" s="1">
        <v>74.0</v>
      </c>
      <c r="T546" s="1">
        <v>730.0</v>
      </c>
      <c r="U546" s="1">
        <v>2.0</v>
      </c>
    </row>
    <row r="547">
      <c r="A547" s="2">
        <f t="shared" si="1"/>
        <v>545</v>
      </c>
      <c r="B547" s="1" t="s">
        <v>1251</v>
      </c>
      <c r="C547" s="1" t="s">
        <v>1082</v>
      </c>
      <c r="D547" s="1" t="s">
        <v>5</v>
      </c>
      <c r="E547" s="15">
        <f t="shared" si="2"/>
        <v>140.1</v>
      </c>
      <c r="F547" s="15">
        <f t="shared" si="3"/>
        <v>4.519354839</v>
      </c>
      <c r="G547" s="1">
        <v>31.0</v>
      </c>
      <c r="Q547" s="12"/>
      <c r="R547" s="1">
        <v>13.0</v>
      </c>
      <c r="S547" s="1">
        <v>86.0</v>
      </c>
      <c r="T547" s="1">
        <v>767.0</v>
      </c>
      <c r="U547" s="1">
        <v>0.0</v>
      </c>
    </row>
    <row r="548">
      <c r="A548" s="2">
        <f t="shared" si="1"/>
        <v>545</v>
      </c>
      <c r="B548" s="1" t="s">
        <v>1938</v>
      </c>
      <c r="C548" s="1" t="s">
        <v>1032</v>
      </c>
      <c r="D548" s="1" t="s">
        <v>5</v>
      </c>
      <c r="E548" s="15">
        <f t="shared" si="2"/>
        <v>140.1</v>
      </c>
      <c r="F548" s="15">
        <f t="shared" si="3"/>
        <v>5.388461538</v>
      </c>
      <c r="G548" s="1">
        <v>26.0</v>
      </c>
      <c r="Q548" s="12"/>
      <c r="R548" s="1">
        <v>14.0</v>
      </c>
      <c r="S548" s="1">
        <v>74.0</v>
      </c>
      <c r="T548" s="1">
        <v>687.0</v>
      </c>
      <c r="U548" s="1">
        <v>1.0</v>
      </c>
    </row>
    <row r="549">
      <c r="A549" s="2">
        <f t="shared" si="1"/>
        <v>545</v>
      </c>
      <c r="B549" s="1" t="s">
        <v>1638</v>
      </c>
      <c r="C549" s="1" t="s">
        <v>1044</v>
      </c>
      <c r="D549" s="1" t="s">
        <v>5</v>
      </c>
      <c r="E549" s="15">
        <f t="shared" si="2"/>
        <v>140.1</v>
      </c>
      <c r="F549" s="15">
        <f t="shared" si="3"/>
        <v>5.003571429</v>
      </c>
      <c r="G549" s="1">
        <v>28.0</v>
      </c>
      <c r="Q549" s="12"/>
      <c r="R549" s="1">
        <v>11.0</v>
      </c>
      <c r="S549" s="1">
        <v>80.0</v>
      </c>
      <c r="T549" s="1">
        <v>737.0</v>
      </c>
      <c r="U549" s="1">
        <v>2.0</v>
      </c>
    </row>
    <row r="550">
      <c r="A550" s="2">
        <f t="shared" si="1"/>
        <v>548</v>
      </c>
      <c r="B550" s="1" t="s">
        <v>1439</v>
      </c>
      <c r="C550" s="1" t="s">
        <v>1080</v>
      </c>
      <c r="D550" s="1" t="s">
        <v>31</v>
      </c>
      <c r="E550" s="15">
        <f t="shared" si="2"/>
        <v>139.75</v>
      </c>
      <c r="F550" s="15">
        <f t="shared" si="3"/>
        <v>2.218253968</v>
      </c>
      <c r="G550" s="1">
        <v>63.0</v>
      </c>
      <c r="H550" s="1">
        <v>4.0</v>
      </c>
      <c r="I550" s="1">
        <v>12.0</v>
      </c>
      <c r="J550" s="1">
        <v>16.0</v>
      </c>
      <c r="K550" s="1">
        <v>85.0</v>
      </c>
      <c r="L550" s="1">
        <v>0.0</v>
      </c>
      <c r="M550" s="1">
        <v>0.0</v>
      </c>
      <c r="N550" s="1">
        <v>0.0</v>
      </c>
      <c r="O550" s="1">
        <v>1.0</v>
      </c>
      <c r="P550" s="1">
        <v>71.0</v>
      </c>
      <c r="Q550" s="1">
        <v>47.0</v>
      </c>
      <c r="T550" s="12"/>
    </row>
    <row r="551">
      <c r="A551" s="2">
        <f t="shared" si="1"/>
        <v>549</v>
      </c>
      <c r="B551" s="1" t="s">
        <v>1634</v>
      </c>
      <c r="C551" s="1" t="s">
        <v>1156</v>
      </c>
      <c r="D551" s="1" t="s">
        <v>31</v>
      </c>
      <c r="E551" s="15">
        <f t="shared" si="2"/>
        <v>138.5</v>
      </c>
      <c r="F551" s="15">
        <f t="shared" si="3"/>
        <v>2.518181818</v>
      </c>
      <c r="G551" s="1">
        <v>55.0</v>
      </c>
      <c r="H551" s="1">
        <v>7.0</v>
      </c>
      <c r="I551" s="1">
        <v>15.0</v>
      </c>
      <c r="J551" s="1">
        <v>22.0</v>
      </c>
      <c r="K551" s="1">
        <v>95.0</v>
      </c>
      <c r="L551" s="1">
        <v>3.0</v>
      </c>
      <c r="M551" s="1">
        <v>3.0</v>
      </c>
      <c r="N551" s="1">
        <v>0.0</v>
      </c>
      <c r="O551" s="1">
        <v>0.0</v>
      </c>
      <c r="P551" s="1">
        <v>16.0</v>
      </c>
      <c r="Q551" s="1">
        <v>21.0</v>
      </c>
    </row>
    <row r="552">
      <c r="A552" s="2">
        <f t="shared" si="1"/>
        <v>550</v>
      </c>
      <c r="B552" s="1" t="s">
        <v>1366</v>
      </c>
      <c r="C552" s="1" t="s">
        <v>1067</v>
      </c>
      <c r="D552" s="1" t="s">
        <v>28</v>
      </c>
      <c r="E552" s="15">
        <f t="shared" si="2"/>
        <v>137.75</v>
      </c>
      <c r="F552" s="15">
        <f t="shared" si="3"/>
        <v>2.221774194</v>
      </c>
      <c r="G552" s="1">
        <v>62.0</v>
      </c>
      <c r="H552" s="1">
        <v>6.0</v>
      </c>
      <c r="I552" s="1">
        <v>5.0</v>
      </c>
      <c r="J552" s="1">
        <v>11.0</v>
      </c>
      <c r="K552" s="1">
        <v>99.0</v>
      </c>
      <c r="L552" s="1">
        <v>0.0</v>
      </c>
      <c r="M552" s="1">
        <v>0.0</v>
      </c>
      <c r="N552" s="1">
        <v>0.0</v>
      </c>
      <c r="O552" s="1">
        <v>0.0</v>
      </c>
      <c r="P552" s="1">
        <v>107.0</v>
      </c>
      <c r="Q552" s="1">
        <v>39.0</v>
      </c>
    </row>
    <row r="553">
      <c r="A553" s="2">
        <f t="shared" si="1"/>
        <v>551</v>
      </c>
      <c r="B553" s="1" t="s">
        <v>1511</v>
      </c>
      <c r="C553" s="1" t="s">
        <v>1087</v>
      </c>
      <c r="D553" s="1" t="s">
        <v>5</v>
      </c>
      <c r="E553" s="15">
        <f t="shared" si="2"/>
        <v>137.7</v>
      </c>
      <c r="F553" s="15">
        <f t="shared" si="3"/>
        <v>5.986956522</v>
      </c>
      <c r="G553" s="1">
        <v>23.0</v>
      </c>
      <c r="Q553" s="12"/>
      <c r="R553" s="1">
        <v>11.0</v>
      </c>
      <c r="S553" s="1">
        <v>60.0</v>
      </c>
      <c r="T553" s="1">
        <v>629.0</v>
      </c>
      <c r="U553" s="1">
        <v>2.0</v>
      </c>
    </row>
    <row r="554">
      <c r="A554" s="2">
        <f t="shared" si="1"/>
        <v>552</v>
      </c>
      <c r="B554" s="1" t="s">
        <v>1696</v>
      </c>
      <c r="C554" s="1" t="s">
        <v>1054</v>
      </c>
      <c r="D554" s="1" t="s">
        <v>36</v>
      </c>
      <c r="E554" s="15">
        <f t="shared" si="2"/>
        <v>137.5</v>
      </c>
      <c r="F554" s="15">
        <f t="shared" si="3"/>
        <v>1.883561644</v>
      </c>
      <c r="G554" s="1">
        <v>73.0</v>
      </c>
      <c r="H554" s="1">
        <v>5.0</v>
      </c>
      <c r="I554" s="1">
        <v>10.0</v>
      </c>
      <c r="J554" s="1">
        <v>15.0</v>
      </c>
      <c r="K554" s="1">
        <v>48.0</v>
      </c>
      <c r="L554" s="1">
        <v>0.0</v>
      </c>
      <c r="M554" s="1">
        <v>0.0</v>
      </c>
      <c r="N554" s="1">
        <v>0.0</v>
      </c>
      <c r="O554" s="1">
        <v>0.0</v>
      </c>
      <c r="P554" s="1">
        <v>196.0</v>
      </c>
      <c r="Q554" s="1">
        <v>24.0</v>
      </c>
    </row>
    <row r="555">
      <c r="A555" s="2">
        <f t="shared" si="1"/>
        <v>553</v>
      </c>
      <c r="B555" s="1" t="s">
        <v>1643</v>
      </c>
      <c r="C555" s="1" t="s">
        <v>1044</v>
      </c>
      <c r="D555" s="1" t="s">
        <v>31</v>
      </c>
      <c r="E555" s="15">
        <f t="shared" si="2"/>
        <v>137</v>
      </c>
      <c r="F555" s="15">
        <f t="shared" si="3"/>
        <v>2.107692308</v>
      </c>
      <c r="G555" s="1">
        <v>65.0</v>
      </c>
      <c r="H555" s="1">
        <v>7.0</v>
      </c>
      <c r="I555" s="1">
        <v>4.0</v>
      </c>
      <c r="J555" s="1">
        <v>11.0</v>
      </c>
      <c r="K555" s="1">
        <v>73.0</v>
      </c>
      <c r="L555" s="1">
        <v>0.0</v>
      </c>
      <c r="M555" s="1">
        <v>0.0</v>
      </c>
      <c r="N555" s="1">
        <v>0.0</v>
      </c>
      <c r="O555" s="1">
        <v>0.0</v>
      </c>
      <c r="P555" s="1">
        <v>154.0</v>
      </c>
      <c r="Q555" s="1">
        <v>37.0</v>
      </c>
    </row>
    <row r="556">
      <c r="A556" s="2">
        <f t="shared" si="1"/>
        <v>553</v>
      </c>
      <c r="B556" s="1" t="s">
        <v>1748</v>
      </c>
      <c r="C556" s="1" t="s">
        <v>1038</v>
      </c>
      <c r="D556" s="1" t="s">
        <v>66</v>
      </c>
      <c r="E556" s="15">
        <f t="shared" si="2"/>
        <v>137</v>
      </c>
      <c r="F556" s="15">
        <f t="shared" si="3"/>
        <v>2.537037037</v>
      </c>
      <c r="G556" s="1">
        <v>54.0</v>
      </c>
      <c r="H556" s="1">
        <v>5.0</v>
      </c>
      <c r="I556" s="1">
        <v>7.0</v>
      </c>
      <c r="J556" s="1">
        <v>12.0</v>
      </c>
      <c r="K556" s="1">
        <v>38.0</v>
      </c>
      <c r="L556" s="1">
        <v>0.0</v>
      </c>
      <c r="M556" s="1">
        <v>0.0</v>
      </c>
      <c r="N556" s="1">
        <v>2.0</v>
      </c>
      <c r="O556" s="1">
        <v>0.0</v>
      </c>
      <c r="P556" s="1">
        <v>106.0</v>
      </c>
      <c r="Q556" s="1">
        <v>88.0</v>
      </c>
    </row>
    <row r="557">
      <c r="A557" s="2">
        <f t="shared" si="1"/>
        <v>555</v>
      </c>
      <c r="B557" s="1" t="s">
        <v>1919</v>
      </c>
      <c r="C557" s="1" t="s">
        <v>1044</v>
      </c>
      <c r="D557" s="1" t="s">
        <v>31</v>
      </c>
      <c r="E557" s="15">
        <f t="shared" si="2"/>
        <v>136.75</v>
      </c>
      <c r="F557" s="15">
        <f t="shared" si="3"/>
        <v>2.241803279</v>
      </c>
      <c r="G557" s="1">
        <v>61.0</v>
      </c>
      <c r="H557" s="1">
        <v>4.0</v>
      </c>
      <c r="I557" s="1">
        <v>8.0</v>
      </c>
      <c r="J557" s="1">
        <v>12.0</v>
      </c>
      <c r="K557" s="1">
        <v>60.0</v>
      </c>
      <c r="L557" s="1">
        <v>0.0</v>
      </c>
      <c r="M557" s="1">
        <v>0.0</v>
      </c>
      <c r="N557" s="1">
        <v>1.0</v>
      </c>
      <c r="O557" s="1">
        <v>0.0</v>
      </c>
      <c r="P557" s="1">
        <v>167.0</v>
      </c>
      <c r="Q557" s="1">
        <v>42.0</v>
      </c>
    </row>
    <row r="558">
      <c r="A558" s="2">
        <f t="shared" si="1"/>
        <v>556</v>
      </c>
      <c r="B558" s="1" t="s">
        <v>1693</v>
      </c>
      <c r="C558" s="1" t="s">
        <v>1042</v>
      </c>
      <c r="D558" s="1" t="s">
        <v>28</v>
      </c>
      <c r="E558" s="15">
        <f t="shared" si="2"/>
        <v>136.5</v>
      </c>
      <c r="F558" s="15">
        <f t="shared" si="3"/>
        <v>3.033333333</v>
      </c>
      <c r="G558" s="1">
        <v>45.0</v>
      </c>
      <c r="H558" s="1">
        <v>6.0</v>
      </c>
      <c r="I558" s="1">
        <v>19.0</v>
      </c>
      <c r="J558" s="1">
        <v>25.0</v>
      </c>
      <c r="K558" s="1">
        <v>49.0</v>
      </c>
      <c r="L558" s="1">
        <v>1.0</v>
      </c>
      <c r="M558" s="1">
        <v>7.0</v>
      </c>
      <c r="N558" s="1">
        <v>0.0</v>
      </c>
      <c r="O558" s="1">
        <v>0.0</v>
      </c>
      <c r="P558" s="1">
        <v>76.0</v>
      </c>
      <c r="Q558" s="1">
        <v>18.0</v>
      </c>
    </row>
    <row r="559">
      <c r="A559" s="2">
        <f t="shared" si="1"/>
        <v>557</v>
      </c>
      <c r="B559" s="1" t="s">
        <v>1545</v>
      </c>
      <c r="C559" s="1" t="s">
        <v>1082</v>
      </c>
      <c r="D559" s="1" t="s">
        <v>36</v>
      </c>
      <c r="E559" s="15">
        <f t="shared" si="2"/>
        <v>136</v>
      </c>
      <c r="F559" s="15">
        <f t="shared" si="3"/>
        <v>2.125</v>
      </c>
      <c r="G559" s="1">
        <v>64.0</v>
      </c>
      <c r="H559" s="1">
        <v>9.0</v>
      </c>
      <c r="I559" s="1">
        <v>7.0</v>
      </c>
      <c r="J559" s="1">
        <v>16.0</v>
      </c>
      <c r="K559" s="1">
        <v>104.0</v>
      </c>
      <c r="L559" s="1">
        <v>0.0</v>
      </c>
      <c r="M559" s="1">
        <v>1.0</v>
      </c>
      <c r="N559" s="1">
        <v>0.0</v>
      </c>
      <c r="O559" s="1">
        <v>0.0</v>
      </c>
      <c r="P559" s="1">
        <v>48.0</v>
      </c>
      <c r="Q559" s="1">
        <v>21.0</v>
      </c>
    </row>
    <row r="560">
      <c r="A560" s="2">
        <f t="shared" si="1"/>
        <v>558</v>
      </c>
      <c r="B560" s="1" t="s">
        <v>1804</v>
      </c>
      <c r="C560" s="1" t="s">
        <v>1038</v>
      </c>
      <c r="D560" s="1" t="s">
        <v>28</v>
      </c>
      <c r="E560" s="15">
        <f t="shared" si="2"/>
        <v>135.75</v>
      </c>
      <c r="F560" s="15">
        <f t="shared" si="3"/>
        <v>2.056818182</v>
      </c>
      <c r="G560" s="1">
        <v>66.0</v>
      </c>
      <c r="H560" s="1">
        <v>7.0</v>
      </c>
      <c r="I560" s="1">
        <v>11.0</v>
      </c>
      <c r="J560" s="1">
        <v>18.0</v>
      </c>
      <c r="K560" s="1">
        <v>69.0</v>
      </c>
      <c r="L560" s="1">
        <v>0.0</v>
      </c>
      <c r="M560" s="1">
        <v>0.0</v>
      </c>
      <c r="N560" s="1">
        <v>2.0</v>
      </c>
      <c r="O560" s="1">
        <v>0.0</v>
      </c>
      <c r="P560" s="1">
        <v>69.0</v>
      </c>
      <c r="Q560" s="1">
        <v>31.0</v>
      </c>
    </row>
    <row r="561">
      <c r="A561" s="2">
        <f t="shared" si="1"/>
        <v>559</v>
      </c>
      <c r="B561" s="1" t="s">
        <v>1683</v>
      </c>
      <c r="C561" s="1" t="s">
        <v>1076</v>
      </c>
      <c r="D561" s="1" t="s">
        <v>31</v>
      </c>
      <c r="E561" s="15">
        <f t="shared" si="2"/>
        <v>134</v>
      </c>
      <c r="F561" s="15">
        <f t="shared" si="3"/>
        <v>1.914285714</v>
      </c>
      <c r="G561" s="1">
        <v>70.0</v>
      </c>
      <c r="H561" s="1">
        <v>10.0</v>
      </c>
      <c r="I561" s="1">
        <v>11.0</v>
      </c>
      <c r="J561" s="1">
        <v>21.0</v>
      </c>
      <c r="K561" s="1">
        <v>67.0</v>
      </c>
      <c r="L561" s="1">
        <v>0.0</v>
      </c>
      <c r="M561" s="1">
        <v>0.0</v>
      </c>
      <c r="N561" s="1">
        <v>0.0</v>
      </c>
      <c r="O561" s="1">
        <v>0.0</v>
      </c>
      <c r="P561" s="1">
        <v>50.0</v>
      </c>
      <c r="Q561" s="1">
        <v>20.0</v>
      </c>
    </row>
    <row r="562">
      <c r="A562" s="2">
        <f t="shared" si="1"/>
        <v>559</v>
      </c>
      <c r="B562" s="1" t="s">
        <v>2103</v>
      </c>
      <c r="C562" s="1" t="s">
        <v>1111</v>
      </c>
      <c r="D562" s="1" t="s">
        <v>66</v>
      </c>
      <c r="E562" s="15">
        <f t="shared" si="2"/>
        <v>134</v>
      </c>
      <c r="F562" s="15">
        <f t="shared" si="3"/>
        <v>1.786666667</v>
      </c>
      <c r="G562" s="1">
        <v>75.0</v>
      </c>
      <c r="H562" s="1">
        <v>0.0</v>
      </c>
      <c r="I562" s="1">
        <v>5.0</v>
      </c>
      <c r="J562" s="1">
        <v>5.0</v>
      </c>
      <c r="K562" s="1">
        <v>62.0</v>
      </c>
      <c r="L562" s="1">
        <v>0.0</v>
      </c>
      <c r="M562" s="1">
        <v>0.0</v>
      </c>
      <c r="N562" s="1">
        <v>0.0</v>
      </c>
      <c r="O562" s="1">
        <v>0.0</v>
      </c>
      <c r="P562" s="1">
        <v>116.0</v>
      </c>
      <c r="Q562" s="1">
        <v>118.0</v>
      </c>
    </row>
    <row r="563">
      <c r="A563" s="2">
        <f t="shared" si="1"/>
        <v>561</v>
      </c>
      <c r="B563" s="1" t="s">
        <v>2104</v>
      </c>
      <c r="C563" s="1" t="s">
        <v>1073</v>
      </c>
      <c r="D563" s="1" t="s">
        <v>31</v>
      </c>
      <c r="E563" s="15">
        <f t="shared" si="2"/>
        <v>133.75</v>
      </c>
      <c r="F563" s="15">
        <f t="shared" si="3"/>
        <v>1.832191781</v>
      </c>
      <c r="G563" s="1">
        <v>73.0</v>
      </c>
      <c r="H563" s="1">
        <v>9.0</v>
      </c>
      <c r="I563" s="1">
        <v>13.0</v>
      </c>
      <c r="J563" s="1">
        <v>22.0</v>
      </c>
      <c r="K563" s="1">
        <v>80.0</v>
      </c>
      <c r="L563" s="1">
        <v>2.0</v>
      </c>
      <c r="M563" s="1">
        <v>2.0</v>
      </c>
      <c r="N563" s="1">
        <v>0.0</v>
      </c>
      <c r="O563" s="1">
        <v>0.0</v>
      </c>
      <c r="P563" s="1">
        <v>21.0</v>
      </c>
      <c r="Q563" s="1">
        <v>18.0</v>
      </c>
    </row>
    <row r="564">
      <c r="A564" s="2">
        <f t="shared" si="1"/>
        <v>562</v>
      </c>
      <c r="B564" s="1" t="s">
        <v>1392</v>
      </c>
      <c r="C564" s="1" t="s">
        <v>1073</v>
      </c>
      <c r="D564" s="1" t="s">
        <v>5</v>
      </c>
      <c r="E564" s="15">
        <f t="shared" si="2"/>
        <v>133.5</v>
      </c>
      <c r="F564" s="15">
        <f t="shared" si="3"/>
        <v>5.5625</v>
      </c>
      <c r="G564" s="1">
        <v>24.0</v>
      </c>
      <c r="Q564" s="12"/>
      <c r="R564" s="1">
        <v>12.0</v>
      </c>
      <c r="S564" s="1">
        <v>57.0</v>
      </c>
      <c r="T564" s="1">
        <v>570.0</v>
      </c>
      <c r="U564" s="1">
        <v>4.0</v>
      </c>
    </row>
    <row r="565">
      <c r="A565" s="2">
        <f t="shared" si="1"/>
        <v>563</v>
      </c>
      <c r="B565" s="1" t="s">
        <v>1401</v>
      </c>
      <c r="C565" s="1" t="s">
        <v>1087</v>
      </c>
      <c r="D565" s="1" t="s">
        <v>36</v>
      </c>
      <c r="E565" s="15">
        <f t="shared" si="2"/>
        <v>132</v>
      </c>
      <c r="F565" s="15">
        <f t="shared" si="3"/>
        <v>2.693877551</v>
      </c>
      <c r="G565" s="1">
        <v>49.0</v>
      </c>
      <c r="H565" s="1">
        <v>6.0</v>
      </c>
      <c r="I565" s="1">
        <v>6.0</v>
      </c>
      <c r="J565" s="1">
        <v>12.0</v>
      </c>
      <c r="K565" s="1">
        <v>44.0</v>
      </c>
      <c r="L565" s="1">
        <v>0.0</v>
      </c>
      <c r="M565" s="1">
        <v>0.0</v>
      </c>
      <c r="N565" s="1">
        <v>0.0</v>
      </c>
      <c r="O565" s="1">
        <v>0.0</v>
      </c>
      <c r="P565" s="1">
        <v>194.0</v>
      </c>
      <c r="Q565" s="1">
        <v>33.0</v>
      </c>
    </row>
    <row r="566">
      <c r="A566" s="2">
        <f t="shared" si="1"/>
        <v>564</v>
      </c>
      <c r="B566" s="1" t="s">
        <v>1567</v>
      </c>
      <c r="C566" s="1" t="s">
        <v>1175</v>
      </c>
      <c r="D566" s="1" t="s">
        <v>5</v>
      </c>
      <c r="E566" s="15">
        <f t="shared" si="2"/>
        <v>131.7</v>
      </c>
      <c r="F566" s="15">
        <f t="shared" si="3"/>
        <v>3.559459459</v>
      </c>
      <c r="G566" s="1">
        <v>37.0</v>
      </c>
      <c r="M566" s="12"/>
      <c r="Q566" s="12"/>
      <c r="R566" s="1">
        <v>9.0</v>
      </c>
      <c r="S566" s="1">
        <v>135.0</v>
      </c>
      <c r="T566" s="12">
        <v>1014.0</v>
      </c>
      <c r="U566" s="1">
        <v>1.0</v>
      </c>
    </row>
    <row r="567">
      <c r="A567" s="2">
        <f t="shared" si="1"/>
        <v>565</v>
      </c>
      <c r="B567" s="1" t="s">
        <v>1258</v>
      </c>
      <c r="C567" s="1" t="s">
        <v>1091</v>
      </c>
      <c r="D567" s="1" t="s">
        <v>66</v>
      </c>
      <c r="E567" s="15">
        <f t="shared" si="2"/>
        <v>131.5</v>
      </c>
      <c r="F567" s="15">
        <f t="shared" si="3"/>
        <v>2.435185185</v>
      </c>
      <c r="G567" s="1">
        <v>54.0</v>
      </c>
      <c r="H567" s="1">
        <v>2.0</v>
      </c>
      <c r="I567" s="1">
        <v>18.0</v>
      </c>
      <c r="J567" s="1">
        <v>20.0</v>
      </c>
      <c r="K567" s="1">
        <v>42.0</v>
      </c>
      <c r="L567" s="1">
        <v>0.0</v>
      </c>
      <c r="M567" s="1">
        <v>3.0</v>
      </c>
      <c r="N567" s="1">
        <v>0.0</v>
      </c>
      <c r="O567" s="1">
        <v>1.0</v>
      </c>
      <c r="P567" s="1">
        <v>44.0</v>
      </c>
      <c r="Q567" s="1">
        <v>69.0</v>
      </c>
    </row>
    <row r="568">
      <c r="A568" s="2">
        <f t="shared" si="1"/>
        <v>565</v>
      </c>
      <c r="B568" s="1" t="s">
        <v>1339</v>
      </c>
      <c r="C568" s="1" t="s">
        <v>1044</v>
      </c>
      <c r="D568" s="1" t="s">
        <v>36</v>
      </c>
      <c r="E568" s="15">
        <f t="shared" si="2"/>
        <v>131.5</v>
      </c>
      <c r="F568" s="15">
        <f t="shared" si="3"/>
        <v>2.348214286</v>
      </c>
      <c r="G568" s="1">
        <v>56.0</v>
      </c>
      <c r="H568" s="1">
        <v>3.0</v>
      </c>
      <c r="I568" s="1">
        <v>15.0</v>
      </c>
      <c r="J568" s="1">
        <v>18.0</v>
      </c>
      <c r="K568" s="1">
        <v>66.0</v>
      </c>
      <c r="L568" s="1">
        <v>1.0</v>
      </c>
      <c r="M568" s="1">
        <v>2.0</v>
      </c>
      <c r="N568" s="1">
        <v>2.0</v>
      </c>
      <c r="O568" s="1">
        <v>1.0</v>
      </c>
      <c r="P568" s="1">
        <v>80.0</v>
      </c>
      <c r="Q568" s="1">
        <v>28.0</v>
      </c>
    </row>
    <row r="569">
      <c r="A569" s="2">
        <f t="shared" si="1"/>
        <v>567</v>
      </c>
      <c r="B569" s="1" t="s">
        <v>2105</v>
      </c>
      <c r="C569" s="1" t="s">
        <v>1069</v>
      </c>
      <c r="D569" s="1" t="s">
        <v>66</v>
      </c>
      <c r="E569" s="15">
        <f t="shared" si="2"/>
        <v>131</v>
      </c>
      <c r="F569" s="15">
        <f t="shared" si="3"/>
        <v>2.729166667</v>
      </c>
      <c r="G569" s="1">
        <v>48.0</v>
      </c>
      <c r="H569" s="1">
        <v>6.0</v>
      </c>
      <c r="I569" s="1">
        <v>5.0</v>
      </c>
      <c r="J569" s="1">
        <v>11.0</v>
      </c>
      <c r="K569" s="1">
        <v>92.0</v>
      </c>
      <c r="L569" s="1">
        <v>0.0</v>
      </c>
      <c r="M569" s="1">
        <v>2.0</v>
      </c>
      <c r="N569" s="1">
        <v>0.0</v>
      </c>
      <c r="O569" s="1">
        <v>0.0</v>
      </c>
      <c r="P569" s="1">
        <v>54.0</v>
      </c>
      <c r="Q569" s="1">
        <v>59.0</v>
      </c>
    </row>
    <row r="570">
      <c r="A570" s="2">
        <f t="shared" si="1"/>
        <v>567</v>
      </c>
      <c r="B570" s="1" t="s">
        <v>1493</v>
      </c>
      <c r="C570" s="1" t="s">
        <v>1054</v>
      </c>
      <c r="D570" s="1" t="s">
        <v>28</v>
      </c>
      <c r="E570" s="15">
        <f t="shared" si="2"/>
        <v>131</v>
      </c>
      <c r="F570" s="15">
        <f t="shared" si="3"/>
        <v>2.568627451</v>
      </c>
      <c r="G570" s="1">
        <v>51.0</v>
      </c>
      <c r="H570" s="1">
        <v>9.0</v>
      </c>
      <c r="I570" s="1">
        <v>1.0</v>
      </c>
      <c r="J570" s="1">
        <v>10.0</v>
      </c>
      <c r="K570" s="1">
        <v>80.0</v>
      </c>
      <c r="L570" s="1">
        <v>0.0</v>
      </c>
      <c r="M570" s="1">
        <v>0.0</v>
      </c>
      <c r="N570" s="1">
        <v>1.0</v>
      </c>
      <c r="O570" s="1">
        <v>0.0</v>
      </c>
      <c r="P570" s="1">
        <v>146.0</v>
      </c>
      <c r="Q570" s="1">
        <v>18.0</v>
      </c>
      <c r="T570" s="12"/>
    </row>
    <row r="571">
      <c r="A571" s="2">
        <f t="shared" si="1"/>
        <v>569</v>
      </c>
      <c r="B571" s="1" t="s">
        <v>1663</v>
      </c>
      <c r="C571" s="1" t="s">
        <v>1034</v>
      </c>
      <c r="D571" s="1" t="s">
        <v>28</v>
      </c>
      <c r="E571" s="15">
        <f t="shared" si="2"/>
        <v>129.5</v>
      </c>
      <c r="F571" s="15">
        <f t="shared" si="3"/>
        <v>1.61875</v>
      </c>
      <c r="G571" s="1">
        <v>80.0</v>
      </c>
      <c r="H571" s="1">
        <v>5.0</v>
      </c>
      <c r="I571" s="1">
        <v>9.0</v>
      </c>
      <c r="J571" s="1">
        <v>14.0</v>
      </c>
      <c r="K571" s="1">
        <v>62.0</v>
      </c>
      <c r="L571" s="1">
        <v>0.0</v>
      </c>
      <c r="M571" s="1">
        <v>1.0</v>
      </c>
      <c r="N571" s="1">
        <v>0.0</v>
      </c>
      <c r="O571" s="1">
        <v>0.0</v>
      </c>
      <c r="P571" s="1">
        <v>172.0</v>
      </c>
      <c r="Q571" s="1">
        <v>12.0</v>
      </c>
    </row>
    <row r="572">
      <c r="A572" s="2">
        <f t="shared" si="1"/>
        <v>569</v>
      </c>
      <c r="B572" s="1" t="s">
        <v>2052</v>
      </c>
      <c r="C572" s="1" t="s">
        <v>1172</v>
      </c>
      <c r="D572" s="1" t="s">
        <v>31</v>
      </c>
      <c r="E572" s="15">
        <f t="shared" si="2"/>
        <v>129.5</v>
      </c>
      <c r="F572" s="15">
        <f t="shared" si="3"/>
        <v>2.539215686</v>
      </c>
      <c r="G572" s="1">
        <v>51.0</v>
      </c>
      <c r="H572" s="1">
        <v>6.0</v>
      </c>
      <c r="I572" s="1">
        <v>8.0</v>
      </c>
      <c r="J572" s="1">
        <v>14.0</v>
      </c>
      <c r="K572" s="1">
        <v>59.0</v>
      </c>
      <c r="L572" s="1">
        <v>1.0</v>
      </c>
      <c r="M572" s="1">
        <v>1.0</v>
      </c>
      <c r="N572" s="1">
        <v>1.0</v>
      </c>
      <c r="O572" s="1">
        <v>0.0</v>
      </c>
      <c r="P572" s="1">
        <v>108.0</v>
      </c>
      <c r="Q572" s="1">
        <v>40.0</v>
      </c>
      <c r="T572" s="12"/>
    </row>
    <row r="573">
      <c r="A573" s="2">
        <f t="shared" si="1"/>
        <v>571</v>
      </c>
      <c r="B573" s="1" t="s">
        <v>1625</v>
      </c>
      <c r="C573" s="1" t="s">
        <v>1076</v>
      </c>
      <c r="D573" s="1" t="s">
        <v>36</v>
      </c>
      <c r="E573" s="15">
        <f t="shared" si="2"/>
        <v>128.75</v>
      </c>
      <c r="F573" s="15">
        <f t="shared" si="3"/>
        <v>2.994186047</v>
      </c>
      <c r="G573" s="1">
        <v>43.0</v>
      </c>
      <c r="H573" s="1">
        <v>6.0</v>
      </c>
      <c r="I573" s="1">
        <v>9.0</v>
      </c>
      <c r="J573" s="1">
        <v>15.0</v>
      </c>
      <c r="K573" s="1">
        <v>62.0</v>
      </c>
      <c r="L573" s="1">
        <v>0.0</v>
      </c>
      <c r="M573" s="1">
        <v>0.0</v>
      </c>
      <c r="N573" s="1">
        <v>0.0</v>
      </c>
      <c r="O573" s="1">
        <v>0.0</v>
      </c>
      <c r="P573" s="1">
        <v>99.0</v>
      </c>
      <c r="Q573" s="1">
        <v>38.0</v>
      </c>
    </row>
    <row r="574">
      <c r="A574" s="2">
        <f t="shared" si="1"/>
        <v>571</v>
      </c>
      <c r="B574" s="1" t="s">
        <v>1221</v>
      </c>
      <c r="C574" s="1" t="s">
        <v>1078</v>
      </c>
      <c r="D574" s="1" t="s">
        <v>31</v>
      </c>
      <c r="E574" s="15">
        <f t="shared" si="2"/>
        <v>128.75</v>
      </c>
      <c r="F574" s="15">
        <f t="shared" si="3"/>
        <v>2.429245283</v>
      </c>
      <c r="G574" s="1">
        <v>53.0</v>
      </c>
      <c r="H574" s="1">
        <v>3.0</v>
      </c>
      <c r="I574" s="1">
        <v>19.0</v>
      </c>
      <c r="J574" s="1">
        <v>22.0</v>
      </c>
      <c r="K574" s="1">
        <v>74.0</v>
      </c>
      <c r="L574" s="1">
        <v>1.0</v>
      </c>
      <c r="M574" s="1">
        <v>0.0</v>
      </c>
      <c r="N574" s="1">
        <v>0.0</v>
      </c>
      <c r="O574" s="1">
        <v>0.0</v>
      </c>
      <c r="P574" s="1">
        <v>53.0</v>
      </c>
      <c r="Q574" s="1">
        <v>16.0</v>
      </c>
    </row>
    <row r="575">
      <c r="A575" s="2">
        <f t="shared" si="1"/>
        <v>573</v>
      </c>
      <c r="B575" s="1" t="s">
        <v>1288</v>
      </c>
      <c r="C575" s="1" t="s">
        <v>1156</v>
      </c>
      <c r="D575" s="1" t="s">
        <v>31</v>
      </c>
      <c r="E575" s="15">
        <f t="shared" si="2"/>
        <v>128.25</v>
      </c>
      <c r="F575" s="15">
        <f t="shared" si="3"/>
        <v>2.00390625</v>
      </c>
      <c r="G575" s="1">
        <v>64.0</v>
      </c>
      <c r="H575" s="1">
        <v>3.0</v>
      </c>
      <c r="I575" s="1">
        <v>8.0</v>
      </c>
      <c r="J575" s="1">
        <v>11.0</v>
      </c>
      <c r="K575" s="1">
        <v>93.0</v>
      </c>
      <c r="L575" s="1">
        <v>2.0</v>
      </c>
      <c r="M575" s="1">
        <v>1.0</v>
      </c>
      <c r="N575" s="1">
        <v>0.0</v>
      </c>
      <c r="O575" s="1">
        <v>0.0</v>
      </c>
      <c r="P575" s="1">
        <v>105.0</v>
      </c>
      <c r="Q575" s="1">
        <v>36.0</v>
      </c>
    </row>
    <row r="576">
      <c r="A576" s="2">
        <f t="shared" si="1"/>
        <v>574</v>
      </c>
      <c r="B576" s="1" t="s">
        <v>1467</v>
      </c>
      <c r="C576" s="1" t="s">
        <v>1067</v>
      </c>
      <c r="D576" s="1" t="s">
        <v>66</v>
      </c>
      <c r="E576" s="15">
        <f t="shared" si="2"/>
        <v>127.75</v>
      </c>
      <c r="F576" s="15">
        <f t="shared" si="3"/>
        <v>2.129166667</v>
      </c>
      <c r="G576" s="1">
        <v>60.0</v>
      </c>
      <c r="H576" s="1">
        <v>3.0</v>
      </c>
      <c r="I576" s="1">
        <v>10.0</v>
      </c>
      <c r="J576" s="1">
        <v>13.0</v>
      </c>
      <c r="K576" s="1">
        <v>79.0</v>
      </c>
      <c r="L576" s="1">
        <v>0.0</v>
      </c>
      <c r="M576" s="1">
        <v>0.0</v>
      </c>
      <c r="N576" s="1">
        <v>0.0</v>
      </c>
      <c r="O576" s="1">
        <v>0.0</v>
      </c>
      <c r="P576" s="1">
        <v>63.0</v>
      </c>
      <c r="Q576" s="1">
        <v>58.0</v>
      </c>
    </row>
    <row r="577">
      <c r="A577" s="2">
        <f t="shared" si="1"/>
        <v>575</v>
      </c>
      <c r="B577" s="1" t="s">
        <v>1958</v>
      </c>
      <c r="C577" s="1" t="s">
        <v>1106</v>
      </c>
      <c r="D577" s="1" t="s">
        <v>66</v>
      </c>
      <c r="E577" s="15">
        <f t="shared" si="2"/>
        <v>126.5</v>
      </c>
      <c r="F577" s="15">
        <f t="shared" si="3"/>
        <v>2.581632653</v>
      </c>
      <c r="G577" s="1">
        <v>49.0</v>
      </c>
      <c r="H577" s="1">
        <v>8.0</v>
      </c>
      <c r="I577" s="1">
        <v>10.0</v>
      </c>
      <c r="J577" s="1">
        <v>18.0</v>
      </c>
      <c r="K577" s="1">
        <v>62.0</v>
      </c>
      <c r="L577" s="1">
        <v>0.0</v>
      </c>
      <c r="M577" s="1">
        <v>0.0</v>
      </c>
      <c r="N577" s="1">
        <v>0.0</v>
      </c>
      <c r="O577" s="1">
        <v>0.0</v>
      </c>
      <c r="P577" s="1">
        <v>16.0</v>
      </c>
      <c r="Q577" s="1">
        <v>51.0</v>
      </c>
    </row>
    <row r="578">
      <c r="A578" s="2">
        <f t="shared" si="1"/>
        <v>576</v>
      </c>
      <c r="B578" s="1" t="s">
        <v>1784</v>
      </c>
      <c r="C578" s="1" t="s">
        <v>1106</v>
      </c>
      <c r="D578" s="1" t="s">
        <v>31</v>
      </c>
      <c r="E578" s="15">
        <f t="shared" si="2"/>
        <v>125.75</v>
      </c>
      <c r="F578" s="15">
        <f t="shared" si="3"/>
        <v>2.06147541</v>
      </c>
      <c r="G578" s="1">
        <v>61.0</v>
      </c>
      <c r="H578" s="1">
        <v>7.0</v>
      </c>
      <c r="I578" s="1">
        <v>9.0</v>
      </c>
      <c r="J578" s="1">
        <v>16.0</v>
      </c>
      <c r="K578" s="1">
        <v>54.0</v>
      </c>
      <c r="L578" s="1">
        <v>0.0</v>
      </c>
      <c r="M578" s="1">
        <v>0.0</v>
      </c>
      <c r="N578" s="1">
        <v>0.0</v>
      </c>
      <c r="O578" s="1">
        <v>0.0</v>
      </c>
      <c r="P578" s="1">
        <v>103.0</v>
      </c>
      <c r="Q578" s="1">
        <v>29.0</v>
      </c>
    </row>
    <row r="579">
      <c r="A579" s="2">
        <f t="shared" si="1"/>
        <v>576</v>
      </c>
      <c r="B579" s="1" t="s">
        <v>1703</v>
      </c>
      <c r="C579" s="1" t="s">
        <v>1054</v>
      </c>
      <c r="D579" s="1" t="s">
        <v>66</v>
      </c>
      <c r="E579" s="15">
        <f t="shared" si="2"/>
        <v>125.75</v>
      </c>
      <c r="F579" s="15">
        <f t="shared" si="3"/>
        <v>1.72260274</v>
      </c>
      <c r="G579" s="1">
        <v>73.0</v>
      </c>
      <c r="H579" s="1">
        <v>2.0</v>
      </c>
      <c r="I579" s="1">
        <v>10.0</v>
      </c>
      <c r="J579" s="1">
        <v>12.0</v>
      </c>
      <c r="K579" s="1">
        <v>43.0</v>
      </c>
      <c r="L579" s="1">
        <v>0.0</v>
      </c>
      <c r="M579" s="1">
        <v>0.0</v>
      </c>
      <c r="N579" s="1">
        <v>0.0</v>
      </c>
      <c r="O579" s="1">
        <v>0.0</v>
      </c>
      <c r="P579" s="1">
        <v>47.0</v>
      </c>
      <c r="Q579" s="1">
        <v>107.0</v>
      </c>
    </row>
    <row r="580">
      <c r="A580" s="2">
        <f t="shared" si="1"/>
        <v>578</v>
      </c>
      <c r="B580" s="1" t="s">
        <v>1368</v>
      </c>
      <c r="C580" s="1" t="s">
        <v>1052</v>
      </c>
      <c r="D580" s="1" t="s">
        <v>31</v>
      </c>
      <c r="E580" s="15">
        <f t="shared" si="2"/>
        <v>125.25</v>
      </c>
      <c r="F580" s="15">
        <f t="shared" si="3"/>
        <v>2.363207547</v>
      </c>
      <c r="G580" s="1">
        <v>53.0</v>
      </c>
      <c r="H580" s="1">
        <v>7.0</v>
      </c>
      <c r="I580" s="1">
        <v>7.0</v>
      </c>
      <c r="J580" s="1">
        <v>14.0</v>
      </c>
      <c r="K580" s="1">
        <v>64.0</v>
      </c>
      <c r="L580" s="1">
        <v>0.0</v>
      </c>
      <c r="M580" s="1">
        <v>0.0</v>
      </c>
      <c r="N580" s="1">
        <v>2.0</v>
      </c>
      <c r="O580" s="1">
        <v>1.0</v>
      </c>
      <c r="P580" s="1">
        <v>57.0</v>
      </c>
      <c r="Q580" s="1">
        <v>41.0</v>
      </c>
    </row>
    <row r="581">
      <c r="A581" s="2">
        <f t="shared" si="1"/>
        <v>579</v>
      </c>
      <c r="B581" s="1" t="s">
        <v>1414</v>
      </c>
      <c r="C581" s="1" t="s">
        <v>1046</v>
      </c>
      <c r="D581" s="1" t="s">
        <v>66</v>
      </c>
      <c r="E581" s="15">
        <f t="shared" si="2"/>
        <v>124.75</v>
      </c>
      <c r="F581" s="15">
        <f t="shared" si="3"/>
        <v>2.598958333</v>
      </c>
      <c r="G581" s="1">
        <v>48.0</v>
      </c>
      <c r="H581" s="1">
        <v>2.0</v>
      </c>
      <c r="I581" s="1">
        <v>3.0</v>
      </c>
      <c r="J581" s="1">
        <v>5.0</v>
      </c>
      <c r="K581" s="1">
        <v>47.0</v>
      </c>
      <c r="L581" s="1">
        <v>0.0</v>
      </c>
      <c r="M581" s="1">
        <v>0.0</v>
      </c>
      <c r="N581" s="1">
        <v>0.0</v>
      </c>
      <c r="O581" s="1">
        <v>0.0</v>
      </c>
      <c r="P581" s="1">
        <v>165.0</v>
      </c>
      <c r="Q581" s="1">
        <v>84.0</v>
      </c>
    </row>
    <row r="582">
      <c r="A582" s="2">
        <f t="shared" si="1"/>
        <v>579</v>
      </c>
      <c r="B582" s="1" t="s">
        <v>1712</v>
      </c>
      <c r="C582" s="1" t="s">
        <v>1087</v>
      </c>
      <c r="D582" s="1" t="s">
        <v>36</v>
      </c>
      <c r="E582" s="15">
        <f t="shared" si="2"/>
        <v>124.75</v>
      </c>
      <c r="F582" s="15">
        <f t="shared" si="3"/>
        <v>2.545918367</v>
      </c>
      <c r="G582" s="1">
        <v>49.0</v>
      </c>
      <c r="H582" s="1">
        <v>10.0</v>
      </c>
      <c r="I582" s="1">
        <v>9.0</v>
      </c>
      <c r="J582" s="1">
        <v>19.0</v>
      </c>
      <c r="K582" s="1">
        <v>61.0</v>
      </c>
      <c r="L582" s="1">
        <v>0.0</v>
      </c>
      <c r="M582" s="1">
        <v>1.0</v>
      </c>
      <c r="N582" s="1">
        <v>0.0</v>
      </c>
      <c r="O582" s="1">
        <v>0.0</v>
      </c>
      <c r="P582" s="1">
        <v>45.0</v>
      </c>
      <c r="Q582" s="1">
        <v>22.0</v>
      </c>
    </row>
    <row r="583">
      <c r="A583" s="2">
        <f t="shared" si="1"/>
        <v>581</v>
      </c>
      <c r="B583" s="1" t="s">
        <v>2106</v>
      </c>
      <c r="C583" s="1" t="s">
        <v>1156</v>
      </c>
      <c r="D583" s="1" t="s">
        <v>66</v>
      </c>
      <c r="E583" s="15">
        <f t="shared" si="2"/>
        <v>124.5</v>
      </c>
      <c r="F583" s="15">
        <f t="shared" si="3"/>
        <v>2.441176471</v>
      </c>
      <c r="G583" s="1">
        <v>51.0</v>
      </c>
      <c r="H583" s="1">
        <v>2.0</v>
      </c>
      <c r="I583" s="1">
        <v>12.0</v>
      </c>
      <c r="J583" s="1">
        <v>14.0</v>
      </c>
      <c r="K583" s="1">
        <v>61.0</v>
      </c>
      <c r="L583" s="1">
        <v>0.0</v>
      </c>
      <c r="M583" s="1">
        <v>1.0</v>
      </c>
      <c r="N583" s="1">
        <v>0.0</v>
      </c>
      <c r="O583" s="1">
        <v>0.0</v>
      </c>
      <c r="P583" s="1">
        <v>54.0</v>
      </c>
      <c r="Q583" s="1">
        <v>71.0</v>
      </c>
    </row>
    <row r="584">
      <c r="A584" s="2">
        <f t="shared" si="1"/>
        <v>581</v>
      </c>
      <c r="B584" s="1" t="s">
        <v>1836</v>
      </c>
      <c r="C584" s="1" t="s">
        <v>1078</v>
      </c>
      <c r="D584" s="1" t="s">
        <v>31</v>
      </c>
      <c r="E584" s="15">
        <f t="shared" si="2"/>
        <v>124.5</v>
      </c>
      <c r="F584" s="15">
        <f t="shared" si="3"/>
        <v>2.223214286</v>
      </c>
      <c r="G584" s="1">
        <v>56.0</v>
      </c>
      <c r="H584" s="1">
        <v>4.0</v>
      </c>
      <c r="I584" s="1">
        <v>6.0</v>
      </c>
      <c r="J584" s="1">
        <v>10.0</v>
      </c>
      <c r="K584" s="1">
        <v>73.0</v>
      </c>
      <c r="L584" s="1">
        <v>0.0</v>
      </c>
      <c r="M584" s="1">
        <v>0.0</v>
      </c>
      <c r="N584" s="1">
        <v>0.0</v>
      </c>
      <c r="O584" s="1">
        <v>0.0</v>
      </c>
      <c r="P584" s="1">
        <v>150.0</v>
      </c>
      <c r="Q584" s="1">
        <v>29.0</v>
      </c>
    </row>
    <row r="585">
      <c r="A585" s="2">
        <f t="shared" si="1"/>
        <v>583</v>
      </c>
      <c r="B585" s="1" t="s">
        <v>2107</v>
      </c>
      <c r="C585" s="1" t="s">
        <v>1082</v>
      </c>
      <c r="D585" s="1" t="s">
        <v>66</v>
      </c>
      <c r="E585" s="15">
        <f t="shared" si="2"/>
        <v>124.25</v>
      </c>
      <c r="F585" s="15">
        <f t="shared" si="3"/>
        <v>2.036885246</v>
      </c>
      <c r="G585" s="1">
        <v>61.0</v>
      </c>
      <c r="H585" s="1">
        <v>2.0</v>
      </c>
      <c r="I585" s="1">
        <v>3.0</v>
      </c>
      <c r="J585" s="1">
        <v>5.0</v>
      </c>
      <c r="K585" s="1">
        <v>79.0</v>
      </c>
      <c r="L585" s="1">
        <v>0.0</v>
      </c>
      <c r="M585" s="1">
        <v>0.0</v>
      </c>
      <c r="N585" s="1">
        <v>0.0</v>
      </c>
      <c r="O585" s="1">
        <v>0.0</v>
      </c>
      <c r="P585" s="1">
        <v>117.0</v>
      </c>
      <c r="Q585" s="1">
        <v>75.0</v>
      </c>
    </row>
    <row r="586">
      <c r="A586" s="2">
        <f t="shared" si="1"/>
        <v>584</v>
      </c>
      <c r="B586" s="1" t="s">
        <v>1519</v>
      </c>
      <c r="C586" s="1" t="s">
        <v>1116</v>
      </c>
      <c r="D586" s="1" t="s">
        <v>66</v>
      </c>
      <c r="E586" s="15">
        <f t="shared" si="2"/>
        <v>122.75</v>
      </c>
      <c r="F586" s="15">
        <f t="shared" si="3"/>
        <v>1.948412698</v>
      </c>
      <c r="G586" s="1">
        <v>63.0</v>
      </c>
      <c r="H586" s="1">
        <v>2.0</v>
      </c>
      <c r="I586" s="1">
        <v>6.0</v>
      </c>
      <c r="J586" s="1">
        <v>8.0</v>
      </c>
      <c r="K586" s="1">
        <v>49.0</v>
      </c>
      <c r="L586" s="1">
        <v>0.0</v>
      </c>
      <c r="M586" s="1">
        <v>0.0</v>
      </c>
      <c r="N586" s="1">
        <v>0.0</v>
      </c>
      <c r="O586" s="1">
        <v>1.0</v>
      </c>
      <c r="P586" s="1">
        <v>91.0</v>
      </c>
      <c r="Q586" s="1">
        <v>93.0</v>
      </c>
    </row>
    <row r="587">
      <c r="A587" s="2">
        <f t="shared" si="1"/>
        <v>584</v>
      </c>
      <c r="B587" s="1" t="s">
        <v>1711</v>
      </c>
      <c r="C587" s="1" t="s">
        <v>1085</v>
      </c>
      <c r="D587" s="1" t="s">
        <v>36</v>
      </c>
      <c r="E587" s="15">
        <f t="shared" si="2"/>
        <v>122.75</v>
      </c>
      <c r="F587" s="15">
        <f t="shared" si="3"/>
        <v>1.753571429</v>
      </c>
      <c r="G587" s="1">
        <v>70.0</v>
      </c>
      <c r="H587" s="1">
        <v>8.0</v>
      </c>
      <c r="I587" s="1">
        <v>1.0</v>
      </c>
      <c r="J587" s="1">
        <v>9.0</v>
      </c>
      <c r="K587" s="1">
        <v>85.0</v>
      </c>
      <c r="L587" s="1">
        <v>0.0</v>
      </c>
      <c r="M587" s="1">
        <v>0.0</v>
      </c>
      <c r="N587" s="1">
        <v>1.0</v>
      </c>
      <c r="O587" s="1">
        <v>0.0</v>
      </c>
      <c r="P587" s="1">
        <v>117.0</v>
      </c>
      <c r="Q587" s="1">
        <v>20.0</v>
      </c>
    </row>
    <row r="588">
      <c r="A588" s="2">
        <f t="shared" si="1"/>
        <v>586</v>
      </c>
      <c r="B588" s="1" t="s">
        <v>1736</v>
      </c>
      <c r="C588" s="1" t="s">
        <v>1146</v>
      </c>
      <c r="D588" s="1" t="s">
        <v>66</v>
      </c>
      <c r="E588" s="15">
        <f t="shared" si="2"/>
        <v>122</v>
      </c>
      <c r="F588" s="15">
        <f t="shared" si="3"/>
        <v>2.259259259</v>
      </c>
      <c r="G588" s="1">
        <v>54.0</v>
      </c>
      <c r="H588" s="1">
        <v>1.0</v>
      </c>
      <c r="I588" s="1">
        <v>11.0</v>
      </c>
      <c r="J588" s="1">
        <v>12.0</v>
      </c>
      <c r="K588" s="1">
        <v>56.0</v>
      </c>
      <c r="L588" s="1">
        <v>0.0</v>
      </c>
      <c r="M588" s="1">
        <v>0.0</v>
      </c>
      <c r="N588" s="1">
        <v>0.0</v>
      </c>
      <c r="O588" s="1">
        <v>1.0</v>
      </c>
      <c r="P588" s="1">
        <v>86.0</v>
      </c>
      <c r="Q588" s="1">
        <v>66.0</v>
      </c>
    </row>
    <row r="589">
      <c r="A589" s="2">
        <f t="shared" si="1"/>
        <v>587</v>
      </c>
      <c r="B589" s="1" t="s">
        <v>1503</v>
      </c>
      <c r="C589" s="1" t="s">
        <v>1111</v>
      </c>
      <c r="D589" s="1" t="s">
        <v>31</v>
      </c>
      <c r="E589" s="15">
        <f t="shared" si="2"/>
        <v>121.75</v>
      </c>
      <c r="F589" s="15">
        <f t="shared" si="3"/>
        <v>2.174107143</v>
      </c>
      <c r="G589" s="1">
        <v>56.0</v>
      </c>
      <c r="H589" s="1">
        <v>3.0</v>
      </c>
      <c r="I589" s="1">
        <v>8.0</v>
      </c>
      <c r="J589" s="1">
        <v>11.0</v>
      </c>
      <c r="K589" s="1">
        <v>39.0</v>
      </c>
      <c r="L589" s="1">
        <v>0.0</v>
      </c>
      <c r="M589" s="1">
        <v>0.0</v>
      </c>
      <c r="N589" s="1">
        <v>0.0</v>
      </c>
      <c r="O589" s="1">
        <v>0.0</v>
      </c>
      <c r="P589" s="1">
        <v>203.0</v>
      </c>
      <c r="Q589" s="1">
        <v>28.0</v>
      </c>
    </row>
    <row r="590">
      <c r="A590" s="2">
        <f t="shared" si="1"/>
        <v>588</v>
      </c>
      <c r="B590" s="1" t="s">
        <v>2108</v>
      </c>
      <c r="C590" s="1" t="s">
        <v>1175</v>
      </c>
      <c r="D590" s="1" t="s">
        <v>28</v>
      </c>
      <c r="E590" s="15">
        <f t="shared" si="2"/>
        <v>121.5</v>
      </c>
      <c r="F590" s="15">
        <f t="shared" si="3"/>
        <v>2.059322034</v>
      </c>
      <c r="G590" s="1">
        <v>59.0</v>
      </c>
      <c r="H590" s="1">
        <v>8.0</v>
      </c>
      <c r="I590" s="1">
        <v>6.0</v>
      </c>
      <c r="J590" s="1">
        <v>14.0</v>
      </c>
      <c r="K590" s="1">
        <v>64.0</v>
      </c>
      <c r="L590" s="1">
        <v>0.0</v>
      </c>
      <c r="M590" s="1">
        <v>0.0</v>
      </c>
      <c r="N590" s="1">
        <v>0.0</v>
      </c>
      <c r="O590" s="1">
        <v>0.0</v>
      </c>
      <c r="P590" s="1">
        <v>100.0</v>
      </c>
      <c r="Q590" s="1">
        <v>21.0</v>
      </c>
      <c r="T590" s="12"/>
    </row>
    <row r="591">
      <c r="A591" s="2">
        <f t="shared" si="1"/>
        <v>589</v>
      </c>
      <c r="B591" s="1" t="s">
        <v>1367</v>
      </c>
      <c r="C591" s="1" t="s">
        <v>1044</v>
      </c>
      <c r="D591" s="1" t="s">
        <v>66</v>
      </c>
      <c r="E591" s="15">
        <f t="shared" si="2"/>
        <v>121.25</v>
      </c>
      <c r="F591" s="15">
        <f t="shared" si="3"/>
        <v>2.287735849</v>
      </c>
      <c r="G591" s="1">
        <v>53.0</v>
      </c>
      <c r="H591" s="1">
        <v>3.0</v>
      </c>
      <c r="I591" s="1">
        <v>7.0</v>
      </c>
      <c r="J591" s="1">
        <v>10.0</v>
      </c>
      <c r="K591" s="1">
        <v>41.0</v>
      </c>
      <c r="L591" s="1">
        <v>0.0</v>
      </c>
      <c r="M591" s="1">
        <v>0.0</v>
      </c>
      <c r="N591" s="1">
        <v>0.0</v>
      </c>
      <c r="O591" s="1">
        <v>0.0</v>
      </c>
      <c r="P591" s="1">
        <v>131.0</v>
      </c>
      <c r="Q591" s="1">
        <v>67.0</v>
      </c>
      <c r="T591" s="12"/>
    </row>
    <row r="592">
      <c r="A592" s="2">
        <f t="shared" si="1"/>
        <v>590</v>
      </c>
      <c r="B592" s="1" t="s">
        <v>1943</v>
      </c>
      <c r="C592" s="1" t="s">
        <v>1082</v>
      </c>
      <c r="D592" s="1" t="s">
        <v>31</v>
      </c>
      <c r="E592" s="15">
        <f t="shared" si="2"/>
        <v>120.5</v>
      </c>
      <c r="F592" s="15">
        <f t="shared" si="3"/>
        <v>3.08974359</v>
      </c>
      <c r="G592" s="1">
        <v>39.0</v>
      </c>
      <c r="H592" s="1">
        <v>7.0</v>
      </c>
      <c r="I592" s="1">
        <v>14.0</v>
      </c>
      <c r="J592" s="1">
        <v>21.0</v>
      </c>
      <c r="K592" s="1">
        <v>59.0</v>
      </c>
      <c r="L592" s="1">
        <v>6.0</v>
      </c>
      <c r="M592" s="1">
        <v>5.0</v>
      </c>
      <c r="N592" s="1">
        <v>0.0</v>
      </c>
      <c r="O592" s="1">
        <v>0.0</v>
      </c>
      <c r="P592" s="1">
        <v>24.0</v>
      </c>
      <c r="Q592" s="1">
        <v>23.0</v>
      </c>
    </row>
    <row r="593">
      <c r="A593" s="2">
        <f t="shared" si="1"/>
        <v>591</v>
      </c>
      <c r="B593" s="1" t="s">
        <v>1649</v>
      </c>
      <c r="C593" s="1" t="s">
        <v>1172</v>
      </c>
      <c r="D593" s="1" t="s">
        <v>28</v>
      </c>
      <c r="E593" s="15">
        <f t="shared" si="2"/>
        <v>120.25</v>
      </c>
      <c r="F593" s="15">
        <f t="shared" si="3"/>
        <v>2.073275862</v>
      </c>
      <c r="G593" s="1">
        <v>58.0</v>
      </c>
      <c r="H593" s="1">
        <v>5.0</v>
      </c>
      <c r="I593" s="1">
        <v>11.0</v>
      </c>
      <c r="J593" s="1">
        <v>16.0</v>
      </c>
      <c r="K593" s="1">
        <v>68.0</v>
      </c>
      <c r="L593" s="1">
        <v>0.0</v>
      </c>
      <c r="M593" s="1">
        <v>0.0</v>
      </c>
      <c r="N593" s="1">
        <v>0.0</v>
      </c>
      <c r="O593" s="1">
        <v>1.0</v>
      </c>
      <c r="P593" s="1">
        <v>85.0</v>
      </c>
      <c r="Q593" s="1">
        <v>15.0</v>
      </c>
      <c r="T593" s="12"/>
    </row>
    <row r="594">
      <c r="A594" s="2">
        <f t="shared" si="1"/>
        <v>592</v>
      </c>
      <c r="B594" s="1" t="s">
        <v>2109</v>
      </c>
      <c r="C594" s="1" t="s">
        <v>1106</v>
      </c>
      <c r="D594" s="1" t="s">
        <v>28</v>
      </c>
      <c r="E594" s="15">
        <f t="shared" si="2"/>
        <v>119.75</v>
      </c>
      <c r="F594" s="15">
        <f t="shared" si="3"/>
        <v>2.348039216</v>
      </c>
      <c r="G594" s="1">
        <v>51.0</v>
      </c>
      <c r="H594" s="1">
        <v>4.0</v>
      </c>
      <c r="I594" s="1">
        <v>12.0</v>
      </c>
      <c r="J594" s="1">
        <v>16.0</v>
      </c>
      <c r="K594" s="1">
        <v>91.0</v>
      </c>
      <c r="L594" s="1">
        <v>0.0</v>
      </c>
      <c r="M594" s="1">
        <v>0.0</v>
      </c>
      <c r="N594" s="1">
        <v>0.0</v>
      </c>
      <c r="O594" s="1">
        <v>0.0</v>
      </c>
      <c r="P594" s="1">
        <v>55.0</v>
      </c>
      <c r="Q594" s="1">
        <v>13.0</v>
      </c>
    </row>
    <row r="595">
      <c r="A595" s="2">
        <f t="shared" si="1"/>
        <v>593</v>
      </c>
      <c r="B595" s="1" t="s">
        <v>2110</v>
      </c>
      <c r="C595" s="1" t="s">
        <v>1065</v>
      </c>
      <c r="D595" s="1" t="s">
        <v>31</v>
      </c>
      <c r="E595" s="15">
        <f t="shared" si="2"/>
        <v>119.5</v>
      </c>
      <c r="F595" s="15">
        <f t="shared" si="3"/>
        <v>2.597826087</v>
      </c>
      <c r="G595" s="1">
        <v>46.0</v>
      </c>
      <c r="H595" s="1">
        <v>5.0</v>
      </c>
      <c r="I595" s="1">
        <v>13.0</v>
      </c>
      <c r="J595" s="1">
        <v>18.0</v>
      </c>
      <c r="K595" s="1">
        <v>72.0</v>
      </c>
      <c r="L595" s="1">
        <v>0.0</v>
      </c>
      <c r="M595" s="1">
        <v>2.0</v>
      </c>
      <c r="N595" s="1">
        <v>0.0</v>
      </c>
      <c r="O595" s="1">
        <v>0.0</v>
      </c>
      <c r="P595" s="1">
        <v>36.0</v>
      </c>
      <c r="Q595" s="1">
        <v>26.0</v>
      </c>
    </row>
    <row r="596">
      <c r="A596" s="2">
        <f t="shared" si="1"/>
        <v>593</v>
      </c>
      <c r="B596" s="1" t="s">
        <v>2060</v>
      </c>
      <c r="C596" s="1" t="s">
        <v>1175</v>
      </c>
      <c r="D596" s="1" t="s">
        <v>28</v>
      </c>
      <c r="E596" s="15">
        <f t="shared" si="2"/>
        <v>119.5</v>
      </c>
      <c r="F596" s="15">
        <f t="shared" si="3"/>
        <v>1.636986301</v>
      </c>
      <c r="G596" s="1">
        <v>73.0</v>
      </c>
      <c r="H596" s="1">
        <v>6.0</v>
      </c>
      <c r="I596" s="1">
        <v>9.0</v>
      </c>
      <c r="J596" s="1">
        <v>15.0</v>
      </c>
      <c r="K596" s="1">
        <v>75.0</v>
      </c>
      <c r="L596" s="1">
        <v>0.0</v>
      </c>
      <c r="M596" s="1">
        <v>1.0</v>
      </c>
      <c r="N596" s="1">
        <v>0.0</v>
      </c>
      <c r="O596" s="1">
        <v>0.0</v>
      </c>
      <c r="P596" s="1">
        <v>64.0</v>
      </c>
      <c r="Q596" s="1">
        <v>24.0</v>
      </c>
    </row>
    <row r="597">
      <c r="A597" s="2">
        <f t="shared" si="1"/>
        <v>595</v>
      </c>
      <c r="B597" s="1" t="s">
        <v>1586</v>
      </c>
      <c r="C597" s="1" t="s">
        <v>1085</v>
      </c>
      <c r="D597" s="1" t="s">
        <v>5</v>
      </c>
      <c r="E597" s="15">
        <f t="shared" si="2"/>
        <v>119.1</v>
      </c>
      <c r="F597" s="15">
        <f t="shared" si="3"/>
        <v>5.671428571</v>
      </c>
      <c r="G597" s="1">
        <v>21.0</v>
      </c>
      <c r="Q597" s="12"/>
      <c r="R597" s="1">
        <v>9.0</v>
      </c>
      <c r="S597" s="1">
        <v>51.0</v>
      </c>
      <c r="T597" s="1">
        <v>552.0</v>
      </c>
      <c r="U597" s="1">
        <v>1.0</v>
      </c>
    </row>
    <row r="598">
      <c r="A598" s="2">
        <f t="shared" si="1"/>
        <v>596</v>
      </c>
      <c r="B598" s="1" t="s">
        <v>1903</v>
      </c>
      <c r="C598" s="1" t="s">
        <v>1048</v>
      </c>
      <c r="D598" s="1" t="s">
        <v>31</v>
      </c>
      <c r="E598" s="15">
        <f t="shared" si="2"/>
        <v>118.75</v>
      </c>
      <c r="F598" s="15">
        <f t="shared" si="3"/>
        <v>1.746323529</v>
      </c>
      <c r="G598" s="1">
        <v>68.0</v>
      </c>
      <c r="H598" s="1">
        <v>8.0</v>
      </c>
      <c r="I598" s="1">
        <v>7.0</v>
      </c>
      <c r="J598" s="1">
        <v>15.0</v>
      </c>
      <c r="K598" s="1">
        <v>64.0</v>
      </c>
      <c r="L598" s="1">
        <v>0.0</v>
      </c>
      <c r="M598" s="1">
        <v>0.0</v>
      </c>
      <c r="N598" s="1">
        <v>0.0</v>
      </c>
      <c r="O598" s="1">
        <v>0.0</v>
      </c>
      <c r="P598" s="1">
        <v>61.0</v>
      </c>
      <c r="Q598" s="1">
        <v>29.0</v>
      </c>
    </row>
    <row r="599">
      <c r="A599" s="2">
        <f t="shared" si="1"/>
        <v>596</v>
      </c>
      <c r="B599" s="1" t="s">
        <v>1452</v>
      </c>
      <c r="C599" s="1" t="s">
        <v>1097</v>
      </c>
      <c r="D599" s="1" t="s">
        <v>28</v>
      </c>
      <c r="E599" s="15">
        <f t="shared" si="2"/>
        <v>118.75</v>
      </c>
      <c r="F599" s="15">
        <f t="shared" si="3"/>
        <v>2.199074074</v>
      </c>
      <c r="G599" s="1">
        <v>54.0</v>
      </c>
      <c r="H599" s="1">
        <v>2.0</v>
      </c>
      <c r="I599" s="1">
        <v>17.0</v>
      </c>
      <c r="J599" s="1">
        <v>19.0</v>
      </c>
      <c r="K599" s="1">
        <v>55.0</v>
      </c>
      <c r="L599" s="1">
        <v>1.0</v>
      </c>
      <c r="M599" s="1">
        <v>0.0</v>
      </c>
      <c r="N599" s="1">
        <v>0.0</v>
      </c>
      <c r="O599" s="1">
        <v>2.0</v>
      </c>
      <c r="P599" s="1">
        <v>27.0</v>
      </c>
      <c r="Q599" s="1">
        <v>41.0</v>
      </c>
    </row>
    <row r="600">
      <c r="A600" s="2">
        <f t="shared" si="1"/>
        <v>598</v>
      </c>
      <c r="B600" s="1" t="s">
        <v>1540</v>
      </c>
      <c r="C600" s="1" t="s">
        <v>1080</v>
      </c>
      <c r="D600" s="1" t="s">
        <v>31</v>
      </c>
      <c r="E600" s="15">
        <f t="shared" si="2"/>
        <v>118.25</v>
      </c>
      <c r="F600" s="15">
        <f t="shared" si="3"/>
        <v>2.189814815</v>
      </c>
      <c r="G600" s="1">
        <v>54.0</v>
      </c>
      <c r="H600" s="1">
        <v>6.0</v>
      </c>
      <c r="I600" s="1">
        <v>7.0</v>
      </c>
      <c r="J600" s="1">
        <v>13.0</v>
      </c>
      <c r="K600" s="1">
        <v>53.0</v>
      </c>
      <c r="L600" s="1">
        <v>0.0</v>
      </c>
      <c r="M600" s="1">
        <v>0.0</v>
      </c>
      <c r="N600" s="1">
        <v>0.0</v>
      </c>
      <c r="O600" s="1">
        <v>0.0</v>
      </c>
      <c r="P600" s="1">
        <v>107.0</v>
      </c>
      <c r="Q600" s="1">
        <v>34.0</v>
      </c>
    </row>
    <row r="601">
      <c r="A601" s="2">
        <f t="shared" si="1"/>
        <v>599</v>
      </c>
      <c r="B601" s="1" t="s">
        <v>2111</v>
      </c>
      <c r="C601" s="1" t="s">
        <v>1040</v>
      </c>
      <c r="D601" s="1" t="s">
        <v>5</v>
      </c>
      <c r="E601" s="15">
        <f t="shared" si="2"/>
        <v>118.2</v>
      </c>
      <c r="F601" s="15">
        <f t="shared" si="3"/>
        <v>4.728</v>
      </c>
      <c r="G601" s="1">
        <v>25.0</v>
      </c>
      <c r="Q601" s="12"/>
      <c r="R601" s="1">
        <v>10.0</v>
      </c>
      <c r="S601" s="1">
        <v>66.0</v>
      </c>
      <c r="T601" s="1">
        <v>614.0</v>
      </c>
      <c r="U601" s="1">
        <v>1.0</v>
      </c>
    </row>
    <row r="602">
      <c r="A602" s="2">
        <f t="shared" si="1"/>
        <v>600</v>
      </c>
      <c r="B602" s="1" t="s">
        <v>1589</v>
      </c>
      <c r="C602" s="1" t="s">
        <v>1085</v>
      </c>
      <c r="D602" s="1" t="s">
        <v>31</v>
      </c>
      <c r="E602" s="15">
        <f t="shared" si="2"/>
        <v>117.5</v>
      </c>
      <c r="F602" s="15">
        <f t="shared" si="3"/>
        <v>1.678571429</v>
      </c>
      <c r="G602" s="1">
        <v>70.0</v>
      </c>
      <c r="H602" s="1">
        <v>3.0</v>
      </c>
      <c r="I602" s="1">
        <v>3.0</v>
      </c>
      <c r="J602" s="1">
        <v>6.0</v>
      </c>
      <c r="K602" s="1">
        <v>65.0</v>
      </c>
      <c r="L602" s="1">
        <v>0.0</v>
      </c>
      <c r="M602" s="1">
        <v>0.0</v>
      </c>
      <c r="N602" s="1">
        <v>2.0</v>
      </c>
      <c r="O602" s="1">
        <v>0.0</v>
      </c>
      <c r="P602" s="1">
        <v>114.0</v>
      </c>
      <c r="Q602" s="1">
        <v>60.0</v>
      </c>
    </row>
    <row r="603">
      <c r="A603" s="2">
        <f t="shared" si="1"/>
        <v>601</v>
      </c>
      <c r="B603" s="1" t="s">
        <v>1501</v>
      </c>
      <c r="C603" s="1" t="s">
        <v>1052</v>
      </c>
      <c r="D603" s="1" t="s">
        <v>66</v>
      </c>
      <c r="E603" s="15">
        <f t="shared" si="2"/>
        <v>116.25</v>
      </c>
      <c r="F603" s="15">
        <f t="shared" si="3"/>
        <v>2.075892857</v>
      </c>
      <c r="G603" s="1">
        <v>56.0</v>
      </c>
      <c r="H603" s="1">
        <v>3.0</v>
      </c>
      <c r="I603" s="1">
        <v>6.0</v>
      </c>
      <c r="J603" s="1">
        <v>9.0</v>
      </c>
      <c r="K603" s="1">
        <v>64.0</v>
      </c>
      <c r="L603" s="1">
        <v>0.0</v>
      </c>
      <c r="M603" s="1">
        <v>0.0</v>
      </c>
      <c r="N603" s="1">
        <v>0.0</v>
      </c>
      <c r="O603" s="1">
        <v>0.0</v>
      </c>
      <c r="P603" s="1">
        <v>71.0</v>
      </c>
      <c r="Q603" s="1">
        <v>70.0</v>
      </c>
    </row>
    <row r="604">
      <c r="A604" s="2">
        <f t="shared" si="1"/>
        <v>602</v>
      </c>
      <c r="B604" s="1" t="s">
        <v>1794</v>
      </c>
      <c r="C604" s="1" t="s">
        <v>1034</v>
      </c>
      <c r="D604" s="1" t="s">
        <v>31</v>
      </c>
      <c r="E604" s="15">
        <f t="shared" si="2"/>
        <v>115.25</v>
      </c>
      <c r="F604" s="15">
        <f t="shared" si="3"/>
        <v>1.578767123</v>
      </c>
      <c r="G604" s="1">
        <v>73.0</v>
      </c>
      <c r="H604" s="1">
        <v>4.0</v>
      </c>
      <c r="I604" s="1">
        <v>9.0</v>
      </c>
      <c r="J604" s="1">
        <v>13.0</v>
      </c>
      <c r="K604" s="1">
        <v>51.0</v>
      </c>
      <c r="L604" s="1">
        <v>0.0</v>
      </c>
      <c r="M604" s="1">
        <v>0.0</v>
      </c>
      <c r="N604" s="1">
        <v>0.0</v>
      </c>
      <c r="O604" s="1">
        <v>2.0</v>
      </c>
      <c r="P604" s="1">
        <v>67.0</v>
      </c>
      <c r="Q604" s="1">
        <v>48.0</v>
      </c>
    </row>
    <row r="605">
      <c r="A605" s="2">
        <f t="shared" si="1"/>
        <v>603</v>
      </c>
      <c r="B605" s="1" t="s">
        <v>1868</v>
      </c>
      <c r="C605" s="1" t="s">
        <v>1078</v>
      </c>
      <c r="D605" s="1" t="s">
        <v>31</v>
      </c>
      <c r="E605" s="15">
        <f t="shared" si="2"/>
        <v>115</v>
      </c>
      <c r="F605" s="15">
        <f t="shared" si="3"/>
        <v>1.742424242</v>
      </c>
      <c r="G605" s="1">
        <v>66.0</v>
      </c>
      <c r="H605" s="1">
        <v>3.0</v>
      </c>
      <c r="I605" s="1">
        <v>12.0</v>
      </c>
      <c r="J605" s="1">
        <v>15.0</v>
      </c>
      <c r="K605" s="1">
        <v>53.0</v>
      </c>
      <c r="L605" s="1">
        <v>0.0</v>
      </c>
      <c r="M605" s="1">
        <v>0.0</v>
      </c>
      <c r="N605" s="1">
        <v>0.0</v>
      </c>
      <c r="O605" s="1">
        <v>1.0</v>
      </c>
      <c r="P605" s="1">
        <v>80.0</v>
      </c>
      <c r="Q605" s="1">
        <v>34.0</v>
      </c>
    </row>
    <row r="606">
      <c r="A606" s="2">
        <f t="shared" si="1"/>
        <v>604</v>
      </c>
      <c r="B606" s="1" t="s">
        <v>1745</v>
      </c>
      <c r="C606" s="1" t="s">
        <v>1044</v>
      </c>
      <c r="D606" s="1" t="s">
        <v>36</v>
      </c>
      <c r="E606" s="15">
        <f t="shared" si="2"/>
        <v>114.75</v>
      </c>
      <c r="F606" s="15">
        <f t="shared" si="3"/>
        <v>2.013157895</v>
      </c>
      <c r="G606" s="1">
        <v>57.0</v>
      </c>
      <c r="H606" s="1">
        <v>9.0</v>
      </c>
      <c r="I606" s="1">
        <v>5.0</v>
      </c>
      <c r="J606" s="1">
        <v>14.0</v>
      </c>
      <c r="K606" s="1">
        <v>53.0</v>
      </c>
      <c r="L606" s="1">
        <v>0.0</v>
      </c>
      <c r="M606" s="1">
        <v>0.0</v>
      </c>
      <c r="N606" s="1">
        <v>0.0</v>
      </c>
      <c r="O606" s="1">
        <v>0.0</v>
      </c>
      <c r="P606" s="1">
        <v>105.0</v>
      </c>
      <c r="Q606" s="1">
        <v>13.0</v>
      </c>
    </row>
    <row r="607">
      <c r="A607" s="2">
        <f t="shared" si="1"/>
        <v>605</v>
      </c>
      <c r="B607" s="1" t="s">
        <v>1805</v>
      </c>
      <c r="C607" s="1" t="s">
        <v>1046</v>
      </c>
      <c r="D607" s="1" t="s">
        <v>31</v>
      </c>
      <c r="E607" s="15">
        <f t="shared" si="2"/>
        <v>114.5</v>
      </c>
      <c r="F607" s="15">
        <f t="shared" si="3"/>
        <v>1.683823529</v>
      </c>
      <c r="G607" s="1">
        <v>68.0</v>
      </c>
      <c r="H607" s="1">
        <v>4.0</v>
      </c>
      <c r="I607" s="1">
        <v>12.0</v>
      </c>
      <c r="J607" s="1">
        <v>16.0</v>
      </c>
      <c r="K607" s="1">
        <v>50.0</v>
      </c>
      <c r="L607" s="1">
        <v>0.0</v>
      </c>
      <c r="M607" s="1">
        <v>0.0</v>
      </c>
      <c r="N607" s="1">
        <v>0.0</v>
      </c>
      <c r="O607" s="1">
        <v>2.0</v>
      </c>
      <c r="P607" s="1">
        <v>44.0</v>
      </c>
      <c r="Q607" s="1">
        <v>41.0</v>
      </c>
    </row>
    <row r="608">
      <c r="A608" s="2">
        <f t="shared" si="1"/>
        <v>606</v>
      </c>
      <c r="B608" s="1" t="s">
        <v>1657</v>
      </c>
      <c r="C608" s="1" t="s">
        <v>1038</v>
      </c>
      <c r="D608" s="1" t="s">
        <v>28</v>
      </c>
      <c r="E608" s="15">
        <f t="shared" si="2"/>
        <v>114.25</v>
      </c>
      <c r="F608" s="15">
        <f t="shared" si="3"/>
        <v>1.87295082</v>
      </c>
      <c r="G608" s="1">
        <v>61.0</v>
      </c>
      <c r="H608" s="1">
        <v>5.0</v>
      </c>
      <c r="I608" s="1">
        <v>7.0</v>
      </c>
      <c r="J608" s="1">
        <v>12.0</v>
      </c>
      <c r="K608" s="1">
        <v>66.0</v>
      </c>
      <c r="L608" s="1">
        <v>0.0</v>
      </c>
      <c r="M608" s="1">
        <v>0.0</v>
      </c>
      <c r="N608" s="1">
        <v>0.0</v>
      </c>
      <c r="O608" s="1">
        <v>0.0</v>
      </c>
      <c r="P608" s="1">
        <v>101.0</v>
      </c>
      <c r="Q608" s="1">
        <v>25.0</v>
      </c>
    </row>
    <row r="609">
      <c r="A609" s="2">
        <f t="shared" si="1"/>
        <v>607</v>
      </c>
      <c r="B609" s="1" t="s">
        <v>1664</v>
      </c>
      <c r="C609" s="1" t="s">
        <v>1042</v>
      </c>
      <c r="D609" s="1" t="s">
        <v>5</v>
      </c>
      <c r="E609" s="15">
        <f t="shared" si="2"/>
        <v>113.7</v>
      </c>
      <c r="F609" s="15">
        <f t="shared" si="3"/>
        <v>5.984210526</v>
      </c>
      <c r="G609" s="1">
        <v>19.0</v>
      </c>
      <c r="Q609" s="12"/>
      <c r="R609" s="1">
        <v>9.0</v>
      </c>
      <c r="S609" s="1">
        <v>49.0</v>
      </c>
      <c r="T609" s="1">
        <v>534.0</v>
      </c>
      <c r="U609" s="1">
        <v>0.0</v>
      </c>
    </row>
    <row r="610">
      <c r="A610" s="2">
        <f t="shared" si="1"/>
        <v>607</v>
      </c>
      <c r="B610" s="1" t="s">
        <v>2112</v>
      </c>
      <c r="C610" s="1" t="s">
        <v>1034</v>
      </c>
      <c r="D610" s="1" t="s">
        <v>5</v>
      </c>
      <c r="E610" s="15">
        <f t="shared" si="2"/>
        <v>113.7</v>
      </c>
      <c r="F610" s="15">
        <f t="shared" si="3"/>
        <v>5.168181818</v>
      </c>
      <c r="G610" s="1">
        <v>22.0</v>
      </c>
      <c r="Q610" s="12"/>
      <c r="R610" s="1">
        <v>12.0</v>
      </c>
      <c r="S610" s="1">
        <v>75.0</v>
      </c>
      <c r="T610" s="1">
        <v>614.0</v>
      </c>
      <c r="U610" s="1">
        <v>2.0</v>
      </c>
    </row>
    <row r="611">
      <c r="A611" s="2">
        <f t="shared" si="1"/>
        <v>609</v>
      </c>
      <c r="B611" s="1" t="s">
        <v>1795</v>
      </c>
      <c r="C611" s="1" t="s">
        <v>1087</v>
      </c>
      <c r="D611" s="1" t="s">
        <v>36</v>
      </c>
      <c r="E611" s="15">
        <f t="shared" si="2"/>
        <v>113.5</v>
      </c>
      <c r="F611" s="15">
        <f t="shared" si="3"/>
        <v>3.242857143</v>
      </c>
      <c r="G611" s="1">
        <v>35.0</v>
      </c>
      <c r="H611" s="1">
        <v>7.0</v>
      </c>
      <c r="I611" s="1">
        <v>9.0</v>
      </c>
      <c r="J611" s="1">
        <v>16.0</v>
      </c>
      <c r="K611" s="1">
        <v>70.0</v>
      </c>
      <c r="L611" s="1">
        <v>1.0</v>
      </c>
      <c r="M611" s="1">
        <v>0.0</v>
      </c>
      <c r="N611" s="1">
        <v>0.0</v>
      </c>
      <c r="O611" s="1">
        <v>0.0</v>
      </c>
      <c r="P611" s="1">
        <v>50.0</v>
      </c>
      <c r="Q611" s="1">
        <v>15.0</v>
      </c>
    </row>
    <row r="612">
      <c r="A612" s="2">
        <f t="shared" si="1"/>
        <v>610</v>
      </c>
      <c r="B612" s="1" t="s">
        <v>1896</v>
      </c>
      <c r="C612" s="1" t="s">
        <v>1156</v>
      </c>
      <c r="D612" s="1" t="s">
        <v>66</v>
      </c>
      <c r="E612" s="15">
        <f t="shared" si="2"/>
        <v>112.75</v>
      </c>
      <c r="F612" s="15">
        <f t="shared" si="3"/>
        <v>3.131944444</v>
      </c>
      <c r="G612" s="1">
        <v>36.0</v>
      </c>
      <c r="H612" s="1">
        <v>4.0</v>
      </c>
      <c r="I612" s="1">
        <v>10.0</v>
      </c>
      <c r="J612" s="1">
        <v>14.0</v>
      </c>
      <c r="K612" s="1">
        <v>50.0</v>
      </c>
      <c r="L612" s="1">
        <v>0.0</v>
      </c>
      <c r="M612" s="1">
        <v>4.0</v>
      </c>
      <c r="N612" s="1">
        <v>0.0</v>
      </c>
      <c r="O612" s="1">
        <v>0.0</v>
      </c>
      <c r="P612" s="1">
        <v>61.0</v>
      </c>
      <c r="Q612" s="1">
        <v>49.0</v>
      </c>
    </row>
    <row r="613">
      <c r="A613" s="2">
        <f t="shared" si="1"/>
        <v>611</v>
      </c>
      <c r="B613" s="1" t="s">
        <v>1758</v>
      </c>
      <c r="C613" s="1" t="s">
        <v>1069</v>
      </c>
      <c r="D613" s="1" t="s">
        <v>5</v>
      </c>
      <c r="E613" s="15">
        <f t="shared" si="2"/>
        <v>112.5</v>
      </c>
      <c r="F613" s="15">
        <f t="shared" si="3"/>
        <v>4.166666667</v>
      </c>
      <c r="G613" s="1">
        <v>27.0</v>
      </c>
      <c r="Q613" s="12"/>
      <c r="R613" s="1">
        <v>14.0</v>
      </c>
      <c r="S613" s="1">
        <v>72.0</v>
      </c>
      <c r="T613" s="1">
        <v>595.0</v>
      </c>
      <c r="U613" s="1">
        <v>0.0</v>
      </c>
    </row>
    <row r="614">
      <c r="A614" s="2">
        <f t="shared" si="1"/>
        <v>612</v>
      </c>
      <c r="B614" s="1" t="s">
        <v>1809</v>
      </c>
      <c r="C614" s="1" t="s">
        <v>1069</v>
      </c>
      <c r="D614" s="1" t="s">
        <v>31</v>
      </c>
      <c r="E614" s="15">
        <f t="shared" si="2"/>
        <v>112</v>
      </c>
      <c r="F614" s="15">
        <f t="shared" si="3"/>
        <v>2.545454545</v>
      </c>
      <c r="G614" s="1">
        <v>44.0</v>
      </c>
      <c r="H614" s="1">
        <v>6.0</v>
      </c>
      <c r="I614" s="1">
        <v>14.0</v>
      </c>
      <c r="J614" s="1">
        <v>20.0</v>
      </c>
      <c r="K614" s="1">
        <v>64.0</v>
      </c>
      <c r="L614" s="1">
        <v>2.0</v>
      </c>
      <c r="M614" s="1">
        <v>4.0</v>
      </c>
      <c r="N614" s="1">
        <v>0.0</v>
      </c>
      <c r="O614" s="1">
        <v>0.0</v>
      </c>
      <c r="P614" s="1">
        <v>28.0</v>
      </c>
      <c r="Q614" s="1">
        <v>8.0</v>
      </c>
    </row>
    <row r="615">
      <c r="A615" s="2">
        <f t="shared" si="1"/>
        <v>613</v>
      </c>
      <c r="B615" s="1" t="s">
        <v>1579</v>
      </c>
      <c r="C615" s="1" t="s">
        <v>1172</v>
      </c>
      <c r="D615" s="1" t="s">
        <v>66</v>
      </c>
      <c r="E615" s="15">
        <f t="shared" si="2"/>
        <v>111.75</v>
      </c>
      <c r="F615" s="15">
        <f t="shared" si="3"/>
        <v>2.539772727</v>
      </c>
      <c r="G615" s="1">
        <v>44.0</v>
      </c>
      <c r="H615" s="1">
        <v>2.0</v>
      </c>
      <c r="I615" s="1">
        <v>6.0</v>
      </c>
      <c r="J615" s="1">
        <v>8.0</v>
      </c>
      <c r="K615" s="1">
        <v>32.0</v>
      </c>
      <c r="L615" s="1">
        <v>0.0</v>
      </c>
      <c r="M615" s="1">
        <v>0.0</v>
      </c>
      <c r="N615" s="1">
        <v>0.0</v>
      </c>
      <c r="O615" s="1">
        <v>0.0</v>
      </c>
      <c r="P615" s="1">
        <v>139.0</v>
      </c>
      <c r="Q615" s="1">
        <v>68.0</v>
      </c>
    </row>
    <row r="616">
      <c r="A616" s="2">
        <f t="shared" si="1"/>
        <v>614</v>
      </c>
      <c r="B616" s="1" t="s">
        <v>1374</v>
      </c>
      <c r="C616" s="1" t="s">
        <v>1097</v>
      </c>
      <c r="D616" s="1" t="s">
        <v>36</v>
      </c>
      <c r="E616" s="15">
        <f t="shared" si="2"/>
        <v>111.5</v>
      </c>
      <c r="F616" s="15">
        <f t="shared" si="3"/>
        <v>3.013513514</v>
      </c>
      <c r="G616" s="1">
        <v>37.0</v>
      </c>
      <c r="H616" s="1">
        <v>8.0</v>
      </c>
      <c r="I616" s="1">
        <v>6.0</v>
      </c>
      <c r="J616" s="1">
        <v>14.0</v>
      </c>
      <c r="K616" s="1">
        <v>93.0</v>
      </c>
      <c r="L616" s="1">
        <v>0.0</v>
      </c>
      <c r="M616" s="1">
        <v>2.0</v>
      </c>
      <c r="N616" s="1">
        <v>0.0</v>
      </c>
      <c r="O616" s="1">
        <v>0.0</v>
      </c>
      <c r="P616" s="1">
        <v>18.0</v>
      </c>
      <c r="Q616" s="1">
        <v>13.0</v>
      </c>
    </row>
    <row r="617">
      <c r="A617" s="2">
        <f t="shared" si="1"/>
        <v>615</v>
      </c>
      <c r="B617" s="1" t="s">
        <v>1352</v>
      </c>
      <c r="C617" s="1" t="s">
        <v>1042</v>
      </c>
      <c r="D617" s="1" t="s">
        <v>28</v>
      </c>
      <c r="E617" s="15">
        <f t="shared" si="2"/>
        <v>111.25</v>
      </c>
      <c r="F617" s="15">
        <f t="shared" si="3"/>
        <v>3.4765625</v>
      </c>
      <c r="G617" s="1">
        <v>32.0</v>
      </c>
      <c r="H617" s="1">
        <v>7.0</v>
      </c>
      <c r="I617" s="1">
        <v>6.0</v>
      </c>
      <c r="J617" s="1">
        <v>13.0</v>
      </c>
      <c r="K617" s="1">
        <v>57.0</v>
      </c>
      <c r="L617" s="1">
        <v>1.0</v>
      </c>
      <c r="M617" s="1">
        <v>1.0</v>
      </c>
      <c r="N617" s="1">
        <v>0.0</v>
      </c>
      <c r="O617" s="1">
        <v>0.0</v>
      </c>
      <c r="P617" s="1">
        <v>103.0</v>
      </c>
      <c r="Q617" s="1">
        <v>15.0</v>
      </c>
    </row>
    <row r="618">
      <c r="A618" s="2">
        <f t="shared" si="1"/>
        <v>616</v>
      </c>
      <c r="B618" s="1" t="s">
        <v>1422</v>
      </c>
      <c r="C618" s="1" t="s">
        <v>1097</v>
      </c>
      <c r="D618" s="1" t="s">
        <v>36</v>
      </c>
      <c r="E618" s="15">
        <f t="shared" si="2"/>
        <v>110.75</v>
      </c>
      <c r="F618" s="15">
        <f t="shared" si="3"/>
        <v>2.575581395</v>
      </c>
      <c r="G618" s="1">
        <v>43.0</v>
      </c>
      <c r="H618" s="1">
        <v>7.0</v>
      </c>
      <c r="I618" s="1">
        <v>7.0</v>
      </c>
      <c r="J618" s="1">
        <v>14.0</v>
      </c>
      <c r="K618" s="1">
        <v>69.0</v>
      </c>
      <c r="L618" s="1">
        <v>0.0</v>
      </c>
      <c r="M618" s="1">
        <v>1.0</v>
      </c>
      <c r="N618" s="1">
        <v>1.0</v>
      </c>
      <c r="O618" s="1">
        <v>0.0</v>
      </c>
      <c r="P618" s="1">
        <v>37.0</v>
      </c>
      <c r="Q618" s="1">
        <v>25.0</v>
      </c>
    </row>
    <row r="619">
      <c r="A619" s="2">
        <f t="shared" si="1"/>
        <v>617</v>
      </c>
      <c r="B619" s="1" t="s">
        <v>2113</v>
      </c>
      <c r="C619" s="1" t="s">
        <v>1116</v>
      </c>
      <c r="D619" s="1" t="s">
        <v>28</v>
      </c>
      <c r="E619" s="15">
        <f t="shared" si="2"/>
        <v>110.25</v>
      </c>
      <c r="F619" s="15">
        <f t="shared" si="3"/>
        <v>1.72265625</v>
      </c>
      <c r="G619" s="1">
        <v>64.0</v>
      </c>
      <c r="H619" s="1">
        <v>4.0</v>
      </c>
      <c r="I619" s="1">
        <v>6.0</v>
      </c>
      <c r="J619" s="1">
        <v>10.0</v>
      </c>
      <c r="K619" s="1">
        <v>61.0</v>
      </c>
      <c r="L619" s="1">
        <v>0.0</v>
      </c>
      <c r="M619" s="1">
        <v>0.0</v>
      </c>
      <c r="N619" s="1">
        <v>0.0</v>
      </c>
      <c r="O619" s="1">
        <v>0.0</v>
      </c>
      <c r="P619" s="1">
        <v>113.0</v>
      </c>
      <c r="Q619" s="1">
        <v>31.0</v>
      </c>
    </row>
    <row r="620">
      <c r="A620" s="2">
        <f t="shared" si="1"/>
        <v>618</v>
      </c>
      <c r="B620" s="1" t="s">
        <v>1616</v>
      </c>
      <c r="C620" s="1" t="s">
        <v>1073</v>
      </c>
      <c r="D620" s="1" t="s">
        <v>66</v>
      </c>
      <c r="E620" s="15">
        <f t="shared" si="2"/>
        <v>110</v>
      </c>
      <c r="F620" s="15">
        <f t="shared" si="3"/>
        <v>2.075471698</v>
      </c>
      <c r="G620" s="1">
        <v>53.0</v>
      </c>
      <c r="H620" s="1">
        <v>2.0</v>
      </c>
      <c r="I620" s="1">
        <v>10.0</v>
      </c>
      <c r="J620" s="1">
        <v>12.0</v>
      </c>
      <c r="K620" s="1">
        <v>51.0</v>
      </c>
      <c r="L620" s="1">
        <v>0.0</v>
      </c>
      <c r="M620" s="1">
        <v>0.0</v>
      </c>
      <c r="N620" s="1">
        <v>0.0</v>
      </c>
      <c r="O620" s="1">
        <v>0.0</v>
      </c>
      <c r="P620" s="1">
        <v>84.0</v>
      </c>
      <c r="Q620" s="1">
        <v>49.0</v>
      </c>
    </row>
    <row r="621">
      <c r="A621" s="2">
        <f t="shared" si="1"/>
        <v>618</v>
      </c>
      <c r="B621" s="1" t="s">
        <v>1917</v>
      </c>
      <c r="C621" s="1" t="s">
        <v>1156</v>
      </c>
      <c r="D621" s="1" t="s">
        <v>31</v>
      </c>
      <c r="E621" s="15">
        <f t="shared" si="2"/>
        <v>110</v>
      </c>
      <c r="F621" s="15">
        <f t="shared" si="3"/>
        <v>1.774193548</v>
      </c>
      <c r="G621" s="1">
        <v>62.0</v>
      </c>
      <c r="H621" s="1">
        <v>7.0</v>
      </c>
      <c r="I621" s="1">
        <v>7.0</v>
      </c>
      <c r="J621" s="1">
        <v>14.0</v>
      </c>
      <c r="K621" s="1">
        <v>67.0</v>
      </c>
      <c r="L621" s="1">
        <v>0.0</v>
      </c>
      <c r="M621" s="1">
        <v>0.0</v>
      </c>
      <c r="N621" s="1">
        <v>0.0</v>
      </c>
      <c r="O621" s="1">
        <v>0.0</v>
      </c>
      <c r="P621" s="1">
        <v>60.0</v>
      </c>
      <c r="Q621" s="1">
        <v>18.0</v>
      </c>
    </row>
    <row r="622">
      <c r="A622" s="2">
        <f t="shared" si="1"/>
        <v>620</v>
      </c>
      <c r="B622" s="1" t="s">
        <v>2114</v>
      </c>
      <c r="C622" s="1" t="s">
        <v>1082</v>
      </c>
      <c r="D622" s="1" t="s">
        <v>31</v>
      </c>
      <c r="E622" s="15">
        <f t="shared" si="2"/>
        <v>109.75</v>
      </c>
      <c r="F622" s="15">
        <f t="shared" si="3"/>
        <v>1.892241379</v>
      </c>
      <c r="G622" s="1">
        <v>58.0</v>
      </c>
      <c r="H622" s="1">
        <v>4.0</v>
      </c>
      <c r="I622" s="1">
        <v>11.0</v>
      </c>
      <c r="J622" s="1">
        <v>15.0</v>
      </c>
      <c r="K622" s="1">
        <v>83.0</v>
      </c>
      <c r="L622" s="1">
        <v>0.0</v>
      </c>
      <c r="M622" s="1">
        <v>0.0</v>
      </c>
      <c r="N622" s="1">
        <v>0.0</v>
      </c>
      <c r="O622" s="1">
        <v>0.0</v>
      </c>
      <c r="P622" s="1">
        <v>39.0</v>
      </c>
      <c r="Q622" s="1">
        <v>15.0</v>
      </c>
    </row>
    <row r="623">
      <c r="A623" s="2">
        <f t="shared" si="1"/>
        <v>621</v>
      </c>
      <c r="B623" s="1" t="s">
        <v>1523</v>
      </c>
      <c r="C623" s="1" t="s">
        <v>1076</v>
      </c>
      <c r="D623" s="1" t="s">
        <v>66</v>
      </c>
      <c r="E623" s="15">
        <f t="shared" si="2"/>
        <v>109.5</v>
      </c>
      <c r="F623" s="15">
        <f t="shared" si="3"/>
        <v>1.825</v>
      </c>
      <c r="G623" s="1">
        <v>60.0</v>
      </c>
      <c r="H623" s="1">
        <v>0.0</v>
      </c>
      <c r="I623" s="1">
        <v>5.0</v>
      </c>
      <c r="J623" s="1">
        <v>5.0</v>
      </c>
      <c r="K623" s="1">
        <v>58.0</v>
      </c>
      <c r="L623" s="1">
        <v>0.0</v>
      </c>
      <c r="M623" s="1">
        <v>0.0</v>
      </c>
      <c r="N623" s="1">
        <v>0.0</v>
      </c>
      <c r="O623" s="1">
        <v>1.0</v>
      </c>
      <c r="P623" s="1">
        <v>102.0</v>
      </c>
      <c r="Q623" s="1">
        <v>76.0</v>
      </c>
    </row>
    <row r="624">
      <c r="A624" s="2">
        <f t="shared" si="1"/>
        <v>622</v>
      </c>
      <c r="B624" s="1" t="s">
        <v>1574</v>
      </c>
      <c r="C624" s="1" t="s">
        <v>1082</v>
      </c>
      <c r="D624" s="1" t="s">
        <v>31</v>
      </c>
      <c r="E624" s="15">
        <f t="shared" si="2"/>
        <v>109.25</v>
      </c>
      <c r="F624" s="15">
        <f t="shared" si="3"/>
        <v>2.061320755</v>
      </c>
      <c r="G624" s="1">
        <v>53.0</v>
      </c>
      <c r="H624" s="1">
        <v>4.0</v>
      </c>
      <c r="I624" s="1">
        <v>8.0</v>
      </c>
      <c r="J624" s="1">
        <v>12.0</v>
      </c>
      <c r="K624" s="1">
        <v>67.0</v>
      </c>
      <c r="L624" s="1">
        <v>0.0</v>
      </c>
      <c r="M624" s="1">
        <v>0.0</v>
      </c>
      <c r="N624" s="1">
        <v>0.0</v>
      </c>
      <c r="O624" s="1">
        <v>0.0</v>
      </c>
      <c r="P624" s="1">
        <v>117.0</v>
      </c>
      <c r="Q624" s="1">
        <v>9.0</v>
      </c>
    </row>
    <row r="625">
      <c r="A625" s="2">
        <f t="shared" si="1"/>
        <v>622</v>
      </c>
      <c r="B625" s="1" t="s">
        <v>2115</v>
      </c>
      <c r="C625" s="1" t="s">
        <v>1073</v>
      </c>
      <c r="D625" s="1" t="s">
        <v>31</v>
      </c>
      <c r="E625" s="15">
        <f t="shared" si="2"/>
        <v>109.25</v>
      </c>
      <c r="F625" s="15">
        <f t="shared" si="3"/>
        <v>1.496575342</v>
      </c>
      <c r="G625" s="1">
        <v>73.0</v>
      </c>
      <c r="H625" s="1">
        <v>5.0</v>
      </c>
      <c r="I625" s="1">
        <v>6.0</v>
      </c>
      <c r="J625" s="1">
        <v>11.0</v>
      </c>
      <c r="K625" s="1">
        <v>98.0</v>
      </c>
      <c r="L625" s="1">
        <v>0.0</v>
      </c>
      <c r="M625" s="1">
        <v>0.0</v>
      </c>
      <c r="N625" s="1">
        <v>0.0</v>
      </c>
      <c r="O625" s="1">
        <v>1.0</v>
      </c>
      <c r="P625" s="1">
        <v>29.0</v>
      </c>
      <c r="Q625" s="1">
        <v>21.0</v>
      </c>
    </row>
    <row r="626">
      <c r="A626" s="2">
        <f t="shared" si="1"/>
        <v>624</v>
      </c>
      <c r="B626" s="1" t="s">
        <v>2116</v>
      </c>
      <c r="C626" s="1" t="s">
        <v>1111</v>
      </c>
      <c r="D626" s="1" t="s">
        <v>36</v>
      </c>
      <c r="E626" s="15">
        <f t="shared" si="2"/>
        <v>108.75</v>
      </c>
      <c r="F626" s="15">
        <f t="shared" si="3"/>
        <v>2.175</v>
      </c>
      <c r="G626" s="1">
        <v>50.0</v>
      </c>
      <c r="H626" s="1">
        <v>8.0</v>
      </c>
      <c r="I626" s="1">
        <v>5.0</v>
      </c>
      <c r="J626" s="1">
        <v>13.0</v>
      </c>
      <c r="K626" s="1">
        <v>68.0</v>
      </c>
      <c r="L626" s="1">
        <v>0.0</v>
      </c>
      <c r="M626" s="1">
        <v>1.0</v>
      </c>
      <c r="N626" s="1">
        <v>0.0</v>
      </c>
      <c r="O626" s="1">
        <v>0.0</v>
      </c>
      <c r="P626" s="1">
        <v>77.0</v>
      </c>
      <c r="Q626" s="1">
        <v>9.0</v>
      </c>
    </row>
    <row r="627">
      <c r="A627" s="2">
        <f t="shared" si="1"/>
        <v>625</v>
      </c>
      <c r="B627" s="1" t="s">
        <v>1325</v>
      </c>
      <c r="C627" s="1" t="s">
        <v>1116</v>
      </c>
      <c r="D627" s="1" t="s">
        <v>31</v>
      </c>
      <c r="E627" s="15">
        <f t="shared" si="2"/>
        <v>108.25</v>
      </c>
      <c r="F627" s="15">
        <f t="shared" si="3"/>
        <v>2.640243902</v>
      </c>
      <c r="G627" s="1">
        <v>41.0</v>
      </c>
      <c r="H627" s="1">
        <v>5.0</v>
      </c>
      <c r="I627" s="1">
        <v>11.0</v>
      </c>
      <c r="J627" s="1">
        <v>16.0</v>
      </c>
      <c r="K627" s="1">
        <v>71.0</v>
      </c>
      <c r="L627" s="1">
        <v>1.0</v>
      </c>
      <c r="M627" s="1">
        <v>0.0</v>
      </c>
      <c r="N627" s="1">
        <v>0.0</v>
      </c>
      <c r="O627" s="1">
        <v>0.0</v>
      </c>
      <c r="P627" s="1">
        <v>47.0</v>
      </c>
      <c r="Q627" s="1">
        <v>11.0</v>
      </c>
    </row>
    <row r="628">
      <c r="A628" s="2">
        <f t="shared" si="1"/>
        <v>626</v>
      </c>
      <c r="B628" s="1" t="s">
        <v>1407</v>
      </c>
      <c r="C628" s="1" t="s">
        <v>1076</v>
      </c>
      <c r="D628" s="1" t="s">
        <v>31</v>
      </c>
      <c r="E628" s="15">
        <f t="shared" si="2"/>
        <v>108</v>
      </c>
      <c r="F628" s="15">
        <f t="shared" si="3"/>
        <v>2.204081633</v>
      </c>
      <c r="G628" s="1">
        <v>49.0</v>
      </c>
      <c r="H628" s="1">
        <v>3.0</v>
      </c>
      <c r="I628" s="1">
        <v>2.0</v>
      </c>
      <c r="J628" s="1">
        <v>5.0</v>
      </c>
      <c r="K628" s="1">
        <v>55.0</v>
      </c>
      <c r="L628" s="1">
        <v>0.0</v>
      </c>
      <c r="M628" s="1">
        <v>0.0</v>
      </c>
      <c r="N628" s="1">
        <v>0.0</v>
      </c>
      <c r="O628" s="1">
        <v>0.0</v>
      </c>
      <c r="P628" s="1">
        <v>138.0</v>
      </c>
      <c r="Q628" s="1">
        <v>53.0</v>
      </c>
    </row>
    <row r="629">
      <c r="A629" s="2">
        <f t="shared" si="1"/>
        <v>627</v>
      </c>
      <c r="B629" s="1" t="s">
        <v>1727</v>
      </c>
      <c r="C629" s="1" t="s">
        <v>1042</v>
      </c>
      <c r="D629" s="1" t="s">
        <v>31</v>
      </c>
      <c r="E629" s="15">
        <f t="shared" si="2"/>
        <v>107.75</v>
      </c>
      <c r="F629" s="15">
        <f t="shared" si="3"/>
        <v>2.155</v>
      </c>
      <c r="G629" s="1">
        <v>50.0</v>
      </c>
      <c r="H629" s="1">
        <v>7.0</v>
      </c>
      <c r="I629" s="1">
        <v>5.0</v>
      </c>
      <c r="J629" s="1">
        <v>12.0</v>
      </c>
      <c r="K629" s="1">
        <v>57.0</v>
      </c>
      <c r="L629" s="1">
        <v>0.0</v>
      </c>
      <c r="M629" s="1">
        <v>0.0</v>
      </c>
      <c r="N629" s="1">
        <v>3.0</v>
      </c>
      <c r="O629" s="1">
        <v>0.0</v>
      </c>
      <c r="P629" s="1">
        <v>45.0</v>
      </c>
      <c r="Q629" s="1">
        <v>31.0</v>
      </c>
    </row>
    <row r="630">
      <c r="A630" s="2">
        <f t="shared" si="1"/>
        <v>628</v>
      </c>
      <c r="B630" s="1" t="s">
        <v>2117</v>
      </c>
      <c r="C630" s="1" t="s">
        <v>1065</v>
      </c>
      <c r="D630" s="1" t="s">
        <v>66</v>
      </c>
      <c r="E630" s="15">
        <f t="shared" si="2"/>
        <v>107.25</v>
      </c>
      <c r="F630" s="15">
        <f t="shared" si="3"/>
        <v>2.383333333</v>
      </c>
      <c r="G630" s="1">
        <v>45.0</v>
      </c>
      <c r="H630" s="1">
        <v>4.0</v>
      </c>
      <c r="I630" s="1">
        <v>7.0</v>
      </c>
      <c r="J630" s="1">
        <v>11.0</v>
      </c>
      <c r="K630" s="1">
        <v>33.0</v>
      </c>
      <c r="L630" s="1">
        <v>0.0</v>
      </c>
      <c r="M630" s="1">
        <v>0.0</v>
      </c>
      <c r="N630" s="1">
        <v>0.0</v>
      </c>
      <c r="O630" s="1">
        <v>0.0</v>
      </c>
      <c r="P630" s="1">
        <v>51.0</v>
      </c>
      <c r="Q630" s="1">
        <v>78.0</v>
      </c>
    </row>
    <row r="631">
      <c r="A631" s="2">
        <f t="shared" si="1"/>
        <v>628</v>
      </c>
      <c r="B631" s="1" t="s">
        <v>1844</v>
      </c>
      <c r="C631" s="1" t="s">
        <v>1120</v>
      </c>
      <c r="D631" s="1" t="s">
        <v>66</v>
      </c>
      <c r="E631" s="15">
        <f t="shared" si="2"/>
        <v>107.25</v>
      </c>
      <c r="F631" s="15">
        <f t="shared" si="3"/>
        <v>2.0625</v>
      </c>
      <c r="G631" s="1">
        <v>52.0</v>
      </c>
      <c r="H631" s="1">
        <v>2.0</v>
      </c>
      <c r="I631" s="1">
        <v>9.0</v>
      </c>
      <c r="J631" s="1">
        <v>11.0</v>
      </c>
      <c r="K631" s="1">
        <v>54.0</v>
      </c>
      <c r="L631" s="1">
        <v>0.0</v>
      </c>
      <c r="M631" s="1">
        <v>0.0</v>
      </c>
      <c r="N631" s="1">
        <v>0.0</v>
      </c>
      <c r="O631" s="1">
        <v>0.0</v>
      </c>
      <c r="P631" s="1">
        <v>41.0</v>
      </c>
      <c r="Q631" s="1">
        <v>68.0</v>
      </c>
    </row>
    <row r="632">
      <c r="A632" s="2">
        <f t="shared" si="1"/>
        <v>630</v>
      </c>
      <c r="B632" s="1" t="s">
        <v>1729</v>
      </c>
      <c r="C632" s="1" t="s">
        <v>1172</v>
      </c>
      <c r="D632" s="1" t="s">
        <v>36</v>
      </c>
      <c r="E632" s="15">
        <f t="shared" si="2"/>
        <v>107</v>
      </c>
      <c r="F632" s="15">
        <f t="shared" si="3"/>
        <v>1.877192982</v>
      </c>
      <c r="G632" s="1">
        <v>57.0</v>
      </c>
      <c r="H632" s="1">
        <v>4.0</v>
      </c>
      <c r="I632" s="1">
        <v>2.0</v>
      </c>
      <c r="J632" s="1">
        <v>6.0</v>
      </c>
      <c r="K632" s="1">
        <v>54.0</v>
      </c>
      <c r="L632" s="1">
        <v>0.0</v>
      </c>
      <c r="M632" s="1">
        <v>0.0</v>
      </c>
      <c r="N632" s="1">
        <v>0.0</v>
      </c>
      <c r="O632" s="1">
        <v>0.0</v>
      </c>
      <c r="P632" s="1">
        <v>178.0</v>
      </c>
      <c r="Q632" s="1">
        <v>23.0</v>
      </c>
    </row>
    <row r="633">
      <c r="A633" s="2">
        <f t="shared" si="1"/>
        <v>630</v>
      </c>
      <c r="B633" s="1" t="s">
        <v>2118</v>
      </c>
      <c r="C633" s="1" t="s">
        <v>1156</v>
      </c>
      <c r="D633" s="1" t="s">
        <v>66</v>
      </c>
      <c r="E633" s="15">
        <f t="shared" si="2"/>
        <v>107</v>
      </c>
      <c r="F633" s="15">
        <f t="shared" si="3"/>
        <v>1.813559322</v>
      </c>
      <c r="G633" s="1">
        <v>59.0</v>
      </c>
      <c r="H633" s="1">
        <v>1.0</v>
      </c>
      <c r="I633" s="1">
        <v>2.0</v>
      </c>
      <c r="J633" s="1">
        <v>3.0</v>
      </c>
      <c r="K633" s="1">
        <v>58.0</v>
      </c>
      <c r="L633" s="1">
        <v>0.0</v>
      </c>
      <c r="M633" s="1">
        <v>0.0</v>
      </c>
      <c r="N633" s="1">
        <v>0.0</v>
      </c>
      <c r="O633" s="1">
        <v>0.0</v>
      </c>
      <c r="P633" s="1">
        <v>122.0</v>
      </c>
      <c r="Q633" s="1">
        <v>74.0</v>
      </c>
    </row>
    <row r="634">
      <c r="A634" s="2">
        <f t="shared" si="1"/>
        <v>632</v>
      </c>
      <c r="B634" s="1" t="s">
        <v>1614</v>
      </c>
      <c r="C634" s="1" t="s">
        <v>1172</v>
      </c>
      <c r="D634" s="1" t="s">
        <v>36</v>
      </c>
      <c r="E634" s="15">
        <f t="shared" si="2"/>
        <v>106.5</v>
      </c>
      <c r="F634" s="15">
        <f t="shared" si="3"/>
        <v>1.613636364</v>
      </c>
      <c r="G634" s="1">
        <v>66.0</v>
      </c>
      <c r="H634" s="1">
        <v>4.0</v>
      </c>
      <c r="I634" s="1">
        <v>6.0</v>
      </c>
      <c r="J634" s="1">
        <v>10.0</v>
      </c>
      <c r="K634" s="1">
        <v>50.0</v>
      </c>
      <c r="L634" s="1">
        <v>0.0</v>
      </c>
      <c r="M634" s="1">
        <v>1.0</v>
      </c>
      <c r="N634" s="1">
        <v>0.0</v>
      </c>
      <c r="O634" s="1">
        <v>0.0</v>
      </c>
      <c r="P634" s="1">
        <v>126.0</v>
      </c>
      <c r="Q634" s="1">
        <v>28.0</v>
      </c>
    </row>
    <row r="635">
      <c r="A635" s="2">
        <f t="shared" si="1"/>
        <v>632</v>
      </c>
      <c r="B635" s="1" t="s">
        <v>1720</v>
      </c>
      <c r="C635" s="1" t="s">
        <v>1065</v>
      </c>
      <c r="D635" s="1" t="s">
        <v>28</v>
      </c>
      <c r="E635" s="15">
        <f t="shared" si="2"/>
        <v>106.5</v>
      </c>
      <c r="F635" s="15">
        <f t="shared" si="3"/>
        <v>1.745901639</v>
      </c>
      <c r="G635" s="1">
        <v>61.0</v>
      </c>
      <c r="H635" s="1">
        <v>4.0</v>
      </c>
      <c r="I635" s="1">
        <v>10.0</v>
      </c>
      <c r="J635" s="1">
        <v>14.0</v>
      </c>
      <c r="K635" s="1">
        <v>60.0</v>
      </c>
      <c r="L635" s="1">
        <v>0.0</v>
      </c>
      <c r="M635" s="1">
        <v>0.0</v>
      </c>
      <c r="N635" s="1">
        <v>1.0</v>
      </c>
      <c r="O635" s="1">
        <v>0.0</v>
      </c>
      <c r="P635" s="1">
        <v>20.0</v>
      </c>
      <c r="Q635" s="1">
        <v>43.0</v>
      </c>
    </row>
    <row r="636">
      <c r="A636" s="2">
        <f t="shared" si="1"/>
        <v>632</v>
      </c>
      <c r="B636" s="1" t="s">
        <v>2119</v>
      </c>
      <c r="C636" s="1" t="s">
        <v>1048</v>
      </c>
      <c r="D636" s="1" t="s">
        <v>5</v>
      </c>
      <c r="E636" s="15">
        <f t="shared" si="2"/>
        <v>106.5</v>
      </c>
      <c r="F636" s="15">
        <f t="shared" si="3"/>
        <v>5.071428571</v>
      </c>
      <c r="G636" s="1">
        <v>21.0</v>
      </c>
      <c r="Q636" s="12"/>
      <c r="R636" s="1">
        <v>9.0</v>
      </c>
      <c r="S636" s="1">
        <v>62.0</v>
      </c>
      <c r="T636" s="1">
        <v>565.0</v>
      </c>
      <c r="U636" s="1">
        <v>1.0</v>
      </c>
    </row>
    <row r="637">
      <c r="A637" s="2">
        <f t="shared" si="1"/>
        <v>635</v>
      </c>
      <c r="B637" s="1" t="s">
        <v>1432</v>
      </c>
      <c r="C637" s="1" t="s">
        <v>1175</v>
      </c>
      <c r="D637" s="1" t="s">
        <v>31</v>
      </c>
      <c r="E637" s="15">
        <f t="shared" si="2"/>
        <v>104.75</v>
      </c>
      <c r="F637" s="15">
        <f t="shared" si="3"/>
        <v>3.379032258</v>
      </c>
      <c r="G637" s="1">
        <v>31.0</v>
      </c>
      <c r="H637" s="1">
        <v>5.0</v>
      </c>
      <c r="I637" s="1">
        <v>8.0</v>
      </c>
      <c r="J637" s="1">
        <v>13.0</v>
      </c>
      <c r="K637" s="1">
        <v>58.0</v>
      </c>
      <c r="L637" s="1">
        <v>2.0</v>
      </c>
      <c r="M637" s="1">
        <v>2.0</v>
      </c>
      <c r="N637" s="1">
        <v>0.0</v>
      </c>
      <c r="O637" s="1">
        <v>0.0</v>
      </c>
      <c r="P637" s="1">
        <v>63.0</v>
      </c>
      <c r="Q637" s="1">
        <v>27.0</v>
      </c>
    </row>
    <row r="638">
      <c r="A638" s="2">
        <f t="shared" si="1"/>
        <v>636</v>
      </c>
      <c r="B638" s="1" t="s">
        <v>1637</v>
      </c>
      <c r="C638" s="1" t="s">
        <v>1097</v>
      </c>
      <c r="D638" s="1" t="s">
        <v>66</v>
      </c>
      <c r="E638" s="15">
        <f t="shared" si="2"/>
        <v>104.25</v>
      </c>
      <c r="F638" s="15">
        <f t="shared" si="3"/>
        <v>2.673076923</v>
      </c>
      <c r="G638" s="1">
        <v>39.0</v>
      </c>
      <c r="H638" s="1">
        <v>4.0</v>
      </c>
      <c r="I638" s="1">
        <v>11.0</v>
      </c>
      <c r="J638" s="1">
        <v>15.0</v>
      </c>
      <c r="K638" s="1">
        <v>40.0</v>
      </c>
      <c r="L638" s="1">
        <v>1.0</v>
      </c>
      <c r="M638" s="1">
        <v>1.0</v>
      </c>
      <c r="N638" s="1">
        <v>1.0</v>
      </c>
      <c r="O638" s="1">
        <v>0.0</v>
      </c>
      <c r="P638" s="1">
        <v>49.0</v>
      </c>
      <c r="Q638" s="1">
        <v>38.0</v>
      </c>
    </row>
    <row r="639">
      <c r="A639" s="2">
        <f t="shared" si="1"/>
        <v>637</v>
      </c>
      <c r="B639" s="1" t="s">
        <v>1753</v>
      </c>
      <c r="C639" s="1" t="s">
        <v>1116</v>
      </c>
      <c r="D639" s="1" t="s">
        <v>31</v>
      </c>
      <c r="E639" s="15">
        <f t="shared" si="2"/>
        <v>104</v>
      </c>
      <c r="F639" s="15">
        <f t="shared" si="3"/>
        <v>2.166666667</v>
      </c>
      <c r="G639" s="1">
        <v>48.0</v>
      </c>
      <c r="H639" s="1">
        <v>8.0</v>
      </c>
      <c r="I639" s="1">
        <v>6.0</v>
      </c>
      <c r="J639" s="1">
        <v>14.0</v>
      </c>
      <c r="K639" s="1">
        <v>78.0</v>
      </c>
      <c r="L639" s="1">
        <v>1.0</v>
      </c>
      <c r="M639" s="1">
        <v>2.0</v>
      </c>
      <c r="N639" s="1">
        <v>0.0</v>
      </c>
      <c r="O639" s="1">
        <v>0.0</v>
      </c>
      <c r="P639" s="1">
        <v>16.0</v>
      </c>
      <c r="Q639" s="1">
        <v>14.0</v>
      </c>
      <c r="T639" s="12"/>
    </row>
    <row r="640">
      <c r="A640" s="2">
        <f t="shared" si="1"/>
        <v>638</v>
      </c>
      <c r="B640" s="1" t="s">
        <v>1671</v>
      </c>
      <c r="C640" s="1" t="s">
        <v>1042</v>
      </c>
      <c r="D640" s="1" t="s">
        <v>31</v>
      </c>
      <c r="E640" s="15">
        <f t="shared" si="2"/>
        <v>103.5</v>
      </c>
      <c r="F640" s="15">
        <f t="shared" si="3"/>
        <v>3.338709677</v>
      </c>
      <c r="G640" s="1">
        <v>31.0</v>
      </c>
      <c r="H640" s="1">
        <v>5.0</v>
      </c>
      <c r="I640" s="1">
        <v>13.0</v>
      </c>
      <c r="J640" s="1">
        <v>18.0</v>
      </c>
      <c r="K640" s="1">
        <v>54.0</v>
      </c>
      <c r="L640" s="1">
        <v>4.0</v>
      </c>
      <c r="M640" s="1">
        <v>2.0</v>
      </c>
      <c r="N640" s="1">
        <v>0.0</v>
      </c>
      <c r="O640" s="1">
        <v>0.0</v>
      </c>
      <c r="P640" s="1">
        <v>28.0</v>
      </c>
      <c r="Q640" s="1">
        <v>16.0</v>
      </c>
    </row>
    <row r="641">
      <c r="A641" s="2">
        <f t="shared" si="1"/>
        <v>639</v>
      </c>
      <c r="B641" s="1" t="s">
        <v>1803</v>
      </c>
      <c r="C641" s="1" t="s">
        <v>1078</v>
      </c>
      <c r="D641" s="1" t="s">
        <v>31</v>
      </c>
      <c r="E641" s="15">
        <f t="shared" si="2"/>
        <v>103.25</v>
      </c>
      <c r="F641" s="15">
        <f t="shared" si="3"/>
        <v>2.244565217</v>
      </c>
      <c r="G641" s="1">
        <v>46.0</v>
      </c>
      <c r="H641" s="1">
        <v>7.0</v>
      </c>
      <c r="I641" s="1">
        <v>5.0</v>
      </c>
      <c r="J641" s="1">
        <v>12.0</v>
      </c>
      <c r="K641" s="1">
        <v>54.0</v>
      </c>
      <c r="L641" s="1">
        <v>0.0</v>
      </c>
      <c r="M641" s="1">
        <v>1.0</v>
      </c>
      <c r="N641" s="1">
        <v>0.0</v>
      </c>
      <c r="O641" s="1">
        <v>0.0</v>
      </c>
      <c r="P641" s="1">
        <v>61.0</v>
      </c>
      <c r="Q641" s="1">
        <v>29.0</v>
      </c>
    </row>
    <row r="642">
      <c r="A642" s="2">
        <f t="shared" si="1"/>
        <v>640</v>
      </c>
      <c r="B642" s="1" t="s">
        <v>1829</v>
      </c>
      <c r="C642" s="1" t="s">
        <v>1106</v>
      </c>
      <c r="D642" s="1" t="s">
        <v>36</v>
      </c>
      <c r="E642" s="15">
        <f t="shared" si="2"/>
        <v>102.5</v>
      </c>
      <c r="F642" s="15">
        <f t="shared" si="3"/>
        <v>4.1</v>
      </c>
      <c r="G642" s="1">
        <v>25.0</v>
      </c>
      <c r="H642" s="1">
        <v>11.0</v>
      </c>
      <c r="I642" s="1">
        <v>5.0</v>
      </c>
      <c r="J642" s="1">
        <v>16.0</v>
      </c>
      <c r="K642" s="1">
        <v>63.0</v>
      </c>
      <c r="L642" s="1">
        <v>4.0</v>
      </c>
      <c r="M642" s="1">
        <v>0.0</v>
      </c>
      <c r="N642" s="1">
        <v>0.0</v>
      </c>
      <c r="O642" s="1">
        <v>0.0</v>
      </c>
      <c r="P642" s="1">
        <v>14.0</v>
      </c>
      <c r="Q642" s="1">
        <v>6.0</v>
      </c>
    </row>
    <row r="643">
      <c r="A643" s="2">
        <f t="shared" si="1"/>
        <v>641</v>
      </c>
      <c r="B643" s="1" t="s">
        <v>1462</v>
      </c>
      <c r="C643" s="1" t="s">
        <v>1042</v>
      </c>
      <c r="D643" s="1" t="s">
        <v>66</v>
      </c>
      <c r="E643" s="15">
        <f t="shared" si="2"/>
        <v>101.75</v>
      </c>
      <c r="F643" s="15">
        <f t="shared" si="3"/>
        <v>2.36627907</v>
      </c>
      <c r="G643" s="1">
        <v>43.0</v>
      </c>
      <c r="H643" s="1">
        <v>2.0</v>
      </c>
      <c r="I643" s="1">
        <v>7.0</v>
      </c>
      <c r="J643" s="1">
        <v>9.0</v>
      </c>
      <c r="K643" s="1">
        <v>48.0</v>
      </c>
      <c r="L643" s="1">
        <v>0.0</v>
      </c>
      <c r="M643" s="1">
        <v>0.0</v>
      </c>
      <c r="N643" s="1">
        <v>0.0</v>
      </c>
      <c r="O643" s="1">
        <v>0.0</v>
      </c>
      <c r="P643" s="1">
        <v>57.0</v>
      </c>
      <c r="Q643" s="1">
        <v>67.0</v>
      </c>
    </row>
    <row r="644">
      <c r="A644" s="2">
        <f t="shared" si="1"/>
        <v>641</v>
      </c>
      <c r="B644" s="1" t="s">
        <v>1739</v>
      </c>
      <c r="C644" s="1" t="s">
        <v>1175</v>
      </c>
      <c r="D644" s="1" t="s">
        <v>66</v>
      </c>
      <c r="E644" s="15">
        <f t="shared" si="2"/>
        <v>101.75</v>
      </c>
      <c r="F644" s="15">
        <f t="shared" si="3"/>
        <v>1.754310345</v>
      </c>
      <c r="G644" s="1">
        <v>58.0</v>
      </c>
      <c r="H644" s="1">
        <v>1.0</v>
      </c>
      <c r="I644" s="1">
        <v>7.0</v>
      </c>
      <c r="J644" s="1">
        <v>8.0</v>
      </c>
      <c r="K644" s="1">
        <v>75.0</v>
      </c>
      <c r="L644" s="1">
        <v>0.0</v>
      </c>
      <c r="M644" s="1">
        <v>1.0</v>
      </c>
      <c r="N644" s="1">
        <v>0.0</v>
      </c>
      <c r="O644" s="1">
        <v>0.0</v>
      </c>
      <c r="P644" s="1">
        <v>69.0</v>
      </c>
      <c r="Q644" s="1">
        <v>43.0</v>
      </c>
    </row>
    <row r="645">
      <c r="A645" s="2">
        <f t="shared" si="1"/>
        <v>643</v>
      </c>
      <c r="B645" s="1" t="s">
        <v>1685</v>
      </c>
      <c r="C645" s="1" t="s">
        <v>1046</v>
      </c>
      <c r="D645" s="1" t="s">
        <v>28</v>
      </c>
      <c r="E645" s="15">
        <f t="shared" si="2"/>
        <v>100.5</v>
      </c>
      <c r="F645" s="15">
        <f t="shared" si="3"/>
        <v>3.35</v>
      </c>
      <c r="G645" s="1">
        <v>30.0</v>
      </c>
      <c r="H645" s="1">
        <v>6.0</v>
      </c>
      <c r="I645" s="1">
        <v>6.0</v>
      </c>
      <c r="J645" s="1">
        <v>12.0</v>
      </c>
      <c r="K645" s="1">
        <v>71.0</v>
      </c>
      <c r="L645" s="1">
        <v>0.0</v>
      </c>
      <c r="M645" s="1">
        <v>1.0</v>
      </c>
      <c r="N645" s="1">
        <v>0.0</v>
      </c>
      <c r="O645" s="1">
        <v>1.0</v>
      </c>
      <c r="P645" s="1">
        <v>52.0</v>
      </c>
      <c r="Q645" s="1">
        <v>10.0</v>
      </c>
      <c r="T645" s="12"/>
    </row>
    <row r="646">
      <c r="A646" s="2">
        <f t="shared" si="1"/>
        <v>643</v>
      </c>
      <c r="B646" s="1" t="s">
        <v>1430</v>
      </c>
      <c r="C646" s="1" t="s">
        <v>1044</v>
      </c>
      <c r="D646" s="1" t="s">
        <v>31</v>
      </c>
      <c r="E646" s="15">
        <f t="shared" si="2"/>
        <v>100.5</v>
      </c>
      <c r="F646" s="15">
        <f t="shared" si="3"/>
        <v>1.827272727</v>
      </c>
      <c r="G646" s="1">
        <v>55.0</v>
      </c>
      <c r="H646" s="1">
        <v>1.0</v>
      </c>
      <c r="I646" s="1">
        <v>3.0</v>
      </c>
      <c r="J646" s="1">
        <v>4.0</v>
      </c>
      <c r="K646" s="1">
        <v>59.0</v>
      </c>
      <c r="L646" s="1">
        <v>0.0</v>
      </c>
      <c r="M646" s="1">
        <v>0.0</v>
      </c>
      <c r="N646" s="1">
        <v>0.0</v>
      </c>
      <c r="O646" s="1">
        <v>1.0</v>
      </c>
      <c r="P646" s="1">
        <v>172.0</v>
      </c>
      <c r="Q646" s="1">
        <v>25.0</v>
      </c>
    </row>
    <row r="647">
      <c r="A647" s="2">
        <f t="shared" si="1"/>
        <v>643</v>
      </c>
      <c r="B647" s="1" t="s">
        <v>2120</v>
      </c>
      <c r="C647" s="1" t="s">
        <v>1044</v>
      </c>
      <c r="D647" s="1" t="s">
        <v>31</v>
      </c>
      <c r="E647" s="15">
        <f t="shared" si="2"/>
        <v>100.5</v>
      </c>
      <c r="F647" s="15">
        <f t="shared" si="3"/>
        <v>1.675</v>
      </c>
      <c r="G647" s="1">
        <v>60.0</v>
      </c>
      <c r="H647" s="1">
        <v>4.0</v>
      </c>
      <c r="I647" s="1">
        <v>6.0</v>
      </c>
      <c r="J647" s="1">
        <v>10.0</v>
      </c>
      <c r="K647" s="1">
        <v>46.0</v>
      </c>
      <c r="L647" s="1">
        <v>0.0</v>
      </c>
      <c r="M647" s="1">
        <v>0.0</v>
      </c>
      <c r="N647" s="1">
        <v>0.0</v>
      </c>
      <c r="O647" s="1">
        <v>2.0</v>
      </c>
      <c r="P647" s="1">
        <v>60.0</v>
      </c>
      <c r="Q647" s="1">
        <v>45.0</v>
      </c>
    </row>
    <row r="648">
      <c r="A648" s="2">
        <f t="shared" si="1"/>
        <v>646</v>
      </c>
      <c r="B648" s="1" t="s">
        <v>1835</v>
      </c>
      <c r="C648" s="1" t="s">
        <v>1116</v>
      </c>
      <c r="D648" s="1" t="s">
        <v>28</v>
      </c>
      <c r="E648" s="15">
        <f t="shared" si="2"/>
        <v>99.75</v>
      </c>
      <c r="F648" s="15">
        <f t="shared" si="3"/>
        <v>1.995</v>
      </c>
      <c r="G648" s="1">
        <v>50.0</v>
      </c>
      <c r="H648" s="1">
        <v>6.0</v>
      </c>
      <c r="I648" s="1">
        <v>8.0</v>
      </c>
      <c r="J648" s="1">
        <v>14.0</v>
      </c>
      <c r="K648" s="1">
        <v>54.0</v>
      </c>
      <c r="L648" s="1">
        <v>0.0</v>
      </c>
      <c r="M648" s="1">
        <v>0.0</v>
      </c>
      <c r="N648" s="1">
        <v>0.0</v>
      </c>
      <c r="O648" s="1">
        <v>1.0</v>
      </c>
      <c r="P648" s="1">
        <v>43.0</v>
      </c>
      <c r="Q648" s="1">
        <v>18.0</v>
      </c>
    </row>
    <row r="649">
      <c r="A649" s="2">
        <f t="shared" si="1"/>
        <v>647</v>
      </c>
      <c r="B649" s="1" t="s">
        <v>2121</v>
      </c>
      <c r="C649" s="1" t="s">
        <v>1030</v>
      </c>
      <c r="D649" s="1" t="s">
        <v>5</v>
      </c>
      <c r="E649" s="15">
        <f t="shared" si="2"/>
        <v>99.3</v>
      </c>
      <c r="F649" s="15">
        <f t="shared" si="3"/>
        <v>6.20625</v>
      </c>
      <c r="G649" s="1">
        <v>16.0</v>
      </c>
      <c r="R649" s="1">
        <v>8.0</v>
      </c>
      <c r="S649" s="1">
        <v>42.0</v>
      </c>
      <c r="T649" s="1">
        <v>451.0</v>
      </c>
      <c r="U649" s="1">
        <v>1.0</v>
      </c>
    </row>
    <row r="650">
      <c r="A650" s="2">
        <f t="shared" si="1"/>
        <v>648</v>
      </c>
      <c r="B650" s="1" t="s">
        <v>1362</v>
      </c>
      <c r="C650" s="1" t="s">
        <v>1048</v>
      </c>
      <c r="D650" s="1" t="s">
        <v>5</v>
      </c>
      <c r="E650" s="15">
        <f t="shared" si="2"/>
        <v>99</v>
      </c>
      <c r="F650" s="15">
        <f t="shared" si="3"/>
        <v>6.6</v>
      </c>
      <c r="G650" s="1">
        <v>15.0</v>
      </c>
      <c r="R650" s="1">
        <v>9.0</v>
      </c>
      <c r="S650" s="1">
        <v>43.0</v>
      </c>
      <c r="T650" s="1">
        <v>445.0</v>
      </c>
      <c r="U650" s="1">
        <v>1.0</v>
      </c>
    </row>
    <row r="651">
      <c r="A651" s="2">
        <f t="shared" si="1"/>
        <v>649</v>
      </c>
      <c r="B651" s="1" t="s">
        <v>1533</v>
      </c>
      <c r="C651" s="1" t="s">
        <v>1034</v>
      </c>
      <c r="D651" s="1" t="s">
        <v>66</v>
      </c>
      <c r="E651" s="15">
        <f t="shared" si="2"/>
        <v>97</v>
      </c>
      <c r="F651" s="15">
        <f t="shared" si="3"/>
        <v>2.108695652</v>
      </c>
      <c r="G651" s="1">
        <v>46.0</v>
      </c>
      <c r="H651" s="1">
        <v>1.0</v>
      </c>
      <c r="I651" s="1">
        <v>4.0</v>
      </c>
      <c r="J651" s="1">
        <v>5.0</v>
      </c>
      <c r="K651" s="1">
        <v>54.0</v>
      </c>
      <c r="L651" s="1">
        <v>0.0</v>
      </c>
      <c r="M651" s="1">
        <v>0.0</v>
      </c>
      <c r="N651" s="1">
        <v>0.0</v>
      </c>
      <c r="O651" s="1">
        <v>0.0</v>
      </c>
      <c r="P651" s="1">
        <v>114.0</v>
      </c>
      <c r="Q651" s="1">
        <v>50.0</v>
      </c>
    </row>
    <row r="652">
      <c r="A652" s="2">
        <f t="shared" si="1"/>
        <v>650</v>
      </c>
      <c r="B652" s="1" t="s">
        <v>1735</v>
      </c>
      <c r="C652" s="1" t="s">
        <v>1097</v>
      </c>
      <c r="D652" s="1" t="s">
        <v>28</v>
      </c>
      <c r="E652" s="15">
        <f t="shared" si="2"/>
        <v>96</v>
      </c>
      <c r="F652" s="15">
        <f t="shared" si="3"/>
        <v>2.594594595</v>
      </c>
      <c r="G652" s="1">
        <v>37.0</v>
      </c>
      <c r="H652" s="1">
        <v>6.0</v>
      </c>
      <c r="I652" s="1">
        <v>10.0</v>
      </c>
      <c r="J652" s="1">
        <v>16.0</v>
      </c>
      <c r="K652" s="1">
        <v>43.0</v>
      </c>
      <c r="L652" s="1">
        <v>1.0</v>
      </c>
      <c r="M652" s="1">
        <v>0.0</v>
      </c>
      <c r="N652" s="1">
        <v>0.0</v>
      </c>
      <c r="O652" s="1">
        <v>0.0</v>
      </c>
      <c r="P652" s="1">
        <v>14.0</v>
      </c>
      <c r="Q652" s="1">
        <v>28.0</v>
      </c>
    </row>
    <row r="653">
      <c r="A653" s="2">
        <f t="shared" si="1"/>
        <v>651</v>
      </c>
      <c r="B653" s="1" t="s">
        <v>1419</v>
      </c>
      <c r="C653" s="1" t="s">
        <v>1120</v>
      </c>
      <c r="D653" s="1" t="s">
        <v>28</v>
      </c>
      <c r="E653" s="15">
        <f t="shared" si="2"/>
        <v>95.75</v>
      </c>
      <c r="F653" s="15">
        <f t="shared" si="3"/>
        <v>3.419642857</v>
      </c>
      <c r="G653" s="1">
        <v>28.0</v>
      </c>
      <c r="H653" s="1">
        <v>7.0</v>
      </c>
      <c r="I653" s="1">
        <v>9.0</v>
      </c>
      <c r="J653" s="1">
        <v>16.0</v>
      </c>
      <c r="K653" s="1">
        <v>35.0</v>
      </c>
      <c r="L653" s="1">
        <v>3.0</v>
      </c>
      <c r="M653" s="1">
        <v>5.0</v>
      </c>
      <c r="N653" s="1">
        <v>0.0</v>
      </c>
      <c r="O653" s="1">
        <v>0.0</v>
      </c>
      <c r="P653" s="1">
        <v>49.0</v>
      </c>
      <c r="Q653" s="1">
        <v>15.0</v>
      </c>
    </row>
    <row r="654">
      <c r="A654" s="2">
        <f t="shared" si="1"/>
        <v>652</v>
      </c>
      <c r="B654" s="1" t="s">
        <v>1922</v>
      </c>
      <c r="C654" s="1" t="s">
        <v>1120</v>
      </c>
      <c r="D654" s="1" t="s">
        <v>66</v>
      </c>
      <c r="E654" s="15">
        <f t="shared" si="2"/>
        <v>95.25</v>
      </c>
      <c r="F654" s="15">
        <f t="shared" si="3"/>
        <v>2.506578947</v>
      </c>
      <c r="G654" s="1">
        <v>38.0</v>
      </c>
      <c r="H654" s="1">
        <v>2.0</v>
      </c>
      <c r="I654" s="1">
        <v>5.0</v>
      </c>
      <c r="J654" s="1">
        <v>7.0</v>
      </c>
      <c r="K654" s="1">
        <v>40.0</v>
      </c>
      <c r="L654" s="1">
        <v>0.0</v>
      </c>
      <c r="M654" s="1">
        <v>0.0</v>
      </c>
      <c r="N654" s="1">
        <v>0.0</v>
      </c>
      <c r="O654" s="1">
        <v>0.0</v>
      </c>
      <c r="P654" s="1">
        <v>111.0</v>
      </c>
      <c r="Q654" s="1">
        <v>47.0</v>
      </c>
    </row>
    <row r="655">
      <c r="A655" s="2">
        <f t="shared" si="1"/>
        <v>652</v>
      </c>
      <c r="B655" s="1" t="s">
        <v>1710</v>
      </c>
      <c r="C655" s="1" t="s">
        <v>1172</v>
      </c>
      <c r="D655" s="1" t="s">
        <v>66</v>
      </c>
      <c r="E655" s="15">
        <f t="shared" si="2"/>
        <v>95.25</v>
      </c>
      <c r="F655" s="15">
        <f t="shared" si="3"/>
        <v>2.070652174</v>
      </c>
      <c r="G655" s="1">
        <v>46.0</v>
      </c>
      <c r="H655" s="1">
        <v>1.0</v>
      </c>
      <c r="I655" s="1">
        <v>7.0</v>
      </c>
      <c r="J655" s="1">
        <v>8.0</v>
      </c>
      <c r="K655" s="1">
        <v>20.0</v>
      </c>
      <c r="L655" s="1">
        <v>0.0</v>
      </c>
      <c r="M655" s="1">
        <v>0.0</v>
      </c>
      <c r="N655" s="1">
        <v>0.0</v>
      </c>
      <c r="O655" s="1">
        <v>0.0</v>
      </c>
      <c r="P655" s="1">
        <v>95.0</v>
      </c>
      <c r="Q655" s="1">
        <v>72.0</v>
      </c>
    </row>
    <row r="656">
      <c r="A656" s="2">
        <f t="shared" si="1"/>
        <v>654</v>
      </c>
      <c r="B656" s="1" t="s">
        <v>1437</v>
      </c>
      <c r="C656" s="1" t="s">
        <v>1065</v>
      </c>
      <c r="D656" s="1" t="s">
        <v>5</v>
      </c>
      <c r="E656" s="15">
        <f t="shared" si="2"/>
        <v>95.1</v>
      </c>
      <c r="F656" s="15">
        <f t="shared" si="3"/>
        <v>5.005263158</v>
      </c>
      <c r="G656" s="1">
        <v>19.0</v>
      </c>
      <c r="Q656" s="12"/>
      <c r="R656" s="1">
        <v>4.0</v>
      </c>
      <c r="S656" s="1">
        <v>67.0</v>
      </c>
      <c r="T656" s="1">
        <v>612.0</v>
      </c>
      <c r="U656" s="1">
        <v>0.0</v>
      </c>
    </row>
    <row r="657">
      <c r="A657" s="2">
        <f t="shared" si="1"/>
        <v>655</v>
      </c>
      <c r="B657" s="1" t="s">
        <v>1789</v>
      </c>
      <c r="C657" s="1" t="s">
        <v>1076</v>
      </c>
      <c r="D657" s="1" t="s">
        <v>5</v>
      </c>
      <c r="E657" s="15">
        <f t="shared" si="2"/>
        <v>94.8</v>
      </c>
      <c r="F657" s="15">
        <f t="shared" si="3"/>
        <v>5.266666667</v>
      </c>
      <c r="G657" s="1">
        <v>18.0</v>
      </c>
      <c r="R657" s="1">
        <v>9.0</v>
      </c>
      <c r="S657" s="1">
        <v>32.0</v>
      </c>
      <c r="T657" s="1">
        <v>376.0</v>
      </c>
      <c r="U657" s="1">
        <v>1.0</v>
      </c>
    </row>
    <row r="658">
      <c r="A658" s="2">
        <f t="shared" si="1"/>
        <v>656</v>
      </c>
      <c r="B658" s="1" t="s">
        <v>1321</v>
      </c>
      <c r="C658" s="1" t="s">
        <v>1052</v>
      </c>
      <c r="D658" s="1" t="s">
        <v>31</v>
      </c>
      <c r="E658" s="15">
        <f t="shared" si="2"/>
        <v>94.25</v>
      </c>
      <c r="F658" s="15">
        <f t="shared" si="3"/>
        <v>2.048913043</v>
      </c>
      <c r="G658" s="1">
        <v>46.0</v>
      </c>
      <c r="H658" s="1">
        <v>5.0</v>
      </c>
      <c r="I658" s="1">
        <v>6.0</v>
      </c>
      <c r="J658" s="1">
        <v>11.0</v>
      </c>
      <c r="K658" s="1">
        <v>62.0</v>
      </c>
      <c r="L658" s="1">
        <v>0.0</v>
      </c>
      <c r="M658" s="1">
        <v>0.0</v>
      </c>
      <c r="N658" s="1">
        <v>0.0</v>
      </c>
      <c r="O658" s="1">
        <v>0.0</v>
      </c>
      <c r="P658" s="1">
        <v>63.0</v>
      </c>
      <c r="Q658" s="1">
        <v>14.0</v>
      </c>
    </row>
    <row r="659">
      <c r="A659" s="2">
        <f t="shared" si="1"/>
        <v>656</v>
      </c>
      <c r="B659" s="1" t="s">
        <v>1754</v>
      </c>
      <c r="C659" s="1" t="s">
        <v>1054</v>
      </c>
      <c r="D659" s="1" t="s">
        <v>66</v>
      </c>
      <c r="E659" s="15">
        <f t="shared" si="2"/>
        <v>94.25</v>
      </c>
      <c r="F659" s="15">
        <f t="shared" si="3"/>
        <v>2.048913043</v>
      </c>
      <c r="G659" s="1">
        <v>46.0</v>
      </c>
      <c r="H659" s="1">
        <v>2.0</v>
      </c>
      <c r="I659" s="1">
        <v>4.0</v>
      </c>
      <c r="J659" s="1">
        <v>6.0</v>
      </c>
      <c r="K659" s="1">
        <v>63.0</v>
      </c>
      <c r="L659" s="1">
        <v>0.0</v>
      </c>
      <c r="M659" s="1">
        <v>1.0</v>
      </c>
      <c r="N659" s="1">
        <v>0.0</v>
      </c>
      <c r="O659" s="1">
        <v>0.0</v>
      </c>
      <c r="P659" s="1">
        <v>33.0</v>
      </c>
      <c r="Q659" s="1">
        <v>67.0</v>
      </c>
      <c r="T659" s="12"/>
    </row>
    <row r="660">
      <c r="A660" s="2">
        <f t="shared" si="1"/>
        <v>658</v>
      </c>
      <c r="B660" s="1" t="s">
        <v>1187</v>
      </c>
      <c r="C660" s="1" t="s">
        <v>1097</v>
      </c>
      <c r="D660" s="1" t="s">
        <v>31</v>
      </c>
      <c r="E660" s="15">
        <f t="shared" si="2"/>
        <v>94</v>
      </c>
      <c r="F660" s="15">
        <f t="shared" si="3"/>
        <v>3.76</v>
      </c>
      <c r="G660" s="1">
        <v>25.0</v>
      </c>
      <c r="H660" s="1">
        <v>6.0</v>
      </c>
      <c r="I660" s="1">
        <v>11.0</v>
      </c>
      <c r="J660" s="1">
        <v>17.0</v>
      </c>
      <c r="K660" s="1">
        <v>55.0</v>
      </c>
      <c r="L660" s="1">
        <v>1.0</v>
      </c>
      <c r="M660" s="1">
        <v>3.0</v>
      </c>
      <c r="N660" s="1">
        <v>0.0</v>
      </c>
      <c r="O660" s="1">
        <v>0.0</v>
      </c>
      <c r="P660" s="1">
        <v>10.0</v>
      </c>
      <c r="Q660" s="1">
        <v>8.0</v>
      </c>
    </row>
    <row r="661">
      <c r="A661" s="2">
        <f t="shared" si="1"/>
        <v>659</v>
      </c>
      <c r="B661" s="1" t="s">
        <v>1551</v>
      </c>
      <c r="C661" s="1" t="s">
        <v>1116</v>
      </c>
      <c r="D661" s="1" t="s">
        <v>31</v>
      </c>
      <c r="E661" s="15">
        <f t="shared" si="2"/>
        <v>93.25</v>
      </c>
      <c r="F661" s="15">
        <f t="shared" si="3"/>
        <v>1.726851852</v>
      </c>
      <c r="G661" s="1">
        <v>54.0</v>
      </c>
      <c r="H661" s="1">
        <v>6.0</v>
      </c>
      <c r="I661" s="1">
        <v>3.0</v>
      </c>
      <c r="J661" s="1">
        <v>9.0</v>
      </c>
      <c r="K661" s="1">
        <v>63.0</v>
      </c>
      <c r="L661" s="1">
        <v>0.0</v>
      </c>
      <c r="M661" s="1">
        <v>0.0</v>
      </c>
      <c r="N661" s="1">
        <v>2.0</v>
      </c>
      <c r="O661" s="1">
        <v>0.0</v>
      </c>
      <c r="P661" s="1">
        <v>31.0</v>
      </c>
      <c r="Q661" s="1">
        <v>28.0</v>
      </c>
    </row>
    <row r="662">
      <c r="A662" s="2">
        <f t="shared" si="1"/>
        <v>660</v>
      </c>
      <c r="B662" s="1" t="s">
        <v>2122</v>
      </c>
      <c r="C662" s="1" t="s">
        <v>1106</v>
      </c>
      <c r="D662" s="1" t="s">
        <v>5</v>
      </c>
      <c r="E662" s="15">
        <f t="shared" si="2"/>
        <v>93</v>
      </c>
      <c r="F662" s="15">
        <f t="shared" si="3"/>
        <v>4.428571429</v>
      </c>
      <c r="G662" s="1">
        <v>21.0</v>
      </c>
      <c r="Q662" s="12"/>
      <c r="R662" s="1">
        <v>7.0</v>
      </c>
      <c r="S662" s="1">
        <v>66.0</v>
      </c>
      <c r="T662" s="1">
        <v>560.0</v>
      </c>
      <c r="U662" s="1">
        <v>1.0</v>
      </c>
    </row>
    <row r="663">
      <c r="A663" s="2">
        <f t="shared" si="1"/>
        <v>661</v>
      </c>
      <c r="B663" s="1" t="s">
        <v>1653</v>
      </c>
      <c r="C663" s="1" t="s">
        <v>1106</v>
      </c>
      <c r="D663" s="1" t="s">
        <v>31</v>
      </c>
      <c r="E663" s="15">
        <f t="shared" si="2"/>
        <v>92.5</v>
      </c>
      <c r="F663" s="15">
        <f t="shared" si="3"/>
        <v>1.651785714</v>
      </c>
      <c r="G663" s="1">
        <v>56.0</v>
      </c>
      <c r="H663" s="1">
        <v>2.0</v>
      </c>
      <c r="I663" s="1">
        <v>8.0</v>
      </c>
      <c r="J663" s="1">
        <v>10.0</v>
      </c>
      <c r="K663" s="1">
        <v>43.0</v>
      </c>
      <c r="L663" s="1">
        <v>0.0</v>
      </c>
      <c r="M663" s="1">
        <v>0.0</v>
      </c>
      <c r="N663" s="1">
        <v>0.0</v>
      </c>
      <c r="O663" s="1">
        <v>0.0</v>
      </c>
      <c r="P663" s="1">
        <v>82.0</v>
      </c>
      <c r="Q663" s="1">
        <v>35.0</v>
      </c>
      <c r="T663" s="12"/>
    </row>
    <row r="664">
      <c r="A664" s="2">
        <f t="shared" si="1"/>
        <v>662</v>
      </c>
      <c r="B664" s="1" t="s">
        <v>1802</v>
      </c>
      <c r="C664" s="1" t="s">
        <v>1091</v>
      </c>
      <c r="D664" s="1" t="s">
        <v>28</v>
      </c>
      <c r="E664" s="15">
        <f t="shared" si="2"/>
        <v>92.25</v>
      </c>
      <c r="F664" s="15">
        <f t="shared" si="3"/>
        <v>2.05</v>
      </c>
      <c r="G664" s="1">
        <v>45.0</v>
      </c>
      <c r="H664" s="1">
        <v>2.0</v>
      </c>
      <c r="I664" s="1">
        <v>7.0</v>
      </c>
      <c r="J664" s="1">
        <v>9.0</v>
      </c>
      <c r="K664" s="1">
        <v>44.0</v>
      </c>
      <c r="L664" s="1">
        <v>0.0</v>
      </c>
      <c r="M664" s="1">
        <v>0.0</v>
      </c>
      <c r="N664" s="1">
        <v>0.0</v>
      </c>
      <c r="O664" s="1">
        <v>0.0</v>
      </c>
      <c r="P664" s="1">
        <v>131.0</v>
      </c>
      <c r="Q664" s="1">
        <v>15.0</v>
      </c>
    </row>
    <row r="665">
      <c r="A665" s="2">
        <f t="shared" si="1"/>
        <v>663</v>
      </c>
      <c r="B665" s="1" t="s">
        <v>1241</v>
      </c>
      <c r="C665" s="1" t="s">
        <v>1106</v>
      </c>
      <c r="D665" s="1" t="s">
        <v>28</v>
      </c>
      <c r="E665" s="15">
        <f t="shared" si="2"/>
        <v>91.75</v>
      </c>
      <c r="F665" s="15">
        <f t="shared" si="3"/>
        <v>2.13372093</v>
      </c>
      <c r="G665" s="1">
        <v>43.0</v>
      </c>
      <c r="H665" s="1">
        <v>6.0</v>
      </c>
      <c r="I665" s="1">
        <v>4.0</v>
      </c>
      <c r="J665" s="1">
        <v>10.0</v>
      </c>
      <c r="K665" s="1">
        <v>53.0</v>
      </c>
      <c r="L665" s="1">
        <v>1.0</v>
      </c>
      <c r="M665" s="1">
        <v>1.0</v>
      </c>
      <c r="N665" s="1">
        <v>0.0</v>
      </c>
      <c r="O665" s="1">
        <v>0.0</v>
      </c>
      <c r="P665" s="1">
        <v>63.0</v>
      </c>
      <c r="Q665" s="1">
        <v>21.0</v>
      </c>
    </row>
    <row r="666">
      <c r="A666" s="2">
        <f t="shared" si="1"/>
        <v>664</v>
      </c>
      <c r="B666" s="1" t="s">
        <v>1455</v>
      </c>
      <c r="C666" s="1" t="s">
        <v>1076</v>
      </c>
      <c r="D666" s="1" t="s">
        <v>5</v>
      </c>
      <c r="E666" s="15">
        <f t="shared" si="2"/>
        <v>90.9</v>
      </c>
      <c r="F666" s="15">
        <f t="shared" si="3"/>
        <v>4.131818182</v>
      </c>
      <c r="G666" s="1">
        <v>22.0</v>
      </c>
      <c r="Q666" s="12"/>
      <c r="R666" s="1">
        <v>10.0</v>
      </c>
      <c r="S666" s="1">
        <v>60.0</v>
      </c>
      <c r="T666" s="1">
        <v>503.0</v>
      </c>
      <c r="U666" s="1">
        <v>0.0</v>
      </c>
    </row>
    <row r="667">
      <c r="A667" s="2">
        <f t="shared" si="1"/>
        <v>665</v>
      </c>
      <c r="B667" s="1" t="s">
        <v>1402</v>
      </c>
      <c r="C667" s="1" t="s">
        <v>1111</v>
      </c>
      <c r="D667" s="1" t="s">
        <v>36</v>
      </c>
      <c r="E667" s="15">
        <f t="shared" si="2"/>
        <v>90.5</v>
      </c>
      <c r="F667" s="15">
        <f t="shared" si="3"/>
        <v>2.742424242</v>
      </c>
      <c r="G667" s="1">
        <v>33.0</v>
      </c>
      <c r="H667" s="1">
        <v>6.0</v>
      </c>
      <c r="I667" s="1">
        <v>9.0</v>
      </c>
      <c r="J667" s="1">
        <v>15.0</v>
      </c>
      <c r="K667" s="1">
        <v>53.0</v>
      </c>
      <c r="L667" s="1">
        <v>4.0</v>
      </c>
      <c r="M667" s="1">
        <v>2.0</v>
      </c>
      <c r="N667" s="1">
        <v>0.0</v>
      </c>
      <c r="O667" s="1">
        <v>0.0</v>
      </c>
      <c r="P667" s="1">
        <v>18.0</v>
      </c>
      <c r="Q667" s="1">
        <v>11.0</v>
      </c>
    </row>
    <row r="668">
      <c r="A668" s="2">
        <f t="shared" si="1"/>
        <v>666</v>
      </c>
      <c r="B668" s="1" t="s">
        <v>1272</v>
      </c>
      <c r="C668" s="1" t="s">
        <v>1030</v>
      </c>
      <c r="D668" s="1" t="s">
        <v>66</v>
      </c>
      <c r="E668" s="15">
        <f t="shared" si="2"/>
        <v>90</v>
      </c>
      <c r="F668" s="15">
        <f t="shared" si="3"/>
        <v>3.333333333</v>
      </c>
      <c r="G668" s="1">
        <v>27.0</v>
      </c>
      <c r="H668" s="1">
        <v>2.0</v>
      </c>
      <c r="I668" s="1">
        <v>8.0</v>
      </c>
      <c r="J668" s="1">
        <v>10.0</v>
      </c>
      <c r="K668" s="1">
        <v>41.0</v>
      </c>
      <c r="L668" s="1">
        <v>0.0</v>
      </c>
      <c r="M668" s="1">
        <v>0.0</v>
      </c>
      <c r="N668" s="1">
        <v>0.0</v>
      </c>
      <c r="O668" s="1">
        <v>0.0</v>
      </c>
      <c r="P668" s="1">
        <v>64.0</v>
      </c>
      <c r="Q668" s="1">
        <v>41.0</v>
      </c>
    </row>
    <row r="669">
      <c r="A669" s="2">
        <f t="shared" si="1"/>
        <v>667</v>
      </c>
      <c r="B669" s="1" t="s">
        <v>1489</v>
      </c>
      <c r="C669" s="1" t="s">
        <v>1156</v>
      </c>
      <c r="D669" s="1" t="s">
        <v>5</v>
      </c>
      <c r="E669" s="15">
        <f t="shared" si="2"/>
        <v>89.7</v>
      </c>
      <c r="F669" s="15">
        <f t="shared" si="3"/>
        <v>2.99</v>
      </c>
      <c r="G669" s="1">
        <v>30.0</v>
      </c>
      <c r="Q669" s="12"/>
      <c r="R669" s="1">
        <v>7.0</v>
      </c>
      <c r="S669" s="1">
        <v>110.0</v>
      </c>
      <c r="T669" s="1">
        <v>779.0</v>
      </c>
      <c r="U669" s="1">
        <v>0.0</v>
      </c>
    </row>
    <row r="670">
      <c r="A670" s="2">
        <f t="shared" si="1"/>
        <v>668</v>
      </c>
      <c r="B670" s="1" t="s">
        <v>1756</v>
      </c>
      <c r="C670" s="1" t="s">
        <v>1046</v>
      </c>
      <c r="D670" s="1" t="s">
        <v>5</v>
      </c>
      <c r="E670" s="15">
        <f t="shared" si="2"/>
        <v>89.4</v>
      </c>
      <c r="F670" s="15">
        <f t="shared" si="3"/>
        <v>3.082758621</v>
      </c>
      <c r="G670" s="1">
        <v>29.0</v>
      </c>
      <c r="Q670" s="12"/>
      <c r="R670" s="1">
        <v>11.0</v>
      </c>
      <c r="S670" s="1">
        <v>107.0</v>
      </c>
      <c r="T670" s="1">
        <v>723.0</v>
      </c>
      <c r="U670" s="1">
        <v>0.0</v>
      </c>
    </row>
    <row r="671">
      <c r="A671" s="2">
        <f t="shared" si="1"/>
        <v>669</v>
      </c>
      <c r="B671" s="1" t="s">
        <v>2123</v>
      </c>
      <c r="C671" s="1" t="s">
        <v>1156</v>
      </c>
      <c r="D671" s="1" t="s">
        <v>66</v>
      </c>
      <c r="E671" s="15">
        <f t="shared" si="2"/>
        <v>89.25</v>
      </c>
      <c r="F671" s="15">
        <f t="shared" si="3"/>
        <v>2.704545455</v>
      </c>
      <c r="G671" s="1">
        <v>33.0</v>
      </c>
      <c r="H671" s="1">
        <v>3.0</v>
      </c>
      <c r="I671" s="1">
        <v>8.0</v>
      </c>
      <c r="J671" s="1">
        <v>11.0</v>
      </c>
      <c r="K671" s="1">
        <v>34.0</v>
      </c>
      <c r="L671" s="1">
        <v>1.0</v>
      </c>
      <c r="M671" s="1">
        <v>5.0</v>
      </c>
      <c r="N671" s="1">
        <v>0.0</v>
      </c>
      <c r="O671" s="1">
        <v>0.0</v>
      </c>
      <c r="P671" s="1">
        <v>45.0</v>
      </c>
      <c r="Q671" s="1">
        <v>47.0</v>
      </c>
    </row>
    <row r="672">
      <c r="A672" s="2">
        <f t="shared" si="1"/>
        <v>669</v>
      </c>
      <c r="B672" s="1" t="s">
        <v>2124</v>
      </c>
      <c r="C672" s="1" t="s">
        <v>1175</v>
      </c>
      <c r="D672" s="1" t="s">
        <v>66</v>
      </c>
      <c r="E672" s="15">
        <f t="shared" si="2"/>
        <v>89.25</v>
      </c>
      <c r="F672" s="15">
        <f t="shared" si="3"/>
        <v>2.028409091</v>
      </c>
      <c r="G672" s="1">
        <v>44.0</v>
      </c>
      <c r="H672" s="1">
        <v>1.0</v>
      </c>
      <c r="I672" s="1">
        <v>2.0</v>
      </c>
      <c r="J672" s="1">
        <v>3.0</v>
      </c>
      <c r="K672" s="1">
        <v>39.0</v>
      </c>
      <c r="L672" s="1">
        <v>0.0</v>
      </c>
      <c r="M672" s="1">
        <v>0.0</v>
      </c>
      <c r="N672" s="1">
        <v>0.0</v>
      </c>
      <c r="O672" s="1">
        <v>0.0</v>
      </c>
      <c r="P672" s="1">
        <v>89.0</v>
      </c>
      <c r="Q672" s="1">
        <v>74.0</v>
      </c>
    </row>
    <row r="673">
      <c r="A673" s="2">
        <f t="shared" si="1"/>
        <v>671</v>
      </c>
      <c r="B673" s="1" t="s">
        <v>1592</v>
      </c>
      <c r="C673" s="1" t="s">
        <v>1116</v>
      </c>
      <c r="D673" s="1" t="s">
        <v>5</v>
      </c>
      <c r="E673" s="15">
        <f t="shared" si="2"/>
        <v>88.8</v>
      </c>
      <c r="F673" s="15">
        <f t="shared" si="3"/>
        <v>4.228571429</v>
      </c>
      <c r="G673" s="1">
        <v>21.0</v>
      </c>
      <c r="Q673" s="12"/>
      <c r="R673" s="1">
        <v>9.0</v>
      </c>
      <c r="S673" s="1">
        <v>50.0</v>
      </c>
      <c r="T673" s="1">
        <v>456.0</v>
      </c>
      <c r="U673" s="1">
        <v>0.0</v>
      </c>
    </row>
    <row r="674">
      <c r="A674" s="2">
        <f t="shared" si="1"/>
        <v>672</v>
      </c>
      <c r="B674" s="1" t="s">
        <v>2125</v>
      </c>
      <c r="C674" s="1" t="s">
        <v>1097</v>
      </c>
      <c r="D674" s="1" t="s">
        <v>28</v>
      </c>
      <c r="E674" s="15">
        <f t="shared" si="2"/>
        <v>88.75</v>
      </c>
      <c r="F674" s="15">
        <f t="shared" si="3"/>
        <v>2.862903226</v>
      </c>
      <c r="G674" s="1">
        <v>31.0</v>
      </c>
      <c r="H674" s="1">
        <v>6.0</v>
      </c>
      <c r="I674" s="1">
        <v>8.0</v>
      </c>
      <c r="J674" s="1">
        <v>14.0</v>
      </c>
      <c r="K674" s="1">
        <v>40.0</v>
      </c>
      <c r="L674" s="1">
        <v>0.0</v>
      </c>
      <c r="M674" s="1">
        <v>0.0</v>
      </c>
      <c r="N674" s="1">
        <v>0.0</v>
      </c>
      <c r="O674" s="1">
        <v>0.0</v>
      </c>
      <c r="P674" s="1">
        <v>27.0</v>
      </c>
      <c r="Q674" s="1">
        <v>22.0</v>
      </c>
    </row>
    <row r="675">
      <c r="A675" s="2">
        <f t="shared" si="1"/>
        <v>673</v>
      </c>
      <c r="B675" s="1" t="s">
        <v>1338</v>
      </c>
      <c r="C675" s="1" t="s">
        <v>1042</v>
      </c>
      <c r="D675" s="1" t="s">
        <v>36</v>
      </c>
      <c r="E675" s="15">
        <f t="shared" si="2"/>
        <v>87.75</v>
      </c>
      <c r="F675" s="15">
        <f t="shared" si="3"/>
        <v>3.65625</v>
      </c>
      <c r="G675" s="1">
        <v>24.0</v>
      </c>
      <c r="H675" s="1">
        <v>7.0</v>
      </c>
      <c r="I675" s="1">
        <v>8.0</v>
      </c>
      <c r="J675" s="1">
        <v>15.0</v>
      </c>
      <c r="K675" s="1">
        <v>54.0</v>
      </c>
      <c r="L675" s="1">
        <v>0.0</v>
      </c>
      <c r="M675" s="1">
        <v>2.0</v>
      </c>
      <c r="N675" s="1">
        <v>0.0</v>
      </c>
      <c r="O675" s="1">
        <v>0.0</v>
      </c>
      <c r="P675" s="1">
        <v>9.0</v>
      </c>
      <c r="Q675" s="1">
        <v>6.0</v>
      </c>
    </row>
    <row r="676">
      <c r="A676" s="2">
        <f t="shared" si="1"/>
        <v>674</v>
      </c>
      <c r="B676" s="1" t="s">
        <v>1862</v>
      </c>
      <c r="C676" s="1" t="s">
        <v>1046</v>
      </c>
      <c r="D676" s="1" t="s">
        <v>31</v>
      </c>
      <c r="E676" s="15">
        <f t="shared" si="2"/>
        <v>87.25</v>
      </c>
      <c r="F676" s="15">
        <f t="shared" si="3"/>
        <v>1.817708333</v>
      </c>
      <c r="G676" s="1">
        <v>48.0</v>
      </c>
      <c r="H676" s="1">
        <v>4.0</v>
      </c>
      <c r="I676" s="1">
        <v>4.0</v>
      </c>
      <c r="J676" s="1">
        <v>8.0</v>
      </c>
      <c r="K676" s="1">
        <v>65.0</v>
      </c>
      <c r="L676" s="1">
        <v>0.0</v>
      </c>
      <c r="M676" s="1">
        <v>0.0</v>
      </c>
      <c r="N676" s="1">
        <v>0.0</v>
      </c>
      <c r="O676" s="1">
        <v>0.0</v>
      </c>
      <c r="P676" s="1">
        <v>61.0</v>
      </c>
      <c r="Q676" s="1">
        <v>19.0</v>
      </c>
    </row>
    <row r="677">
      <c r="A677" s="2">
        <f t="shared" si="1"/>
        <v>675</v>
      </c>
      <c r="B677" s="1" t="s">
        <v>1486</v>
      </c>
      <c r="C677" s="1" t="s">
        <v>1065</v>
      </c>
      <c r="D677" s="1" t="s">
        <v>31</v>
      </c>
      <c r="E677" s="15">
        <f t="shared" si="2"/>
        <v>87</v>
      </c>
      <c r="F677" s="15">
        <f t="shared" si="3"/>
        <v>1.673076923</v>
      </c>
      <c r="G677" s="1">
        <v>52.0</v>
      </c>
      <c r="H677" s="1">
        <v>3.0</v>
      </c>
      <c r="I677" s="1">
        <v>4.0</v>
      </c>
      <c r="J677" s="1">
        <v>7.0</v>
      </c>
      <c r="K677" s="1">
        <v>50.0</v>
      </c>
      <c r="L677" s="1">
        <v>0.0</v>
      </c>
      <c r="M677" s="1">
        <v>0.0</v>
      </c>
      <c r="N677" s="1">
        <v>0.0</v>
      </c>
      <c r="O677" s="1">
        <v>0.0</v>
      </c>
      <c r="P677" s="1">
        <v>98.0</v>
      </c>
      <c r="Q677" s="1">
        <v>24.0</v>
      </c>
      <c r="T677" s="12"/>
    </row>
    <row r="678">
      <c r="A678" s="2">
        <f t="shared" si="1"/>
        <v>675</v>
      </c>
      <c r="B678" s="1" t="s">
        <v>1812</v>
      </c>
      <c r="C678" s="1" t="s">
        <v>1067</v>
      </c>
      <c r="D678" s="1" t="s">
        <v>66</v>
      </c>
      <c r="E678" s="15">
        <f t="shared" si="2"/>
        <v>87</v>
      </c>
      <c r="F678" s="15">
        <f t="shared" si="3"/>
        <v>1.474576271</v>
      </c>
      <c r="G678" s="1">
        <v>59.0</v>
      </c>
      <c r="H678" s="1">
        <v>1.0</v>
      </c>
      <c r="I678" s="1">
        <v>8.0</v>
      </c>
      <c r="J678" s="1">
        <v>9.0</v>
      </c>
      <c r="K678" s="1">
        <v>27.0</v>
      </c>
      <c r="L678" s="1">
        <v>0.0</v>
      </c>
      <c r="M678" s="1">
        <v>0.0</v>
      </c>
      <c r="N678" s="1">
        <v>0.0</v>
      </c>
      <c r="O678" s="1">
        <v>1.0</v>
      </c>
      <c r="P678" s="1">
        <v>34.0</v>
      </c>
      <c r="Q678" s="1">
        <v>69.0</v>
      </c>
      <c r="T678" s="12"/>
    </row>
    <row r="679">
      <c r="A679" s="2">
        <f t="shared" si="1"/>
        <v>677</v>
      </c>
      <c r="B679" s="1" t="s">
        <v>2126</v>
      </c>
      <c r="C679" s="1" t="s">
        <v>1067</v>
      </c>
      <c r="D679" s="1" t="s">
        <v>66</v>
      </c>
      <c r="E679" s="15">
        <f t="shared" si="2"/>
        <v>86.25</v>
      </c>
      <c r="F679" s="15">
        <f t="shared" si="3"/>
        <v>1.725</v>
      </c>
      <c r="G679" s="1">
        <v>50.0</v>
      </c>
      <c r="H679" s="1">
        <v>1.0</v>
      </c>
      <c r="I679" s="1">
        <v>7.0</v>
      </c>
      <c r="J679" s="1">
        <v>8.0</v>
      </c>
      <c r="K679" s="1">
        <v>37.0</v>
      </c>
      <c r="L679" s="1">
        <v>0.0</v>
      </c>
      <c r="M679" s="1">
        <v>0.0</v>
      </c>
      <c r="N679" s="1">
        <v>0.0</v>
      </c>
      <c r="O679" s="1">
        <v>0.0</v>
      </c>
      <c r="P679" s="1">
        <v>81.0</v>
      </c>
      <c r="Q679" s="1">
        <v>44.0</v>
      </c>
    </row>
    <row r="680">
      <c r="A680" s="2">
        <f t="shared" si="1"/>
        <v>678</v>
      </c>
      <c r="B680" s="1" t="s">
        <v>1895</v>
      </c>
      <c r="C680" s="1" t="s">
        <v>1067</v>
      </c>
      <c r="D680" s="1" t="s">
        <v>5</v>
      </c>
      <c r="E680" s="15">
        <f t="shared" si="2"/>
        <v>85.8</v>
      </c>
      <c r="F680" s="15">
        <f t="shared" si="3"/>
        <v>4.515789474</v>
      </c>
      <c r="G680" s="1">
        <v>19.0</v>
      </c>
      <c r="Q680" s="12"/>
      <c r="R680" s="1">
        <v>9.0</v>
      </c>
      <c r="S680" s="1">
        <v>68.0</v>
      </c>
      <c r="T680" s="1">
        <v>526.0</v>
      </c>
      <c r="U680" s="1">
        <v>1.0</v>
      </c>
    </row>
    <row r="681">
      <c r="A681" s="2">
        <f t="shared" si="1"/>
        <v>679</v>
      </c>
      <c r="B681" s="1" t="s">
        <v>1660</v>
      </c>
      <c r="C681" s="1" t="s">
        <v>1172</v>
      </c>
      <c r="D681" s="1" t="s">
        <v>36</v>
      </c>
      <c r="E681" s="15">
        <f t="shared" si="2"/>
        <v>85.75</v>
      </c>
      <c r="F681" s="15">
        <f t="shared" si="3"/>
        <v>3.72826087</v>
      </c>
      <c r="G681" s="1">
        <v>23.0</v>
      </c>
      <c r="H681" s="1">
        <v>7.0</v>
      </c>
      <c r="I681" s="1">
        <v>8.0</v>
      </c>
      <c r="J681" s="1">
        <v>15.0</v>
      </c>
      <c r="K681" s="1">
        <v>42.0</v>
      </c>
      <c r="L681" s="1">
        <v>0.0</v>
      </c>
      <c r="M681" s="1">
        <v>3.0</v>
      </c>
      <c r="N681" s="1">
        <v>0.0</v>
      </c>
      <c r="O681" s="1">
        <v>0.0</v>
      </c>
      <c r="P681" s="1">
        <v>7.0</v>
      </c>
      <c r="Q681" s="1">
        <v>15.0</v>
      </c>
    </row>
    <row r="682">
      <c r="A682" s="2">
        <f t="shared" si="1"/>
        <v>679</v>
      </c>
      <c r="B682" s="1" t="s">
        <v>1941</v>
      </c>
      <c r="C682" s="1" t="s">
        <v>1097</v>
      </c>
      <c r="D682" s="1" t="s">
        <v>31</v>
      </c>
      <c r="E682" s="15">
        <f t="shared" si="2"/>
        <v>85.75</v>
      </c>
      <c r="F682" s="15">
        <f t="shared" si="3"/>
        <v>1.864130435</v>
      </c>
      <c r="G682" s="1">
        <v>46.0</v>
      </c>
      <c r="H682" s="1">
        <v>6.0</v>
      </c>
      <c r="I682" s="1">
        <v>9.0</v>
      </c>
      <c r="J682" s="1">
        <v>15.0</v>
      </c>
      <c r="K682" s="1">
        <v>30.0</v>
      </c>
      <c r="L682" s="1">
        <v>1.0</v>
      </c>
      <c r="M682" s="1">
        <v>0.0</v>
      </c>
      <c r="N682" s="1">
        <v>0.0</v>
      </c>
      <c r="O682" s="1">
        <v>1.0</v>
      </c>
      <c r="P682" s="1">
        <v>23.0</v>
      </c>
      <c r="Q682" s="1">
        <v>18.0</v>
      </c>
    </row>
    <row r="683">
      <c r="A683" s="2">
        <f t="shared" si="1"/>
        <v>681</v>
      </c>
      <c r="B683" s="1" t="s">
        <v>1970</v>
      </c>
      <c r="C683" s="1" t="s">
        <v>1042</v>
      </c>
      <c r="D683" s="1" t="s">
        <v>66</v>
      </c>
      <c r="E683" s="15">
        <f t="shared" si="2"/>
        <v>84</v>
      </c>
      <c r="F683" s="15">
        <f t="shared" si="3"/>
        <v>1.68</v>
      </c>
      <c r="G683" s="1">
        <v>50.0</v>
      </c>
      <c r="H683" s="1">
        <v>2.0</v>
      </c>
      <c r="I683" s="1">
        <v>5.0</v>
      </c>
      <c r="J683" s="1">
        <v>7.0</v>
      </c>
      <c r="K683" s="1">
        <v>39.0</v>
      </c>
      <c r="L683" s="1">
        <v>0.0</v>
      </c>
      <c r="M683" s="1">
        <v>0.0</v>
      </c>
      <c r="N683" s="1">
        <v>0.0</v>
      </c>
      <c r="O683" s="1">
        <v>0.0</v>
      </c>
      <c r="P683" s="1">
        <v>58.0</v>
      </c>
      <c r="Q683" s="1">
        <v>52.0</v>
      </c>
      <c r="T683" s="12"/>
    </row>
    <row r="684">
      <c r="A684" s="2">
        <f t="shared" si="1"/>
        <v>682</v>
      </c>
      <c r="B684" s="1" t="s">
        <v>1776</v>
      </c>
      <c r="C684" s="1" t="s">
        <v>1069</v>
      </c>
      <c r="D684" s="1" t="s">
        <v>36</v>
      </c>
      <c r="E684" s="15">
        <f t="shared" si="2"/>
        <v>82.75</v>
      </c>
      <c r="F684" s="15">
        <f t="shared" si="3"/>
        <v>3.064814815</v>
      </c>
      <c r="G684" s="1">
        <v>27.0</v>
      </c>
      <c r="H684" s="1">
        <v>7.0</v>
      </c>
      <c r="I684" s="1">
        <v>4.0</v>
      </c>
      <c r="J684" s="1">
        <v>11.0</v>
      </c>
      <c r="K684" s="1">
        <v>47.0</v>
      </c>
      <c r="L684" s="1">
        <v>0.0</v>
      </c>
      <c r="M684" s="1">
        <v>0.0</v>
      </c>
      <c r="N684" s="1">
        <v>0.0</v>
      </c>
      <c r="O684" s="1">
        <v>0.0</v>
      </c>
      <c r="P684" s="1">
        <v>55.0</v>
      </c>
      <c r="Q684" s="1">
        <v>4.0</v>
      </c>
    </row>
    <row r="685">
      <c r="A685" s="2">
        <f t="shared" si="1"/>
        <v>683</v>
      </c>
      <c r="B685" s="1" t="s">
        <v>1737</v>
      </c>
      <c r="C685" s="1" t="s">
        <v>1052</v>
      </c>
      <c r="D685" s="1" t="s">
        <v>66</v>
      </c>
      <c r="E685" s="15">
        <f t="shared" si="2"/>
        <v>82.5</v>
      </c>
      <c r="F685" s="15">
        <f t="shared" si="3"/>
        <v>1.755319149</v>
      </c>
      <c r="G685" s="1">
        <v>47.0</v>
      </c>
      <c r="H685" s="1">
        <v>1.0</v>
      </c>
      <c r="I685" s="1">
        <v>4.0</v>
      </c>
      <c r="J685" s="1">
        <v>5.0</v>
      </c>
      <c r="K685" s="1">
        <v>36.0</v>
      </c>
      <c r="L685" s="1">
        <v>0.0</v>
      </c>
      <c r="M685" s="1">
        <v>0.0</v>
      </c>
      <c r="N685" s="1">
        <v>0.0</v>
      </c>
      <c r="O685" s="1">
        <v>0.0</v>
      </c>
      <c r="P685" s="1">
        <v>90.0</v>
      </c>
      <c r="Q685" s="1">
        <v>51.0</v>
      </c>
    </row>
    <row r="686">
      <c r="A686" s="2">
        <f t="shared" si="1"/>
        <v>683</v>
      </c>
      <c r="B686" s="1" t="s">
        <v>2127</v>
      </c>
      <c r="C686" s="1" t="s">
        <v>1570</v>
      </c>
      <c r="D686" s="1" t="s">
        <v>31</v>
      </c>
      <c r="E686" s="15">
        <f t="shared" si="2"/>
        <v>82.5</v>
      </c>
      <c r="F686" s="15">
        <f t="shared" si="3"/>
        <v>2.75</v>
      </c>
      <c r="G686" s="1">
        <v>30.0</v>
      </c>
      <c r="H686" s="1">
        <v>3.0</v>
      </c>
      <c r="I686" s="1">
        <v>5.0</v>
      </c>
      <c r="J686" s="1">
        <v>8.0</v>
      </c>
      <c r="K686" s="1">
        <v>44.0</v>
      </c>
      <c r="L686" s="1">
        <v>0.0</v>
      </c>
      <c r="M686" s="1">
        <v>0.0</v>
      </c>
      <c r="N686" s="1">
        <v>0.0</v>
      </c>
      <c r="O686" s="1">
        <v>1.0</v>
      </c>
      <c r="P686" s="1">
        <v>58.0</v>
      </c>
      <c r="Q686" s="1">
        <v>31.0</v>
      </c>
    </row>
    <row r="687">
      <c r="A687" s="2">
        <f t="shared" si="1"/>
        <v>685</v>
      </c>
      <c r="B687" s="1" t="s">
        <v>1464</v>
      </c>
      <c r="C687" s="1" t="s">
        <v>1156</v>
      </c>
      <c r="D687" s="1" t="s">
        <v>36</v>
      </c>
      <c r="E687" s="15">
        <f t="shared" si="2"/>
        <v>82.25</v>
      </c>
      <c r="F687" s="15">
        <f t="shared" si="3"/>
        <v>2.741666667</v>
      </c>
      <c r="G687" s="1">
        <v>30.0</v>
      </c>
      <c r="H687" s="1">
        <v>4.0</v>
      </c>
      <c r="I687" s="1">
        <v>9.0</v>
      </c>
      <c r="J687" s="1">
        <v>13.0</v>
      </c>
      <c r="K687" s="1">
        <v>44.0</v>
      </c>
      <c r="L687" s="1">
        <v>1.0</v>
      </c>
      <c r="M687" s="1">
        <v>1.0</v>
      </c>
      <c r="N687" s="1">
        <v>0.0</v>
      </c>
      <c r="O687" s="1">
        <v>0.0</v>
      </c>
      <c r="P687" s="1">
        <v>27.0</v>
      </c>
      <c r="Q687" s="1">
        <v>17.0</v>
      </c>
      <c r="T687" s="12"/>
    </row>
    <row r="688">
      <c r="A688" s="2">
        <f t="shared" si="1"/>
        <v>685</v>
      </c>
      <c r="B688" s="1" t="s">
        <v>1182</v>
      </c>
      <c r="C688" s="1" t="s">
        <v>1097</v>
      </c>
      <c r="D688" s="1" t="s">
        <v>28</v>
      </c>
      <c r="E688" s="15">
        <f t="shared" si="2"/>
        <v>82.25</v>
      </c>
      <c r="F688" s="15">
        <f t="shared" si="3"/>
        <v>2.108974359</v>
      </c>
      <c r="G688" s="1">
        <v>39.0</v>
      </c>
      <c r="H688" s="1">
        <v>4.0</v>
      </c>
      <c r="I688" s="1">
        <v>6.0</v>
      </c>
      <c r="J688" s="1">
        <v>10.0</v>
      </c>
      <c r="K688" s="1">
        <v>42.0</v>
      </c>
      <c r="L688" s="1">
        <v>1.0</v>
      </c>
      <c r="M688" s="1">
        <v>1.0</v>
      </c>
      <c r="N688" s="1">
        <v>0.0</v>
      </c>
      <c r="O688" s="1">
        <v>0.0</v>
      </c>
      <c r="P688" s="1">
        <v>53.0</v>
      </c>
      <c r="Q688" s="1">
        <v>24.0</v>
      </c>
    </row>
    <row r="689">
      <c r="A689" s="2">
        <f t="shared" si="1"/>
        <v>685</v>
      </c>
      <c r="B689" s="1" t="s">
        <v>1700</v>
      </c>
      <c r="C689" s="1" t="s">
        <v>1036</v>
      </c>
      <c r="D689" s="1" t="s">
        <v>31</v>
      </c>
      <c r="E689" s="15">
        <f t="shared" si="2"/>
        <v>82.25</v>
      </c>
      <c r="F689" s="15">
        <f t="shared" si="3"/>
        <v>1.612745098</v>
      </c>
      <c r="G689" s="1">
        <v>51.0</v>
      </c>
      <c r="H689" s="1">
        <v>3.0</v>
      </c>
      <c r="I689" s="1">
        <v>6.0</v>
      </c>
      <c r="J689" s="1">
        <v>9.0</v>
      </c>
      <c r="K689" s="1">
        <v>44.0</v>
      </c>
      <c r="L689" s="1">
        <v>0.0</v>
      </c>
      <c r="M689" s="1">
        <v>0.0</v>
      </c>
      <c r="N689" s="1">
        <v>0.0</v>
      </c>
      <c r="O689" s="1">
        <v>0.0</v>
      </c>
      <c r="P689" s="1">
        <v>83.0</v>
      </c>
      <c r="Q689" s="1">
        <v>16.0</v>
      </c>
    </row>
    <row r="690">
      <c r="A690" s="2">
        <f t="shared" si="1"/>
        <v>685</v>
      </c>
      <c r="B690" s="1" t="s">
        <v>1662</v>
      </c>
      <c r="C690" s="1" t="s">
        <v>1172</v>
      </c>
      <c r="D690" s="1" t="s">
        <v>31</v>
      </c>
      <c r="E690" s="15">
        <f t="shared" si="2"/>
        <v>82.25</v>
      </c>
      <c r="F690" s="15">
        <f t="shared" si="3"/>
        <v>1.551886792</v>
      </c>
      <c r="G690" s="1">
        <v>53.0</v>
      </c>
      <c r="H690" s="1">
        <v>2.0</v>
      </c>
      <c r="I690" s="1">
        <v>8.0</v>
      </c>
      <c r="J690" s="1">
        <v>10.0</v>
      </c>
      <c r="K690" s="1">
        <v>53.0</v>
      </c>
      <c r="L690" s="1">
        <v>0.0</v>
      </c>
      <c r="M690" s="1">
        <v>0.0</v>
      </c>
      <c r="N690" s="1">
        <v>0.0</v>
      </c>
      <c r="O690" s="1">
        <v>1.0</v>
      </c>
      <c r="P690" s="1">
        <v>49.0</v>
      </c>
      <c r="Q690" s="1">
        <v>17.0</v>
      </c>
    </row>
    <row r="691">
      <c r="A691" s="2">
        <f t="shared" si="1"/>
        <v>689</v>
      </c>
      <c r="B691" s="1" t="s">
        <v>2128</v>
      </c>
      <c r="C691" s="1" t="s">
        <v>1040</v>
      </c>
      <c r="D691" s="1" t="s">
        <v>66</v>
      </c>
      <c r="E691" s="15">
        <f t="shared" si="2"/>
        <v>80.75</v>
      </c>
      <c r="F691" s="15">
        <f t="shared" si="3"/>
        <v>1.922619048</v>
      </c>
      <c r="G691" s="1">
        <v>42.0</v>
      </c>
      <c r="H691" s="1">
        <v>1.0</v>
      </c>
      <c r="I691" s="1">
        <v>5.0</v>
      </c>
      <c r="J691" s="1">
        <v>6.0</v>
      </c>
      <c r="K691" s="1">
        <v>34.0</v>
      </c>
      <c r="L691" s="1">
        <v>0.0</v>
      </c>
      <c r="M691" s="1">
        <v>0.0</v>
      </c>
      <c r="N691" s="1">
        <v>0.0</v>
      </c>
      <c r="O691" s="1">
        <v>0.0</v>
      </c>
      <c r="P691" s="1">
        <v>63.0</v>
      </c>
      <c r="Q691" s="1">
        <v>57.0</v>
      </c>
    </row>
    <row r="692">
      <c r="A692" s="2">
        <f t="shared" si="1"/>
        <v>689</v>
      </c>
      <c r="B692" s="1" t="s">
        <v>2129</v>
      </c>
      <c r="C692" s="1" t="s">
        <v>1065</v>
      </c>
      <c r="D692" s="1" t="s">
        <v>66</v>
      </c>
      <c r="E692" s="15">
        <f t="shared" si="2"/>
        <v>80.75</v>
      </c>
      <c r="F692" s="15">
        <f t="shared" si="3"/>
        <v>1.552884615</v>
      </c>
      <c r="G692" s="1">
        <v>52.0</v>
      </c>
      <c r="H692" s="1">
        <v>0.0</v>
      </c>
      <c r="I692" s="1">
        <v>4.0</v>
      </c>
      <c r="J692" s="1">
        <v>4.0</v>
      </c>
      <c r="K692" s="1">
        <v>33.0</v>
      </c>
      <c r="L692" s="1">
        <v>0.0</v>
      </c>
      <c r="M692" s="1">
        <v>0.0</v>
      </c>
      <c r="N692" s="1">
        <v>0.0</v>
      </c>
      <c r="O692" s="1">
        <v>0.0</v>
      </c>
      <c r="P692" s="1">
        <v>49.0</v>
      </c>
      <c r="Q692" s="1">
        <v>80.0</v>
      </c>
    </row>
    <row r="693">
      <c r="A693" s="2">
        <f t="shared" si="1"/>
        <v>691</v>
      </c>
      <c r="B693" s="1" t="s">
        <v>1473</v>
      </c>
      <c r="C693" s="1" t="s">
        <v>1065</v>
      </c>
      <c r="D693" s="1" t="s">
        <v>36</v>
      </c>
      <c r="E693" s="15">
        <f t="shared" si="2"/>
        <v>79.25</v>
      </c>
      <c r="F693" s="15">
        <f t="shared" si="3"/>
        <v>1.467592593</v>
      </c>
      <c r="G693" s="1">
        <v>54.0</v>
      </c>
      <c r="H693" s="1">
        <v>6.0</v>
      </c>
      <c r="I693" s="1">
        <v>3.0</v>
      </c>
      <c r="J693" s="1">
        <v>9.0</v>
      </c>
      <c r="K693" s="1">
        <v>51.0</v>
      </c>
      <c r="L693" s="1">
        <v>0.0</v>
      </c>
      <c r="M693" s="1">
        <v>0.0</v>
      </c>
      <c r="N693" s="1">
        <v>0.0</v>
      </c>
      <c r="O693" s="1">
        <v>0.0</v>
      </c>
      <c r="P693" s="1">
        <v>35.0</v>
      </c>
      <c r="Q693" s="1">
        <v>18.0</v>
      </c>
    </row>
    <row r="694">
      <c r="A694" s="2">
        <f t="shared" si="1"/>
        <v>692</v>
      </c>
      <c r="B694" s="1" t="s">
        <v>1555</v>
      </c>
      <c r="C694" s="1" t="s">
        <v>1172</v>
      </c>
      <c r="D694" s="1" t="s">
        <v>66</v>
      </c>
      <c r="E694" s="15">
        <f t="shared" si="2"/>
        <v>77.25</v>
      </c>
      <c r="F694" s="15">
        <f t="shared" si="3"/>
        <v>1.643617021</v>
      </c>
      <c r="G694" s="1">
        <v>47.0</v>
      </c>
      <c r="H694" s="1">
        <v>0.0</v>
      </c>
      <c r="I694" s="1">
        <v>4.0</v>
      </c>
      <c r="J694" s="1">
        <v>4.0</v>
      </c>
      <c r="K694" s="1">
        <v>31.0</v>
      </c>
      <c r="L694" s="1">
        <v>0.0</v>
      </c>
      <c r="M694" s="1">
        <v>0.0</v>
      </c>
      <c r="N694" s="1">
        <v>0.0</v>
      </c>
      <c r="O694" s="1">
        <v>0.0</v>
      </c>
      <c r="P694" s="1">
        <v>133.0</v>
      </c>
      <c r="Q694" s="1">
        <v>33.0</v>
      </c>
    </row>
    <row r="695">
      <c r="A695" s="2">
        <f t="shared" si="1"/>
        <v>693</v>
      </c>
      <c r="B695" s="1" t="s">
        <v>1963</v>
      </c>
      <c r="C695" s="1" t="s">
        <v>1044</v>
      </c>
      <c r="D695" s="1" t="s">
        <v>5</v>
      </c>
      <c r="E695" s="15">
        <f t="shared" si="2"/>
        <v>76.8</v>
      </c>
      <c r="F695" s="15">
        <f t="shared" si="3"/>
        <v>4.042105263</v>
      </c>
      <c r="G695" s="1">
        <v>19.0</v>
      </c>
      <c r="Q695" s="12"/>
      <c r="R695" s="1">
        <v>8.0</v>
      </c>
      <c r="S695" s="1">
        <v>58.0</v>
      </c>
      <c r="T695" s="1">
        <v>466.0</v>
      </c>
      <c r="U695" s="1">
        <v>0.0</v>
      </c>
    </row>
    <row r="696">
      <c r="A696" s="2">
        <f t="shared" si="1"/>
        <v>694</v>
      </c>
      <c r="B696" s="1" t="s">
        <v>2130</v>
      </c>
      <c r="C696" s="1" t="s">
        <v>1046</v>
      </c>
      <c r="D696" s="1" t="s">
        <v>5</v>
      </c>
      <c r="E696" s="15">
        <f t="shared" si="2"/>
        <v>76.2</v>
      </c>
      <c r="F696" s="15">
        <f t="shared" si="3"/>
        <v>3.81</v>
      </c>
      <c r="G696" s="1">
        <v>20.0</v>
      </c>
      <c r="Q696" s="12"/>
      <c r="R696" s="1">
        <v>10.0</v>
      </c>
      <c r="S696" s="1">
        <v>62.0</v>
      </c>
      <c r="T696" s="1">
        <v>464.0</v>
      </c>
      <c r="U696" s="1">
        <v>0.0</v>
      </c>
    </row>
    <row r="697">
      <c r="A697" s="2">
        <f t="shared" si="1"/>
        <v>695</v>
      </c>
      <c r="B697" s="1" t="s">
        <v>1708</v>
      </c>
      <c r="C697" s="1" t="s">
        <v>1080</v>
      </c>
      <c r="D697" s="1" t="s">
        <v>66</v>
      </c>
      <c r="E697" s="15">
        <f t="shared" si="2"/>
        <v>76</v>
      </c>
      <c r="F697" s="15">
        <f t="shared" si="3"/>
        <v>2.451612903</v>
      </c>
      <c r="G697" s="1">
        <v>31.0</v>
      </c>
      <c r="H697" s="1">
        <v>3.0</v>
      </c>
      <c r="I697" s="1">
        <v>5.0</v>
      </c>
      <c r="J697" s="1">
        <v>8.0</v>
      </c>
      <c r="K697" s="1">
        <v>52.0</v>
      </c>
      <c r="L697" s="1">
        <v>0.0</v>
      </c>
      <c r="M697" s="1">
        <v>1.0</v>
      </c>
      <c r="N697" s="1">
        <v>0.0</v>
      </c>
      <c r="O697" s="1">
        <v>0.0</v>
      </c>
      <c r="P697" s="1">
        <v>18.0</v>
      </c>
      <c r="Q697" s="1">
        <v>34.0</v>
      </c>
    </row>
    <row r="698">
      <c r="A698" s="2">
        <f t="shared" si="1"/>
        <v>696</v>
      </c>
      <c r="B698" s="1" t="s">
        <v>1530</v>
      </c>
      <c r="C698" s="1" t="s">
        <v>1076</v>
      </c>
      <c r="D698" s="1" t="s">
        <v>66</v>
      </c>
      <c r="E698" s="15">
        <f t="shared" si="2"/>
        <v>75.5</v>
      </c>
      <c r="F698" s="15">
        <f t="shared" si="3"/>
        <v>1.797619048</v>
      </c>
      <c r="G698" s="1">
        <v>42.0</v>
      </c>
      <c r="H698" s="1">
        <v>2.0</v>
      </c>
      <c r="I698" s="1">
        <v>6.0</v>
      </c>
      <c r="J698" s="1">
        <v>8.0</v>
      </c>
      <c r="K698" s="1">
        <v>27.0</v>
      </c>
      <c r="L698" s="1">
        <v>0.0</v>
      </c>
      <c r="M698" s="1">
        <v>0.0</v>
      </c>
      <c r="N698" s="1">
        <v>0.0</v>
      </c>
      <c r="O698" s="1">
        <v>0.0</v>
      </c>
      <c r="P698" s="1">
        <v>64.0</v>
      </c>
      <c r="Q698" s="1">
        <v>38.0</v>
      </c>
    </row>
    <row r="699">
      <c r="A699" s="2">
        <f t="shared" si="1"/>
        <v>697</v>
      </c>
      <c r="B699" s="1" t="s">
        <v>1642</v>
      </c>
      <c r="C699" s="1" t="s">
        <v>1032</v>
      </c>
      <c r="D699" s="1" t="s">
        <v>28</v>
      </c>
      <c r="E699" s="15">
        <f t="shared" si="2"/>
        <v>75</v>
      </c>
      <c r="F699" s="15">
        <f t="shared" si="3"/>
        <v>2.027027027</v>
      </c>
      <c r="G699" s="1">
        <v>37.0</v>
      </c>
      <c r="H699" s="1">
        <v>5.0</v>
      </c>
      <c r="I699" s="1">
        <v>8.0</v>
      </c>
      <c r="J699" s="1">
        <v>13.0</v>
      </c>
      <c r="K699" s="1">
        <v>27.0</v>
      </c>
      <c r="L699" s="1">
        <v>1.0</v>
      </c>
      <c r="M699" s="1">
        <v>0.0</v>
      </c>
      <c r="N699" s="1">
        <v>0.0</v>
      </c>
      <c r="O699" s="1">
        <v>0.0</v>
      </c>
      <c r="P699" s="1">
        <v>24.0</v>
      </c>
      <c r="Q699" s="1">
        <v>18.0</v>
      </c>
    </row>
    <row r="700">
      <c r="A700" s="2">
        <f t="shared" si="1"/>
        <v>698</v>
      </c>
      <c r="B700" s="1" t="s">
        <v>1559</v>
      </c>
      <c r="C700" s="1" t="s">
        <v>1080</v>
      </c>
      <c r="D700" s="1" t="s">
        <v>5</v>
      </c>
      <c r="E700" s="15">
        <f t="shared" si="2"/>
        <v>74.7</v>
      </c>
      <c r="F700" s="15">
        <f t="shared" si="3"/>
        <v>6.790909091</v>
      </c>
      <c r="G700" s="1">
        <v>11.0</v>
      </c>
      <c r="R700" s="1">
        <v>7.0</v>
      </c>
      <c r="S700" s="1">
        <v>23.0</v>
      </c>
      <c r="T700" s="1">
        <v>294.0</v>
      </c>
      <c r="U700" s="1">
        <v>0.0</v>
      </c>
    </row>
    <row r="701">
      <c r="A701" s="2">
        <f t="shared" si="1"/>
        <v>699</v>
      </c>
      <c r="B701" s="1" t="s">
        <v>1674</v>
      </c>
      <c r="C701" s="1" t="s">
        <v>1172</v>
      </c>
      <c r="D701" s="1" t="s">
        <v>36</v>
      </c>
      <c r="E701" s="15">
        <f t="shared" si="2"/>
        <v>74</v>
      </c>
      <c r="F701" s="15">
        <f t="shared" si="3"/>
        <v>1.947368421</v>
      </c>
      <c r="G701" s="1">
        <v>38.0</v>
      </c>
      <c r="H701" s="1">
        <v>6.0</v>
      </c>
      <c r="I701" s="1">
        <v>3.0</v>
      </c>
      <c r="J701" s="1">
        <v>9.0</v>
      </c>
      <c r="K701" s="1">
        <v>41.0</v>
      </c>
      <c r="L701" s="1">
        <v>0.0</v>
      </c>
      <c r="M701" s="1">
        <v>0.0</v>
      </c>
      <c r="N701" s="1">
        <v>0.0</v>
      </c>
      <c r="O701" s="1">
        <v>0.0</v>
      </c>
      <c r="P701" s="1">
        <v>36.0</v>
      </c>
      <c r="Q701" s="1">
        <v>17.0</v>
      </c>
    </row>
    <row r="702">
      <c r="A702" s="2">
        <f t="shared" si="1"/>
        <v>700</v>
      </c>
      <c r="B702" s="1" t="s">
        <v>1832</v>
      </c>
      <c r="C702" s="1" t="s">
        <v>1106</v>
      </c>
      <c r="D702" s="1" t="s">
        <v>66</v>
      </c>
      <c r="E702" s="15">
        <f t="shared" si="2"/>
        <v>73.5</v>
      </c>
      <c r="F702" s="15">
        <f t="shared" si="3"/>
        <v>1.709302326</v>
      </c>
      <c r="G702" s="1">
        <v>43.0</v>
      </c>
      <c r="H702" s="1">
        <v>2.0</v>
      </c>
      <c r="I702" s="1">
        <v>3.0</v>
      </c>
      <c r="J702" s="1">
        <v>5.0</v>
      </c>
      <c r="K702" s="1">
        <v>30.0</v>
      </c>
      <c r="L702" s="1">
        <v>0.0</v>
      </c>
      <c r="M702" s="1">
        <v>0.0</v>
      </c>
      <c r="N702" s="1">
        <v>0.0</v>
      </c>
      <c r="O702" s="1">
        <v>0.0</v>
      </c>
      <c r="P702" s="1">
        <v>64.0</v>
      </c>
      <c r="Q702" s="1">
        <v>49.0</v>
      </c>
    </row>
    <row r="703">
      <c r="A703" s="2">
        <f t="shared" si="1"/>
        <v>701</v>
      </c>
      <c r="B703" s="1" t="s">
        <v>1521</v>
      </c>
      <c r="C703" s="1" t="s">
        <v>1073</v>
      </c>
      <c r="D703" s="1" t="s">
        <v>31</v>
      </c>
      <c r="E703" s="15">
        <f t="shared" si="2"/>
        <v>72.5</v>
      </c>
      <c r="F703" s="15">
        <f t="shared" si="3"/>
        <v>1.907894737</v>
      </c>
      <c r="G703" s="1">
        <v>38.0</v>
      </c>
      <c r="H703" s="1">
        <v>2.0</v>
      </c>
      <c r="I703" s="1">
        <v>6.0</v>
      </c>
      <c r="J703" s="1">
        <v>8.0</v>
      </c>
      <c r="K703" s="1">
        <v>69.0</v>
      </c>
      <c r="L703" s="1">
        <v>0.0</v>
      </c>
      <c r="M703" s="1">
        <v>1.0</v>
      </c>
      <c r="N703" s="1">
        <v>0.0</v>
      </c>
      <c r="O703" s="1">
        <v>0.0</v>
      </c>
      <c r="P703" s="1">
        <v>12.0</v>
      </c>
      <c r="Q703" s="1">
        <v>16.0</v>
      </c>
    </row>
    <row r="704">
      <c r="A704" s="2">
        <f t="shared" si="1"/>
        <v>702</v>
      </c>
      <c r="B704" s="1" t="s">
        <v>1537</v>
      </c>
      <c r="C704" s="1" t="s">
        <v>1065</v>
      </c>
      <c r="D704" s="1" t="s">
        <v>5</v>
      </c>
      <c r="E704" s="15">
        <f t="shared" si="2"/>
        <v>71.4</v>
      </c>
      <c r="F704" s="15">
        <f t="shared" si="3"/>
        <v>3.757894737</v>
      </c>
      <c r="G704" s="1">
        <v>19.0</v>
      </c>
      <c r="R704" s="1">
        <v>5.0</v>
      </c>
      <c r="S704" s="1">
        <v>51.0</v>
      </c>
      <c r="T704" s="1">
        <v>443.0</v>
      </c>
      <c r="U704" s="1">
        <v>0.0</v>
      </c>
    </row>
    <row r="705">
      <c r="A705" s="2">
        <f t="shared" si="1"/>
        <v>703</v>
      </c>
      <c r="B705" s="1" t="s">
        <v>2034</v>
      </c>
      <c r="C705" s="1" t="s">
        <v>1111</v>
      </c>
      <c r="D705" s="1" t="s">
        <v>66</v>
      </c>
      <c r="E705" s="15">
        <f t="shared" si="2"/>
        <v>70.75</v>
      </c>
      <c r="F705" s="15">
        <f t="shared" si="3"/>
        <v>2.358333333</v>
      </c>
      <c r="G705" s="1">
        <v>30.0</v>
      </c>
      <c r="H705" s="1">
        <v>3.0</v>
      </c>
      <c r="I705" s="1">
        <v>4.0</v>
      </c>
      <c r="J705" s="1">
        <v>7.0</v>
      </c>
      <c r="K705" s="1">
        <v>31.0</v>
      </c>
      <c r="L705" s="1">
        <v>0.0</v>
      </c>
      <c r="M705" s="1">
        <v>0.0</v>
      </c>
      <c r="N705" s="1">
        <v>0.0</v>
      </c>
      <c r="O705" s="1">
        <v>0.0</v>
      </c>
      <c r="P705" s="1">
        <v>61.0</v>
      </c>
      <c r="Q705" s="1">
        <v>29.0</v>
      </c>
    </row>
    <row r="706">
      <c r="A706" s="2">
        <f t="shared" si="1"/>
        <v>704</v>
      </c>
      <c r="B706" s="1" t="s">
        <v>1771</v>
      </c>
      <c r="C706" s="1" t="s">
        <v>1032</v>
      </c>
      <c r="D706" s="1" t="s">
        <v>66</v>
      </c>
      <c r="E706" s="15">
        <f t="shared" si="2"/>
        <v>69.25</v>
      </c>
      <c r="F706" s="15">
        <f t="shared" si="3"/>
        <v>2.564814815</v>
      </c>
      <c r="G706" s="1">
        <v>27.0</v>
      </c>
      <c r="H706" s="1">
        <v>2.0</v>
      </c>
      <c r="I706" s="1">
        <v>12.0</v>
      </c>
      <c r="J706" s="1">
        <v>14.0</v>
      </c>
      <c r="K706" s="1">
        <v>19.0</v>
      </c>
      <c r="L706" s="1">
        <v>0.0</v>
      </c>
      <c r="M706" s="1">
        <v>4.0</v>
      </c>
      <c r="N706" s="1">
        <v>0.0</v>
      </c>
      <c r="O706" s="1">
        <v>0.0</v>
      </c>
      <c r="P706" s="1">
        <v>23.0</v>
      </c>
      <c r="Q706" s="1">
        <v>18.0</v>
      </c>
    </row>
    <row r="707">
      <c r="A707" s="2">
        <f t="shared" si="1"/>
        <v>705</v>
      </c>
      <c r="B707" s="1" t="s">
        <v>2131</v>
      </c>
      <c r="C707" s="1" t="s">
        <v>1116</v>
      </c>
      <c r="D707" s="1" t="s">
        <v>31</v>
      </c>
      <c r="E707" s="15">
        <f t="shared" si="2"/>
        <v>68.75</v>
      </c>
      <c r="F707" s="15">
        <f t="shared" si="3"/>
        <v>1.462765957</v>
      </c>
      <c r="G707" s="1">
        <v>47.0</v>
      </c>
      <c r="H707" s="1">
        <v>3.0</v>
      </c>
      <c r="I707" s="1">
        <v>4.0</v>
      </c>
      <c r="J707" s="1">
        <v>7.0</v>
      </c>
      <c r="K707" s="1">
        <v>48.0</v>
      </c>
      <c r="L707" s="1">
        <v>0.0</v>
      </c>
      <c r="M707" s="1">
        <v>0.0</v>
      </c>
      <c r="N707" s="1">
        <v>0.0</v>
      </c>
      <c r="O707" s="1">
        <v>0.0</v>
      </c>
      <c r="P707" s="1">
        <v>41.0</v>
      </c>
      <c r="Q707" s="1">
        <v>18.0</v>
      </c>
    </row>
    <row r="708">
      <c r="A708" s="2">
        <f t="shared" si="1"/>
        <v>705</v>
      </c>
      <c r="B708" s="1" t="s">
        <v>1512</v>
      </c>
      <c r="C708" s="1" t="s">
        <v>1087</v>
      </c>
      <c r="D708" s="1" t="s">
        <v>36</v>
      </c>
      <c r="E708" s="15">
        <f t="shared" si="2"/>
        <v>68.75</v>
      </c>
      <c r="F708" s="15">
        <f t="shared" si="3"/>
        <v>1.375</v>
      </c>
      <c r="G708" s="1">
        <v>50.0</v>
      </c>
      <c r="H708" s="1">
        <v>6.0</v>
      </c>
      <c r="I708" s="1">
        <v>3.0</v>
      </c>
      <c r="J708" s="1">
        <v>9.0</v>
      </c>
      <c r="K708" s="1">
        <v>39.0</v>
      </c>
      <c r="L708" s="1">
        <v>0.0</v>
      </c>
      <c r="M708" s="1">
        <v>0.0</v>
      </c>
      <c r="N708" s="1">
        <v>0.0</v>
      </c>
      <c r="O708" s="1">
        <v>0.0</v>
      </c>
      <c r="P708" s="1">
        <v>9.0</v>
      </c>
      <c r="Q708" s="1">
        <v>22.0</v>
      </c>
    </row>
    <row r="709">
      <c r="A709" s="2">
        <f t="shared" si="1"/>
        <v>707</v>
      </c>
      <c r="B709" s="1" t="s">
        <v>1854</v>
      </c>
      <c r="C709" s="1" t="s">
        <v>1036</v>
      </c>
      <c r="D709" s="1" t="s">
        <v>31</v>
      </c>
      <c r="E709" s="15">
        <f t="shared" si="2"/>
        <v>68.5</v>
      </c>
      <c r="F709" s="15">
        <f t="shared" si="3"/>
        <v>1.457446809</v>
      </c>
      <c r="G709" s="1">
        <v>47.0</v>
      </c>
      <c r="H709" s="1">
        <v>1.0</v>
      </c>
      <c r="I709" s="1">
        <v>8.0</v>
      </c>
      <c r="J709" s="1">
        <v>9.0</v>
      </c>
      <c r="K709" s="1">
        <v>33.0</v>
      </c>
      <c r="L709" s="1">
        <v>0.0</v>
      </c>
      <c r="M709" s="1">
        <v>0.0</v>
      </c>
      <c r="N709" s="1">
        <v>0.0</v>
      </c>
      <c r="O709" s="1">
        <v>0.0</v>
      </c>
      <c r="P709" s="1">
        <v>46.0</v>
      </c>
      <c r="Q709" s="1">
        <v>24.0</v>
      </c>
    </row>
    <row r="710">
      <c r="A710" s="2">
        <f t="shared" si="1"/>
        <v>708</v>
      </c>
      <c r="B710" s="1" t="s">
        <v>2076</v>
      </c>
      <c r="C710" s="1" t="s">
        <v>1065</v>
      </c>
      <c r="D710" s="1" t="s">
        <v>28</v>
      </c>
      <c r="E710" s="15">
        <f t="shared" si="2"/>
        <v>68.25</v>
      </c>
      <c r="F710" s="15">
        <f t="shared" si="3"/>
        <v>1.240909091</v>
      </c>
      <c r="G710" s="1">
        <v>55.0</v>
      </c>
      <c r="H710" s="1">
        <v>2.0</v>
      </c>
      <c r="I710" s="1">
        <v>6.0</v>
      </c>
      <c r="J710" s="1">
        <v>8.0</v>
      </c>
      <c r="K710" s="1">
        <v>36.0</v>
      </c>
      <c r="L710" s="1">
        <v>0.0</v>
      </c>
      <c r="M710" s="1">
        <v>0.0</v>
      </c>
      <c r="N710" s="1">
        <v>0.0</v>
      </c>
      <c r="O710" s="1">
        <v>0.0</v>
      </c>
      <c r="P710" s="1">
        <v>47.0</v>
      </c>
      <c r="Q710" s="1">
        <v>23.0</v>
      </c>
    </row>
    <row r="711">
      <c r="A711" s="2">
        <f t="shared" si="1"/>
        <v>709</v>
      </c>
      <c r="B711" s="1" t="s">
        <v>1837</v>
      </c>
      <c r="C711" s="1" t="s">
        <v>1046</v>
      </c>
      <c r="D711" s="1" t="s">
        <v>36</v>
      </c>
      <c r="E711" s="15">
        <f t="shared" si="2"/>
        <v>68</v>
      </c>
      <c r="F711" s="15">
        <f t="shared" si="3"/>
        <v>1.743589744</v>
      </c>
      <c r="G711" s="1">
        <v>39.0</v>
      </c>
      <c r="H711" s="1">
        <v>4.0</v>
      </c>
      <c r="I711" s="1">
        <v>3.0</v>
      </c>
      <c r="J711" s="1">
        <v>7.0</v>
      </c>
      <c r="K711" s="1">
        <v>41.0</v>
      </c>
      <c r="L711" s="1">
        <v>0.0</v>
      </c>
      <c r="M711" s="1">
        <v>0.0</v>
      </c>
      <c r="N711" s="1">
        <v>0.0</v>
      </c>
      <c r="O711" s="1">
        <v>0.0</v>
      </c>
      <c r="P711" s="1">
        <v>52.0</v>
      </c>
      <c r="Q711" s="1">
        <v>15.0</v>
      </c>
    </row>
    <row r="712">
      <c r="A712" s="2">
        <f t="shared" si="1"/>
        <v>709</v>
      </c>
      <c r="B712" s="1" t="s">
        <v>2132</v>
      </c>
      <c r="C712" s="1" t="s">
        <v>1030</v>
      </c>
      <c r="D712" s="1" t="s">
        <v>66</v>
      </c>
      <c r="E712" s="15">
        <f t="shared" si="2"/>
        <v>68</v>
      </c>
      <c r="F712" s="15">
        <f t="shared" si="3"/>
        <v>1.446808511</v>
      </c>
      <c r="G712" s="1">
        <v>47.0</v>
      </c>
      <c r="H712" s="1">
        <v>4.0</v>
      </c>
      <c r="I712" s="1">
        <v>6.0</v>
      </c>
      <c r="J712" s="1">
        <v>10.0</v>
      </c>
      <c r="K712" s="1">
        <v>46.0</v>
      </c>
      <c r="L712" s="1">
        <v>0.0</v>
      </c>
      <c r="M712" s="1">
        <v>0.0</v>
      </c>
      <c r="N712" s="1">
        <v>0.0</v>
      </c>
      <c r="O712" s="1">
        <v>0.0</v>
      </c>
      <c r="P712" s="1">
        <v>16.0</v>
      </c>
      <c r="Q712" s="1">
        <v>10.0</v>
      </c>
    </row>
    <row r="713">
      <c r="A713" s="2">
        <f t="shared" si="1"/>
        <v>711</v>
      </c>
      <c r="B713" s="1" t="s">
        <v>1632</v>
      </c>
      <c r="C713" s="1" t="s">
        <v>1156</v>
      </c>
      <c r="D713" s="1" t="s">
        <v>5</v>
      </c>
      <c r="E713" s="15">
        <f t="shared" si="2"/>
        <v>67.8</v>
      </c>
      <c r="F713" s="15">
        <f t="shared" si="3"/>
        <v>3.988235294</v>
      </c>
      <c r="G713" s="1">
        <v>17.0</v>
      </c>
      <c r="R713" s="1">
        <v>4.0</v>
      </c>
      <c r="S713" s="1">
        <v>57.0</v>
      </c>
      <c r="T713" s="1">
        <v>471.0</v>
      </c>
      <c r="U713" s="1">
        <v>0.0</v>
      </c>
    </row>
    <row r="714">
      <c r="A714" s="2">
        <f t="shared" si="1"/>
        <v>712</v>
      </c>
      <c r="B714" s="1" t="s">
        <v>2133</v>
      </c>
      <c r="C714" s="1" t="s">
        <v>1042</v>
      </c>
      <c r="D714" s="1" t="s">
        <v>31</v>
      </c>
      <c r="E714" s="15">
        <f t="shared" si="2"/>
        <v>67.25</v>
      </c>
      <c r="F714" s="15">
        <f t="shared" si="3"/>
        <v>1.461956522</v>
      </c>
      <c r="G714" s="1">
        <v>46.0</v>
      </c>
      <c r="H714" s="1">
        <v>2.0</v>
      </c>
      <c r="I714" s="1">
        <v>6.0</v>
      </c>
      <c r="J714" s="1">
        <v>8.0</v>
      </c>
      <c r="K714" s="1">
        <v>54.0</v>
      </c>
      <c r="L714" s="1">
        <v>0.0</v>
      </c>
      <c r="M714" s="1">
        <v>0.0</v>
      </c>
      <c r="N714" s="1">
        <v>1.0</v>
      </c>
      <c r="O714" s="1">
        <v>0.0</v>
      </c>
      <c r="P714" s="1">
        <v>23.0</v>
      </c>
      <c r="Q714" s="1">
        <v>11.0</v>
      </c>
    </row>
    <row r="715">
      <c r="A715" s="2">
        <f t="shared" si="1"/>
        <v>713</v>
      </c>
      <c r="B715" s="1" t="s">
        <v>1792</v>
      </c>
      <c r="C715" s="1" t="s">
        <v>1175</v>
      </c>
      <c r="D715" s="1" t="s">
        <v>28</v>
      </c>
      <c r="E715" s="15">
        <f t="shared" si="2"/>
        <v>67</v>
      </c>
      <c r="F715" s="15">
        <f t="shared" si="3"/>
        <v>1.914285714</v>
      </c>
      <c r="G715" s="1">
        <v>35.0</v>
      </c>
      <c r="H715" s="1">
        <v>3.0</v>
      </c>
      <c r="I715" s="1">
        <v>4.0</v>
      </c>
      <c r="J715" s="1">
        <v>7.0</v>
      </c>
      <c r="K715" s="1">
        <v>32.0</v>
      </c>
      <c r="L715" s="1">
        <v>0.0</v>
      </c>
      <c r="M715" s="1">
        <v>0.0</v>
      </c>
      <c r="N715" s="1">
        <v>0.0</v>
      </c>
      <c r="O715" s="1">
        <v>0.0</v>
      </c>
      <c r="P715" s="1">
        <v>92.0</v>
      </c>
      <c r="Q715" s="1">
        <v>5.0</v>
      </c>
      <c r="T715" s="12"/>
    </row>
    <row r="716">
      <c r="A716" s="2">
        <f t="shared" si="1"/>
        <v>714</v>
      </c>
      <c r="B716" s="1" t="s">
        <v>1495</v>
      </c>
      <c r="C716" s="1" t="s">
        <v>1120</v>
      </c>
      <c r="D716" s="1" t="s">
        <v>5</v>
      </c>
      <c r="E716" s="15">
        <f t="shared" si="2"/>
        <v>66.6</v>
      </c>
      <c r="F716" s="15">
        <f t="shared" si="3"/>
        <v>4.44</v>
      </c>
      <c r="G716" s="1">
        <v>15.0</v>
      </c>
      <c r="R716" s="1">
        <v>5.0</v>
      </c>
      <c r="S716" s="1">
        <v>49.0</v>
      </c>
      <c r="T716" s="1">
        <v>417.0</v>
      </c>
      <c r="U716" s="1">
        <v>0.0</v>
      </c>
    </row>
    <row r="717">
      <c r="A717" s="2">
        <f t="shared" si="1"/>
        <v>715</v>
      </c>
      <c r="B717" s="1" t="s">
        <v>1816</v>
      </c>
      <c r="C717" s="1" t="s">
        <v>1030</v>
      </c>
      <c r="D717" s="1" t="s">
        <v>66</v>
      </c>
      <c r="E717" s="15">
        <f t="shared" si="2"/>
        <v>66.5</v>
      </c>
      <c r="F717" s="15">
        <f t="shared" si="3"/>
        <v>1.511363636</v>
      </c>
      <c r="G717" s="1">
        <v>44.0</v>
      </c>
      <c r="H717" s="1">
        <v>1.0</v>
      </c>
      <c r="I717" s="1">
        <v>5.0</v>
      </c>
      <c r="J717" s="1">
        <v>6.0</v>
      </c>
      <c r="K717" s="1">
        <v>20.0</v>
      </c>
      <c r="L717" s="1">
        <v>0.0</v>
      </c>
      <c r="M717" s="1">
        <v>0.0</v>
      </c>
      <c r="N717" s="1">
        <v>0.0</v>
      </c>
      <c r="O717" s="1">
        <v>0.0</v>
      </c>
      <c r="P717" s="1">
        <v>86.0</v>
      </c>
      <c r="Q717" s="1">
        <v>31.0</v>
      </c>
    </row>
    <row r="718">
      <c r="A718" s="2">
        <f t="shared" si="1"/>
        <v>716</v>
      </c>
      <c r="B718" s="1" t="s">
        <v>2005</v>
      </c>
      <c r="C718" s="1" t="s">
        <v>1111</v>
      </c>
      <c r="D718" s="1" t="s">
        <v>66</v>
      </c>
      <c r="E718" s="15">
        <f t="shared" si="2"/>
        <v>66.25</v>
      </c>
      <c r="F718" s="15">
        <f t="shared" si="3"/>
        <v>2.208333333</v>
      </c>
      <c r="G718" s="1">
        <v>30.0</v>
      </c>
      <c r="H718" s="1">
        <v>0.0</v>
      </c>
      <c r="I718" s="1">
        <v>9.0</v>
      </c>
      <c r="J718" s="1">
        <v>9.0</v>
      </c>
      <c r="K718" s="1">
        <v>31.0</v>
      </c>
      <c r="L718" s="1">
        <v>0.0</v>
      </c>
      <c r="M718" s="1">
        <v>3.0</v>
      </c>
      <c r="N718" s="1">
        <v>0.0</v>
      </c>
      <c r="O718" s="1">
        <v>0.0</v>
      </c>
      <c r="P718" s="1">
        <v>17.0</v>
      </c>
      <c r="Q718" s="1">
        <v>39.0</v>
      </c>
      <c r="T718" s="12"/>
    </row>
    <row r="719">
      <c r="A719" s="2">
        <f t="shared" si="1"/>
        <v>717</v>
      </c>
      <c r="B719" s="1" t="s">
        <v>2134</v>
      </c>
      <c r="C719" s="1" t="s">
        <v>1046</v>
      </c>
      <c r="D719" s="1" t="s">
        <v>36</v>
      </c>
      <c r="E719" s="15">
        <f t="shared" si="2"/>
        <v>66</v>
      </c>
      <c r="F719" s="15">
        <f t="shared" si="3"/>
        <v>1.5</v>
      </c>
      <c r="G719" s="1">
        <v>44.0</v>
      </c>
      <c r="H719" s="1">
        <v>4.0</v>
      </c>
      <c r="I719" s="1">
        <v>4.0</v>
      </c>
      <c r="J719" s="1">
        <v>8.0</v>
      </c>
      <c r="K719" s="1">
        <v>43.0</v>
      </c>
      <c r="L719" s="1">
        <v>1.0</v>
      </c>
      <c r="M719" s="1">
        <v>2.0</v>
      </c>
      <c r="N719" s="1">
        <v>0.0</v>
      </c>
      <c r="O719" s="1">
        <v>0.0</v>
      </c>
      <c r="P719" s="1">
        <v>28.0</v>
      </c>
      <c r="Q719" s="1">
        <v>15.0</v>
      </c>
    </row>
    <row r="720">
      <c r="A720" s="2">
        <f t="shared" si="1"/>
        <v>717</v>
      </c>
      <c r="B720" s="1" t="s">
        <v>1921</v>
      </c>
      <c r="C720" s="1" t="s">
        <v>1036</v>
      </c>
      <c r="D720" s="1" t="s">
        <v>66</v>
      </c>
      <c r="E720" s="15">
        <f t="shared" si="2"/>
        <v>66</v>
      </c>
      <c r="F720" s="15">
        <f t="shared" si="3"/>
        <v>1.434782609</v>
      </c>
      <c r="G720" s="1">
        <v>46.0</v>
      </c>
      <c r="H720" s="1">
        <v>1.0</v>
      </c>
      <c r="I720" s="1">
        <v>7.0</v>
      </c>
      <c r="J720" s="1">
        <v>8.0</v>
      </c>
      <c r="K720" s="1">
        <v>32.0</v>
      </c>
      <c r="L720" s="1">
        <v>0.0</v>
      </c>
      <c r="M720" s="1">
        <v>0.0</v>
      </c>
      <c r="N720" s="1">
        <v>0.0</v>
      </c>
      <c r="O720" s="1">
        <v>0.0</v>
      </c>
      <c r="P720" s="1">
        <v>28.0</v>
      </c>
      <c r="Q720" s="1">
        <v>35.0</v>
      </c>
    </row>
    <row r="721">
      <c r="A721" s="2">
        <f t="shared" si="1"/>
        <v>719</v>
      </c>
      <c r="B721" s="1" t="s">
        <v>2135</v>
      </c>
      <c r="C721" s="1" t="s">
        <v>1097</v>
      </c>
      <c r="D721" s="1" t="s">
        <v>66</v>
      </c>
      <c r="E721" s="15">
        <f t="shared" si="2"/>
        <v>65.25</v>
      </c>
      <c r="F721" s="15">
        <f t="shared" si="3"/>
        <v>1.418478261</v>
      </c>
      <c r="G721" s="1">
        <v>46.0</v>
      </c>
      <c r="H721" s="1">
        <v>0.0</v>
      </c>
      <c r="I721" s="1">
        <v>6.0</v>
      </c>
      <c r="J721" s="1">
        <v>6.0</v>
      </c>
      <c r="K721" s="1">
        <v>31.0</v>
      </c>
      <c r="L721" s="1">
        <v>0.0</v>
      </c>
      <c r="M721" s="1">
        <v>2.0</v>
      </c>
      <c r="N721" s="1">
        <v>0.0</v>
      </c>
      <c r="O721" s="1">
        <v>0.0</v>
      </c>
      <c r="P721" s="1">
        <v>25.0</v>
      </c>
      <c r="Q721" s="1">
        <v>51.0</v>
      </c>
    </row>
    <row r="722">
      <c r="A722" s="2">
        <f t="shared" si="1"/>
        <v>719</v>
      </c>
      <c r="B722" s="1" t="s">
        <v>1428</v>
      </c>
      <c r="C722" s="1" t="s">
        <v>1042</v>
      </c>
      <c r="D722" s="1" t="s">
        <v>31</v>
      </c>
      <c r="E722" s="15">
        <f t="shared" si="2"/>
        <v>65.25</v>
      </c>
      <c r="F722" s="15">
        <f t="shared" si="3"/>
        <v>2.0390625</v>
      </c>
      <c r="G722" s="1">
        <v>32.0</v>
      </c>
      <c r="H722" s="1">
        <v>2.0</v>
      </c>
      <c r="I722" s="1">
        <v>2.0</v>
      </c>
      <c r="J722" s="1">
        <v>4.0</v>
      </c>
      <c r="K722" s="1">
        <v>39.0</v>
      </c>
      <c r="L722" s="1">
        <v>0.0</v>
      </c>
      <c r="M722" s="1">
        <v>0.0</v>
      </c>
      <c r="N722" s="1">
        <v>0.0</v>
      </c>
      <c r="O722" s="1">
        <v>1.0</v>
      </c>
      <c r="P722" s="1">
        <v>75.0</v>
      </c>
      <c r="Q722" s="1">
        <v>20.0</v>
      </c>
      <c r="T722" s="12"/>
    </row>
    <row r="723">
      <c r="A723" s="2">
        <f t="shared" si="1"/>
        <v>721</v>
      </c>
      <c r="B723" s="1" t="s">
        <v>1484</v>
      </c>
      <c r="C723" s="1" t="s">
        <v>1120</v>
      </c>
      <c r="D723" s="1" t="s">
        <v>36</v>
      </c>
      <c r="E723" s="15">
        <f t="shared" si="2"/>
        <v>64</v>
      </c>
      <c r="F723" s="15">
        <f t="shared" si="3"/>
        <v>2.133333333</v>
      </c>
      <c r="G723" s="1">
        <v>30.0</v>
      </c>
      <c r="H723" s="1">
        <v>3.0</v>
      </c>
      <c r="I723" s="1">
        <v>4.0</v>
      </c>
      <c r="J723" s="1">
        <v>7.0</v>
      </c>
      <c r="K723" s="1">
        <v>51.0</v>
      </c>
      <c r="L723" s="1">
        <v>0.0</v>
      </c>
      <c r="M723" s="1">
        <v>0.0</v>
      </c>
      <c r="N723" s="1">
        <v>0.0</v>
      </c>
      <c r="O723" s="1">
        <v>0.0</v>
      </c>
      <c r="P723" s="1">
        <v>22.0</v>
      </c>
      <c r="Q723" s="1">
        <v>15.0</v>
      </c>
    </row>
    <row r="724">
      <c r="A724" s="2">
        <f t="shared" si="1"/>
        <v>722</v>
      </c>
      <c r="B724" s="1" t="s">
        <v>2136</v>
      </c>
      <c r="C724" s="1" t="s">
        <v>1570</v>
      </c>
      <c r="D724" s="1" t="s">
        <v>66</v>
      </c>
      <c r="E724" s="15">
        <f t="shared" si="2"/>
        <v>63.25</v>
      </c>
      <c r="F724" s="15">
        <f t="shared" si="3"/>
        <v>1.240196078</v>
      </c>
      <c r="G724" s="1">
        <v>51.0</v>
      </c>
      <c r="H724" s="1">
        <v>0.0</v>
      </c>
      <c r="I724" s="1">
        <v>2.0</v>
      </c>
      <c r="J724" s="1">
        <v>2.0</v>
      </c>
      <c r="K724" s="1">
        <v>42.0</v>
      </c>
      <c r="L724" s="1">
        <v>0.0</v>
      </c>
      <c r="M724" s="1">
        <v>0.0</v>
      </c>
      <c r="N724" s="1">
        <v>0.0</v>
      </c>
      <c r="O724" s="1">
        <v>0.0</v>
      </c>
      <c r="P724" s="1">
        <v>47.0</v>
      </c>
      <c r="Q724" s="1">
        <v>49.0</v>
      </c>
      <c r="T724" s="12"/>
    </row>
    <row r="725">
      <c r="A725" s="2">
        <f t="shared" si="1"/>
        <v>723</v>
      </c>
      <c r="B725" s="1" t="s">
        <v>1563</v>
      </c>
      <c r="C725" s="1" t="s">
        <v>1080</v>
      </c>
      <c r="D725" s="1" t="s">
        <v>28</v>
      </c>
      <c r="E725" s="15">
        <f t="shared" si="2"/>
        <v>62.75</v>
      </c>
      <c r="F725" s="15">
        <f t="shared" si="3"/>
        <v>3.486111111</v>
      </c>
      <c r="G725" s="1">
        <v>18.0</v>
      </c>
      <c r="H725" s="1">
        <v>7.0</v>
      </c>
      <c r="I725" s="1">
        <v>2.0</v>
      </c>
      <c r="J725" s="1">
        <v>9.0</v>
      </c>
      <c r="K725" s="1">
        <v>40.0</v>
      </c>
      <c r="L725" s="1">
        <v>2.0</v>
      </c>
      <c r="M725" s="1">
        <v>1.0</v>
      </c>
      <c r="N725" s="1">
        <v>0.0</v>
      </c>
      <c r="O725" s="1">
        <v>0.0</v>
      </c>
      <c r="P725" s="1">
        <v>3.0</v>
      </c>
      <c r="Q725" s="1">
        <v>9.0</v>
      </c>
    </row>
    <row r="726">
      <c r="A726" s="2">
        <f t="shared" si="1"/>
        <v>724</v>
      </c>
      <c r="B726" s="1" t="s">
        <v>1155</v>
      </c>
      <c r="C726" s="1" t="s">
        <v>1156</v>
      </c>
      <c r="D726" s="1" t="s">
        <v>66</v>
      </c>
      <c r="E726" s="15">
        <f t="shared" si="2"/>
        <v>62.25</v>
      </c>
      <c r="F726" s="15">
        <f t="shared" si="3"/>
        <v>4.788461538</v>
      </c>
      <c r="G726" s="1">
        <v>13.0</v>
      </c>
      <c r="H726" s="1">
        <v>3.0</v>
      </c>
      <c r="I726" s="1">
        <v>5.0</v>
      </c>
      <c r="J726" s="1">
        <v>8.0</v>
      </c>
      <c r="K726" s="1">
        <v>41.0</v>
      </c>
      <c r="L726" s="1">
        <v>0.0</v>
      </c>
      <c r="M726" s="1">
        <v>2.0</v>
      </c>
      <c r="N726" s="1">
        <v>0.0</v>
      </c>
      <c r="O726" s="1">
        <v>0.0</v>
      </c>
      <c r="P726" s="1">
        <v>5.0</v>
      </c>
      <c r="Q726" s="1">
        <v>24.0</v>
      </c>
    </row>
    <row r="727">
      <c r="A727" s="2">
        <f t="shared" si="1"/>
        <v>725</v>
      </c>
      <c r="B727" s="1" t="s">
        <v>1782</v>
      </c>
      <c r="C727" s="1" t="s">
        <v>1082</v>
      </c>
      <c r="D727" s="1" t="s">
        <v>66</v>
      </c>
      <c r="E727" s="15">
        <f t="shared" si="2"/>
        <v>61.25</v>
      </c>
      <c r="F727" s="15">
        <f t="shared" si="3"/>
        <v>1.9140625</v>
      </c>
      <c r="G727" s="1">
        <v>32.0</v>
      </c>
      <c r="H727" s="1">
        <v>0.0</v>
      </c>
      <c r="I727" s="1">
        <v>5.0</v>
      </c>
      <c r="J727" s="1">
        <v>5.0</v>
      </c>
      <c r="K727" s="1">
        <v>28.0</v>
      </c>
      <c r="L727" s="1">
        <v>0.0</v>
      </c>
      <c r="M727" s="1">
        <v>0.0</v>
      </c>
      <c r="N727" s="1">
        <v>0.0</v>
      </c>
      <c r="O727" s="1">
        <v>0.0</v>
      </c>
      <c r="P727" s="1">
        <v>33.0</v>
      </c>
      <c r="Q727" s="1">
        <v>48.0</v>
      </c>
      <c r="T727" s="12"/>
    </row>
    <row r="728">
      <c r="A728" s="2">
        <f t="shared" si="1"/>
        <v>725</v>
      </c>
      <c r="B728" s="1" t="s">
        <v>1701</v>
      </c>
      <c r="C728" s="1" t="s">
        <v>1120</v>
      </c>
      <c r="D728" s="1" t="s">
        <v>66</v>
      </c>
      <c r="E728" s="15">
        <f t="shared" si="2"/>
        <v>61.25</v>
      </c>
      <c r="F728" s="15">
        <f t="shared" si="3"/>
        <v>1.701388889</v>
      </c>
      <c r="G728" s="1">
        <v>36.0</v>
      </c>
      <c r="H728" s="1">
        <v>1.0</v>
      </c>
      <c r="I728" s="1">
        <v>7.0</v>
      </c>
      <c r="J728" s="1">
        <v>8.0</v>
      </c>
      <c r="K728" s="1">
        <v>18.0</v>
      </c>
      <c r="L728" s="1">
        <v>0.0</v>
      </c>
      <c r="M728" s="1">
        <v>0.0</v>
      </c>
      <c r="N728" s="1">
        <v>0.0</v>
      </c>
      <c r="O728" s="1">
        <v>0.0</v>
      </c>
      <c r="P728" s="1">
        <v>39.0</v>
      </c>
      <c r="Q728" s="1">
        <v>34.0</v>
      </c>
    </row>
    <row r="729">
      <c r="A729" s="2">
        <f t="shared" si="1"/>
        <v>727</v>
      </c>
      <c r="B729" s="1" t="s">
        <v>1310</v>
      </c>
      <c r="C729" s="1" t="s">
        <v>1048</v>
      </c>
      <c r="D729" s="1" t="s">
        <v>28</v>
      </c>
      <c r="E729" s="15">
        <f t="shared" si="2"/>
        <v>61</v>
      </c>
      <c r="F729" s="15">
        <f t="shared" si="3"/>
        <v>3.05</v>
      </c>
      <c r="G729" s="1">
        <v>20.0</v>
      </c>
      <c r="H729" s="1">
        <v>2.0</v>
      </c>
      <c r="I729" s="1">
        <v>7.0</v>
      </c>
      <c r="J729" s="1">
        <v>9.0</v>
      </c>
      <c r="K729" s="1">
        <v>43.0</v>
      </c>
      <c r="L729" s="1">
        <v>0.0</v>
      </c>
      <c r="M729" s="1">
        <v>0.0</v>
      </c>
      <c r="N729" s="1">
        <v>0.0</v>
      </c>
      <c r="O729" s="1">
        <v>0.0</v>
      </c>
      <c r="P729" s="1">
        <v>20.0</v>
      </c>
      <c r="Q729" s="1">
        <v>9.0</v>
      </c>
    </row>
    <row r="730">
      <c r="A730" s="2">
        <f t="shared" si="1"/>
        <v>728</v>
      </c>
      <c r="B730" s="1" t="s">
        <v>1865</v>
      </c>
      <c r="C730" s="1" t="s">
        <v>1067</v>
      </c>
      <c r="D730" s="1" t="s">
        <v>36</v>
      </c>
      <c r="E730" s="15">
        <f t="shared" si="2"/>
        <v>60.75</v>
      </c>
      <c r="F730" s="15">
        <f t="shared" si="3"/>
        <v>2.336538462</v>
      </c>
      <c r="G730" s="1">
        <v>26.0</v>
      </c>
      <c r="H730" s="1">
        <v>2.0</v>
      </c>
      <c r="I730" s="1">
        <v>9.0</v>
      </c>
      <c r="J730" s="1">
        <v>11.0</v>
      </c>
      <c r="K730" s="1">
        <v>38.0</v>
      </c>
      <c r="L730" s="1">
        <v>0.0</v>
      </c>
      <c r="M730" s="1">
        <v>0.0</v>
      </c>
      <c r="N730" s="1">
        <v>0.0</v>
      </c>
      <c r="O730" s="1">
        <v>1.0</v>
      </c>
      <c r="P730" s="1">
        <v>1.0</v>
      </c>
      <c r="Q730" s="1">
        <v>7.0</v>
      </c>
    </row>
    <row r="731">
      <c r="A731" s="2">
        <f t="shared" si="1"/>
        <v>728</v>
      </c>
      <c r="B731" s="1" t="s">
        <v>1546</v>
      </c>
      <c r="C731" s="1" t="s">
        <v>1036</v>
      </c>
      <c r="D731" s="1" t="s">
        <v>66</v>
      </c>
      <c r="E731" s="15">
        <f t="shared" si="2"/>
        <v>60.75</v>
      </c>
      <c r="F731" s="15">
        <f t="shared" si="3"/>
        <v>1.6875</v>
      </c>
      <c r="G731" s="1">
        <v>36.0</v>
      </c>
      <c r="H731" s="1">
        <v>0.0</v>
      </c>
      <c r="I731" s="1">
        <v>5.0</v>
      </c>
      <c r="J731" s="1">
        <v>5.0</v>
      </c>
      <c r="K731" s="1">
        <v>17.0</v>
      </c>
      <c r="L731" s="1">
        <v>0.0</v>
      </c>
      <c r="M731" s="1">
        <v>0.0</v>
      </c>
      <c r="N731" s="1">
        <v>0.0</v>
      </c>
      <c r="O731" s="1">
        <v>1.0</v>
      </c>
      <c r="P731" s="1">
        <v>45.0</v>
      </c>
      <c r="Q731" s="1">
        <v>48.0</v>
      </c>
    </row>
    <row r="732">
      <c r="A732" s="2">
        <f t="shared" si="1"/>
        <v>730</v>
      </c>
      <c r="B732" s="1" t="s">
        <v>1910</v>
      </c>
      <c r="C732" s="1" t="s">
        <v>1172</v>
      </c>
      <c r="D732" s="1" t="s">
        <v>66</v>
      </c>
      <c r="E732" s="15">
        <f t="shared" si="2"/>
        <v>60.5</v>
      </c>
      <c r="F732" s="15">
        <f t="shared" si="3"/>
        <v>1.728571429</v>
      </c>
      <c r="G732" s="1">
        <v>35.0</v>
      </c>
      <c r="H732" s="1">
        <v>1.0</v>
      </c>
      <c r="I732" s="1">
        <v>7.0</v>
      </c>
      <c r="J732" s="1">
        <v>8.0</v>
      </c>
      <c r="K732" s="1">
        <v>25.0</v>
      </c>
      <c r="L732" s="1">
        <v>0.0</v>
      </c>
      <c r="M732" s="1">
        <v>1.0</v>
      </c>
      <c r="N732" s="1">
        <v>0.0</v>
      </c>
      <c r="O732" s="1">
        <v>0.0</v>
      </c>
      <c r="P732" s="1">
        <v>16.0</v>
      </c>
      <c r="Q732" s="1">
        <v>37.0</v>
      </c>
    </row>
    <row r="733">
      <c r="A733" s="2">
        <f t="shared" si="1"/>
        <v>731</v>
      </c>
      <c r="B733" s="1" t="s">
        <v>1908</v>
      </c>
      <c r="C733" s="1" t="s">
        <v>1069</v>
      </c>
      <c r="D733" s="1" t="s">
        <v>28</v>
      </c>
      <c r="E733" s="15">
        <f t="shared" si="2"/>
        <v>60.25</v>
      </c>
      <c r="F733" s="15">
        <f t="shared" si="3"/>
        <v>2.510416667</v>
      </c>
      <c r="G733" s="1">
        <v>24.0</v>
      </c>
      <c r="H733" s="1">
        <v>3.0</v>
      </c>
      <c r="I733" s="1">
        <v>4.0</v>
      </c>
      <c r="J733" s="1">
        <v>7.0</v>
      </c>
      <c r="K733" s="1">
        <v>48.0</v>
      </c>
      <c r="L733" s="1">
        <v>2.0</v>
      </c>
      <c r="M733" s="1">
        <v>1.0</v>
      </c>
      <c r="N733" s="1">
        <v>0.0</v>
      </c>
      <c r="O733" s="1">
        <v>0.0</v>
      </c>
      <c r="P733" s="1">
        <v>15.0</v>
      </c>
      <c r="Q733" s="1">
        <v>14.0</v>
      </c>
    </row>
    <row r="734">
      <c r="A734" s="2">
        <f t="shared" si="1"/>
        <v>731</v>
      </c>
      <c r="B734" s="1" t="s">
        <v>2137</v>
      </c>
      <c r="C734" s="1" t="s">
        <v>1175</v>
      </c>
      <c r="D734" s="1" t="s">
        <v>36</v>
      </c>
      <c r="E734" s="15">
        <f t="shared" si="2"/>
        <v>60.25</v>
      </c>
      <c r="F734" s="15">
        <f t="shared" si="3"/>
        <v>1.673611111</v>
      </c>
      <c r="G734" s="1">
        <v>36.0</v>
      </c>
      <c r="H734" s="1">
        <v>4.0</v>
      </c>
      <c r="I734" s="1">
        <v>4.0</v>
      </c>
      <c r="J734" s="1">
        <v>8.0</v>
      </c>
      <c r="K734" s="1">
        <v>44.0</v>
      </c>
      <c r="L734" s="1">
        <v>1.0</v>
      </c>
      <c r="M734" s="1">
        <v>0.0</v>
      </c>
      <c r="N734" s="1">
        <v>0.0</v>
      </c>
      <c r="O734" s="1">
        <v>0.0</v>
      </c>
      <c r="P734" s="1">
        <v>23.0</v>
      </c>
      <c r="Q734" s="1">
        <v>5.0</v>
      </c>
    </row>
    <row r="735">
      <c r="A735" s="2">
        <f t="shared" si="1"/>
        <v>731</v>
      </c>
      <c r="B735" s="1" t="s">
        <v>1777</v>
      </c>
      <c r="C735" s="1" t="s">
        <v>1097</v>
      </c>
      <c r="D735" s="1" t="s">
        <v>31</v>
      </c>
      <c r="E735" s="15">
        <f t="shared" si="2"/>
        <v>60.25</v>
      </c>
      <c r="F735" s="15">
        <f t="shared" si="3"/>
        <v>1.673611111</v>
      </c>
      <c r="G735" s="1">
        <v>36.0</v>
      </c>
      <c r="H735" s="1">
        <v>3.0</v>
      </c>
      <c r="I735" s="1">
        <v>7.0</v>
      </c>
      <c r="J735" s="1">
        <v>10.0</v>
      </c>
      <c r="K735" s="1">
        <v>19.0</v>
      </c>
      <c r="L735" s="1">
        <v>0.0</v>
      </c>
      <c r="M735" s="1">
        <v>0.0</v>
      </c>
      <c r="N735" s="1">
        <v>0.0</v>
      </c>
      <c r="O735" s="1">
        <v>1.0</v>
      </c>
      <c r="P735" s="1">
        <v>15.0</v>
      </c>
      <c r="Q735" s="1">
        <v>21.0</v>
      </c>
    </row>
    <row r="736">
      <c r="A736" s="2">
        <f t="shared" si="1"/>
        <v>734</v>
      </c>
      <c r="B736" s="1" t="s">
        <v>2138</v>
      </c>
      <c r="C736" s="1" t="s">
        <v>1065</v>
      </c>
      <c r="D736" s="1" t="s">
        <v>66</v>
      </c>
      <c r="E736" s="15">
        <f t="shared" si="2"/>
        <v>60</v>
      </c>
      <c r="F736" s="15">
        <f t="shared" si="3"/>
        <v>1.304347826</v>
      </c>
      <c r="G736" s="1">
        <v>46.0</v>
      </c>
      <c r="H736" s="1">
        <v>0.0</v>
      </c>
      <c r="I736" s="1">
        <v>6.0</v>
      </c>
      <c r="J736" s="1">
        <v>6.0</v>
      </c>
      <c r="K736" s="1">
        <v>30.0</v>
      </c>
      <c r="L736" s="1">
        <v>0.0</v>
      </c>
      <c r="M736" s="1">
        <v>0.0</v>
      </c>
      <c r="N736" s="1">
        <v>0.0</v>
      </c>
      <c r="O736" s="1">
        <v>0.0</v>
      </c>
      <c r="P736" s="1">
        <v>34.0</v>
      </c>
      <c r="Q736" s="1">
        <v>37.0</v>
      </c>
    </row>
    <row r="737">
      <c r="A737" s="2">
        <f t="shared" si="1"/>
        <v>735</v>
      </c>
      <c r="B737" s="1" t="s">
        <v>1442</v>
      </c>
      <c r="C737" s="1" t="s">
        <v>1091</v>
      </c>
      <c r="D737" s="1" t="s">
        <v>5</v>
      </c>
      <c r="E737" s="15">
        <f t="shared" si="2"/>
        <v>59.7</v>
      </c>
      <c r="F737" s="15">
        <f t="shared" si="3"/>
        <v>4.975</v>
      </c>
      <c r="G737" s="1">
        <v>12.0</v>
      </c>
      <c r="R737" s="1">
        <v>6.0</v>
      </c>
      <c r="S737" s="1">
        <v>33.0</v>
      </c>
      <c r="T737" s="1">
        <v>294.0</v>
      </c>
      <c r="U737" s="1">
        <v>1.0</v>
      </c>
    </row>
    <row r="738">
      <c r="A738" s="2">
        <f t="shared" si="1"/>
        <v>736</v>
      </c>
      <c r="B738" s="1" t="s">
        <v>1936</v>
      </c>
      <c r="C738" s="1" t="s">
        <v>1120</v>
      </c>
      <c r="D738" s="1" t="s">
        <v>5</v>
      </c>
      <c r="E738" s="15">
        <f t="shared" si="2"/>
        <v>59.1</v>
      </c>
      <c r="F738" s="15">
        <f t="shared" si="3"/>
        <v>3.283333333</v>
      </c>
      <c r="G738" s="1">
        <v>18.0</v>
      </c>
      <c r="R738" s="1">
        <v>5.0</v>
      </c>
      <c r="S738" s="1">
        <v>50.0</v>
      </c>
      <c r="T738" s="1">
        <v>397.0</v>
      </c>
      <c r="U738" s="1">
        <v>0.0</v>
      </c>
    </row>
    <row r="739">
      <c r="A739" s="2">
        <f t="shared" si="1"/>
        <v>737</v>
      </c>
      <c r="B739" s="1" t="s">
        <v>2139</v>
      </c>
      <c r="C739" s="1" t="s">
        <v>1156</v>
      </c>
      <c r="D739" s="1" t="s">
        <v>31</v>
      </c>
      <c r="E739" s="15">
        <f t="shared" si="2"/>
        <v>58.5</v>
      </c>
      <c r="F739" s="15">
        <f t="shared" si="3"/>
        <v>2.166666667</v>
      </c>
      <c r="G739" s="1">
        <v>27.0</v>
      </c>
      <c r="H739" s="1">
        <v>3.0</v>
      </c>
      <c r="I739" s="1">
        <v>3.0</v>
      </c>
      <c r="J739" s="1">
        <v>6.0</v>
      </c>
      <c r="K739" s="1">
        <v>27.0</v>
      </c>
      <c r="L739" s="1">
        <v>0.0</v>
      </c>
      <c r="M739" s="1">
        <v>0.0</v>
      </c>
      <c r="N739" s="1">
        <v>0.0</v>
      </c>
      <c r="O739" s="1">
        <v>0.0</v>
      </c>
      <c r="P739" s="1">
        <v>68.0</v>
      </c>
      <c r="Q739" s="1">
        <v>11.0</v>
      </c>
    </row>
    <row r="740">
      <c r="A740" s="2">
        <f t="shared" si="1"/>
        <v>738</v>
      </c>
      <c r="B740" s="1" t="s">
        <v>1806</v>
      </c>
      <c r="C740" s="1" t="s">
        <v>1116</v>
      </c>
      <c r="D740" s="1" t="s">
        <v>31</v>
      </c>
      <c r="E740" s="15">
        <f t="shared" si="2"/>
        <v>57.75</v>
      </c>
      <c r="F740" s="15">
        <f t="shared" si="3"/>
        <v>1.255434783</v>
      </c>
      <c r="G740" s="1">
        <v>46.0</v>
      </c>
      <c r="H740" s="1">
        <v>0.0</v>
      </c>
      <c r="I740" s="1">
        <v>6.0</v>
      </c>
      <c r="J740" s="1">
        <v>6.0</v>
      </c>
      <c r="K740" s="1">
        <v>45.0</v>
      </c>
      <c r="L740" s="1">
        <v>0.0</v>
      </c>
      <c r="M740" s="1">
        <v>0.0</v>
      </c>
      <c r="N740" s="1">
        <v>0.0</v>
      </c>
      <c r="O740" s="1">
        <v>1.0</v>
      </c>
      <c r="P740" s="1">
        <v>25.0</v>
      </c>
      <c r="Q740" s="1">
        <v>18.0</v>
      </c>
    </row>
    <row r="741">
      <c r="A741" s="2">
        <f t="shared" si="1"/>
        <v>739</v>
      </c>
      <c r="B741" s="1" t="s">
        <v>2054</v>
      </c>
      <c r="C741" s="1" t="s">
        <v>1091</v>
      </c>
      <c r="D741" s="1" t="s">
        <v>5</v>
      </c>
      <c r="E741" s="15">
        <f t="shared" si="2"/>
        <v>57.3</v>
      </c>
      <c r="F741" s="15">
        <f t="shared" si="3"/>
        <v>2.865</v>
      </c>
      <c r="G741" s="1">
        <v>20.0</v>
      </c>
      <c r="Q741" s="12"/>
      <c r="R741" s="1">
        <v>3.0</v>
      </c>
      <c r="S741" s="1">
        <v>69.0</v>
      </c>
      <c r="T741" s="1">
        <v>506.0</v>
      </c>
      <c r="U741" s="1">
        <v>0.0</v>
      </c>
    </row>
    <row r="742">
      <c r="A742" s="2">
        <f t="shared" si="1"/>
        <v>740</v>
      </c>
      <c r="B742" s="1" t="s">
        <v>2140</v>
      </c>
      <c r="C742" s="1" t="s">
        <v>1120</v>
      </c>
      <c r="D742" s="1" t="s">
        <v>28</v>
      </c>
      <c r="E742" s="15">
        <f t="shared" si="2"/>
        <v>57.25</v>
      </c>
      <c r="F742" s="15">
        <f t="shared" si="3"/>
        <v>2.726190476</v>
      </c>
      <c r="G742" s="1">
        <v>21.0</v>
      </c>
      <c r="H742" s="1">
        <v>5.0</v>
      </c>
      <c r="I742" s="1">
        <v>3.0</v>
      </c>
      <c r="J742" s="1">
        <v>8.0</v>
      </c>
      <c r="K742" s="1">
        <v>30.0</v>
      </c>
      <c r="L742" s="1">
        <v>0.0</v>
      </c>
      <c r="M742" s="1">
        <v>0.0</v>
      </c>
      <c r="N742" s="1">
        <v>0.0</v>
      </c>
      <c r="O742" s="1">
        <v>0.0</v>
      </c>
      <c r="P742" s="1">
        <v>21.0</v>
      </c>
      <c r="Q742" s="1">
        <v>11.0</v>
      </c>
    </row>
    <row r="743">
      <c r="A743" s="2">
        <f t="shared" si="1"/>
        <v>741</v>
      </c>
      <c r="B743" s="1" t="s">
        <v>1613</v>
      </c>
      <c r="C743" s="1" t="s">
        <v>1032</v>
      </c>
      <c r="D743" s="1" t="s">
        <v>5</v>
      </c>
      <c r="E743" s="15">
        <f t="shared" si="2"/>
        <v>56.7</v>
      </c>
      <c r="F743" s="15">
        <f t="shared" si="3"/>
        <v>8.1</v>
      </c>
      <c r="G743" s="1">
        <v>7.0</v>
      </c>
      <c r="R743" s="1">
        <v>6.0</v>
      </c>
      <c r="S743" s="1">
        <v>15.0</v>
      </c>
      <c r="T743" s="1">
        <v>204.0</v>
      </c>
      <c r="U743" s="1">
        <v>0.0</v>
      </c>
    </row>
    <row r="744">
      <c r="A744" s="2">
        <f t="shared" si="1"/>
        <v>742</v>
      </c>
      <c r="B744" s="1" t="s">
        <v>2141</v>
      </c>
      <c r="C744" s="1" t="s">
        <v>1120</v>
      </c>
      <c r="D744" s="1" t="s">
        <v>36</v>
      </c>
      <c r="E744" s="15">
        <f t="shared" si="2"/>
        <v>55.5</v>
      </c>
      <c r="F744" s="15">
        <f t="shared" si="3"/>
        <v>2.775</v>
      </c>
      <c r="G744" s="1">
        <v>20.0</v>
      </c>
      <c r="H744" s="1">
        <v>6.0</v>
      </c>
      <c r="I744" s="1">
        <v>3.0</v>
      </c>
      <c r="J744" s="1">
        <v>9.0</v>
      </c>
      <c r="K744" s="1">
        <v>25.0</v>
      </c>
      <c r="L744" s="1">
        <v>5.0</v>
      </c>
      <c r="M744" s="1">
        <v>2.0</v>
      </c>
      <c r="N744" s="1">
        <v>0.0</v>
      </c>
      <c r="O744" s="1">
        <v>0.0</v>
      </c>
      <c r="P744" s="1">
        <v>14.0</v>
      </c>
      <c r="Q744" s="1">
        <v>7.0</v>
      </c>
      <c r="T744" s="12"/>
    </row>
    <row r="745">
      <c r="A745" s="2">
        <f t="shared" si="1"/>
        <v>742</v>
      </c>
      <c r="B745" s="1" t="s">
        <v>1721</v>
      </c>
      <c r="C745" s="1" t="s">
        <v>1172</v>
      </c>
      <c r="D745" s="1" t="s">
        <v>5</v>
      </c>
      <c r="E745" s="15">
        <f t="shared" si="2"/>
        <v>55.5</v>
      </c>
      <c r="F745" s="15">
        <f t="shared" si="3"/>
        <v>3.7</v>
      </c>
      <c r="G745" s="1">
        <v>15.0</v>
      </c>
      <c r="R745" s="1">
        <v>2.0</v>
      </c>
      <c r="S745" s="1">
        <v>48.0</v>
      </c>
      <c r="T745" s="1">
        <v>405.0</v>
      </c>
      <c r="U745" s="1">
        <v>0.0</v>
      </c>
    </row>
    <row r="746">
      <c r="A746" s="2">
        <f t="shared" si="1"/>
        <v>744</v>
      </c>
      <c r="B746" s="1" t="s">
        <v>1342</v>
      </c>
      <c r="C746" s="1" t="s">
        <v>1046</v>
      </c>
      <c r="D746" s="1" t="s">
        <v>28</v>
      </c>
      <c r="E746" s="15">
        <f t="shared" si="2"/>
        <v>55.25</v>
      </c>
      <c r="F746" s="15">
        <f t="shared" si="3"/>
        <v>2.21</v>
      </c>
      <c r="G746" s="1">
        <v>25.0</v>
      </c>
      <c r="H746" s="1">
        <v>3.0</v>
      </c>
      <c r="I746" s="1">
        <v>6.0</v>
      </c>
      <c r="J746" s="1">
        <v>9.0</v>
      </c>
      <c r="K746" s="1">
        <v>29.0</v>
      </c>
      <c r="L746" s="1">
        <v>0.0</v>
      </c>
      <c r="M746" s="1">
        <v>0.0</v>
      </c>
      <c r="N746" s="1">
        <v>0.0</v>
      </c>
      <c r="O746" s="1">
        <v>0.0</v>
      </c>
      <c r="P746" s="1">
        <v>21.0</v>
      </c>
      <c r="Q746" s="1">
        <v>8.0</v>
      </c>
    </row>
    <row r="747">
      <c r="A747" s="2">
        <f t="shared" si="1"/>
        <v>745</v>
      </c>
      <c r="B747" s="1" t="s">
        <v>1415</v>
      </c>
      <c r="C747" s="1" t="s">
        <v>1044</v>
      </c>
      <c r="D747" s="1" t="s">
        <v>31</v>
      </c>
      <c r="E747" s="15">
        <f t="shared" si="2"/>
        <v>54.75</v>
      </c>
      <c r="F747" s="15">
        <f t="shared" si="3"/>
        <v>2.7375</v>
      </c>
      <c r="G747" s="1">
        <v>20.0</v>
      </c>
      <c r="H747" s="1">
        <v>2.0</v>
      </c>
      <c r="I747" s="1">
        <v>7.0</v>
      </c>
      <c r="J747" s="1">
        <v>9.0</v>
      </c>
      <c r="K747" s="1">
        <v>30.0</v>
      </c>
      <c r="L747" s="1">
        <v>0.0</v>
      </c>
      <c r="M747" s="1">
        <v>3.0</v>
      </c>
      <c r="N747" s="1">
        <v>0.0</v>
      </c>
      <c r="O747" s="1">
        <v>0.0</v>
      </c>
      <c r="P747" s="1">
        <v>33.0</v>
      </c>
      <c r="Q747" s="1">
        <v>3.0</v>
      </c>
    </row>
    <row r="748">
      <c r="A748" s="2">
        <f t="shared" si="1"/>
        <v>746</v>
      </c>
      <c r="B748" s="1" t="s">
        <v>1885</v>
      </c>
      <c r="C748" s="1" t="s">
        <v>1106</v>
      </c>
      <c r="D748" s="1" t="s">
        <v>31</v>
      </c>
      <c r="E748" s="15">
        <f t="shared" si="2"/>
        <v>53</v>
      </c>
      <c r="F748" s="15">
        <f t="shared" si="3"/>
        <v>1.892857143</v>
      </c>
      <c r="G748" s="1">
        <v>28.0</v>
      </c>
      <c r="H748" s="1">
        <v>3.0</v>
      </c>
      <c r="I748" s="1">
        <v>4.0</v>
      </c>
      <c r="J748" s="1">
        <v>7.0</v>
      </c>
      <c r="K748" s="1">
        <v>28.0</v>
      </c>
      <c r="L748" s="1">
        <v>0.0</v>
      </c>
      <c r="M748" s="1">
        <v>0.0</v>
      </c>
      <c r="N748" s="1">
        <v>0.0</v>
      </c>
      <c r="O748" s="1">
        <v>0.0</v>
      </c>
      <c r="P748" s="1">
        <v>28.0</v>
      </c>
      <c r="Q748" s="1">
        <v>13.0</v>
      </c>
      <c r="T748" s="12"/>
    </row>
    <row r="749">
      <c r="A749" s="2">
        <f t="shared" si="1"/>
        <v>747</v>
      </c>
      <c r="B749" s="1" t="s">
        <v>1841</v>
      </c>
      <c r="C749" s="1" t="s">
        <v>1052</v>
      </c>
      <c r="D749" s="1" t="s">
        <v>66</v>
      </c>
      <c r="E749" s="15">
        <f t="shared" si="2"/>
        <v>52.5</v>
      </c>
      <c r="F749" s="15">
        <f t="shared" si="3"/>
        <v>2.282608696</v>
      </c>
      <c r="G749" s="1">
        <v>23.0</v>
      </c>
      <c r="H749" s="1">
        <v>1.0</v>
      </c>
      <c r="I749" s="1">
        <v>2.0</v>
      </c>
      <c r="J749" s="1">
        <v>3.0</v>
      </c>
      <c r="K749" s="1">
        <v>36.0</v>
      </c>
      <c r="L749" s="1">
        <v>0.0</v>
      </c>
      <c r="M749" s="1">
        <v>0.0</v>
      </c>
      <c r="N749" s="1">
        <v>0.0</v>
      </c>
      <c r="O749" s="1">
        <v>0.0</v>
      </c>
      <c r="P749" s="1">
        <v>52.0</v>
      </c>
      <c r="Q749" s="1">
        <v>22.0</v>
      </c>
      <c r="T749" s="12"/>
    </row>
    <row r="750">
      <c r="A750" s="2">
        <f t="shared" si="1"/>
        <v>748</v>
      </c>
      <c r="B750" s="1" t="s">
        <v>1759</v>
      </c>
      <c r="C750" s="1" t="s">
        <v>1069</v>
      </c>
      <c r="D750" s="1" t="s">
        <v>28</v>
      </c>
      <c r="E750" s="15">
        <f t="shared" si="2"/>
        <v>52</v>
      </c>
      <c r="F750" s="15">
        <f t="shared" si="3"/>
        <v>1.405405405</v>
      </c>
      <c r="G750" s="1">
        <v>37.0</v>
      </c>
      <c r="H750" s="1">
        <v>3.0</v>
      </c>
      <c r="I750" s="1">
        <v>0.0</v>
      </c>
      <c r="J750" s="1">
        <v>3.0</v>
      </c>
      <c r="K750" s="1">
        <v>23.0</v>
      </c>
      <c r="L750" s="1">
        <v>0.0</v>
      </c>
      <c r="M750" s="1">
        <v>0.0</v>
      </c>
      <c r="N750" s="1">
        <v>0.0</v>
      </c>
      <c r="O750" s="1">
        <v>0.0</v>
      </c>
      <c r="P750" s="1">
        <v>100.0</v>
      </c>
      <c r="Q750" s="1">
        <v>4.0</v>
      </c>
    </row>
    <row r="751">
      <c r="A751" s="2">
        <f t="shared" si="1"/>
        <v>749</v>
      </c>
      <c r="B751" s="1" t="s">
        <v>1641</v>
      </c>
      <c r="C751" s="1" t="s">
        <v>1038</v>
      </c>
      <c r="D751" s="1" t="s">
        <v>31</v>
      </c>
      <c r="E751" s="15">
        <f t="shared" si="2"/>
        <v>49.5</v>
      </c>
      <c r="F751" s="15">
        <f t="shared" si="3"/>
        <v>2.152173913</v>
      </c>
      <c r="G751" s="1">
        <v>23.0</v>
      </c>
      <c r="H751" s="1">
        <v>4.0</v>
      </c>
      <c r="I751" s="1">
        <v>3.0</v>
      </c>
      <c r="J751" s="1">
        <v>7.0</v>
      </c>
      <c r="K751" s="1">
        <v>17.0</v>
      </c>
      <c r="L751" s="1">
        <v>0.0</v>
      </c>
      <c r="M751" s="1">
        <v>0.0</v>
      </c>
      <c r="N751" s="1">
        <v>0.0</v>
      </c>
      <c r="O751" s="1">
        <v>0.0</v>
      </c>
      <c r="P751" s="1">
        <v>44.0</v>
      </c>
      <c r="Q751" s="1">
        <v>6.0</v>
      </c>
    </row>
    <row r="752">
      <c r="A752" s="2">
        <f t="shared" si="1"/>
        <v>749</v>
      </c>
      <c r="B752" s="1" t="s">
        <v>1821</v>
      </c>
      <c r="C752" s="1" t="s">
        <v>1106</v>
      </c>
      <c r="D752" s="1" t="s">
        <v>66</v>
      </c>
      <c r="E752" s="15">
        <f t="shared" si="2"/>
        <v>49.5</v>
      </c>
      <c r="F752" s="15">
        <f t="shared" si="3"/>
        <v>1.903846154</v>
      </c>
      <c r="G752" s="1">
        <v>26.0</v>
      </c>
      <c r="H752" s="1">
        <v>1.0</v>
      </c>
      <c r="I752" s="1">
        <v>3.0</v>
      </c>
      <c r="J752" s="1">
        <v>4.0</v>
      </c>
      <c r="K752" s="1">
        <v>21.0</v>
      </c>
      <c r="L752" s="1">
        <v>0.0</v>
      </c>
      <c r="M752" s="1">
        <v>0.0</v>
      </c>
      <c r="N752" s="1">
        <v>0.0</v>
      </c>
      <c r="O752" s="1">
        <v>0.0</v>
      </c>
      <c r="P752" s="1">
        <v>50.0</v>
      </c>
      <c r="Q752" s="1">
        <v>26.0</v>
      </c>
    </row>
    <row r="753">
      <c r="A753" s="2">
        <f t="shared" si="1"/>
        <v>751</v>
      </c>
      <c r="B753" s="1" t="s">
        <v>1790</v>
      </c>
      <c r="C753" s="1" t="s">
        <v>1048</v>
      </c>
      <c r="D753" s="1" t="s">
        <v>28</v>
      </c>
      <c r="E753" s="15">
        <f t="shared" si="2"/>
        <v>49.25</v>
      </c>
      <c r="F753" s="15">
        <f t="shared" si="3"/>
        <v>1.368055556</v>
      </c>
      <c r="G753" s="1">
        <v>36.0</v>
      </c>
      <c r="H753" s="1">
        <v>1.0</v>
      </c>
      <c r="I753" s="1">
        <v>3.0</v>
      </c>
      <c r="J753" s="1">
        <v>4.0</v>
      </c>
      <c r="K753" s="1">
        <v>30.0</v>
      </c>
      <c r="L753" s="1">
        <v>0.0</v>
      </c>
      <c r="M753" s="1">
        <v>0.0</v>
      </c>
      <c r="N753" s="1">
        <v>0.0</v>
      </c>
      <c r="O753" s="1">
        <v>0.0</v>
      </c>
      <c r="P753" s="1">
        <v>67.0</v>
      </c>
      <c r="Q753" s="1">
        <v>8.0</v>
      </c>
    </row>
    <row r="754">
      <c r="A754" s="2">
        <f t="shared" si="1"/>
        <v>752</v>
      </c>
      <c r="B754" s="1" t="s">
        <v>1872</v>
      </c>
      <c r="C754" s="1" t="s">
        <v>1030</v>
      </c>
      <c r="D754" s="1" t="s">
        <v>28</v>
      </c>
      <c r="E754" s="15">
        <f t="shared" si="2"/>
        <v>47.25</v>
      </c>
      <c r="F754" s="15">
        <f t="shared" si="3"/>
        <v>1.211538462</v>
      </c>
      <c r="G754" s="1">
        <v>39.0</v>
      </c>
      <c r="H754" s="1">
        <v>4.0</v>
      </c>
      <c r="I754" s="1">
        <v>0.0</v>
      </c>
      <c r="J754" s="1">
        <v>4.0</v>
      </c>
      <c r="K754" s="1">
        <v>33.0</v>
      </c>
      <c r="L754" s="1">
        <v>0.0</v>
      </c>
      <c r="M754" s="1">
        <v>0.0</v>
      </c>
      <c r="N754" s="1">
        <v>0.0</v>
      </c>
      <c r="O754" s="1">
        <v>0.0</v>
      </c>
      <c r="P754" s="1">
        <v>25.0</v>
      </c>
      <c r="Q754" s="1">
        <v>13.0</v>
      </c>
    </row>
    <row r="755">
      <c r="A755" s="2">
        <f t="shared" si="1"/>
        <v>753</v>
      </c>
      <c r="B755" s="1" t="s">
        <v>1749</v>
      </c>
      <c r="C755" s="1" t="s">
        <v>1069</v>
      </c>
      <c r="D755" s="1" t="s">
        <v>66</v>
      </c>
      <c r="E755" s="15">
        <f t="shared" si="2"/>
        <v>46.75</v>
      </c>
      <c r="F755" s="15">
        <f t="shared" si="3"/>
        <v>2.032608696</v>
      </c>
      <c r="G755" s="1">
        <v>23.0</v>
      </c>
      <c r="H755" s="1">
        <v>1.0</v>
      </c>
      <c r="I755" s="1">
        <v>3.0</v>
      </c>
      <c r="J755" s="1">
        <v>4.0</v>
      </c>
      <c r="K755" s="1">
        <v>13.0</v>
      </c>
      <c r="L755" s="1">
        <v>0.0</v>
      </c>
      <c r="M755" s="1">
        <v>0.0</v>
      </c>
      <c r="N755" s="1">
        <v>0.0</v>
      </c>
      <c r="O755" s="1">
        <v>0.0</v>
      </c>
      <c r="P755" s="1">
        <v>55.0</v>
      </c>
      <c r="Q755" s="1">
        <v>26.0</v>
      </c>
    </row>
    <row r="756">
      <c r="A756" s="2">
        <f t="shared" si="1"/>
        <v>754</v>
      </c>
      <c r="B756" s="1" t="s">
        <v>2142</v>
      </c>
      <c r="C756" s="1" t="s">
        <v>1091</v>
      </c>
      <c r="D756" s="1" t="s">
        <v>28</v>
      </c>
      <c r="E756" s="15">
        <f t="shared" si="2"/>
        <v>46.5</v>
      </c>
      <c r="F756" s="15">
        <f t="shared" si="3"/>
        <v>1.660714286</v>
      </c>
      <c r="G756" s="1">
        <v>28.0</v>
      </c>
      <c r="H756" s="1">
        <v>3.0</v>
      </c>
      <c r="I756" s="1">
        <v>0.0</v>
      </c>
      <c r="J756" s="1">
        <v>3.0</v>
      </c>
      <c r="K756" s="1">
        <v>32.0</v>
      </c>
      <c r="L756" s="1">
        <v>0.0</v>
      </c>
      <c r="M756" s="1">
        <v>0.0</v>
      </c>
      <c r="N756" s="1">
        <v>0.0</v>
      </c>
      <c r="O756" s="1">
        <v>0.0</v>
      </c>
      <c r="P756" s="1">
        <v>48.0</v>
      </c>
      <c r="Q756" s="1">
        <v>10.0</v>
      </c>
    </row>
    <row r="757">
      <c r="A757" s="2">
        <f t="shared" si="1"/>
        <v>755</v>
      </c>
      <c r="B757" s="1" t="s">
        <v>1681</v>
      </c>
      <c r="C757" s="1" t="s">
        <v>1067</v>
      </c>
      <c r="D757" s="1" t="s">
        <v>5</v>
      </c>
      <c r="E757" s="15">
        <f t="shared" si="2"/>
        <v>43.8</v>
      </c>
      <c r="F757" s="15">
        <f t="shared" si="3"/>
        <v>6.257142857</v>
      </c>
      <c r="G757" s="1">
        <v>7.0</v>
      </c>
      <c r="R757" s="1">
        <v>5.0</v>
      </c>
      <c r="S757" s="1">
        <v>21.0</v>
      </c>
      <c r="T757" s="1">
        <v>201.0</v>
      </c>
      <c r="U757" s="1">
        <v>0.0</v>
      </c>
    </row>
    <row r="758">
      <c r="A758" s="2">
        <f t="shared" si="1"/>
        <v>756</v>
      </c>
      <c r="B758" s="1" t="s">
        <v>1873</v>
      </c>
      <c r="C758" s="1" t="s">
        <v>1120</v>
      </c>
      <c r="D758" s="1" t="s">
        <v>31</v>
      </c>
      <c r="E758" s="15">
        <f t="shared" si="2"/>
        <v>43.5</v>
      </c>
      <c r="F758" s="15">
        <f t="shared" si="3"/>
        <v>1.5</v>
      </c>
      <c r="G758" s="1">
        <v>29.0</v>
      </c>
      <c r="H758" s="1">
        <v>3.0</v>
      </c>
      <c r="I758" s="1">
        <v>2.0</v>
      </c>
      <c r="J758" s="1">
        <v>5.0</v>
      </c>
      <c r="K758" s="1">
        <v>27.0</v>
      </c>
      <c r="L758" s="1">
        <v>0.0</v>
      </c>
      <c r="M758" s="1">
        <v>1.0</v>
      </c>
      <c r="N758" s="1">
        <v>0.0</v>
      </c>
      <c r="O758" s="1">
        <v>0.0</v>
      </c>
      <c r="P758" s="1">
        <v>16.0</v>
      </c>
      <c r="Q758" s="1">
        <v>13.0</v>
      </c>
    </row>
    <row r="759">
      <c r="A759" s="2">
        <f t="shared" si="1"/>
        <v>757</v>
      </c>
      <c r="B759" s="1" t="s">
        <v>1984</v>
      </c>
      <c r="C759" s="1" t="s">
        <v>1175</v>
      </c>
      <c r="D759" s="1" t="s">
        <v>28</v>
      </c>
      <c r="E759" s="15">
        <f t="shared" si="2"/>
        <v>43</v>
      </c>
      <c r="F759" s="15">
        <f t="shared" si="3"/>
        <v>3.583333333</v>
      </c>
      <c r="G759" s="1">
        <v>12.0</v>
      </c>
      <c r="H759" s="1">
        <v>2.0</v>
      </c>
      <c r="I759" s="1">
        <v>6.0</v>
      </c>
      <c r="J759" s="1">
        <v>8.0</v>
      </c>
      <c r="K759" s="1">
        <v>21.0</v>
      </c>
      <c r="L759" s="1">
        <v>2.0</v>
      </c>
      <c r="M759" s="1">
        <v>0.0</v>
      </c>
      <c r="N759" s="1">
        <v>0.0</v>
      </c>
      <c r="O759" s="1">
        <v>0.0</v>
      </c>
      <c r="P759" s="1">
        <v>12.0</v>
      </c>
      <c r="Q759" s="1">
        <v>5.0</v>
      </c>
    </row>
    <row r="760">
      <c r="A760" s="2">
        <f t="shared" si="1"/>
        <v>758</v>
      </c>
      <c r="B760" s="1" t="s">
        <v>1738</v>
      </c>
      <c r="C760" s="1" t="s">
        <v>1085</v>
      </c>
      <c r="D760" s="1" t="s">
        <v>28</v>
      </c>
      <c r="E760" s="15">
        <f t="shared" si="2"/>
        <v>42.5</v>
      </c>
      <c r="F760" s="15">
        <f t="shared" si="3"/>
        <v>1.517857143</v>
      </c>
      <c r="G760" s="1">
        <v>28.0</v>
      </c>
      <c r="H760" s="1">
        <v>1.0</v>
      </c>
      <c r="I760" s="1">
        <v>3.0</v>
      </c>
      <c r="J760" s="1">
        <v>4.0</v>
      </c>
      <c r="K760" s="1">
        <v>34.0</v>
      </c>
      <c r="L760" s="1">
        <v>0.0</v>
      </c>
      <c r="M760" s="1">
        <v>0.0</v>
      </c>
      <c r="N760" s="1">
        <v>0.0</v>
      </c>
      <c r="O760" s="1">
        <v>0.0</v>
      </c>
      <c r="P760" s="1">
        <v>32.0</v>
      </c>
      <c r="Q760" s="1">
        <v>8.0</v>
      </c>
    </row>
    <row r="761">
      <c r="A761" s="2">
        <f t="shared" si="1"/>
        <v>759</v>
      </c>
      <c r="B761" s="1" t="s">
        <v>1788</v>
      </c>
      <c r="C761" s="1" t="s">
        <v>1172</v>
      </c>
      <c r="D761" s="1" t="s">
        <v>31</v>
      </c>
      <c r="E761" s="15">
        <f t="shared" si="2"/>
        <v>42</v>
      </c>
      <c r="F761" s="15">
        <f t="shared" si="3"/>
        <v>3</v>
      </c>
      <c r="G761" s="1">
        <v>14.0</v>
      </c>
      <c r="H761" s="1">
        <v>4.0</v>
      </c>
      <c r="I761" s="1">
        <v>2.0</v>
      </c>
      <c r="J761" s="1">
        <v>6.0</v>
      </c>
      <c r="K761" s="1">
        <v>26.0</v>
      </c>
      <c r="L761" s="1">
        <v>0.0</v>
      </c>
      <c r="M761" s="1">
        <v>0.0</v>
      </c>
      <c r="N761" s="1">
        <v>0.0</v>
      </c>
      <c r="O761" s="1">
        <v>0.0</v>
      </c>
      <c r="P761" s="1">
        <v>4.0</v>
      </c>
      <c r="Q761" s="1">
        <v>8.0</v>
      </c>
    </row>
    <row r="762">
      <c r="A762" s="2">
        <f t="shared" si="1"/>
        <v>759</v>
      </c>
      <c r="B762" s="1" t="s">
        <v>1810</v>
      </c>
      <c r="C762" s="1" t="s">
        <v>1034</v>
      </c>
      <c r="D762" s="1" t="s">
        <v>66</v>
      </c>
      <c r="E762" s="15">
        <f t="shared" si="2"/>
        <v>42</v>
      </c>
      <c r="F762" s="15">
        <f t="shared" si="3"/>
        <v>1.448275862</v>
      </c>
      <c r="G762" s="1">
        <v>29.0</v>
      </c>
      <c r="H762" s="1">
        <v>0.0</v>
      </c>
      <c r="I762" s="1">
        <v>1.0</v>
      </c>
      <c r="J762" s="1">
        <v>1.0</v>
      </c>
      <c r="K762" s="1">
        <v>33.0</v>
      </c>
      <c r="L762" s="1">
        <v>0.0</v>
      </c>
      <c r="M762" s="1">
        <v>0.0</v>
      </c>
      <c r="N762" s="1">
        <v>0.0</v>
      </c>
      <c r="O762" s="1">
        <v>0.0</v>
      </c>
      <c r="P762" s="1">
        <v>30.0</v>
      </c>
      <c r="Q762" s="1">
        <v>30.0</v>
      </c>
    </row>
    <row r="763">
      <c r="A763" s="2">
        <f t="shared" si="1"/>
        <v>759</v>
      </c>
      <c r="B763" s="1" t="s">
        <v>2009</v>
      </c>
      <c r="C763" s="1" t="s">
        <v>1067</v>
      </c>
      <c r="D763" s="1" t="s">
        <v>66</v>
      </c>
      <c r="E763" s="15">
        <f t="shared" si="2"/>
        <v>42</v>
      </c>
      <c r="F763" s="15">
        <f t="shared" si="3"/>
        <v>1.272727273</v>
      </c>
      <c r="G763" s="1">
        <v>33.0</v>
      </c>
      <c r="H763" s="1">
        <v>0.0</v>
      </c>
      <c r="I763" s="1">
        <v>4.0</v>
      </c>
      <c r="J763" s="1">
        <v>4.0</v>
      </c>
      <c r="K763" s="1">
        <v>24.0</v>
      </c>
      <c r="L763" s="1">
        <v>0.0</v>
      </c>
      <c r="M763" s="1">
        <v>0.0</v>
      </c>
      <c r="N763" s="1">
        <v>0.0</v>
      </c>
      <c r="O763" s="1">
        <v>0.0</v>
      </c>
      <c r="P763" s="1">
        <v>24.0</v>
      </c>
      <c r="Q763" s="1">
        <v>24.0</v>
      </c>
    </row>
    <row r="764">
      <c r="A764" s="2">
        <f t="shared" si="1"/>
        <v>762</v>
      </c>
      <c r="B764" s="1" t="s">
        <v>2143</v>
      </c>
      <c r="C764" s="1" t="s">
        <v>1172</v>
      </c>
      <c r="D764" s="1" t="s">
        <v>5</v>
      </c>
      <c r="E764" s="15">
        <f t="shared" si="2"/>
        <v>41.7</v>
      </c>
      <c r="F764" s="15">
        <f t="shared" si="3"/>
        <v>6.95</v>
      </c>
      <c r="G764" s="1">
        <v>6.0</v>
      </c>
      <c r="R764" s="1">
        <v>5.0</v>
      </c>
      <c r="S764" s="1">
        <v>17.0</v>
      </c>
      <c r="T764" s="1">
        <v>174.0</v>
      </c>
      <c r="U764" s="1">
        <v>0.0</v>
      </c>
    </row>
    <row r="765">
      <c r="A765" s="2">
        <f t="shared" si="1"/>
        <v>763</v>
      </c>
      <c r="B765" s="1" t="s">
        <v>1588</v>
      </c>
      <c r="C765" s="1" t="s">
        <v>1156</v>
      </c>
      <c r="D765" s="1" t="s">
        <v>66</v>
      </c>
      <c r="E765" s="15">
        <f t="shared" si="2"/>
        <v>41.25</v>
      </c>
      <c r="F765" s="15">
        <f t="shared" si="3"/>
        <v>2.946428571</v>
      </c>
      <c r="G765" s="1">
        <v>14.0</v>
      </c>
      <c r="H765" s="1">
        <v>1.0</v>
      </c>
      <c r="I765" s="1">
        <v>5.0</v>
      </c>
      <c r="J765" s="1">
        <v>6.0</v>
      </c>
      <c r="K765" s="1">
        <v>16.0</v>
      </c>
      <c r="L765" s="1">
        <v>0.0</v>
      </c>
      <c r="M765" s="1">
        <v>1.0</v>
      </c>
      <c r="N765" s="1">
        <v>0.0</v>
      </c>
      <c r="O765" s="1">
        <v>0.0</v>
      </c>
      <c r="P765" s="1">
        <v>13.0</v>
      </c>
      <c r="Q765" s="1">
        <v>21.0</v>
      </c>
    </row>
    <row r="766">
      <c r="A766" s="2">
        <f t="shared" si="1"/>
        <v>764</v>
      </c>
      <c r="B766" s="1" t="s">
        <v>1286</v>
      </c>
      <c r="C766" s="1" t="s">
        <v>1091</v>
      </c>
      <c r="D766" s="1" t="s">
        <v>36</v>
      </c>
      <c r="E766" s="15">
        <f t="shared" si="2"/>
        <v>41</v>
      </c>
      <c r="F766" s="15">
        <f t="shared" si="3"/>
        <v>5.125</v>
      </c>
      <c r="G766" s="1">
        <v>8.0</v>
      </c>
      <c r="H766" s="1">
        <v>3.0</v>
      </c>
      <c r="I766" s="1">
        <v>4.0</v>
      </c>
      <c r="J766" s="1">
        <v>7.0</v>
      </c>
      <c r="K766" s="1">
        <v>15.0</v>
      </c>
      <c r="L766" s="1">
        <v>0.0</v>
      </c>
      <c r="M766" s="1">
        <v>1.0</v>
      </c>
      <c r="N766" s="1">
        <v>0.0</v>
      </c>
      <c r="O766" s="1">
        <v>0.0</v>
      </c>
      <c r="P766" s="1">
        <v>12.0</v>
      </c>
      <c r="Q766" s="1">
        <v>10.0</v>
      </c>
    </row>
    <row r="767">
      <c r="A767" s="2">
        <f t="shared" si="1"/>
        <v>764</v>
      </c>
      <c r="B767" s="1" t="s">
        <v>1906</v>
      </c>
      <c r="C767" s="1" t="s">
        <v>1156</v>
      </c>
      <c r="D767" s="1" t="s">
        <v>66</v>
      </c>
      <c r="E767" s="15">
        <f t="shared" si="2"/>
        <v>41</v>
      </c>
      <c r="F767" s="15">
        <f t="shared" si="3"/>
        <v>1.708333333</v>
      </c>
      <c r="G767" s="1">
        <v>24.0</v>
      </c>
      <c r="H767" s="1">
        <v>0.0</v>
      </c>
      <c r="I767" s="1">
        <v>4.0</v>
      </c>
      <c r="J767" s="1">
        <v>4.0</v>
      </c>
      <c r="K767" s="1">
        <v>25.0</v>
      </c>
      <c r="L767" s="1">
        <v>0.0</v>
      </c>
      <c r="M767" s="1">
        <v>1.0</v>
      </c>
      <c r="N767" s="1">
        <v>0.0</v>
      </c>
      <c r="O767" s="1">
        <v>0.0</v>
      </c>
      <c r="P767" s="1">
        <v>20.0</v>
      </c>
      <c r="Q767" s="1">
        <v>23.0</v>
      </c>
    </row>
    <row r="768">
      <c r="A768" s="2">
        <f t="shared" si="1"/>
        <v>766</v>
      </c>
      <c r="B768" s="1" t="s">
        <v>1778</v>
      </c>
      <c r="C768" s="1" t="s">
        <v>1080</v>
      </c>
      <c r="D768" s="1" t="s">
        <v>66</v>
      </c>
      <c r="E768" s="15">
        <f t="shared" si="2"/>
        <v>40.25</v>
      </c>
      <c r="F768" s="15">
        <f t="shared" si="3"/>
        <v>2.875</v>
      </c>
      <c r="G768" s="1">
        <v>14.0</v>
      </c>
      <c r="H768" s="1">
        <v>2.0</v>
      </c>
      <c r="I768" s="1">
        <v>4.0</v>
      </c>
      <c r="J768" s="1">
        <v>6.0</v>
      </c>
      <c r="K768" s="1">
        <v>22.0</v>
      </c>
      <c r="L768" s="1">
        <v>1.0</v>
      </c>
      <c r="M768" s="1">
        <v>2.0</v>
      </c>
      <c r="N768" s="1">
        <v>0.0</v>
      </c>
      <c r="O768" s="1">
        <v>0.0</v>
      </c>
      <c r="P768" s="1">
        <v>7.0</v>
      </c>
      <c r="Q768" s="1">
        <v>13.0</v>
      </c>
    </row>
    <row r="769">
      <c r="A769" s="2">
        <f t="shared" si="1"/>
        <v>767</v>
      </c>
      <c r="B769" s="1" t="s">
        <v>2144</v>
      </c>
      <c r="C769" s="1" t="s">
        <v>1032</v>
      </c>
      <c r="D769" s="1" t="s">
        <v>28</v>
      </c>
      <c r="E769" s="15">
        <f t="shared" si="2"/>
        <v>39.5</v>
      </c>
      <c r="F769" s="15">
        <f t="shared" si="3"/>
        <v>2.633333333</v>
      </c>
      <c r="G769" s="1">
        <v>15.0</v>
      </c>
      <c r="H769" s="1">
        <v>2.0</v>
      </c>
      <c r="I769" s="1">
        <v>3.0</v>
      </c>
      <c r="J769" s="1">
        <v>5.0</v>
      </c>
      <c r="K769" s="1">
        <v>27.0</v>
      </c>
      <c r="L769" s="1">
        <v>0.0</v>
      </c>
      <c r="M769" s="1">
        <v>0.0</v>
      </c>
      <c r="N769" s="1">
        <v>0.0</v>
      </c>
      <c r="O769" s="1">
        <v>0.0</v>
      </c>
      <c r="P769" s="1">
        <v>18.0</v>
      </c>
      <c r="Q769" s="1">
        <v>7.0</v>
      </c>
    </row>
    <row r="770">
      <c r="A770" s="2">
        <f t="shared" si="1"/>
        <v>768</v>
      </c>
      <c r="B770" s="1" t="s">
        <v>2145</v>
      </c>
      <c r="C770" s="1" t="s">
        <v>1048</v>
      </c>
      <c r="D770" s="1" t="s">
        <v>36</v>
      </c>
      <c r="E770" s="15">
        <f t="shared" si="2"/>
        <v>39</v>
      </c>
      <c r="F770" s="15">
        <f t="shared" si="3"/>
        <v>1.772727273</v>
      </c>
      <c r="G770" s="1">
        <v>22.0</v>
      </c>
      <c r="H770" s="1">
        <v>1.0</v>
      </c>
      <c r="I770" s="1">
        <v>2.0</v>
      </c>
      <c r="J770" s="1">
        <v>3.0</v>
      </c>
      <c r="K770" s="1">
        <v>40.0</v>
      </c>
      <c r="L770" s="1">
        <v>0.0</v>
      </c>
      <c r="M770" s="1">
        <v>1.0</v>
      </c>
      <c r="N770" s="1">
        <v>0.0</v>
      </c>
      <c r="O770" s="1">
        <v>0.0</v>
      </c>
      <c r="P770" s="1">
        <v>18.0</v>
      </c>
      <c r="Q770" s="1">
        <v>8.0</v>
      </c>
    </row>
    <row r="771">
      <c r="A771" s="2">
        <f t="shared" si="1"/>
        <v>768</v>
      </c>
      <c r="B771" s="1" t="s">
        <v>2146</v>
      </c>
      <c r="C771" s="1" t="s">
        <v>1106</v>
      </c>
      <c r="D771" s="1" t="s">
        <v>31</v>
      </c>
      <c r="E771" s="15">
        <f t="shared" si="2"/>
        <v>39</v>
      </c>
      <c r="F771" s="15">
        <f t="shared" si="3"/>
        <v>1.3</v>
      </c>
      <c r="G771" s="1">
        <v>30.0</v>
      </c>
      <c r="H771" s="1">
        <v>2.0</v>
      </c>
      <c r="I771" s="1">
        <v>4.0</v>
      </c>
      <c r="J771" s="1">
        <v>6.0</v>
      </c>
      <c r="K771" s="1">
        <v>18.0</v>
      </c>
      <c r="L771" s="1">
        <v>0.0</v>
      </c>
      <c r="M771" s="1">
        <v>0.0</v>
      </c>
      <c r="N771" s="1">
        <v>0.0</v>
      </c>
      <c r="O771" s="1">
        <v>0.0</v>
      </c>
      <c r="P771" s="1">
        <v>22.0</v>
      </c>
      <c r="Q771" s="1">
        <v>7.0</v>
      </c>
    </row>
    <row r="772">
      <c r="A772" s="2">
        <f t="shared" si="1"/>
        <v>768</v>
      </c>
      <c r="B772" s="1" t="s">
        <v>2147</v>
      </c>
      <c r="C772" s="1" t="s">
        <v>1091</v>
      </c>
      <c r="D772" s="1" t="s">
        <v>31</v>
      </c>
      <c r="E772" s="15">
        <f t="shared" si="2"/>
        <v>39</v>
      </c>
      <c r="F772" s="15">
        <f t="shared" si="3"/>
        <v>1.21875</v>
      </c>
      <c r="G772" s="1">
        <v>32.0</v>
      </c>
      <c r="H772" s="1">
        <v>2.0</v>
      </c>
      <c r="I772" s="1">
        <v>2.0</v>
      </c>
      <c r="J772" s="1">
        <v>4.0</v>
      </c>
      <c r="K772" s="1">
        <v>23.0</v>
      </c>
      <c r="L772" s="1">
        <v>0.0</v>
      </c>
      <c r="M772" s="1">
        <v>0.0</v>
      </c>
      <c r="N772" s="1">
        <v>0.0</v>
      </c>
      <c r="O772" s="1">
        <v>0.0</v>
      </c>
      <c r="P772" s="1">
        <v>30.0</v>
      </c>
      <c r="Q772" s="1">
        <v>10.0</v>
      </c>
    </row>
    <row r="773">
      <c r="A773" s="2">
        <f t="shared" si="1"/>
        <v>771</v>
      </c>
      <c r="B773" s="1" t="s">
        <v>2148</v>
      </c>
      <c r="C773" s="1" t="s">
        <v>1172</v>
      </c>
      <c r="D773" s="1" t="s">
        <v>28</v>
      </c>
      <c r="E773" s="15">
        <f t="shared" si="2"/>
        <v>38.5</v>
      </c>
      <c r="F773" s="15">
        <f t="shared" si="3"/>
        <v>2.75</v>
      </c>
      <c r="G773" s="1">
        <v>14.0</v>
      </c>
      <c r="H773" s="1">
        <v>2.0</v>
      </c>
      <c r="I773" s="1">
        <v>6.0</v>
      </c>
      <c r="J773" s="1">
        <v>8.0</v>
      </c>
      <c r="K773" s="1">
        <v>15.0</v>
      </c>
      <c r="L773" s="1">
        <v>0.0</v>
      </c>
      <c r="M773" s="1">
        <v>0.0</v>
      </c>
      <c r="N773" s="1">
        <v>0.0</v>
      </c>
      <c r="O773" s="1">
        <v>0.0</v>
      </c>
      <c r="P773" s="1">
        <v>8.0</v>
      </c>
      <c r="Q773" s="1">
        <v>4.0</v>
      </c>
      <c r="T773" s="12"/>
    </row>
    <row r="774">
      <c r="A774" s="2">
        <f t="shared" si="1"/>
        <v>772</v>
      </c>
      <c r="B774" s="1" t="s">
        <v>1996</v>
      </c>
      <c r="C774" s="1" t="s">
        <v>1156</v>
      </c>
      <c r="D774" s="1" t="s">
        <v>5</v>
      </c>
      <c r="E774" s="15">
        <f t="shared" si="2"/>
        <v>38.4</v>
      </c>
      <c r="F774" s="15">
        <f t="shared" si="3"/>
        <v>2.4</v>
      </c>
      <c r="G774" s="1">
        <v>16.0</v>
      </c>
      <c r="R774" s="1">
        <v>2.0</v>
      </c>
      <c r="S774" s="1">
        <v>54.0</v>
      </c>
      <c r="T774" s="1">
        <v>378.0</v>
      </c>
      <c r="U774" s="1">
        <v>0.0</v>
      </c>
    </row>
    <row r="775">
      <c r="A775" s="2">
        <f t="shared" si="1"/>
        <v>773</v>
      </c>
      <c r="B775" s="1" t="s">
        <v>1800</v>
      </c>
      <c r="C775" s="1" t="s">
        <v>1116</v>
      </c>
      <c r="D775" s="1" t="s">
        <v>31</v>
      </c>
      <c r="E775" s="15">
        <f t="shared" si="2"/>
        <v>38</v>
      </c>
      <c r="F775" s="15">
        <f t="shared" si="3"/>
        <v>1.727272727</v>
      </c>
      <c r="G775" s="1">
        <v>22.0</v>
      </c>
      <c r="H775" s="1">
        <v>3.0</v>
      </c>
      <c r="I775" s="1">
        <v>2.0</v>
      </c>
      <c r="J775" s="1">
        <v>5.0</v>
      </c>
      <c r="K775" s="1">
        <v>18.0</v>
      </c>
      <c r="L775" s="1">
        <v>0.0</v>
      </c>
      <c r="M775" s="1">
        <v>0.0</v>
      </c>
      <c r="N775" s="1">
        <v>0.0</v>
      </c>
      <c r="O775" s="1">
        <v>0.0</v>
      </c>
      <c r="P775" s="1">
        <v>16.0</v>
      </c>
      <c r="Q775" s="1">
        <v>11.0</v>
      </c>
    </row>
    <row r="776">
      <c r="A776" s="2">
        <f t="shared" si="1"/>
        <v>773</v>
      </c>
      <c r="B776" s="1" t="s">
        <v>1615</v>
      </c>
      <c r="C776" s="1" t="s">
        <v>1065</v>
      </c>
      <c r="D776" s="1" t="s">
        <v>66</v>
      </c>
      <c r="E776" s="15">
        <f t="shared" si="2"/>
        <v>38</v>
      </c>
      <c r="F776" s="15">
        <f t="shared" si="3"/>
        <v>1.652173913</v>
      </c>
      <c r="G776" s="1">
        <v>23.0</v>
      </c>
      <c r="H776" s="1">
        <v>0.0</v>
      </c>
      <c r="I776" s="1">
        <v>2.0</v>
      </c>
      <c r="J776" s="1">
        <v>2.0</v>
      </c>
      <c r="K776" s="1">
        <v>27.0</v>
      </c>
      <c r="L776" s="1">
        <v>0.0</v>
      </c>
      <c r="M776" s="1">
        <v>0.0</v>
      </c>
      <c r="N776" s="1">
        <v>0.0</v>
      </c>
      <c r="O776" s="1">
        <v>0.0</v>
      </c>
      <c r="P776" s="1">
        <v>18.0</v>
      </c>
      <c r="Q776" s="1">
        <v>28.0</v>
      </c>
    </row>
    <row r="777">
      <c r="A777" s="2">
        <f t="shared" si="1"/>
        <v>775</v>
      </c>
      <c r="B777" s="1" t="s">
        <v>2149</v>
      </c>
      <c r="C777" s="1" t="s">
        <v>1032</v>
      </c>
      <c r="D777" s="1" t="s">
        <v>5</v>
      </c>
      <c r="E777" s="15">
        <f t="shared" si="2"/>
        <v>37.8</v>
      </c>
      <c r="F777" s="15">
        <f t="shared" si="3"/>
        <v>3.78</v>
      </c>
      <c r="G777" s="1">
        <v>10.0</v>
      </c>
      <c r="R777" s="1">
        <v>3.0</v>
      </c>
      <c r="S777" s="1">
        <v>25.0</v>
      </c>
      <c r="T777" s="1">
        <v>221.0</v>
      </c>
      <c r="U777" s="1">
        <v>0.0</v>
      </c>
    </row>
    <row r="778">
      <c r="A778" s="2">
        <f t="shared" si="1"/>
        <v>776</v>
      </c>
      <c r="B778" s="1" t="s">
        <v>1828</v>
      </c>
      <c r="C778" s="1" t="s">
        <v>1042</v>
      </c>
      <c r="D778" s="1" t="s">
        <v>28</v>
      </c>
      <c r="E778" s="15">
        <f t="shared" si="2"/>
        <v>37.75</v>
      </c>
      <c r="F778" s="15">
        <f t="shared" si="3"/>
        <v>2.359375</v>
      </c>
      <c r="G778" s="1">
        <v>16.0</v>
      </c>
      <c r="H778" s="1">
        <v>2.0</v>
      </c>
      <c r="I778" s="1">
        <v>1.0</v>
      </c>
      <c r="J778" s="1">
        <v>3.0</v>
      </c>
      <c r="K778" s="1">
        <v>20.0</v>
      </c>
      <c r="L778" s="1">
        <v>0.0</v>
      </c>
      <c r="M778" s="1">
        <v>0.0</v>
      </c>
      <c r="N778" s="1">
        <v>0.0</v>
      </c>
      <c r="O778" s="1">
        <v>0.0</v>
      </c>
      <c r="P778" s="1">
        <v>21.0</v>
      </c>
      <c r="Q778" s="1">
        <v>21.0</v>
      </c>
    </row>
    <row r="779">
      <c r="A779" s="2">
        <f t="shared" si="1"/>
        <v>777</v>
      </c>
      <c r="B779" s="1" t="s">
        <v>1364</v>
      </c>
      <c r="C779" s="1" t="s">
        <v>1034</v>
      </c>
      <c r="D779" s="1" t="s">
        <v>66</v>
      </c>
      <c r="E779" s="15">
        <f t="shared" si="2"/>
        <v>37.25</v>
      </c>
      <c r="F779" s="15">
        <f t="shared" si="3"/>
        <v>2.191176471</v>
      </c>
      <c r="G779" s="1">
        <v>17.0</v>
      </c>
      <c r="H779" s="1">
        <v>1.0</v>
      </c>
      <c r="I779" s="1">
        <v>2.0</v>
      </c>
      <c r="J779" s="1">
        <v>3.0</v>
      </c>
      <c r="K779" s="1">
        <v>25.0</v>
      </c>
      <c r="L779" s="1">
        <v>0.0</v>
      </c>
      <c r="M779" s="1">
        <v>0.0</v>
      </c>
      <c r="N779" s="1">
        <v>0.0</v>
      </c>
      <c r="O779" s="1">
        <v>0.0</v>
      </c>
      <c r="P779" s="1">
        <v>25.0</v>
      </c>
      <c r="Q779" s="1">
        <v>16.0</v>
      </c>
    </row>
    <row r="780">
      <c r="A780" s="2">
        <f t="shared" si="1"/>
        <v>777</v>
      </c>
      <c r="B780" s="1" t="s">
        <v>2150</v>
      </c>
      <c r="C780" s="1" t="s">
        <v>1038</v>
      </c>
      <c r="D780" s="1" t="s">
        <v>66</v>
      </c>
      <c r="E780" s="15">
        <f t="shared" si="2"/>
        <v>37.25</v>
      </c>
      <c r="F780" s="15">
        <f t="shared" si="3"/>
        <v>1.693181818</v>
      </c>
      <c r="G780" s="1">
        <v>22.0</v>
      </c>
      <c r="H780" s="1">
        <v>1.0</v>
      </c>
      <c r="I780" s="1">
        <v>3.0</v>
      </c>
      <c r="J780" s="1">
        <v>4.0</v>
      </c>
      <c r="K780" s="1">
        <v>13.0</v>
      </c>
      <c r="L780" s="1">
        <v>0.0</v>
      </c>
      <c r="M780" s="1">
        <v>0.0</v>
      </c>
      <c r="N780" s="1">
        <v>0.0</v>
      </c>
      <c r="O780" s="1">
        <v>0.0</v>
      </c>
      <c r="P780" s="1">
        <v>31.0</v>
      </c>
      <c r="Q780" s="1">
        <v>19.0</v>
      </c>
    </row>
    <row r="781">
      <c r="A781" s="2">
        <f t="shared" si="1"/>
        <v>779</v>
      </c>
      <c r="B781" s="1" t="s">
        <v>1813</v>
      </c>
      <c r="C781" s="1" t="s">
        <v>1116</v>
      </c>
      <c r="D781" s="1" t="s">
        <v>66</v>
      </c>
      <c r="E781" s="15">
        <f t="shared" si="2"/>
        <v>37</v>
      </c>
      <c r="F781" s="15">
        <f t="shared" si="3"/>
        <v>1.947368421</v>
      </c>
      <c r="G781" s="1">
        <v>19.0</v>
      </c>
      <c r="H781" s="1">
        <v>1.0</v>
      </c>
      <c r="I781" s="1">
        <v>2.0</v>
      </c>
      <c r="J781" s="1">
        <v>3.0</v>
      </c>
      <c r="K781" s="1">
        <v>11.0</v>
      </c>
      <c r="L781" s="1">
        <v>0.0</v>
      </c>
      <c r="M781" s="1">
        <v>0.0</v>
      </c>
      <c r="N781" s="1">
        <v>0.0</v>
      </c>
      <c r="O781" s="1">
        <v>0.0</v>
      </c>
      <c r="P781" s="1">
        <v>44.0</v>
      </c>
      <c r="Q781" s="1">
        <v>20.0</v>
      </c>
    </row>
    <row r="782">
      <c r="A782" s="2">
        <f t="shared" si="1"/>
        <v>780</v>
      </c>
      <c r="B782" s="1" t="s">
        <v>2151</v>
      </c>
      <c r="C782" s="1" t="s">
        <v>1042</v>
      </c>
      <c r="D782" s="1" t="s">
        <v>66</v>
      </c>
      <c r="E782" s="15">
        <f t="shared" si="2"/>
        <v>36.75</v>
      </c>
      <c r="F782" s="15">
        <f t="shared" si="3"/>
        <v>1.597826087</v>
      </c>
      <c r="G782" s="1">
        <v>23.0</v>
      </c>
      <c r="H782" s="1">
        <v>0.0</v>
      </c>
      <c r="I782" s="1">
        <v>1.0</v>
      </c>
      <c r="J782" s="1">
        <v>1.0</v>
      </c>
      <c r="K782" s="1">
        <v>20.0</v>
      </c>
      <c r="L782" s="1">
        <v>0.0</v>
      </c>
      <c r="M782" s="1">
        <v>0.0</v>
      </c>
      <c r="N782" s="1">
        <v>0.0</v>
      </c>
      <c r="O782" s="1">
        <v>0.0</v>
      </c>
      <c r="P782" s="1">
        <v>23.0</v>
      </c>
      <c r="Q782" s="1">
        <v>36.0</v>
      </c>
    </row>
    <row r="783">
      <c r="A783" s="2">
        <f t="shared" si="1"/>
        <v>781</v>
      </c>
      <c r="B783" s="1" t="s">
        <v>1772</v>
      </c>
      <c r="C783" s="1" t="s">
        <v>1087</v>
      </c>
      <c r="D783" s="1" t="s">
        <v>66</v>
      </c>
      <c r="E783" s="15">
        <f t="shared" si="2"/>
        <v>36.5</v>
      </c>
      <c r="F783" s="15">
        <f t="shared" si="3"/>
        <v>2.147058824</v>
      </c>
      <c r="G783" s="1">
        <v>17.0</v>
      </c>
      <c r="H783" s="1">
        <v>2.0</v>
      </c>
      <c r="I783" s="1">
        <v>1.0</v>
      </c>
      <c r="J783" s="1">
        <v>3.0</v>
      </c>
      <c r="K783" s="1">
        <v>20.0</v>
      </c>
      <c r="L783" s="1">
        <v>0.0</v>
      </c>
      <c r="M783" s="1">
        <v>0.0</v>
      </c>
      <c r="N783" s="1">
        <v>0.0</v>
      </c>
      <c r="O783" s="1">
        <v>0.0</v>
      </c>
      <c r="P783" s="1">
        <v>26.0</v>
      </c>
      <c r="Q783" s="1">
        <v>16.0</v>
      </c>
      <c r="T783" s="12"/>
    </row>
    <row r="784">
      <c r="A784" s="2">
        <f t="shared" si="1"/>
        <v>782</v>
      </c>
      <c r="B784" s="1" t="s">
        <v>2152</v>
      </c>
      <c r="C784" s="1" t="s">
        <v>1032</v>
      </c>
      <c r="D784" s="1" t="s">
        <v>66</v>
      </c>
      <c r="E784" s="15">
        <f t="shared" si="2"/>
        <v>36.25</v>
      </c>
      <c r="F784" s="15">
        <f t="shared" si="3"/>
        <v>3.020833333</v>
      </c>
      <c r="G784" s="1">
        <v>12.0</v>
      </c>
      <c r="H784" s="1">
        <v>1.0</v>
      </c>
      <c r="I784" s="1">
        <v>1.0</v>
      </c>
      <c r="J784" s="1">
        <v>2.0</v>
      </c>
      <c r="K784" s="1">
        <v>13.0</v>
      </c>
      <c r="L784" s="1">
        <v>0.0</v>
      </c>
      <c r="M784" s="1">
        <v>0.0</v>
      </c>
      <c r="N784" s="1">
        <v>0.0</v>
      </c>
      <c r="O784" s="1">
        <v>0.0</v>
      </c>
      <c r="P784" s="1">
        <v>31.0</v>
      </c>
      <c r="Q784" s="1">
        <v>29.0</v>
      </c>
    </row>
    <row r="785">
      <c r="A785" s="2">
        <f t="shared" si="1"/>
        <v>783</v>
      </c>
      <c r="B785" s="1" t="s">
        <v>2153</v>
      </c>
      <c r="C785" s="1" t="s">
        <v>1042</v>
      </c>
      <c r="D785" s="1" t="s">
        <v>66</v>
      </c>
      <c r="E785" s="15">
        <f t="shared" si="2"/>
        <v>36</v>
      </c>
      <c r="F785" s="15">
        <f t="shared" si="3"/>
        <v>2.4</v>
      </c>
      <c r="G785" s="1">
        <v>15.0</v>
      </c>
      <c r="H785" s="1">
        <v>3.0</v>
      </c>
      <c r="I785" s="1">
        <v>0.0</v>
      </c>
      <c r="J785" s="1">
        <v>3.0</v>
      </c>
      <c r="K785" s="1">
        <v>24.0</v>
      </c>
      <c r="L785" s="1">
        <v>1.0</v>
      </c>
      <c r="M785" s="1">
        <v>0.0</v>
      </c>
      <c r="N785" s="1">
        <v>0.0</v>
      </c>
      <c r="O785" s="1">
        <v>0.0</v>
      </c>
      <c r="P785" s="1">
        <v>10.0</v>
      </c>
      <c r="Q785" s="1">
        <v>16.0</v>
      </c>
    </row>
    <row r="786">
      <c r="A786" s="2">
        <f t="shared" si="1"/>
        <v>784</v>
      </c>
      <c r="B786" s="1" t="s">
        <v>1709</v>
      </c>
      <c r="C786" s="1" t="s">
        <v>1106</v>
      </c>
      <c r="D786" s="1" t="s">
        <v>66</v>
      </c>
      <c r="E786" s="15">
        <f t="shared" si="2"/>
        <v>35.75</v>
      </c>
      <c r="F786" s="15">
        <f t="shared" si="3"/>
        <v>1.7875</v>
      </c>
      <c r="G786" s="1">
        <v>20.0</v>
      </c>
      <c r="H786" s="1">
        <v>1.0</v>
      </c>
      <c r="I786" s="1">
        <v>1.0</v>
      </c>
      <c r="J786" s="1">
        <v>2.0</v>
      </c>
      <c r="K786" s="1">
        <v>17.0</v>
      </c>
      <c r="L786" s="1">
        <v>0.0</v>
      </c>
      <c r="M786" s="1">
        <v>0.0</v>
      </c>
      <c r="N786" s="1">
        <v>0.0</v>
      </c>
      <c r="O786" s="1">
        <v>0.0</v>
      </c>
      <c r="P786" s="1">
        <v>27.0</v>
      </c>
      <c r="Q786" s="1">
        <v>26.0</v>
      </c>
    </row>
    <row r="787">
      <c r="A787" s="2">
        <f t="shared" si="1"/>
        <v>785</v>
      </c>
      <c r="B787" s="1" t="s">
        <v>2154</v>
      </c>
      <c r="C787" s="1" t="s">
        <v>1034</v>
      </c>
      <c r="D787" s="1" t="s">
        <v>28</v>
      </c>
      <c r="E787" s="15">
        <f t="shared" si="2"/>
        <v>35.25</v>
      </c>
      <c r="F787" s="15">
        <f t="shared" si="3"/>
        <v>2.073529412</v>
      </c>
      <c r="G787" s="1">
        <v>17.0</v>
      </c>
      <c r="H787" s="1">
        <v>3.0</v>
      </c>
      <c r="I787" s="1">
        <v>2.0</v>
      </c>
      <c r="J787" s="1">
        <v>5.0</v>
      </c>
      <c r="K787" s="1">
        <v>24.0</v>
      </c>
      <c r="L787" s="1">
        <v>0.0</v>
      </c>
      <c r="M787" s="1">
        <v>0.0</v>
      </c>
      <c r="N787" s="1">
        <v>0.0</v>
      </c>
      <c r="O787" s="1">
        <v>0.0</v>
      </c>
      <c r="P787" s="1">
        <v>7.0</v>
      </c>
      <c r="Q787" s="1">
        <v>4.0</v>
      </c>
    </row>
    <row r="788">
      <c r="A788" s="2">
        <f t="shared" si="1"/>
        <v>786</v>
      </c>
      <c r="B788" s="1" t="s">
        <v>2155</v>
      </c>
      <c r="C788" s="1" t="s">
        <v>1120</v>
      </c>
      <c r="D788" s="1" t="s">
        <v>36</v>
      </c>
      <c r="E788" s="15">
        <f t="shared" si="2"/>
        <v>35</v>
      </c>
      <c r="F788" s="15">
        <f t="shared" si="3"/>
        <v>1.842105263</v>
      </c>
      <c r="G788" s="1">
        <v>19.0</v>
      </c>
      <c r="H788" s="1">
        <v>2.0</v>
      </c>
      <c r="I788" s="1">
        <v>2.0</v>
      </c>
      <c r="J788" s="1">
        <v>4.0</v>
      </c>
      <c r="K788" s="1">
        <v>20.0</v>
      </c>
      <c r="L788" s="1">
        <v>0.0</v>
      </c>
      <c r="M788" s="1">
        <v>0.0</v>
      </c>
      <c r="N788" s="1">
        <v>0.0</v>
      </c>
      <c r="O788" s="1">
        <v>0.0</v>
      </c>
      <c r="P788" s="1">
        <v>22.0</v>
      </c>
      <c r="Q788" s="1">
        <v>9.0</v>
      </c>
    </row>
    <row r="789">
      <c r="A789" s="2">
        <f t="shared" si="1"/>
        <v>787</v>
      </c>
      <c r="B789" s="1" t="s">
        <v>2068</v>
      </c>
      <c r="C789" s="1" t="s">
        <v>1040</v>
      </c>
      <c r="D789" s="1" t="s">
        <v>31</v>
      </c>
      <c r="E789" s="15">
        <f t="shared" si="2"/>
        <v>34.75</v>
      </c>
      <c r="F789" s="15">
        <f t="shared" si="3"/>
        <v>0.9928571429</v>
      </c>
      <c r="G789" s="1">
        <v>35.0</v>
      </c>
      <c r="H789" s="1">
        <v>0.0</v>
      </c>
      <c r="I789" s="1">
        <v>0.0</v>
      </c>
      <c r="J789" s="1">
        <v>0.0</v>
      </c>
      <c r="K789" s="1">
        <v>31.0</v>
      </c>
      <c r="L789" s="1">
        <v>0.0</v>
      </c>
      <c r="M789" s="1">
        <v>0.0</v>
      </c>
      <c r="N789" s="1">
        <v>0.0</v>
      </c>
      <c r="O789" s="1">
        <v>0.0</v>
      </c>
      <c r="P789" s="1">
        <v>55.0</v>
      </c>
      <c r="Q789" s="1">
        <v>11.0</v>
      </c>
    </row>
    <row r="790">
      <c r="A790" s="2">
        <f t="shared" si="1"/>
        <v>788</v>
      </c>
      <c r="B790" s="1" t="s">
        <v>1766</v>
      </c>
      <c r="C790" s="1" t="s">
        <v>1172</v>
      </c>
      <c r="D790" s="1" t="s">
        <v>66</v>
      </c>
      <c r="E790" s="15">
        <f t="shared" si="2"/>
        <v>34.25</v>
      </c>
      <c r="F790" s="15">
        <f t="shared" si="3"/>
        <v>2.140625</v>
      </c>
      <c r="G790" s="1">
        <v>16.0</v>
      </c>
      <c r="H790" s="1">
        <v>1.0</v>
      </c>
      <c r="I790" s="1">
        <v>4.0</v>
      </c>
      <c r="J790" s="1">
        <v>5.0</v>
      </c>
      <c r="K790" s="1">
        <v>16.0</v>
      </c>
      <c r="L790" s="1">
        <v>0.0</v>
      </c>
      <c r="M790" s="1">
        <v>0.0</v>
      </c>
      <c r="N790" s="1">
        <v>0.0</v>
      </c>
      <c r="O790" s="1">
        <v>0.0</v>
      </c>
      <c r="P790" s="1">
        <v>27.0</v>
      </c>
      <c r="Q790" s="1">
        <v>6.0</v>
      </c>
    </row>
    <row r="791">
      <c r="A791" s="2">
        <f t="shared" si="1"/>
        <v>788</v>
      </c>
      <c r="B791" s="1" t="s">
        <v>2156</v>
      </c>
      <c r="C791" s="1" t="s">
        <v>1046</v>
      </c>
      <c r="D791" s="1" t="s">
        <v>66</v>
      </c>
      <c r="E791" s="15">
        <f t="shared" si="2"/>
        <v>34.25</v>
      </c>
      <c r="F791" s="15">
        <f t="shared" si="3"/>
        <v>2.014705882</v>
      </c>
      <c r="G791" s="1">
        <v>17.0</v>
      </c>
      <c r="H791" s="1">
        <v>1.0</v>
      </c>
      <c r="I791" s="1">
        <v>2.0</v>
      </c>
      <c r="J791" s="1">
        <v>3.0</v>
      </c>
      <c r="K791" s="1">
        <v>15.0</v>
      </c>
      <c r="L791" s="1">
        <v>0.0</v>
      </c>
      <c r="M791" s="1">
        <v>0.0</v>
      </c>
      <c r="N791" s="1">
        <v>0.0</v>
      </c>
      <c r="O791" s="1">
        <v>0.0</v>
      </c>
      <c r="P791" s="1">
        <v>11.0</v>
      </c>
      <c r="Q791" s="1">
        <v>27.0</v>
      </c>
    </row>
    <row r="792">
      <c r="A792" s="2">
        <f t="shared" si="1"/>
        <v>790</v>
      </c>
      <c r="B792" s="1" t="s">
        <v>2157</v>
      </c>
      <c r="C792" s="1" t="s">
        <v>1052</v>
      </c>
      <c r="D792" s="1" t="s">
        <v>66</v>
      </c>
      <c r="E792" s="15">
        <f t="shared" si="2"/>
        <v>33.75</v>
      </c>
      <c r="F792" s="15">
        <f t="shared" si="3"/>
        <v>3.75</v>
      </c>
      <c r="G792" s="1">
        <v>9.0</v>
      </c>
      <c r="H792" s="1">
        <v>1.0</v>
      </c>
      <c r="I792" s="1">
        <v>3.0</v>
      </c>
      <c r="J792" s="1">
        <v>4.0</v>
      </c>
      <c r="K792" s="1">
        <v>27.0</v>
      </c>
      <c r="L792" s="1">
        <v>0.0</v>
      </c>
      <c r="M792" s="1">
        <v>3.0</v>
      </c>
      <c r="N792" s="1">
        <v>0.0</v>
      </c>
      <c r="O792" s="1">
        <v>0.0</v>
      </c>
      <c r="P792" s="1">
        <v>19.0</v>
      </c>
      <c r="Q792" s="1">
        <v>4.0</v>
      </c>
    </row>
    <row r="793">
      <c r="A793" s="2">
        <f t="shared" si="1"/>
        <v>790</v>
      </c>
      <c r="B793" s="1" t="s">
        <v>1894</v>
      </c>
      <c r="C793" s="1" t="s">
        <v>1097</v>
      </c>
      <c r="D793" s="1" t="s">
        <v>31</v>
      </c>
      <c r="E793" s="15">
        <f t="shared" si="2"/>
        <v>33.75</v>
      </c>
      <c r="F793" s="15">
        <f t="shared" si="3"/>
        <v>2.596153846</v>
      </c>
      <c r="G793" s="1">
        <v>13.0</v>
      </c>
      <c r="H793" s="1">
        <v>3.0</v>
      </c>
      <c r="I793" s="1">
        <v>2.0</v>
      </c>
      <c r="J793" s="1">
        <v>5.0</v>
      </c>
      <c r="K793" s="1">
        <v>13.0</v>
      </c>
      <c r="L793" s="1">
        <v>0.0</v>
      </c>
      <c r="M793" s="1">
        <v>0.0</v>
      </c>
      <c r="N793" s="1">
        <v>0.0</v>
      </c>
      <c r="O793" s="1">
        <v>0.0</v>
      </c>
      <c r="P793" s="1">
        <v>25.0</v>
      </c>
      <c r="Q793" s="1">
        <v>3.0</v>
      </c>
    </row>
    <row r="794">
      <c r="A794" s="2">
        <f t="shared" si="1"/>
        <v>792</v>
      </c>
      <c r="B794" s="1" t="s">
        <v>2002</v>
      </c>
      <c r="C794" s="1" t="s">
        <v>1172</v>
      </c>
      <c r="D794" s="1" t="s">
        <v>66</v>
      </c>
      <c r="E794" s="15">
        <f t="shared" si="2"/>
        <v>33.5</v>
      </c>
      <c r="F794" s="15">
        <f t="shared" si="3"/>
        <v>1.970588235</v>
      </c>
      <c r="G794" s="1">
        <v>17.0</v>
      </c>
      <c r="H794" s="1">
        <v>1.0</v>
      </c>
      <c r="I794" s="1">
        <v>2.0</v>
      </c>
      <c r="J794" s="1">
        <v>3.0</v>
      </c>
      <c r="K794" s="1">
        <v>19.0</v>
      </c>
      <c r="L794" s="1">
        <v>0.0</v>
      </c>
      <c r="M794" s="1">
        <v>0.0</v>
      </c>
      <c r="N794" s="1">
        <v>0.0</v>
      </c>
      <c r="O794" s="1">
        <v>0.0</v>
      </c>
      <c r="P794" s="1">
        <v>14.0</v>
      </c>
      <c r="Q794" s="1">
        <v>20.0</v>
      </c>
    </row>
    <row r="795">
      <c r="A795" s="2">
        <f t="shared" si="1"/>
        <v>792</v>
      </c>
      <c r="B795" s="1" t="s">
        <v>2158</v>
      </c>
      <c r="C795" s="1" t="s">
        <v>1111</v>
      </c>
      <c r="D795" s="1" t="s">
        <v>36</v>
      </c>
      <c r="E795" s="15">
        <f t="shared" si="2"/>
        <v>33.5</v>
      </c>
      <c r="F795" s="15">
        <f t="shared" si="3"/>
        <v>0.6568627451</v>
      </c>
      <c r="G795" s="1">
        <v>51.0</v>
      </c>
      <c r="H795" s="1">
        <v>2.0</v>
      </c>
      <c r="I795" s="1">
        <v>0.0</v>
      </c>
      <c r="J795" s="1">
        <v>2.0</v>
      </c>
      <c r="K795" s="1">
        <v>25.0</v>
      </c>
      <c r="L795" s="1">
        <v>0.0</v>
      </c>
      <c r="M795" s="1">
        <v>0.0</v>
      </c>
      <c r="N795" s="1">
        <v>0.0</v>
      </c>
      <c r="O795" s="1">
        <v>0.0</v>
      </c>
      <c r="P795" s="1">
        <v>32.0</v>
      </c>
      <c r="Q795" s="1">
        <v>8.0</v>
      </c>
    </row>
    <row r="796">
      <c r="A796" s="2">
        <f t="shared" si="1"/>
        <v>794</v>
      </c>
      <c r="B796" s="1" t="s">
        <v>1517</v>
      </c>
      <c r="C796" s="1" t="s">
        <v>1044</v>
      </c>
      <c r="D796" s="1" t="s">
        <v>66</v>
      </c>
      <c r="E796" s="15">
        <f t="shared" si="2"/>
        <v>33.25</v>
      </c>
      <c r="F796" s="15">
        <f t="shared" si="3"/>
        <v>1.75</v>
      </c>
      <c r="G796" s="1">
        <v>19.0</v>
      </c>
      <c r="H796" s="1">
        <v>0.0</v>
      </c>
      <c r="I796" s="1">
        <v>1.0</v>
      </c>
      <c r="J796" s="1">
        <v>1.0</v>
      </c>
      <c r="K796" s="1">
        <v>22.0</v>
      </c>
      <c r="L796" s="1">
        <v>0.0</v>
      </c>
      <c r="M796" s="1">
        <v>0.0</v>
      </c>
      <c r="N796" s="1">
        <v>0.0</v>
      </c>
      <c r="O796" s="1">
        <v>0.0</v>
      </c>
      <c r="P796" s="1">
        <v>23.0</v>
      </c>
      <c r="Q796" s="1">
        <v>27.0</v>
      </c>
    </row>
    <row r="797">
      <c r="A797" s="2">
        <f t="shared" si="1"/>
        <v>794</v>
      </c>
      <c r="B797" s="1" t="s">
        <v>1690</v>
      </c>
      <c r="C797" s="1" t="s">
        <v>1040</v>
      </c>
      <c r="D797" s="1" t="s">
        <v>31</v>
      </c>
      <c r="E797" s="15">
        <f t="shared" si="2"/>
        <v>33.25</v>
      </c>
      <c r="F797" s="15">
        <f t="shared" si="3"/>
        <v>1.511363636</v>
      </c>
      <c r="G797" s="1">
        <v>22.0</v>
      </c>
      <c r="H797" s="1">
        <v>1.0</v>
      </c>
      <c r="I797" s="1">
        <v>2.0</v>
      </c>
      <c r="J797" s="1">
        <v>3.0</v>
      </c>
      <c r="K797" s="1">
        <v>17.0</v>
      </c>
      <c r="L797" s="1">
        <v>0.0</v>
      </c>
      <c r="M797" s="1">
        <v>0.0</v>
      </c>
      <c r="N797" s="1">
        <v>0.0</v>
      </c>
      <c r="O797" s="1">
        <v>0.0</v>
      </c>
      <c r="P797" s="1">
        <v>35.0</v>
      </c>
      <c r="Q797" s="1">
        <v>11.0</v>
      </c>
    </row>
    <row r="798">
      <c r="A798" s="2">
        <f t="shared" si="1"/>
        <v>796</v>
      </c>
      <c r="B798" s="1" t="s">
        <v>1786</v>
      </c>
      <c r="C798" s="1" t="s">
        <v>1085</v>
      </c>
      <c r="D798" s="1" t="s">
        <v>66</v>
      </c>
      <c r="E798" s="15">
        <f t="shared" si="2"/>
        <v>33</v>
      </c>
      <c r="F798" s="15">
        <f t="shared" si="3"/>
        <v>1.269230769</v>
      </c>
      <c r="G798" s="1">
        <v>26.0</v>
      </c>
      <c r="H798" s="1">
        <v>0.0</v>
      </c>
      <c r="I798" s="1">
        <v>2.0</v>
      </c>
      <c r="J798" s="1">
        <v>2.0</v>
      </c>
      <c r="K798" s="1">
        <v>14.0</v>
      </c>
      <c r="L798" s="1">
        <v>0.0</v>
      </c>
      <c r="M798" s="1">
        <v>0.0</v>
      </c>
      <c r="N798" s="1">
        <v>0.0</v>
      </c>
      <c r="O798" s="1">
        <v>0.0</v>
      </c>
      <c r="P798" s="1">
        <v>24.0</v>
      </c>
      <c r="Q798" s="1">
        <v>28.0</v>
      </c>
    </row>
    <row r="799">
      <c r="A799" s="2">
        <f t="shared" si="1"/>
        <v>797</v>
      </c>
      <c r="B799" s="1" t="s">
        <v>1538</v>
      </c>
      <c r="C799" s="1" t="s">
        <v>1106</v>
      </c>
      <c r="D799" s="1" t="s">
        <v>5</v>
      </c>
      <c r="E799" s="15">
        <f t="shared" si="2"/>
        <v>32.1</v>
      </c>
      <c r="F799" s="15">
        <f t="shared" si="3"/>
        <v>5.35</v>
      </c>
      <c r="G799" s="1">
        <v>6.0</v>
      </c>
      <c r="R799" s="1">
        <v>3.0</v>
      </c>
      <c r="S799" s="1">
        <v>17.0</v>
      </c>
      <c r="T799" s="1">
        <v>162.0</v>
      </c>
      <c r="U799" s="1">
        <v>0.0</v>
      </c>
    </row>
    <row r="800">
      <c r="A800" s="2">
        <f t="shared" si="1"/>
        <v>798</v>
      </c>
      <c r="B800" s="1" t="s">
        <v>2159</v>
      </c>
      <c r="C800" s="1" t="s">
        <v>1111</v>
      </c>
      <c r="D800" s="1" t="s">
        <v>28</v>
      </c>
      <c r="E800" s="15">
        <f t="shared" si="2"/>
        <v>32</v>
      </c>
      <c r="F800" s="15">
        <f t="shared" si="3"/>
        <v>2.909090909</v>
      </c>
      <c r="G800" s="1">
        <v>11.0</v>
      </c>
      <c r="H800" s="1">
        <v>1.0</v>
      </c>
      <c r="I800" s="1">
        <v>5.0</v>
      </c>
      <c r="J800" s="1">
        <v>6.0</v>
      </c>
      <c r="K800" s="1">
        <v>17.0</v>
      </c>
      <c r="L800" s="1">
        <v>1.0</v>
      </c>
      <c r="M800" s="1">
        <v>0.0</v>
      </c>
      <c r="N800" s="1">
        <v>0.0</v>
      </c>
      <c r="O800" s="1">
        <v>0.0</v>
      </c>
      <c r="P800" s="1">
        <v>2.0</v>
      </c>
      <c r="Q800" s="1">
        <v>7.0</v>
      </c>
    </row>
    <row r="801">
      <c r="A801" s="2">
        <f t="shared" si="1"/>
        <v>799</v>
      </c>
      <c r="B801" s="1" t="s">
        <v>1842</v>
      </c>
      <c r="C801" s="1" t="s">
        <v>1111</v>
      </c>
      <c r="D801" s="1" t="s">
        <v>5</v>
      </c>
      <c r="E801" s="15">
        <f t="shared" si="2"/>
        <v>31.8</v>
      </c>
      <c r="F801" s="15">
        <f t="shared" si="3"/>
        <v>4.542857143</v>
      </c>
      <c r="G801" s="1">
        <v>7.0</v>
      </c>
      <c r="R801" s="1">
        <v>4.0</v>
      </c>
      <c r="S801" s="1">
        <v>28.0</v>
      </c>
      <c r="T801" s="1">
        <v>206.0</v>
      </c>
      <c r="U801" s="1">
        <v>0.0</v>
      </c>
    </row>
    <row r="802">
      <c r="A802" s="2">
        <f t="shared" si="1"/>
        <v>800</v>
      </c>
      <c r="B802" s="1" t="s">
        <v>1966</v>
      </c>
      <c r="C802" s="1" t="s">
        <v>1034</v>
      </c>
      <c r="D802" s="1" t="s">
        <v>66</v>
      </c>
      <c r="E802" s="15">
        <f t="shared" si="2"/>
        <v>31.75</v>
      </c>
      <c r="F802" s="15">
        <f t="shared" si="3"/>
        <v>2.886363636</v>
      </c>
      <c r="G802" s="1">
        <v>11.0</v>
      </c>
      <c r="H802" s="1">
        <v>1.0</v>
      </c>
      <c r="I802" s="1">
        <v>2.0</v>
      </c>
      <c r="J802" s="1">
        <v>3.0</v>
      </c>
      <c r="K802" s="1">
        <v>21.0</v>
      </c>
      <c r="L802" s="1">
        <v>0.0</v>
      </c>
      <c r="M802" s="1">
        <v>0.0</v>
      </c>
      <c r="N802" s="1">
        <v>0.0</v>
      </c>
      <c r="O802" s="1">
        <v>0.0</v>
      </c>
      <c r="P802" s="1">
        <v>31.0</v>
      </c>
      <c r="Q802" s="1">
        <v>6.0</v>
      </c>
    </row>
    <row r="803">
      <c r="A803" s="2">
        <f t="shared" si="1"/>
        <v>801</v>
      </c>
      <c r="B803" s="1" t="s">
        <v>1659</v>
      </c>
      <c r="C803" s="1" t="s">
        <v>1046</v>
      </c>
      <c r="D803" s="1" t="s">
        <v>28</v>
      </c>
      <c r="E803" s="15">
        <f t="shared" si="2"/>
        <v>31.5</v>
      </c>
      <c r="F803" s="15">
        <f t="shared" si="3"/>
        <v>2.25</v>
      </c>
      <c r="G803" s="1">
        <v>14.0</v>
      </c>
      <c r="H803" s="1">
        <v>1.0</v>
      </c>
      <c r="I803" s="1">
        <v>4.0</v>
      </c>
      <c r="J803" s="1">
        <v>5.0</v>
      </c>
      <c r="K803" s="1">
        <v>17.0</v>
      </c>
      <c r="L803" s="1">
        <v>0.0</v>
      </c>
      <c r="M803" s="1">
        <v>1.0</v>
      </c>
      <c r="N803" s="1">
        <v>0.0</v>
      </c>
      <c r="O803" s="1">
        <v>0.0</v>
      </c>
      <c r="P803" s="1">
        <v>20.0</v>
      </c>
      <c r="Q803" s="1">
        <v>3.0</v>
      </c>
      <c r="T803" s="12"/>
    </row>
    <row r="804">
      <c r="A804" s="2">
        <f t="shared" si="1"/>
        <v>802</v>
      </c>
      <c r="B804" s="1" t="s">
        <v>2160</v>
      </c>
      <c r="C804" s="1" t="s">
        <v>1036</v>
      </c>
      <c r="D804" s="1" t="s">
        <v>66</v>
      </c>
      <c r="E804" s="15">
        <f t="shared" si="2"/>
        <v>31.25</v>
      </c>
      <c r="F804" s="15">
        <f t="shared" si="3"/>
        <v>1.358695652</v>
      </c>
      <c r="G804" s="1">
        <v>23.0</v>
      </c>
      <c r="H804" s="1">
        <v>0.0</v>
      </c>
      <c r="I804" s="1">
        <v>0.0</v>
      </c>
      <c r="J804" s="1">
        <v>0.0</v>
      </c>
      <c r="K804" s="1">
        <v>16.0</v>
      </c>
      <c r="L804" s="1">
        <v>0.0</v>
      </c>
      <c r="M804" s="1">
        <v>0.0</v>
      </c>
      <c r="N804" s="1">
        <v>0.0</v>
      </c>
      <c r="O804" s="1">
        <v>0.0</v>
      </c>
      <c r="P804" s="1">
        <v>61.0</v>
      </c>
      <c r="Q804" s="1">
        <v>16.0</v>
      </c>
    </row>
    <row r="805">
      <c r="A805" s="2">
        <f t="shared" si="1"/>
        <v>803</v>
      </c>
      <c r="B805" s="1" t="s">
        <v>2161</v>
      </c>
      <c r="C805" s="1" t="s">
        <v>1175</v>
      </c>
      <c r="D805" s="1" t="s">
        <v>66</v>
      </c>
      <c r="E805" s="15">
        <f t="shared" si="2"/>
        <v>31</v>
      </c>
      <c r="F805" s="15">
        <f t="shared" si="3"/>
        <v>1.9375</v>
      </c>
      <c r="G805" s="1">
        <v>16.0</v>
      </c>
      <c r="H805" s="1">
        <v>0.0</v>
      </c>
      <c r="I805" s="1">
        <v>4.0</v>
      </c>
      <c r="J805" s="1">
        <v>4.0</v>
      </c>
      <c r="K805" s="1">
        <v>3.0</v>
      </c>
      <c r="L805" s="1">
        <v>0.0</v>
      </c>
      <c r="M805" s="1">
        <v>0.0</v>
      </c>
      <c r="N805" s="1">
        <v>0.0</v>
      </c>
      <c r="O805" s="1">
        <v>0.0</v>
      </c>
      <c r="P805" s="1">
        <v>28.0</v>
      </c>
      <c r="Q805" s="1">
        <v>21.0</v>
      </c>
      <c r="T805" s="12"/>
    </row>
    <row r="806">
      <c r="A806" s="2">
        <f t="shared" si="1"/>
        <v>804</v>
      </c>
      <c r="B806" s="1" t="s">
        <v>1937</v>
      </c>
      <c r="C806" s="1" t="s">
        <v>1078</v>
      </c>
      <c r="D806" s="1" t="s">
        <v>5</v>
      </c>
      <c r="E806" s="15">
        <f t="shared" si="2"/>
        <v>30.9</v>
      </c>
      <c r="F806" s="15">
        <f t="shared" si="3"/>
        <v>3.09</v>
      </c>
      <c r="G806" s="1">
        <v>10.0</v>
      </c>
      <c r="R806" s="1">
        <v>5.0</v>
      </c>
      <c r="S806" s="1">
        <v>34.0</v>
      </c>
      <c r="T806" s="1">
        <v>223.0</v>
      </c>
      <c r="U806" s="1">
        <v>0.0</v>
      </c>
    </row>
    <row r="807">
      <c r="A807" s="2">
        <f t="shared" si="1"/>
        <v>805</v>
      </c>
      <c r="B807" s="1" t="s">
        <v>2022</v>
      </c>
      <c r="C807" s="1" t="s">
        <v>1073</v>
      </c>
      <c r="D807" s="1" t="s">
        <v>66</v>
      </c>
      <c r="E807" s="15">
        <f t="shared" si="2"/>
        <v>30.75</v>
      </c>
      <c r="F807" s="15">
        <f t="shared" si="3"/>
        <v>1.808823529</v>
      </c>
      <c r="G807" s="1">
        <v>17.0</v>
      </c>
      <c r="H807" s="1">
        <v>0.0</v>
      </c>
      <c r="I807" s="1">
        <v>3.0</v>
      </c>
      <c r="J807" s="1">
        <v>3.0</v>
      </c>
      <c r="K807" s="1">
        <v>29.0</v>
      </c>
      <c r="L807" s="1">
        <v>0.0</v>
      </c>
      <c r="M807" s="1">
        <v>0.0</v>
      </c>
      <c r="N807" s="1">
        <v>0.0</v>
      </c>
      <c r="O807" s="1">
        <v>0.0</v>
      </c>
      <c r="P807" s="1">
        <v>11.0</v>
      </c>
      <c r="Q807" s="1">
        <v>9.0</v>
      </c>
    </row>
    <row r="808">
      <c r="A808" s="2">
        <f t="shared" si="1"/>
        <v>806</v>
      </c>
      <c r="B808" s="1" t="s">
        <v>1469</v>
      </c>
      <c r="C808" s="1" t="s">
        <v>1076</v>
      </c>
      <c r="D808" s="1" t="s">
        <v>36</v>
      </c>
      <c r="E808" s="15">
        <f t="shared" si="2"/>
        <v>30.5</v>
      </c>
      <c r="F808" s="15">
        <f t="shared" si="3"/>
        <v>1.605263158</v>
      </c>
      <c r="G808" s="1">
        <v>19.0</v>
      </c>
      <c r="H808" s="1">
        <v>3.0</v>
      </c>
      <c r="I808" s="1">
        <v>1.0</v>
      </c>
      <c r="J808" s="1">
        <v>4.0</v>
      </c>
      <c r="K808" s="1">
        <v>21.0</v>
      </c>
      <c r="L808" s="1">
        <v>2.0</v>
      </c>
      <c r="M808" s="1">
        <v>0.0</v>
      </c>
      <c r="N808" s="1">
        <v>0.0</v>
      </c>
      <c r="O808" s="1">
        <v>0.0</v>
      </c>
      <c r="P808" s="1">
        <v>6.0</v>
      </c>
      <c r="Q808" s="1">
        <v>4.0</v>
      </c>
      <c r="T808" s="12"/>
    </row>
    <row r="809">
      <c r="A809" s="2">
        <f t="shared" si="1"/>
        <v>807</v>
      </c>
      <c r="B809" s="1" t="s">
        <v>2162</v>
      </c>
      <c r="C809" s="1" t="s">
        <v>1048</v>
      </c>
      <c r="D809" s="1" t="s">
        <v>31</v>
      </c>
      <c r="E809" s="15">
        <f t="shared" si="2"/>
        <v>30.25</v>
      </c>
      <c r="F809" s="15">
        <f t="shared" si="3"/>
        <v>2.160714286</v>
      </c>
      <c r="G809" s="1">
        <v>14.0</v>
      </c>
      <c r="H809" s="1">
        <v>2.0</v>
      </c>
      <c r="I809" s="1">
        <v>2.0</v>
      </c>
      <c r="J809" s="1">
        <v>4.0</v>
      </c>
      <c r="K809" s="1">
        <v>17.0</v>
      </c>
      <c r="L809" s="1">
        <v>0.0</v>
      </c>
      <c r="M809" s="1">
        <v>0.0</v>
      </c>
      <c r="N809" s="1">
        <v>0.0</v>
      </c>
      <c r="O809" s="1">
        <v>0.0</v>
      </c>
      <c r="P809" s="1">
        <v>15.0</v>
      </c>
      <c r="Q809" s="1">
        <v>6.0</v>
      </c>
      <c r="T809" s="12"/>
    </row>
    <row r="810">
      <c r="A810" s="2">
        <f t="shared" si="1"/>
        <v>807</v>
      </c>
      <c r="B810" s="1" t="s">
        <v>2163</v>
      </c>
      <c r="C810" s="1" t="s">
        <v>1048</v>
      </c>
      <c r="D810" s="1" t="s">
        <v>66</v>
      </c>
      <c r="E810" s="15">
        <f t="shared" si="2"/>
        <v>30.25</v>
      </c>
      <c r="F810" s="15">
        <f t="shared" si="3"/>
        <v>1.12037037</v>
      </c>
      <c r="G810" s="1">
        <v>27.0</v>
      </c>
      <c r="H810" s="1">
        <v>0.0</v>
      </c>
      <c r="I810" s="1">
        <v>3.0</v>
      </c>
      <c r="J810" s="1">
        <v>3.0</v>
      </c>
      <c r="K810" s="1">
        <v>13.0</v>
      </c>
      <c r="L810" s="1">
        <v>0.0</v>
      </c>
      <c r="M810" s="1">
        <v>0.0</v>
      </c>
      <c r="N810" s="1">
        <v>0.0</v>
      </c>
      <c r="O810" s="1">
        <v>0.0</v>
      </c>
      <c r="P810" s="1">
        <v>35.0</v>
      </c>
      <c r="Q810" s="1">
        <v>12.0</v>
      </c>
      <c r="T810" s="12"/>
    </row>
    <row r="811">
      <c r="A811" s="2">
        <f t="shared" si="1"/>
        <v>809</v>
      </c>
      <c r="B811" s="1" t="s">
        <v>1920</v>
      </c>
      <c r="C811" s="1" t="s">
        <v>1046</v>
      </c>
      <c r="D811" s="1" t="s">
        <v>5</v>
      </c>
      <c r="E811" s="15">
        <f t="shared" si="2"/>
        <v>29.4</v>
      </c>
      <c r="F811" s="15">
        <f t="shared" si="3"/>
        <v>5.88</v>
      </c>
      <c r="G811" s="1">
        <v>5.0</v>
      </c>
      <c r="R811" s="1">
        <v>3.0</v>
      </c>
      <c r="S811" s="1">
        <v>14.0</v>
      </c>
      <c r="T811" s="1">
        <v>138.0</v>
      </c>
      <c r="U811" s="1">
        <v>0.0</v>
      </c>
    </row>
    <row r="812">
      <c r="A812" s="2">
        <f t="shared" si="1"/>
        <v>810</v>
      </c>
      <c r="B812" s="1" t="s">
        <v>1631</v>
      </c>
      <c r="C812" s="1" t="s">
        <v>1080</v>
      </c>
      <c r="D812" s="1" t="s">
        <v>66</v>
      </c>
      <c r="E812" s="15">
        <f t="shared" si="2"/>
        <v>27.75</v>
      </c>
      <c r="F812" s="15">
        <f t="shared" si="3"/>
        <v>2.775</v>
      </c>
      <c r="G812" s="1">
        <v>10.0</v>
      </c>
      <c r="H812" s="1">
        <v>0.0</v>
      </c>
      <c r="I812" s="1">
        <v>2.0</v>
      </c>
      <c r="J812" s="1">
        <v>2.0</v>
      </c>
      <c r="K812" s="1">
        <v>18.0</v>
      </c>
      <c r="L812" s="1">
        <v>0.0</v>
      </c>
      <c r="M812" s="1">
        <v>0.0</v>
      </c>
      <c r="N812" s="1">
        <v>0.0</v>
      </c>
      <c r="O812" s="1">
        <v>0.0</v>
      </c>
      <c r="P812" s="1">
        <v>27.0</v>
      </c>
      <c r="Q812" s="1">
        <v>12.0</v>
      </c>
    </row>
    <row r="813">
      <c r="A813" s="2">
        <f t="shared" si="1"/>
        <v>811</v>
      </c>
      <c r="B813" s="1" t="s">
        <v>2164</v>
      </c>
      <c r="C813" s="1" t="s">
        <v>1087</v>
      </c>
      <c r="D813" s="1" t="s">
        <v>66</v>
      </c>
      <c r="E813" s="15">
        <f t="shared" si="2"/>
        <v>27.5</v>
      </c>
      <c r="F813" s="15">
        <f t="shared" si="3"/>
        <v>2.5</v>
      </c>
      <c r="G813" s="1">
        <v>11.0</v>
      </c>
      <c r="H813" s="1">
        <v>2.0</v>
      </c>
      <c r="I813" s="1">
        <v>2.0</v>
      </c>
      <c r="J813" s="1">
        <v>4.0</v>
      </c>
      <c r="K813" s="1">
        <v>9.0</v>
      </c>
      <c r="L813" s="1">
        <v>0.0</v>
      </c>
      <c r="M813" s="1">
        <v>0.0</v>
      </c>
      <c r="N813" s="1">
        <v>0.0</v>
      </c>
      <c r="O813" s="1">
        <v>0.0</v>
      </c>
      <c r="P813" s="1">
        <v>6.0</v>
      </c>
      <c r="Q813" s="1">
        <v>13.0</v>
      </c>
    </row>
    <row r="814">
      <c r="A814" s="2">
        <f t="shared" si="1"/>
        <v>811</v>
      </c>
      <c r="B814" s="1" t="s">
        <v>1957</v>
      </c>
      <c r="C814" s="1" t="s">
        <v>1065</v>
      </c>
      <c r="D814" s="1" t="s">
        <v>28</v>
      </c>
      <c r="E814" s="15">
        <f t="shared" si="2"/>
        <v>27.5</v>
      </c>
      <c r="F814" s="15">
        <f t="shared" si="3"/>
        <v>1.964285714</v>
      </c>
      <c r="G814" s="1">
        <v>14.0</v>
      </c>
      <c r="H814" s="1">
        <v>1.0</v>
      </c>
      <c r="I814" s="1">
        <v>2.0</v>
      </c>
      <c r="J814" s="1">
        <v>3.0</v>
      </c>
      <c r="K814" s="1">
        <v>17.0</v>
      </c>
      <c r="L814" s="1">
        <v>0.0</v>
      </c>
      <c r="M814" s="1">
        <v>0.0</v>
      </c>
      <c r="N814" s="1">
        <v>0.0</v>
      </c>
      <c r="O814" s="1">
        <v>0.0</v>
      </c>
      <c r="P814" s="1">
        <v>8.0</v>
      </c>
      <c r="Q814" s="1">
        <v>13.0</v>
      </c>
    </row>
    <row r="815">
      <c r="A815" s="2">
        <f t="shared" si="1"/>
        <v>813</v>
      </c>
      <c r="B815" s="1" t="s">
        <v>2165</v>
      </c>
      <c r="C815" s="1" t="s">
        <v>1046</v>
      </c>
      <c r="D815" s="1" t="s">
        <v>31</v>
      </c>
      <c r="E815" s="15">
        <f t="shared" si="2"/>
        <v>27.25</v>
      </c>
      <c r="F815" s="15">
        <f t="shared" si="3"/>
        <v>1.816666667</v>
      </c>
      <c r="G815" s="1">
        <v>15.0</v>
      </c>
      <c r="H815" s="1">
        <v>2.0</v>
      </c>
      <c r="I815" s="1">
        <v>1.0</v>
      </c>
      <c r="J815" s="1">
        <v>3.0</v>
      </c>
      <c r="K815" s="1">
        <v>16.0</v>
      </c>
      <c r="L815" s="1">
        <v>0.0</v>
      </c>
      <c r="M815" s="1">
        <v>0.0</v>
      </c>
      <c r="N815" s="1">
        <v>0.0</v>
      </c>
      <c r="O815" s="1">
        <v>0.0</v>
      </c>
      <c r="P815" s="1">
        <v>19.0</v>
      </c>
      <c r="Q815" s="1">
        <v>5.0</v>
      </c>
    </row>
    <row r="816">
      <c r="A816" s="2">
        <f t="shared" si="1"/>
        <v>813</v>
      </c>
      <c r="B816" s="1" t="s">
        <v>1989</v>
      </c>
      <c r="C816" s="1" t="s">
        <v>1042</v>
      </c>
      <c r="D816" s="1" t="s">
        <v>28</v>
      </c>
      <c r="E816" s="15">
        <f t="shared" si="2"/>
        <v>27.25</v>
      </c>
      <c r="F816" s="15">
        <f t="shared" si="3"/>
        <v>1.602941176</v>
      </c>
      <c r="G816" s="1">
        <v>17.0</v>
      </c>
      <c r="H816" s="1">
        <v>1.0</v>
      </c>
      <c r="I816" s="1">
        <v>0.0</v>
      </c>
      <c r="J816" s="1">
        <v>1.0</v>
      </c>
      <c r="K816" s="1">
        <v>21.0</v>
      </c>
      <c r="L816" s="1">
        <v>0.0</v>
      </c>
      <c r="M816" s="1">
        <v>0.0</v>
      </c>
      <c r="N816" s="1">
        <v>0.0</v>
      </c>
      <c r="O816" s="1">
        <v>0.0</v>
      </c>
      <c r="P816" s="1">
        <v>23.0</v>
      </c>
      <c r="Q816" s="1">
        <v>13.0</v>
      </c>
    </row>
    <row r="817">
      <c r="A817" s="2">
        <f t="shared" si="1"/>
        <v>813</v>
      </c>
      <c r="B817" s="1" t="s">
        <v>2166</v>
      </c>
      <c r="C817" s="1" t="s">
        <v>1048</v>
      </c>
      <c r="D817" s="1" t="s">
        <v>66</v>
      </c>
      <c r="E817" s="15">
        <f t="shared" si="2"/>
        <v>27.25</v>
      </c>
      <c r="F817" s="15">
        <f t="shared" si="3"/>
        <v>1.3625</v>
      </c>
      <c r="G817" s="1">
        <v>20.0</v>
      </c>
      <c r="H817" s="1">
        <v>1.0</v>
      </c>
      <c r="I817" s="1">
        <v>3.0</v>
      </c>
      <c r="J817" s="1">
        <v>4.0</v>
      </c>
      <c r="K817" s="1">
        <v>14.0</v>
      </c>
      <c r="L817" s="1">
        <v>0.0</v>
      </c>
      <c r="M817" s="1">
        <v>0.0</v>
      </c>
      <c r="N817" s="1">
        <v>0.0</v>
      </c>
      <c r="O817" s="1">
        <v>0.0</v>
      </c>
      <c r="P817" s="1">
        <v>13.0</v>
      </c>
      <c r="Q817" s="1">
        <v>7.0</v>
      </c>
      <c r="T817" s="12"/>
    </row>
    <row r="818">
      <c r="A818" s="2">
        <f t="shared" si="1"/>
        <v>816</v>
      </c>
      <c r="B818" s="1" t="s">
        <v>2071</v>
      </c>
      <c r="C818" s="1" t="s">
        <v>1082</v>
      </c>
      <c r="D818" s="1" t="s">
        <v>28</v>
      </c>
      <c r="E818" s="15">
        <f t="shared" si="2"/>
        <v>27</v>
      </c>
      <c r="F818" s="15">
        <f t="shared" si="3"/>
        <v>2.25</v>
      </c>
      <c r="G818" s="1">
        <v>12.0</v>
      </c>
      <c r="H818" s="1">
        <v>2.0</v>
      </c>
      <c r="I818" s="1">
        <v>2.0</v>
      </c>
      <c r="J818" s="1">
        <v>4.0</v>
      </c>
      <c r="K818" s="1">
        <v>16.0</v>
      </c>
      <c r="L818" s="1">
        <v>0.0</v>
      </c>
      <c r="M818" s="1">
        <v>0.0</v>
      </c>
      <c r="N818" s="1">
        <v>0.0</v>
      </c>
      <c r="O818" s="1">
        <v>0.0</v>
      </c>
      <c r="P818" s="1">
        <v>4.0</v>
      </c>
      <c r="Q818" s="1">
        <v>6.0</v>
      </c>
    </row>
    <row r="819">
      <c r="A819" s="2">
        <f t="shared" si="1"/>
        <v>816</v>
      </c>
      <c r="B819" s="1" t="s">
        <v>2167</v>
      </c>
      <c r="C819" s="1" t="s">
        <v>1067</v>
      </c>
      <c r="D819" s="1" t="s">
        <v>66</v>
      </c>
      <c r="E819" s="15">
        <f t="shared" si="2"/>
        <v>27</v>
      </c>
      <c r="F819" s="15">
        <f t="shared" si="3"/>
        <v>1.588235294</v>
      </c>
      <c r="G819" s="1">
        <v>17.0</v>
      </c>
      <c r="H819" s="1">
        <v>1.0</v>
      </c>
      <c r="I819" s="1">
        <v>2.0</v>
      </c>
      <c r="J819" s="1">
        <v>3.0</v>
      </c>
      <c r="K819" s="1">
        <v>14.0</v>
      </c>
      <c r="L819" s="1">
        <v>0.0</v>
      </c>
      <c r="M819" s="1">
        <v>0.0</v>
      </c>
      <c r="N819" s="1">
        <v>0.0</v>
      </c>
      <c r="O819" s="1">
        <v>0.0</v>
      </c>
      <c r="P819" s="1">
        <v>6.0</v>
      </c>
      <c r="Q819" s="1">
        <v>16.0</v>
      </c>
    </row>
    <row r="820">
      <c r="A820" s="2">
        <f t="shared" si="1"/>
        <v>818</v>
      </c>
      <c r="B820" s="1" t="s">
        <v>2168</v>
      </c>
      <c r="C820" s="1" t="s">
        <v>1111</v>
      </c>
      <c r="D820" s="1" t="s">
        <v>31</v>
      </c>
      <c r="E820" s="15">
        <f t="shared" si="2"/>
        <v>26.25</v>
      </c>
      <c r="F820" s="15">
        <f t="shared" si="3"/>
        <v>1.25</v>
      </c>
      <c r="G820" s="1">
        <v>21.0</v>
      </c>
      <c r="H820" s="1">
        <v>1.0</v>
      </c>
      <c r="I820" s="1">
        <v>0.0</v>
      </c>
      <c r="J820" s="1">
        <v>1.0</v>
      </c>
      <c r="K820" s="1">
        <v>25.0</v>
      </c>
      <c r="L820" s="1">
        <v>0.0</v>
      </c>
      <c r="M820" s="1">
        <v>0.0</v>
      </c>
      <c r="N820" s="1">
        <v>0.0</v>
      </c>
      <c r="O820" s="1">
        <v>0.0</v>
      </c>
      <c r="P820" s="1">
        <v>17.0</v>
      </c>
      <c r="Q820" s="1">
        <v>10.0</v>
      </c>
      <c r="T820" s="12"/>
    </row>
    <row r="821">
      <c r="A821" s="2">
        <f t="shared" si="1"/>
        <v>819</v>
      </c>
      <c r="B821" s="1" t="s">
        <v>1972</v>
      </c>
      <c r="C821" s="1" t="s">
        <v>1048</v>
      </c>
      <c r="D821" s="1" t="s">
        <v>28</v>
      </c>
      <c r="E821" s="15">
        <f t="shared" si="2"/>
        <v>26</v>
      </c>
      <c r="F821" s="15">
        <f t="shared" si="3"/>
        <v>1.444444444</v>
      </c>
      <c r="G821" s="1">
        <v>18.0</v>
      </c>
      <c r="H821" s="1">
        <v>0.0</v>
      </c>
      <c r="I821" s="1">
        <v>3.0</v>
      </c>
      <c r="J821" s="1">
        <v>3.0</v>
      </c>
      <c r="K821" s="1">
        <v>16.0</v>
      </c>
      <c r="L821" s="1">
        <v>0.0</v>
      </c>
      <c r="M821" s="1">
        <v>0.0</v>
      </c>
      <c r="N821" s="1">
        <v>0.0</v>
      </c>
      <c r="O821" s="1">
        <v>0.0</v>
      </c>
      <c r="P821" s="1">
        <v>20.0</v>
      </c>
      <c r="Q821" s="1">
        <v>8.0</v>
      </c>
    </row>
    <row r="822">
      <c r="A822" s="2">
        <f t="shared" si="1"/>
        <v>820</v>
      </c>
      <c r="B822" s="1" t="s">
        <v>1287</v>
      </c>
      <c r="C822" s="1" t="s">
        <v>1175</v>
      </c>
      <c r="D822" s="1" t="s">
        <v>28</v>
      </c>
      <c r="E822" s="15">
        <f t="shared" si="2"/>
        <v>25.75</v>
      </c>
      <c r="F822" s="15">
        <f t="shared" si="3"/>
        <v>3.21875</v>
      </c>
      <c r="G822" s="1">
        <v>8.0</v>
      </c>
      <c r="H822" s="1">
        <v>2.0</v>
      </c>
      <c r="I822" s="1">
        <v>1.0</v>
      </c>
      <c r="J822" s="1">
        <v>3.0</v>
      </c>
      <c r="K822" s="1">
        <v>18.0</v>
      </c>
      <c r="L822" s="1">
        <v>0.0</v>
      </c>
      <c r="M822" s="1">
        <v>1.0</v>
      </c>
      <c r="N822" s="1">
        <v>0.0</v>
      </c>
      <c r="O822" s="1">
        <v>0.0</v>
      </c>
      <c r="P822" s="1">
        <v>7.0</v>
      </c>
      <c r="Q822" s="1">
        <v>6.0</v>
      </c>
    </row>
    <row r="823">
      <c r="A823" s="2">
        <f t="shared" si="1"/>
        <v>821</v>
      </c>
      <c r="B823" s="1" t="s">
        <v>2169</v>
      </c>
      <c r="C823" s="1" t="s">
        <v>1040</v>
      </c>
      <c r="D823" s="1" t="s">
        <v>66</v>
      </c>
      <c r="E823" s="15">
        <f t="shared" si="2"/>
        <v>25.25</v>
      </c>
      <c r="F823" s="15">
        <f t="shared" si="3"/>
        <v>1.578125</v>
      </c>
      <c r="G823" s="1">
        <v>16.0</v>
      </c>
      <c r="H823" s="1">
        <v>1.0</v>
      </c>
      <c r="I823" s="1">
        <v>0.0</v>
      </c>
      <c r="J823" s="1">
        <v>1.0</v>
      </c>
      <c r="K823" s="1">
        <v>13.0</v>
      </c>
      <c r="L823" s="1">
        <v>0.0</v>
      </c>
      <c r="M823" s="1">
        <v>0.0</v>
      </c>
      <c r="N823" s="1">
        <v>0.0</v>
      </c>
      <c r="O823" s="1">
        <v>0.0</v>
      </c>
      <c r="P823" s="1">
        <v>17.0</v>
      </c>
      <c r="Q823" s="1">
        <v>20.0</v>
      </c>
    </row>
    <row r="824">
      <c r="A824" s="2">
        <f t="shared" si="1"/>
        <v>821</v>
      </c>
      <c r="B824" s="1" t="s">
        <v>1627</v>
      </c>
      <c r="C824" s="1" t="s">
        <v>1040</v>
      </c>
      <c r="D824" s="1" t="s">
        <v>36</v>
      </c>
      <c r="E824" s="15">
        <f t="shared" si="2"/>
        <v>25.25</v>
      </c>
      <c r="F824" s="15">
        <f t="shared" si="3"/>
        <v>1.485294118</v>
      </c>
      <c r="G824" s="1">
        <v>17.0</v>
      </c>
      <c r="H824" s="1">
        <v>1.0</v>
      </c>
      <c r="I824" s="1">
        <v>1.0</v>
      </c>
      <c r="J824" s="1">
        <v>2.0</v>
      </c>
      <c r="K824" s="1">
        <v>27.0</v>
      </c>
      <c r="L824" s="1">
        <v>0.0</v>
      </c>
      <c r="M824" s="1">
        <v>0.0</v>
      </c>
      <c r="N824" s="1">
        <v>0.0</v>
      </c>
      <c r="O824" s="1">
        <v>0.0</v>
      </c>
      <c r="P824" s="1">
        <v>9.0</v>
      </c>
      <c r="Q824" s="1">
        <v>4.0</v>
      </c>
    </row>
    <row r="825">
      <c r="A825" s="2">
        <f t="shared" si="1"/>
        <v>823</v>
      </c>
      <c r="B825" s="1" t="s">
        <v>2170</v>
      </c>
      <c r="C825" s="1" t="s">
        <v>1032</v>
      </c>
      <c r="D825" s="1" t="s">
        <v>36</v>
      </c>
      <c r="E825" s="15">
        <f t="shared" si="2"/>
        <v>25</v>
      </c>
      <c r="F825" s="15">
        <f t="shared" si="3"/>
        <v>1.388888889</v>
      </c>
      <c r="G825" s="1">
        <v>18.0</v>
      </c>
      <c r="H825" s="1">
        <v>0.0</v>
      </c>
      <c r="I825" s="1">
        <v>2.0</v>
      </c>
      <c r="J825" s="1">
        <v>2.0</v>
      </c>
      <c r="K825" s="1">
        <v>9.0</v>
      </c>
      <c r="L825" s="1">
        <v>0.0</v>
      </c>
      <c r="M825" s="1">
        <v>0.0</v>
      </c>
      <c r="N825" s="1">
        <v>0.0</v>
      </c>
      <c r="O825" s="1">
        <v>0.0</v>
      </c>
      <c r="P825" s="1">
        <v>44.0</v>
      </c>
      <c r="Q825" s="1">
        <v>7.0</v>
      </c>
    </row>
    <row r="826">
      <c r="A826" s="2">
        <f t="shared" si="1"/>
        <v>824</v>
      </c>
      <c r="B826" s="1" t="s">
        <v>1853</v>
      </c>
      <c r="C826" s="1" t="s">
        <v>1040</v>
      </c>
      <c r="D826" s="1" t="s">
        <v>36</v>
      </c>
      <c r="E826" s="15">
        <f t="shared" si="2"/>
        <v>24.75</v>
      </c>
      <c r="F826" s="15">
        <f t="shared" si="3"/>
        <v>1.903846154</v>
      </c>
      <c r="G826" s="1">
        <v>13.0</v>
      </c>
      <c r="H826" s="1">
        <v>0.0</v>
      </c>
      <c r="I826" s="1">
        <v>1.0</v>
      </c>
      <c r="J826" s="1">
        <v>1.0</v>
      </c>
      <c r="K826" s="1">
        <v>12.0</v>
      </c>
      <c r="L826" s="1">
        <v>0.0</v>
      </c>
      <c r="M826" s="1">
        <v>0.0</v>
      </c>
      <c r="N826" s="1">
        <v>0.0</v>
      </c>
      <c r="O826" s="1">
        <v>0.0</v>
      </c>
      <c r="P826" s="1">
        <v>37.0</v>
      </c>
      <c r="Q826" s="1">
        <v>13.0</v>
      </c>
    </row>
    <row r="827">
      <c r="A827" s="2">
        <f t="shared" si="1"/>
        <v>824</v>
      </c>
      <c r="B827" s="1" t="s">
        <v>1571</v>
      </c>
      <c r="C827" s="1" t="s">
        <v>1091</v>
      </c>
      <c r="D827" s="1" t="s">
        <v>66</v>
      </c>
      <c r="E827" s="15">
        <f t="shared" si="2"/>
        <v>24.75</v>
      </c>
      <c r="F827" s="15">
        <f t="shared" si="3"/>
        <v>1.767857143</v>
      </c>
      <c r="G827" s="1">
        <v>14.0</v>
      </c>
      <c r="H827" s="1">
        <v>0.0</v>
      </c>
      <c r="I827" s="1">
        <v>4.0</v>
      </c>
      <c r="J827" s="1">
        <v>4.0</v>
      </c>
      <c r="K827" s="1">
        <v>8.0</v>
      </c>
      <c r="L827" s="1">
        <v>0.0</v>
      </c>
      <c r="M827" s="1">
        <v>0.0</v>
      </c>
      <c r="N827" s="1">
        <v>0.0</v>
      </c>
      <c r="O827" s="1">
        <v>0.0</v>
      </c>
      <c r="P827" s="1">
        <v>9.0</v>
      </c>
      <c r="Q827" s="1">
        <v>13.0</v>
      </c>
    </row>
    <row r="828">
      <c r="A828" s="2">
        <f t="shared" si="1"/>
        <v>826</v>
      </c>
      <c r="B828" s="1" t="s">
        <v>1406</v>
      </c>
      <c r="C828" s="1" t="s">
        <v>1044</v>
      </c>
      <c r="D828" s="1" t="s">
        <v>31</v>
      </c>
      <c r="E828" s="15">
        <f t="shared" si="2"/>
        <v>24.25</v>
      </c>
      <c r="F828" s="15">
        <f t="shared" si="3"/>
        <v>3.03125</v>
      </c>
      <c r="G828" s="1">
        <v>8.0</v>
      </c>
      <c r="H828" s="1">
        <v>2.0</v>
      </c>
      <c r="I828" s="1">
        <v>1.0</v>
      </c>
      <c r="J828" s="1">
        <v>3.0</v>
      </c>
      <c r="K828" s="1">
        <v>15.0</v>
      </c>
      <c r="L828" s="1">
        <v>0.0</v>
      </c>
      <c r="M828" s="1">
        <v>0.0</v>
      </c>
      <c r="N828" s="1">
        <v>0.0</v>
      </c>
      <c r="O828" s="1">
        <v>0.0</v>
      </c>
      <c r="P828" s="1">
        <v>7.0</v>
      </c>
      <c r="Q828" s="1">
        <v>6.0</v>
      </c>
    </row>
    <row r="829">
      <c r="A829" s="2">
        <f t="shared" si="1"/>
        <v>826</v>
      </c>
      <c r="B829" s="1" t="s">
        <v>2171</v>
      </c>
      <c r="C829" s="1" t="s">
        <v>1156</v>
      </c>
      <c r="D829" s="1" t="s">
        <v>66</v>
      </c>
      <c r="E829" s="15">
        <f t="shared" si="2"/>
        <v>24.25</v>
      </c>
      <c r="F829" s="15">
        <f t="shared" si="3"/>
        <v>2.694444444</v>
      </c>
      <c r="G829" s="1">
        <v>9.0</v>
      </c>
      <c r="H829" s="1">
        <v>0.0</v>
      </c>
      <c r="I829" s="1">
        <v>1.0</v>
      </c>
      <c r="J829" s="1">
        <v>1.0</v>
      </c>
      <c r="K829" s="1">
        <v>3.0</v>
      </c>
      <c r="L829" s="1">
        <v>0.0</v>
      </c>
      <c r="M829" s="1">
        <v>0.0</v>
      </c>
      <c r="N829" s="1">
        <v>0.0</v>
      </c>
      <c r="O829" s="1">
        <v>0.0</v>
      </c>
      <c r="P829" s="1">
        <v>39.0</v>
      </c>
      <c r="Q829" s="1">
        <v>20.0</v>
      </c>
    </row>
    <row r="830">
      <c r="A830" s="2">
        <f t="shared" si="1"/>
        <v>826</v>
      </c>
      <c r="B830" s="1" t="s">
        <v>1755</v>
      </c>
      <c r="C830" s="1" t="s">
        <v>1080</v>
      </c>
      <c r="D830" s="1" t="s">
        <v>66</v>
      </c>
      <c r="E830" s="15">
        <f t="shared" si="2"/>
        <v>24.25</v>
      </c>
      <c r="F830" s="15">
        <f t="shared" si="3"/>
        <v>2.425</v>
      </c>
      <c r="G830" s="1">
        <v>10.0</v>
      </c>
      <c r="H830" s="1">
        <v>0.0</v>
      </c>
      <c r="I830" s="1">
        <v>2.0</v>
      </c>
      <c r="J830" s="1">
        <v>2.0</v>
      </c>
      <c r="K830" s="1">
        <v>16.0</v>
      </c>
      <c r="L830" s="1">
        <v>0.0</v>
      </c>
      <c r="M830" s="1">
        <v>0.0</v>
      </c>
      <c r="N830" s="1">
        <v>0.0</v>
      </c>
      <c r="O830" s="1">
        <v>0.0</v>
      </c>
      <c r="P830" s="1">
        <v>25.0</v>
      </c>
      <c r="Q830" s="1">
        <v>8.0</v>
      </c>
    </row>
    <row r="831">
      <c r="A831" s="2">
        <f t="shared" si="1"/>
        <v>826</v>
      </c>
      <c r="B831" s="1" t="s">
        <v>1768</v>
      </c>
      <c r="C831" s="1" t="s">
        <v>1040</v>
      </c>
      <c r="D831" s="1" t="s">
        <v>66</v>
      </c>
      <c r="E831" s="15">
        <f t="shared" si="2"/>
        <v>24.25</v>
      </c>
      <c r="F831" s="15">
        <f t="shared" si="3"/>
        <v>1.515625</v>
      </c>
      <c r="G831" s="1">
        <v>16.0</v>
      </c>
      <c r="H831" s="1">
        <v>1.0</v>
      </c>
      <c r="I831" s="1">
        <v>1.0</v>
      </c>
      <c r="J831" s="1">
        <v>2.0</v>
      </c>
      <c r="K831" s="1">
        <v>15.0</v>
      </c>
      <c r="L831" s="1">
        <v>0.0</v>
      </c>
      <c r="M831" s="1">
        <v>0.0</v>
      </c>
      <c r="N831" s="1">
        <v>0.0</v>
      </c>
      <c r="O831" s="1">
        <v>0.0</v>
      </c>
      <c r="P831" s="1">
        <v>5.0</v>
      </c>
      <c r="Q831" s="1">
        <v>16.0</v>
      </c>
      <c r="T831" s="12"/>
    </row>
    <row r="832">
      <c r="A832" s="2">
        <f t="shared" si="1"/>
        <v>830</v>
      </c>
      <c r="B832" s="1" t="s">
        <v>1434</v>
      </c>
      <c r="C832" s="1" t="s">
        <v>1111</v>
      </c>
      <c r="D832" s="1" t="s">
        <v>31</v>
      </c>
      <c r="E832" s="15">
        <f t="shared" si="2"/>
        <v>24</v>
      </c>
      <c r="F832" s="15">
        <f t="shared" si="3"/>
        <v>2.666666667</v>
      </c>
      <c r="G832" s="1">
        <v>9.0</v>
      </c>
      <c r="H832" s="1">
        <v>2.0</v>
      </c>
      <c r="I832" s="1">
        <v>1.0</v>
      </c>
      <c r="J832" s="1">
        <v>3.0</v>
      </c>
      <c r="K832" s="1">
        <v>15.0</v>
      </c>
      <c r="L832" s="1">
        <v>0.0</v>
      </c>
      <c r="M832" s="1">
        <v>0.0</v>
      </c>
      <c r="N832" s="1">
        <v>0.0</v>
      </c>
      <c r="O832" s="1">
        <v>0.0</v>
      </c>
      <c r="P832" s="1">
        <v>16.0</v>
      </c>
      <c r="Q832" s="1">
        <v>1.0</v>
      </c>
    </row>
    <row r="833">
      <c r="A833" s="2">
        <f t="shared" si="1"/>
        <v>831</v>
      </c>
      <c r="B833" s="1" t="s">
        <v>2172</v>
      </c>
      <c r="C833" s="1" t="s">
        <v>1046</v>
      </c>
      <c r="D833" s="1" t="s">
        <v>66</v>
      </c>
      <c r="E833" s="15">
        <f t="shared" si="2"/>
        <v>23.5</v>
      </c>
      <c r="F833" s="15">
        <f t="shared" si="3"/>
        <v>1.46875</v>
      </c>
      <c r="G833" s="1">
        <v>16.0</v>
      </c>
      <c r="H833" s="1">
        <v>0.0</v>
      </c>
      <c r="I833" s="1">
        <v>3.0</v>
      </c>
      <c r="J833" s="1">
        <v>3.0</v>
      </c>
      <c r="K833" s="1">
        <v>16.0</v>
      </c>
      <c r="L833" s="1">
        <v>0.0</v>
      </c>
      <c r="M833" s="1">
        <v>1.0</v>
      </c>
      <c r="N833" s="1">
        <v>0.0</v>
      </c>
      <c r="O833" s="1">
        <v>0.0</v>
      </c>
      <c r="P833" s="1">
        <v>4.0</v>
      </c>
      <c r="Q833" s="1">
        <v>11.0</v>
      </c>
    </row>
    <row r="834">
      <c r="A834" s="2">
        <f t="shared" si="1"/>
        <v>832</v>
      </c>
      <c r="B834" s="1" t="s">
        <v>1557</v>
      </c>
      <c r="C834" s="1" t="s">
        <v>1073</v>
      </c>
      <c r="D834" s="1" t="s">
        <v>28</v>
      </c>
      <c r="E834" s="15">
        <f t="shared" si="2"/>
        <v>23</v>
      </c>
      <c r="F834" s="15">
        <f t="shared" si="3"/>
        <v>4.6</v>
      </c>
      <c r="G834" s="1">
        <v>5.0</v>
      </c>
      <c r="H834" s="1">
        <v>3.0</v>
      </c>
      <c r="I834" s="1">
        <v>0.0</v>
      </c>
      <c r="J834" s="1">
        <v>3.0</v>
      </c>
      <c r="K834" s="1">
        <v>16.0</v>
      </c>
      <c r="L834" s="1">
        <v>1.0</v>
      </c>
      <c r="M834" s="1">
        <v>0.0</v>
      </c>
      <c r="N834" s="1">
        <v>0.0</v>
      </c>
      <c r="O834" s="1">
        <v>0.0</v>
      </c>
      <c r="P834" s="1">
        <v>4.0</v>
      </c>
      <c r="Q834" s="1">
        <v>1.0</v>
      </c>
    </row>
    <row r="835">
      <c r="A835" s="2">
        <f t="shared" si="1"/>
        <v>833</v>
      </c>
      <c r="B835" s="1" t="s">
        <v>2173</v>
      </c>
      <c r="C835" s="1" t="s">
        <v>1146</v>
      </c>
      <c r="D835" s="1" t="s">
        <v>36</v>
      </c>
      <c r="E835" s="15">
        <f t="shared" si="2"/>
        <v>22.75</v>
      </c>
      <c r="F835" s="15">
        <f t="shared" si="3"/>
        <v>1.625</v>
      </c>
      <c r="G835" s="1">
        <v>14.0</v>
      </c>
      <c r="H835" s="1">
        <v>0.0</v>
      </c>
      <c r="I835" s="1">
        <v>4.0</v>
      </c>
      <c r="J835" s="1">
        <v>4.0</v>
      </c>
      <c r="K835" s="1">
        <v>10.0</v>
      </c>
      <c r="L835" s="1">
        <v>0.0</v>
      </c>
      <c r="M835" s="1">
        <v>0.0</v>
      </c>
      <c r="N835" s="1">
        <v>0.0</v>
      </c>
      <c r="O835" s="1">
        <v>0.0</v>
      </c>
      <c r="P835" s="1">
        <v>11.0</v>
      </c>
      <c r="Q835" s="1">
        <v>6.0</v>
      </c>
    </row>
    <row r="836">
      <c r="A836" s="2">
        <f t="shared" si="1"/>
        <v>834</v>
      </c>
      <c r="B836" s="1" t="s">
        <v>2174</v>
      </c>
      <c r="C836" s="1" t="s">
        <v>1172</v>
      </c>
      <c r="D836" s="1" t="s">
        <v>36</v>
      </c>
      <c r="E836" s="15">
        <f t="shared" si="2"/>
        <v>22.25</v>
      </c>
      <c r="F836" s="15">
        <f t="shared" si="3"/>
        <v>2.472222222</v>
      </c>
      <c r="G836" s="1">
        <v>9.0</v>
      </c>
      <c r="H836" s="1">
        <v>1.0</v>
      </c>
      <c r="I836" s="1">
        <v>2.0</v>
      </c>
      <c r="J836" s="1">
        <v>3.0</v>
      </c>
      <c r="K836" s="1">
        <v>13.0</v>
      </c>
      <c r="L836" s="1">
        <v>0.0</v>
      </c>
      <c r="M836" s="1">
        <v>0.0</v>
      </c>
      <c r="N836" s="1">
        <v>0.0</v>
      </c>
      <c r="O836" s="1">
        <v>0.0</v>
      </c>
      <c r="P836" s="1">
        <v>15.0</v>
      </c>
      <c r="Q836" s="1">
        <v>3.0</v>
      </c>
      <c r="T836" s="12"/>
    </row>
    <row r="837">
      <c r="A837" s="2">
        <f t="shared" si="1"/>
        <v>834</v>
      </c>
      <c r="B837" s="1" t="s">
        <v>1808</v>
      </c>
      <c r="C837" s="1" t="s">
        <v>1172</v>
      </c>
      <c r="D837" s="1" t="s">
        <v>66</v>
      </c>
      <c r="E837" s="15">
        <f t="shared" si="2"/>
        <v>22.25</v>
      </c>
      <c r="F837" s="15">
        <f t="shared" si="3"/>
        <v>2.472222222</v>
      </c>
      <c r="G837" s="1">
        <v>9.0</v>
      </c>
      <c r="H837" s="1">
        <v>0.0</v>
      </c>
      <c r="I837" s="1">
        <v>3.0</v>
      </c>
      <c r="J837" s="1">
        <v>3.0</v>
      </c>
      <c r="K837" s="1">
        <v>14.0</v>
      </c>
      <c r="L837" s="1">
        <v>0.0</v>
      </c>
      <c r="M837" s="1">
        <v>0.0</v>
      </c>
      <c r="N837" s="1">
        <v>0.0</v>
      </c>
      <c r="O837" s="1">
        <v>0.0</v>
      </c>
      <c r="P837" s="1">
        <v>5.0</v>
      </c>
      <c r="Q837" s="1">
        <v>10.0</v>
      </c>
    </row>
    <row r="838">
      <c r="A838" s="2">
        <f t="shared" si="1"/>
        <v>834</v>
      </c>
      <c r="B838" s="1" t="s">
        <v>2175</v>
      </c>
      <c r="C838" s="1" t="s">
        <v>1175</v>
      </c>
      <c r="D838" s="1" t="s">
        <v>28</v>
      </c>
      <c r="E838" s="15">
        <f t="shared" si="2"/>
        <v>22.25</v>
      </c>
      <c r="F838" s="15">
        <f t="shared" si="3"/>
        <v>1.711538462</v>
      </c>
      <c r="G838" s="1">
        <v>13.0</v>
      </c>
      <c r="H838" s="1">
        <v>0.0</v>
      </c>
      <c r="I838" s="1">
        <v>3.0</v>
      </c>
      <c r="J838" s="1">
        <v>3.0</v>
      </c>
      <c r="K838" s="1">
        <v>18.0</v>
      </c>
      <c r="L838" s="1">
        <v>0.0</v>
      </c>
      <c r="M838" s="1">
        <v>0.0</v>
      </c>
      <c r="N838" s="1">
        <v>0.0</v>
      </c>
      <c r="O838" s="1">
        <v>0.0</v>
      </c>
      <c r="P838" s="1">
        <v>7.0</v>
      </c>
      <c r="Q838" s="1">
        <v>5.0</v>
      </c>
    </row>
    <row r="839">
      <c r="A839" s="2">
        <f t="shared" si="1"/>
        <v>837</v>
      </c>
      <c r="B839" s="1" t="s">
        <v>1323</v>
      </c>
      <c r="C839" s="1" t="s">
        <v>1082</v>
      </c>
      <c r="D839" s="1" t="s">
        <v>31</v>
      </c>
      <c r="E839" s="15">
        <f t="shared" si="2"/>
        <v>22</v>
      </c>
      <c r="F839" s="15">
        <f t="shared" si="3"/>
        <v>2.444444444</v>
      </c>
      <c r="G839" s="1">
        <v>9.0</v>
      </c>
      <c r="H839" s="1">
        <v>1.0</v>
      </c>
      <c r="I839" s="1">
        <v>1.0</v>
      </c>
      <c r="J839" s="1">
        <v>2.0</v>
      </c>
      <c r="K839" s="1">
        <v>7.0</v>
      </c>
      <c r="L839" s="1">
        <v>0.0</v>
      </c>
      <c r="M839" s="1">
        <v>0.0</v>
      </c>
      <c r="N839" s="1">
        <v>0.0</v>
      </c>
      <c r="O839" s="1">
        <v>0.0</v>
      </c>
      <c r="P839" s="1">
        <v>34.0</v>
      </c>
      <c r="Q839" s="1">
        <v>5.0</v>
      </c>
    </row>
    <row r="840">
      <c r="A840" s="2">
        <f t="shared" si="1"/>
        <v>837</v>
      </c>
      <c r="B840" s="1" t="s">
        <v>2176</v>
      </c>
      <c r="C840" s="1" t="s">
        <v>1116</v>
      </c>
      <c r="D840" s="1" t="s">
        <v>66</v>
      </c>
      <c r="E840" s="15">
        <f t="shared" si="2"/>
        <v>22</v>
      </c>
      <c r="F840" s="15">
        <f t="shared" si="3"/>
        <v>1.571428571</v>
      </c>
      <c r="G840" s="1">
        <v>14.0</v>
      </c>
      <c r="H840" s="1">
        <v>2.0</v>
      </c>
      <c r="I840" s="1">
        <v>0.0</v>
      </c>
      <c r="J840" s="1">
        <v>2.0</v>
      </c>
      <c r="K840" s="1">
        <v>14.0</v>
      </c>
      <c r="L840" s="1">
        <v>0.0</v>
      </c>
      <c r="M840" s="1">
        <v>0.0</v>
      </c>
      <c r="N840" s="1">
        <v>0.0</v>
      </c>
      <c r="O840" s="1">
        <v>0.0</v>
      </c>
      <c r="P840" s="1">
        <v>12.0</v>
      </c>
      <c r="Q840" s="1">
        <v>6.0</v>
      </c>
    </row>
    <row r="841">
      <c r="A841" s="2">
        <f t="shared" si="1"/>
        <v>837</v>
      </c>
      <c r="B841" s="1" t="s">
        <v>2177</v>
      </c>
      <c r="C841" s="1" t="s">
        <v>1175</v>
      </c>
      <c r="D841" s="1" t="s">
        <v>28</v>
      </c>
      <c r="E841" s="15">
        <f t="shared" si="2"/>
        <v>22</v>
      </c>
      <c r="F841" s="15">
        <f t="shared" si="3"/>
        <v>5.5</v>
      </c>
      <c r="G841" s="1">
        <v>4.0</v>
      </c>
      <c r="H841" s="1">
        <v>1.0</v>
      </c>
      <c r="I841" s="1">
        <v>2.0</v>
      </c>
      <c r="J841" s="1">
        <v>3.0</v>
      </c>
      <c r="K841" s="1">
        <v>9.0</v>
      </c>
      <c r="L841" s="1">
        <v>0.0</v>
      </c>
      <c r="M841" s="1">
        <v>0.0</v>
      </c>
      <c r="N841" s="1">
        <v>1.0</v>
      </c>
      <c r="O841" s="1">
        <v>0.0</v>
      </c>
      <c r="P841" s="1">
        <v>12.0</v>
      </c>
      <c r="Q841" s="1">
        <v>4.0</v>
      </c>
    </row>
    <row r="842">
      <c r="A842" s="2">
        <f t="shared" si="1"/>
        <v>840</v>
      </c>
      <c r="B842" s="1" t="s">
        <v>2178</v>
      </c>
      <c r="C842" s="1" t="s">
        <v>1036</v>
      </c>
      <c r="D842" s="1" t="s">
        <v>66</v>
      </c>
      <c r="E842" s="15">
        <f t="shared" si="2"/>
        <v>21.75</v>
      </c>
      <c r="F842" s="15">
        <f t="shared" si="3"/>
        <v>1.673076923</v>
      </c>
      <c r="G842" s="1">
        <v>13.0</v>
      </c>
      <c r="H842" s="1">
        <v>0.0</v>
      </c>
      <c r="I842" s="1">
        <v>3.0</v>
      </c>
      <c r="J842" s="1">
        <v>3.0</v>
      </c>
      <c r="K842" s="1">
        <v>8.0</v>
      </c>
      <c r="L842" s="1">
        <v>0.0</v>
      </c>
      <c r="M842" s="1">
        <v>0.0</v>
      </c>
      <c r="N842" s="1">
        <v>0.0</v>
      </c>
      <c r="O842" s="1">
        <v>0.0</v>
      </c>
      <c r="P842" s="1">
        <v>11.0</v>
      </c>
      <c r="Q842" s="1">
        <v>12.0</v>
      </c>
      <c r="T842" s="12"/>
    </row>
    <row r="843">
      <c r="A843" s="2">
        <f t="shared" si="1"/>
        <v>841</v>
      </c>
      <c r="B843" s="1" t="s">
        <v>1295</v>
      </c>
      <c r="C843" s="1" t="s">
        <v>1146</v>
      </c>
      <c r="D843" s="1" t="s">
        <v>5</v>
      </c>
      <c r="E843" s="15">
        <f t="shared" si="2"/>
        <v>21.6</v>
      </c>
      <c r="F843" s="15">
        <f t="shared" si="3"/>
        <v>4.32</v>
      </c>
      <c r="G843" s="1">
        <v>5.0</v>
      </c>
      <c r="R843" s="1">
        <v>2.0</v>
      </c>
      <c r="S843" s="1">
        <v>13.0</v>
      </c>
      <c r="T843" s="1">
        <v>117.0</v>
      </c>
      <c r="U843" s="1">
        <v>0.0</v>
      </c>
    </row>
    <row r="844">
      <c r="A844" s="2">
        <f t="shared" si="1"/>
        <v>842</v>
      </c>
      <c r="B844" s="1" t="s">
        <v>2047</v>
      </c>
      <c r="C844" s="1" t="s">
        <v>1146</v>
      </c>
      <c r="D844" s="1" t="s">
        <v>66</v>
      </c>
      <c r="E844" s="15">
        <f t="shared" si="2"/>
        <v>21.5</v>
      </c>
      <c r="F844" s="15">
        <f t="shared" si="3"/>
        <v>1.791666667</v>
      </c>
      <c r="G844" s="1">
        <v>12.0</v>
      </c>
      <c r="H844" s="1">
        <v>0.0</v>
      </c>
      <c r="I844" s="1">
        <v>1.0</v>
      </c>
      <c r="J844" s="1">
        <v>1.0</v>
      </c>
      <c r="K844" s="1">
        <v>10.0</v>
      </c>
      <c r="L844" s="1">
        <v>0.0</v>
      </c>
      <c r="M844" s="1">
        <v>0.0</v>
      </c>
      <c r="N844" s="1">
        <v>0.0</v>
      </c>
      <c r="O844" s="1">
        <v>0.0</v>
      </c>
      <c r="P844" s="1">
        <v>28.0</v>
      </c>
      <c r="Q844" s="1">
        <v>13.0</v>
      </c>
      <c r="T844" s="12"/>
    </row>
    <row r="845">
      <c r="A845" s="2">
        <f t="shared" si="1"/>
        <v>842</v>
      </c>
      <c r="B845" s="1" t="s">
        <v>1780</v>
      </c>
      <c r="C845" s="1" t="s">
        <v>1069</v>
      </c>
      <c r="D845" s="1" t="s">
        <v>31</v>
      </c>
      <c r="E845" s="15">
        <f t="shared" si="2"/>
        <v>21.5</v>
      </c>
      <c r="F845" s="15">
        <f t="shared" si="3"/>
        <v>1.264705882</v>
      </c>
      <c r="G845" s="1">
        <v>17.0</v>
      </c>
      <c r="H845" s="1">
        <v>0.0</v>
      </c>
      <c r="I845" s="1">
        <v>1.0</v>
      </c>
      <c r="J845" s="1">
        <v>1.0</v>
      </c>
      <c r="K845" s="1">
        <v>14.0</v>
      </c>
      <c r="L845" s="1">
        <v>0.0</v>
      </c>
      <c r="M845" s="1">
        <v>0.0</v>
      </c>
      <c r="N845" s="1">
        <v>0.0</v>
      </c>
      <c r="O845" s="1">
        <v>0.0</v>
      </c>
      <c r="P845" s="1">
        <v>26.0</v>
      </c>
      <c r="Q845" s="1">
        <v>10.0</v>
      </c>
    </row>
    <row r="846">
      <c r="A846" s="2">
        <f t="shared" si="1"/>
        <v>844</v>
      </c>
      <c r="B846" s="1" t="s">
        <v>1617</v>
      </c>
      <c r="C846" s="1" t="s">
        <v>1046</v>
      </c>
      <c r="D846" s="1" t="s">
        <v>66</v>
      </c>
      <c r="E846" s="15">
        <f t="shared" si="2"/>
        <v>21.25</v>
      </c>
      <c r="F846" s="15">
        <f t="shared" si="3"/>
        <v>1.770833333</v>
      </c>
      <c r="G846" s="1">
        <v>12.0</v>
      </c>
      <c r="H846" s="1">
        <v>0.0</v>
      </c>
      <c r="I846" s="1">
        <v>0.0</v>
      </c>
      <c r="J846" s="1">
        <v>0.0</v>
      </c>
      <c r="K846" s="1">
        <v>5.0</v>
      </c>
      <c r="L846" s="1">
        <v>0.0</v>
      </c>
      <c r="M846" s="1">
        <v>0.0</v>
      </c>
      <c r="N846" s="1">
        <v>0.0</v>
      </c>
      <c r="O846" s="1">
        <v>0.0</v>
      </c>
      <c r="P846" s="1">
        <v>43.0</v>
      </c>
      <c r="Q846" s="1">
        <v>16.0</v>
      </c>
    </row>
    <row r="847">
      <c r="A847" s="2">
        <f t="shared" si="1"/>
        <v>845</v>
      </c>
      <c r="B847" s="1" t="s">
        <v>1888</v>
      </c>
      <c r="C847" s="1" t="s">
        <v>1156</v>
      </c>
      <c r="D847" s="1" t="s">
        <v>36</v>
      </c>
      <c r="E847" s="15">
        <f t="shared" si="2"/>
        <v>21</v>
      </c>
      <c r="F847" s="15">
        <f t="shared" si="3"/>
        <v>1.5</v>
      </c>
      <c r="G847" s="1">
        <v>14.0</v>
      </c>
      <c r="H847" s="1">
        <v>0.0</v>
      </c>
      <c r="I847" s="1">
        <v>1.0</v>
      </c>
      <c r="J847" s="1">
        <v>1.0</v>
      </c>
      <c r="K847" s="1">
        <v>17.0</v>
      </c>
      <c r="L847" s="1">
        <v>0.0</v>
      </c>
      <c r="M847" s="1">
        <v>0.0</v>
      </c>
      <c r="N847" s="1">
        <v>0.0</v>
      </c>
      <c r="O847" s="1">
        <v>0.0</v>
      </c>
      <c r="P847" s="1">
        <v>26.0</v>
      </c>
      <c r="Q847" s="1">
        <v>6.0</v>
      </c>
      <c r="T847" s="12"/>
    </row>
    <row r="848">
      <c r="A848" s="2">
        <f t="shared" si="1"/>
        <v>845</v>
      </c>
      <c r="B848" s="1" t="s">
        <v>2179</v>
      </c>
      <c r="C848" s="1" t="s">
        <v>1080</v>
      </c>
      <c r="D848" s="1" t="s">
        <v>66</v>
      </c>
      <c r="E848" s="15">
        <f t="shared" si="2"/>
        <v>21</v>
      </c>
      <c r="F848" s="15">
        <f t="shared" si="3"/>
        <v>1.4</v>
      </c>
      <c r="G848" s="1">
        <v>15.0</v>
      </c>
      <c r="H848" s="1">
        <v>0.0</v>
      </c>
      <c r="I848" s="1">
        <v>0.0</v>
      </c>
      <c r="J848" s="1">
        <v>0.0</v>
      </c>
      <c r="K848" s="1">
        <v>7.0</v>
      </c>
      <c r="L848" s="1">
        <v>0.0</v>
      </c>
      <c r="M848" s="1">
        <v>0.0</v>
      </c>
      <c r="N848" s="1">
        <v>0.0</v>
      </c>
      <c r="O848" s="1">
        <v>0.0</v>
      </c>
      <c r="P848" s="1">
        <v>30.0</v>
      </c>
      <c r="Q848" s="1">
        <v>20.0</v>
      </c>
    </row>
    <row r="849">
      <c r="A849" s="2">
        <f t="shared" si="1"/>
        <v>845</v>
      </c>
      <c r="B849" s="1" t="s">
        <v>1912</v>
      </c>
      <c r="C849" s="1" t="s">
        <v>1034</v>
      </c>
      <c r="D849" s="1" t="s">
        <v>28</v>
      </c>
      <c r="E849" s="15">
        <f t="shared" si="2"/>
        <v>21</v>
      </c>
      <c r="F849" s="15">
        <f t="shared" si="3"/>
        <v>1.235294118</v>
      </c>
      <c r="G849" s="1">
        <v>17.0</v>
      </c>
      <c r="H849" s="1">
        <v>1.0</v>
      </c>
      <c r="I849" s="1">
        <v>0.0</v>
      </c>
      <c r="J849" s="1">
        <v>1.0</v>
      </c>
      <c r="K849" s="1">
        <v>12.0</v>
      </c>
      <c r="L849" s="1">
        <v>0.0</v>
      </c>
      <c r="M849" s="1">
        <v>0.0</v>
      </c>
      <c r="N849" s="1">
        <v>0.0</v>
      </c>
      <c r="O849" s="1">
        <v>0.0</v>
      </c>
      <c r="P849" s="1">
        <v>32.0</v>
      </c>
      <c r="Q849" s="1">
        <v>5.0</v>
      </c>
    </row>
    <row r="850">
      <c r="A850" s="2">
        <f t="shared" si="1"/>
        <v>848</v>
      </c>
      <c r="B850" s="1" t="s">
        <v>1883</v>
      </c>
      <c r="C850" s="1" t="s">
        <v>1156</v>
      </c>
      <c r="D850" s="1" t="s">
        <v>36</v>
      </c>
      <c r="E850" s="15">
        <f t="shared" si="2"/>
        <v>20.75</v>
      </c>
      <c r="F850" s="15">
        <f t="shared" si="3"/>
        <v>2.305555556</v>
      </c>
      <c r="G850" s="1">
        <v>9.0</v>
      </c>
      <c r="H850" s="1">
        <v>1.0</v>
      </c>
      <c r="I850" s="1">
        <v>0.0</v>
      </c>
      <c r="J850" s="1">
        <v>1.0</v>
      </c>
      <c r="K850" s="1">
        <v>19.0</v>
      </c>
      <c r="L850" s="1">
        <v>0.0</v>
      </c>
      <c r="M850" s="1">
        <v>0.0</v>
      </c>
      <c r="N850" s="1">
        <v>0.0</v>
      </c>
      <c r="O850" s="1">
        <v>0.0</v>
      </c>
      <c r="P850" s="1">
        <v>11.0</v>
      </c>
      <c r="Q850" s="1">
        <v>8.0</v>
      </c>
    </row>
    <row r="851">
      <c r="A851" s="2">
        <f t="shared" si="1"/>
        <v>849</v>
      </c>
      <c r="B851" s="1" t="s">
        <v>2180</v>
      </c>
      <c r="C851" s="1" t="s">
        <v>1044</v>
      </c>
      <c r="D851" s="1" t="s">
        <v>5</v>
      </c>
      <c r="E851" s="15">
        <f t="shared" si="2"/>
        <v>20.7</v>
      </c>
      <c r="F851" s="15">
        <f t="shared" si="3"/>
        <v>6.9</v>
      </c>
      <c r="G851" s="1">
        <v>3.0</v>
      </c>
      <c r="R851" s="1">
        <v>1.0</v>
      </c>
      <c r="S851" s="1">
        <v>10.0</v>
      </c>
      <c r="T851" s="1">
        <v>109.0</v>
      </c>
      <c r="U851" s="1">
        <v>0.0</v>
      </c>
    </row>
    <row r="852">
      <c r="A852" s="2">
        <f t="shared" si="1"/>
        <v>850</v>
      </c>
      <c r="B852" s="1" t="s">
        <v>1901</v>
      </c>
      <c r="C852" s="1" t="s">
        <v>1080</v>
      </c>
      <c r="D852" s="1" t="s">
        <v>31</v>
      </c>
      <c r="E852" s="15">
        <f t="shared" si="2"/>
        <v>20.25</v>
      </c>
      <c r="F852" s="15">
        <f t="shared" si="3"/>
        <v>2.25</v>
      </c>
      <c r="G852" s="1">
        <v>9.0</v>
      </c>
      <c r="H852" s="1">
        <v>1.0</v>
      </c>
      <c r="I852" s="1">
        <v>1.0</v>
      </c>
      <c r="J852" s="1">
        <v>2.0</v>
      </c>
      <c r="K852" s="1">
        <v>15.0</v>
      </c>
      <c r="L852" s="1">
        <v>0.0</v>
      </c>
      <c r="M852" s="1">
        <v>0.0</v>
      </c>
      <c r="N852" s="1">
        <v>0.0</v>
      </c>
      <c r="O852" s="1">
        <v>0.0</v>
      </c>
      <c r="P852" s="1">
        <v>11.0</v>
      </c>
      <c r="Q852" s="1">
        <v>5.0</v>
      </c>
    </row>
    <row r="853">
      <c r="A853" s="2">
        <f t="shared" si="1"/>
        <v>850</v>
      </c>
      <c r="B853" s="1" t="s">
        <v>1911</v>
      </c>
      <c r="C853" s="1" t="s">
        <v>1175</v>
      </c>
      <c r="D853" s="1" t="s">
        <v>66</v>
      </c>
      <c r="E853" s="15">
        <f t="shared" si="2"/>
        <v>20.25</v>
      </c>
      <c r="F853" s="15">
        <f t="shared" si="3"/>
        <v>1.6875</v>
      </c>
      <c r="G853" s="1">
        <v>12.0</v>
      </c>
      <c r="H853" s="1">
        <v>1.0</v>
      </c>
      <c r="I853" s="1">
        <v>0.0</v>
      </c>
      <c r="J853" s="1">
        <v>1.0</v>
      </c>
      <c r="K853" s="1">
        <v>10.0</v>
      </c>
      <c r="L853" s="1">
        <v>0.0</v>
      </c>
      <c r="M853" s="1">
        <v>0.0</v>
      </c>
      <c r="N853" s="1">
        <v>0.0</v>
      </c>
      <c r="O853" s="1">
        <v>0.0</v>
      </c>
      <c r="P853" s="1">
        <v>11.0</v>
      </c>
      <c r="Q853" s="1">
        <v>16.0</v>
      </c>
    </row>
    <row r="854">
      <c r="A854" s="2">
        <f t="shared" si="1"/>
        <v>852</v>
      </c>
      <c r="B854" s="1" t="s">
        <v>1929</v>
      </c>
      <c r="C854" s="1" t="s">
        <v>1111</v>
      </c>
      <c r="D854" s="1" t="s">
        <v>28</v>
      </c>
      <c r="E854" s="15">
        <f t="shared" si="2"/>
        <v>20</v>
      </c>
      <c r="F854" s="15">
        <f t="shared" si="3"/>
        <v>1.428571429</v>
      </c>
      <c r="G854" s="1">
        <v>14.0</v>
      </c>
      <c r="H854" s="1">
        <v>1.0</v>
      </c>
      <c r="I854" s="1">
        <v>0.0</v>
      </c>
      <c r="J854" s="1">
        <v>1.0</v>
      </c>
      <c r="K854" s="1">
        <v>12.0</v>
      </c>
      <c r="L854" s="1">
        <v>0.0</v>
      </c>
      <c r="M854" s="1">
        <v>0.0</v>
      </c>
      <c r="N854" s="1">
        <v>0.0</v>
      </c>
      <c r="O854" s="1">
        <v>0.0</v>
      </c>
      <c r="P854" s="1">
        <v>26.0</v>
      </c>
      <c r="Q854" s="1">
        <v>6.0</v>
      </c>
    </row>
    <row r="855">
      <c r="A855" s="2">
        <f t="shared" si="1"/>
        <v>853</v>
      </c>
      <c r="B855" s="1" t="s">
        <v>1594</v>
      </c>
      <c r="C855" s="1" t="s">
        <v>1175</v>
      </c>
      <c r="D855" s="1" t="s">
        <v>66</v>
      </c>
      <c r="E855" s="15">
        <f t="shared" si="2"/>
        <v>19.75</v>
      </c>
      <c r="F855" s="15">
        <f t="shared" si="3"/>
        <v>1.975</v>
      </c>
      <c r="G855" s="1">
        <v>10.0</v>
      </c>
      <c r="H855" s="1">
        <v>1.0</v>
      </c>
      <c r="I855" s="1">
        <v>0.0</v>
      </c>
      <c r="J855" s="1">
        <v>1.0</v>
      </c>
      <c r="K855" s="1">
        <v>6.0</v>
      </c>
      <c r="L855" s="1">
        <v>0.0</v>
      </c>
      <c r="M855" s="1">
        <v>0.0</v>
      </c>
      <c r="N855" s="1">
        <v>0.0</v>
      </c>
      <c r="O855" s="1">
        <v>0.0</v>
      </c>
      <c r="P855" s="1">
        <v>31.0</v>
      </c>
      <c r="Q855" s="1">
        <v>9.0</v>
      </c>
    </row>
    <row r="856">
      <c r="A856" s="2">
        <f t="shared" si="1"/>
        <v>854</v>
      </c>
      <c r="B856" s="1" t="s">
        <v>1518</v>
      </c>
      <c r="C856" s="1" t="s">
        <v>1111</v>
      </c>
      <c r="D856" s="1" t="s">
        <v>66</v>
      </c>
      <c r="E856" s="15">
        <f t="shared" si="2"/>
        <v>19.5</v>
      </c>
      <c r="F856" s="15">
        <f t="shared" si="3"/>
        <v>2.166666667</v>
      </c>
      <c r="G856" s="1">
        <v>9.0</v>
      </c>
      <c r="H856" s="1">
        <v>0.0</v>
      </c>
      <c r="I856" s="1">
        <v>3.0</v>
      </c>
      <c r="J856" s="1">
        <v>3.0</v>
      </c>
      <c r="K856" s="1">
        <v>8.0</v>
      </c>
      <c r="L856" s="1">
        <v>0.0</v>
      </c>
      <c r="M856" s="1">
        <v>0.0</v>
      </c>
      <c r="N856" s="1">
        <v>0.0</v>
      </c>
      <c r="O856" s="1">
        <v>0.0</v>
      </c>
      <c r="P856" s="1">
        <v>12.0</v>
      </c>
      <c r="Q856" s="1">
        <v>7.0</v>
      </c>
    </row>
    <row r="857">
      <c r="A857" s="2">
        <f t="shared" si="1"/>
        <v>855</v>
      </c>
      <c r="B857" s="1" t="s">
        <v>1458</v>
      </c>
      <c r="C857" s="1" t="s">
        <v>1156</v>
      </c>
      <c r="D857" s="1" t="s">
        <v>36</v>
      </c>
      <c r="E857" s="15">
        <f t="shared" si="2"/>
        <v>19.25</v>
      </c>
      <c r="F857" s="15">
        <f t="shared" si="3"/>
        <v>3.208333333</v>
      </c>
      <c r="G857" s="1">
        <v>6.0</v>
      </c>
      <c r="H857" s="1">
        <v>2.0</v>
      </c>
      <c r="I857" s="1">
        <v>1.0</v>
      </c>
      <c r="J857" s="1">
        <v>3.0</v>
      </c>
      <c r="K857" s="1">
        <v>10.0</v>
      </c>
      <c r="L857" s="1">
        <v>0.0</v>
      </c>
      <c r="M857" s="1">
        <v>0.0</v>
      </c>
      <c r="N857" s="1">
        <v>0.0</v>
      </c>
      <c r="O857" s="1">
        <v>0.0</v>
      </c>
      <c r="P857" s="1">
        <v>7.0</v>
      </c>
      <c r="Q857" s="1">
        <v>1.0</v>
      </c>
      <c r="T857" s="12"/>
    </row>
    <row r="858">
      <c r="A858" s="2">
        <f t="shared" si="1"/>
        <v>855</v>
      </c>
      <c r="B858" s="1" t="s">
        <v>2181</v>
      </c>
      <c r="C858" s="1" t="s">
        <v>1172</v>
      </c>
      <c r="D858" s="1" t="s">
        <v>28</v>
      </c>
      <c r="E858" s="15">
        <f t="shared" si="2"/>
        <v>19.25</v>
      </c>
      <c r="F858" s="15">
        <f t="shared" si="3"/>
        <v>2.75</v>
      </c>
      <c r="G858" s="1">
        <v>7.0</v>
      </c>
      <c r="H858" s="1">
        <v>1.0</v>
      </c>
      <c r="I858" s="1">
        <v>1.0</v>
      </c>
      <c r="J858" s="1">
        <v>2.0</v>
      </c>
      <c r="K858" s="1">
        <v>13.0</v>
      </c>
      <c r="L858" s="1">
        <v>0.0</v>
      </c>
      <c r="M858" s="1">
        <v>0.0</v>
      </c>
      <c r="N858" s="1">
        <v>0.0</v>
      </c>
      <c r="O858" s="1">
        <v>0.0</v>
      </c>
      <c r="P858" s="1">
        <v>19.0</v>
      </c>
      <c r="Q858" s="1">
        <v>1.0</v>
      </c>
    </row>
    <row r="859">
      <c r="A859" s="2">
        <f t="shared" si="1"/>
        <v>855</v>
      </c>
      <c r="B859" s="1" t="s">
        <v>1823</v>
      </c>
      <c r="C859" s="1" t="s">
        <v>1078</v>
      </c>
      <c r="D859" s="1" t="s">
        <v>66</v>
      </c>
      <c r="E859" s="15">
        <f t="shared" si="2"/>
        <v>19.25</v>
      </c>
      <c r="F859" s="15">
        <f t="shared" si="3"/>
        <v>2.138888889</v>
      </c>
      <c r="G859" s="1">
        <v>9.0</v>
      </c>
      <c r="H859" s="1">
        <v>0.0</v>
      </c>
      <c r="I859" s="1">
        <v>2.0</v>
      </c>
      <c r="J859" s="1">
        <v>2.0</v>
      </c>
      <c r="K859" s="1">
        <v>11.0</v>
      </c>
      <c r="L859" s="1">
        <v>0.0</v>
      </c>
      <c r="M859" s="1">
        <v>1.0</v>
      </c>
      <c r="N859" s="1">
        <v>0.0</v>
      </c>
      <c r="O859" s="1">
        <v>0.0</v>
      </c>
      <c r="P859" s="1">
        <v>3.0</v>
      </c>
      <c r="Q859" s="1">
        <v>14.0</v>
      </c>
    </row>
    <row r="860">
      <c r="A860" s="2">
        <f t="shared" si="1"/>
        <v>855</v>
      </c>
      <c r="B860" s="1" t="s">
        <v>1474</v>
      </c>
      <c r="C860" s="1" t="s">
        <v>1038</v>
      </c>
      <c r="D860" s="1" t="s">
        <v>66</v>
      </c>
      <c r="E860" s="15">
        <f t="shared" si="2"/>
        <v>19.25</v>
      </c>
      <c r="F860" s="15">
        <f t="shared" si="3"/>
        <v>1.925</v>
      </c>
      <c r="G860" s="1">
        <v>10.0</v>
      </c>
      <c r="H860" s="1">
        <v>0.0</v>
      </c>
      <c r="I860" s="1">
        <v>1.0</v>
      </c>
      <c r="J860" s="1">
        <v>1.0</v>
      </c>
      <c r="K860" s="1">
        <v>12.0</v>
      </c>
      <c r="L860" s="1">
        <v>0.0</v>
      </c>
      <c r="M860" s="1">
        <v>0.0</v>
      </c>
      <c r="N860" s="1">
        <v>0.0</v>
      </c>
      <c r="O860" s="1">
        <v>0.0</v>
      </c>
      <c r="P860" s="1">
        <v>21.0</v>
      </c>
      <c r="Q860" s="1">
        <v>10.0</v>
      </c>
    </row>
    <row r="861">
      <c r="A861" s="2">
        <f t="shared" si="1"/>
        <v>859</v>
      </c>
      <c r="B861" s="1" t="s">
        <v>1931</v>
      </c>
      <c r="C861" s="1" t="s">
        <v>1054</v>
      </c>
      <c r="D861" s="1" t="s">
        <v>31</v>
      </c>
      <c r="E861" s="15">
        <f t="shared" si="2"/>
        <v>19</v>
      </c>
      <c r="F861" s="15">
        <f t="shared" si="3"/>
        <v>1.9</v>
      </c>
      <c r="G861" s="1">
        <v>10.0</v>
      </c>
      <c r="H861" s="1">
        <v>1.0</v>
      </c>
      <c r="I861" s="1">
        <v>2.0</v>
      </c>
      <c r="J861" s="1">
        <v>3.0</v>
      </c>
      <c r="K861" s="1">
        <v>10.0</v>
      </c>
      <c r="L861" s="1">
        <v>0.0</v>
      </c>
      <c r="M861" s="1">
        <v>0.0</v>
      </c>
      <c r="N861" s="1">
        <v>0.0</v>
      </c>
      <c r="O861" s="1">
        <v>0.0</v>
      </c>
      <c r="P861" s="1">
        <v>4.0</v>
      </c>
      <c r="Q861" s="1">
        <v>5.0</v>
      </c>
    </row>
    <row r="862">
      <c r="A862" s="2">
        <f t="shared" si="1"/>
        <v>860</v>
      </c>
      <c r="B862" s="1" t="s">
        <v>2182</v>
      </c>
      <c r="C862" s="1" t="s">
        <v>1044</v>
      </c>
      <c r="D862" s="1" t="s">
        <v>5</v>
      </c>
      <c r="E862" s="15">
        <f t="shared" si="2"/>
        <v>18.9</v>
      </c>
      <c r="F862" s="15">
        <f t="shared" si="3"/>
        <v>9.45</v>
      </c>
      <c r="G862" s="1">
        <v>2.0</v>
      </c>
      <c r="R862" s="1">
        <v>1.0</v>
      </c>
      <c r="S862" s="1">
        <v>5.0</v>
      </c>
      <c r="T862" s="1">
        <v>78.0</v>
      </c>
      <c r="U862" s="1">
        <v>0.0</v>
      </c>
    </row>
    <row r="863">
      <c r="A863" s="2">
        <f t="shared" si="1"/>
        <v>860</v>
      </c>
      <c r="B863" s="1" t="s">
        <v>1665</v>
      </c>
      <c r="C863" s="1" t="s">
        <v>1570</v>
      </c>
      <c r="D863" s="1" t="s">
        <v>5</v>
      </c>
      <c r="E863" s="15">
        <f t="shared" si="2"/>
        <v>18.9</v>
      </c>
      <c r="F863" s="15">
        <f t="shared" si="3"/>
        <v>6.3</v>
      </c>
      <c r="G863" s="1">
        <v>3.0</v>
      </c>
      <c r="R863" s="1">
        <v>2.0</v>
      </c>
      <c r="S863" s="1">
        <v>5.0</v>
      </c>
      <c r="T863" s="1">
        <v>68.0</v>
      </c>
      <c r="U863" s="1">
        <v>0.0</v>
      </c>
    </row>
    <row r="864">
      <c r="A864" s="2">
        <f t="shared" si="1"/>
        <v>862</v>
      </c>
      <c r="B864" s="1" t="s">
        <v>1927</v>
      </c>
      <c r="C864" s="1" t="s">
        <v>1078</v>
      </c>
      <c r="D864" s="1" t="s">
        <v>28</v>
      </c>
      <c r="E864" s="15">
        <f t="shared" si="2"/>
        <v>18.75</v>
      </c>
      <c r="F864" s="15">
        <f t="shared" si="3"/>
        <v>2.083333333</v>
      </c>
      <c r="G864" s="1">
        <v>9.0</v>
      </c>
      <c r="H864" s="1">
        <v>2.0</v>
      </c>
      <c r="I864" s="1">
        <v>1.0</v>
      </c>
      <c r="J864" s="1">
        <v>3.0</v>
      </c>
      <c r="K864" s="1">
        <v>5.0</v>
      </c>
      <c r="L864" s="1">
        <v>0.0</v>
      </c>
      <c r="M864" s="1">
        <v>0.0</v>
      </c>
      <c r="N864" s="1">
        <v>0.0</v>
      </c>
      <c r="O864" s="1">
        <v>0.0</v>
      </c>
      <c r="P864" s="1">
        <v>5.0</v>
      </c>
      <c r="Q864" s="1">
        <v>6.0</v>
      </c>
    </row>
    <row r="865">
      <c r="A865" s="2">
        <f t="shared" si="1"/>
        <v>862</v>
      </c>
      <c r="B865" s="1" t="s">
        <v>2183</v>
      </c>
      <c r="C865" s="1" t="s">
        <v>1046</v>
      </c>
      <c r="D865" s="1" t="s">
        <v>66</v>
      </c>
      <c r="E865" s="15">
        <f t="shared" si="2"/>
        <v>18.75</v>
      </c>
      <c r="F865" s="15">
        <f t="shared" si="3"/>
        <v>1.704545455</v>
      </c>
      <c r="G865" s="1">
        <v>11.0</v>
      </c>
      <c r="H865" s="1">
        <v>1.0</v>
      </c>
      <c r="I865" s="1">
        <v>1.0</v>
      </c>
      <c r="J865" s="1">
        <v>2.0</v>
      </c>
      <c r="K865" s="1">
        <v>12.0</v>
      </c>
      <c r="L865" s="1">
        <v>0.0</v>
      </c>
      <c r="M865" s="1">
        <v>0.0</v>
      </c>
      <c r="N865" s="1">
        <v>0.0</v>
      </c>
      <c r="O865" s="1">
        <v>0.0</v>
      </c>
      <c r="P865" s="1">
        <v>7.0</v>
      </c>
      <c r="Q865" s="1">
        <v>7.0</v>
      </c>
    </row>
    <row r="866">
      <c r="A866" s="2">
        <f t="shared" si="1"/>
        <v>864</v>
      </c>
      <c r="B866" s="1" t="s">
        <v>1852</v>
      </c>
      <c r="C866" s="1" t="s">
        <v>1120</v>
      </c>
      <c r="D866" s="1" t="s">
        <v>66</v>
      </c>
      <c r="E866" s="15">
        <f t="shared" si="2"/>
        <v>18.25</v>
      </c>
      <c r="F866" s="15">
        <f t="shared" si="3"/>
        <v>2.027777778</v>
      </c>
      <c r="G866" s="1">
        <v>9.0</v>
      </c>
      <c r="H866" s="1">
        <v>2.0</v>
      </c>
      <c r="I866" s="1">
        <v>0.0</v>
      </c>
      <c r="J866" s="1">
        <v>2.0</v>
      </c>
      <c r="K866" s="1">
        <v>5.0</v>
      </c>
      <c r="L866" s="1">
        <v>0.0</v>
      </c>
      <c r="M866" s="1">
        <v>0.0</v>
      </c>
      <c r="N866" s="1">
        <v>0.0</v>
      </c>
      <c r="O866" s="1">
        <v>0.0</v>
      </c>
      <c r="P866" s="1">
        <v>11.0</v>
      </c>
      <c r="Q866" s="1">
        <v>8.0</v>
      </c>
    </row>
    <row r="867">
      <c r="A867" s="2">
        <f t="shared" si="1"/>
        <v>865</v>
      </c>
      <c r="B867" s="1" t="s">
        <v>1951</v>
      </c>
      <c r="C867" s="1" t="s">
        <v>1065</v>
      </c>
      <c r="D867" s="1" t="s">
        <v>28</v>
      </c>
      <c r="E867" s="15">
        <f t="shared" si="2"/>
        <v>18</v>
      </c>
      <c r="F867" s="15">
        <f t="shared" si="3"/>
        <v>2</v>
      </c>
      <c r="G867" s="1">
        <v>9.0</v>
      </c>
      <c r="H867" s="1">
        <v>1.0</v>
      </c>
      <c r="I867" s="1">
        <v>0.0</v>
      </c>
      <c r="J867" s="1">
        <v>1.0</v>
      </c>
      <c r="K867" s="1">
        <v>23.0</v>
      </c>
      <c r="L867" s="1">
        <v>0.0</v>
      </c>
      <c r="M867" s="1">
        <v>0.0</v>
      </c>
      <c r="N867" s="1">
        <v>0.0</v>
      </c>
      <c r="O867" s="1">
        <v>0.0</v>
      </c>
      <c r="P867" s="1">
        <v>6.0</v>
      </c>
      <c r="Q867" s="1">
        <v>1.0</v>
      </c>
    </row>
    <row r="868">
      <c r="A868" s="2">
        <f t="shared" si="1"/>
        <v>865</v>
      </c>
      <c r="B868" s="1" t="s">
        <v>2184</v>
      </c>
      <c r="C868" s="1" t="s">
        <v>1156</v>
      </c>
      <c r="D868" s="1" t="s">
        <v>31</v>
      </c>
      <c r="E868" s="15">
        <f t="shared" si="2"/>
        <v>18</v>
      </c>
      <c r="F868" s="15">
        <f t="shared" si="3"/>
        <v>1.5</v>
      </c>
      <c r="G868" s="1">
        <v>12.0</v>
      </c>
      <c r="H868" s="1">
        <v>0.0</v>
      </c>
      <c r="I868" s="1">
        <v>2.0</v>
      </c>
      <c r="J868" s="1">
        <v>2.0</v>
      </c>
      <c r="K868" s="1">
        <v>13.0</v>
      </c>
      <c r="L868" s="1">
        <v>0.0</v>
      </c>
      <c r="M868" s="1">
        <v>0.0</v>
      </c>
      <c r="N868" s="1">
        <v>0.0</v>
      </c>
      <c r="O868" s="1">
        <v>0.0</v>
      </c>
      <c r="P868" s="1">
        <v>12.0</v>
      </c>
      <c r="Q868" s="1">
        <v>5.0</v>
      </c>
    </row>
    <row r="869">
      <c r="A869" s="2">
        <f t="shared" si="1"/>
        <v>865</v>
      </c>
      <c r="B869" s="1" t="s">
        <v>1713</v>
      </c>
      <c r="C869" s="1" t="s">
        <v>1087</v>
      </c>
      <c r="D869" s="1" t="s">
        <v>28</v>
      </c>
      <c r="E869" s="15">
        <f t="shared" si="2"/>
        <v>18</v>
      </c>
      <c r="F869" s="15">
        <f t="shared" si="3"/>
        <v>1.125</v>
      </c>
      <c r="G869" s="1">
        <v>16.0</v>
      </c>
      <c r="H869" s="1">
        <v>0.0</v>
      </c>
      <c r="I869" s="1">
        <v>2.0</v>
      </c>
      <c r="J869" s="1">
        <v>2.0</v>
      </c>
      <c r="K869" s="1">
        <v>2.0</v>
      </c>
      <c r="L869" s="1">
        <v>0.0</v>
      </c>
      <c r="M869" s="1">
        <v>0.0</v>
      </c>
      <c r="N869" s="1">
        <v>0.0</v>
      </c>
      <c r="O869" s="1">
        <v>0.0</v>
      </c>
      <c r="P869" s="1">
        <v>34.0</v>
      </c>
      <c r="Q869" s="1">
        <v>5.0</v>
      </c>
      <c r="T869" s="12"/>
    </row>
    <row r="870">
      <c r="A870" s="2">
        <f t="shared" si="1"/>
        <v>865</v>
      </c>
      <c r="B870" s="1" t="s">
        <v>1897</v>
      </c>
      <c r="C870" s="1" t="s">
        <v>1080</v>
      </c>
      <c r="D870" s="1" t="s">
        <v>5</v>
      </c>
      <c r="E870" s="15">
        <f t="shared" si="2"/>
        <v>18</v>
      </c>
      <c r="F870" s="15">
        <f t="shared" si="3"/>
        <v>9</v>
      </c>
      <c r="G870" s="1">
        <v>2.0</v>
      </c>
      <c r="R870" s="1">
        <v>2.0</v>
      </c>
      <c r="S870" s="1">
        <v>5.0</v>
      </c>
      <c r="T870" s="1">
        <v>65.0</v>
      </c>
      <c r="U870" s="1">
        <v>0.0</v>
      </c>
    </row>
    <row r="871">
      <c r="A871" s="2">
        <f t="shared" si="1"/>
        <v>869</v>
      </c>
      <c r="B871" s="1" t="s">
        <v>1684</v>
      </c>
      <c r="C871" s="1" t="s">
        <v>1052</v>
      </c>
      <c r="D871" s="1" t="s">
        <v>36</v>
      </c>
      <c r="E871" s="15">
        <f t="shared" si="2"/>
        <v>17.5</v>
      </c>
      <c r="F871" s="15">
        <f t="shared" si="3"/>
        <v>1.944444444</v>
      </c>
      <c r="G871" s="1">
        <v>9.0</v>
      </c>
      <c r="H871" s="1">
        <v>1.0</v>
      </c>
      <c r="I871" s="1">
        <v>1.0</v>
      </c>
      <c r="J871" s="1">
        <v>2.0</v>
      </c>
      <c r="K871" s="1">
        <v>11.0</v>
      </c>
      <c r="L871" s="1">
        <v>0.0</v>
      </c>
      <c r="M871" s="1">
        <v>0.0</v>
      </c>
      <c r="N871" s="1">
        <v>0.0</v>
      </c>
      <c r="O871" s="1">
        <v>0.0</v>
      </c>
      <c r="P871" s="1">
        <v>12.0</v>
      </c>
      <c r="Q871" s="1">
        <v>3.0</v>
      </c>
    </row>
    <row r="872">
      <c r="A872" s="2">
        <f t="shared" si="1"/>
        <v>869</v>
      </c>
      <c r="B872" s="1" t="s">
        <v>1850</v>
      </c>
      <c r="C872" s="1" t="s">
        <v>1042</v>
      </c>
      <c r="D872" s="1" t="s">
        <v>66</v>
      </c>
      <c r="E872" s="15">
        <f t="shared" si="2"/>
        <v>17.5</v>
      </c>
      <c r="F872" s="15">
        <f t="shared" si="3"/>
        <v>2.1875</v>
      </c>
      <c r="G872" s="1">
        <v>8.0</v>
      </c>
      <c r="H872" s="1">
        <v>0.0</v>
      </c>
      <c r="I872" s="1">
        <v>2.0</v>
      </c>
      <c r="J872" s="1">
        <v>2.0</v>
      </c>
      <c r="K872" s="1">
        <v>9.0</v>
      </c>
      <c r="L872" s="1">
        <v>0.0</v>
      </c>
      <c r="M872" s="1">
        <v>0.0</v>
      </c>
      <c r="N872" s="1">
        <v>0.0</v>
      </c>
      <c r="O872" s="1">
        <v>1.0</v>
      </c>
      <c r="P872" s="1">
        <v>2.0</v>
      </c>
      <c r="Q872" s="1">
        <v>9.0</v>
      </c>
    </row>
    <row r="873">
      <c r="A873" s="2">
        <f t="shared" si="1"/>
        <v>871</v>
      </c>
      <c r="B873" s="1" t="s">
        <v>1930</v>
      </c>
      <c r="C873" s="1" t="s">
        <v>1044</v>
      </c>
      <c r="D873" s="1" t="s">
        <v>66</v>
      </c>
      <c r="E873" s="15">
        <f t="shared" si="2"/>
        <v>17.25</v>
      </c>
      <c r="F873" s="15">
        <f t="shared" si="3"/>
        <v>2.15625</v>
      </c>
      <c r="G873" s="1">
        <v>8.0</v>
      </c>
      <c r="H873" s="1">
        <v>0.0</v>
      </c>
      <c r="I873" s="1">
        <v>2.0</v>
      </c>
      <c r="J873" s="1">
        <v>2.0</v>
      </c>
      <c r="K873" s="1">
        <v>11.0</v>
      </c>
      <c r="L873" s="1">
        <v>0.0</v>
      </c>
      <c r="M873" s="1">
        <v>0.0</v>
      </c>
      <c r="N873" s="1">
        <v>0.0</v>
      </c>
      <c r="O873" s="1">
        <v>0.0</v>
      </c>
      <c r="P873" s="1">
        <v>9.0</v>
      </c>
      <c r="Q873" s="1">
        <v>7.0</v>
      </c>
    </row>
    <row r="874">
      <c r="A874" s="2">
        <f t="shared" si="1"/>
        <v>872</v>
      </c>
      <c r="B874" s="1" t="s">
        <v>1997</v>
      </c>
      <c r="C874" s="1" t="s">
        <v>1078</v>
      </c>
      <c r="D874" s="1" t="s">
        <v>66</v>
      </c>
      <c r="E874" s="15">
        <f t="shared" si="2"/>
        <v>16.5</v>
      </c>
      <c r="F874" s="15">
        <f t="shared" si="3"/>
        <v>1.65</v>
      </c>
      <c r="G874" s="1">
        <v>10.0</v>
      </c>
      <c r="H874" s="1">
        <v>0.0</v>
      </c>
      <c r="I874" s="1">
        <v>1.0</v>
      </c>
      <c r="J874" s="1">
        <v>1.0</v>
      </c>
      <c r="K874" s="1">
        <v>10.0</v>
      </c>
      <c r="L874" s="1">
        <v>0.0</v>
      </c>
      <c r="M874" s="1">
        <v>0.0</v>
      </c>
      <c r="N874" s="1">
        <v>0.0</v>
      </c>
      <c r="O874" s="1">
        <v>0.0</v>
      </c>
      <c r="P874" s="1">
        <v>12.0</v>
      </c>
      <c r="Q874" s="1">
        <v>11.0</v>
      </c>
      <c r="T874" s="12"/>
    </row>
    <row r="875">
      <c r="A875" s="2">
        <f t="shared" si="1"/>
        <v>872</v>
      </c>
      <c r="B875" s="1" t="s">
        <v>2185</v>
      </c>
      <c r="C875" s="1" t="s">
        <v>1052</v>
      </c>
      <c r="D875" s="1" t="s">
        <v>5</v>
      </c>
      <c r="E875" s="15">
        <f t="shared" si="2"/>
        <v>16.5</v>
      </c>
      <c r="F875" s="15">
        <f t="shared" si="3"/>
        <v>4.125</v>
      </c>
      <c r="G875" s="1">
        <v>4.0</v>
      </c>
      <c r="R875" s="1">
        <v>1.0</v>
      </c>
      <c r="S875" s="1">
        <v>12.0</v>
      </c>
      <c r="T875" s="1">
        <v>105.0</v>
      </c>
      <c r="U875" s="1">
        <v>0.0</v>
      </c>
    </row>
    <row r="876">
      <c r="A876" s="2">
        <f t="shared" si="1"/>
        <v>874</v>
      </c>
      <c r="B876" s="1" t="s">
        <v>1446</v>
      </c>
      <c r="C876" s="1" t="s">
        <v>1032</v>
      </c>
      <c r="D876" s="1" t="s">
        <v>31</v>
      </c>
      <c r="E876" s="15">
        <f t="shared" si="2"/>
        <v>16.25</v>
      </c>
      <c r="F876" s="15">
        <f t="shared" si="3"/>
        <v>1.625</v>
      </c>
      <c r="G876" s="1">
        <v>10.0</v>
      </c>
      <c r="H876" s="1">
        <v>0.0</v>
      </c>
      <c r="I876" s="1">
        <v>1.0</v>
      </c>
      <c r="J876" s="1">
        <v>1.0</v>
      </c>
      <c r="K876" s="1">
        <v>18.0</v>
      </c>
      <c r="L876" s="1">
        <v>0.0</v>
      </c>
      <c r="M876" s="1">
        <v>0.0</v>
      </c>
      <c r="N876" s="1">
        <v>0.0</v>
      </c>
      <c r="O876" s="1">
        <v>0.0</v>
      </c>
      <c r="P876" s="1">
        <v>17.0</v>
      </c>
      <c r="Q876" s="1">
        <v>0.0</v>
      </c>
    </row>
    <row r="877">
      <c r="A877" s="2">
        <f t="shared" si="1"/>
        <v>875</v>
      </c>
      <c r="B877" s="1" t="s">
        <v>2037</v>
      </c>
      <c r="C877" s="1" t="s">
        <v>1146</v>
      </c>
      <c r="D877" s="1" t="s">
        <v>31</v>
      </c>
      <c r="E877" s="15">
        <f t="shared" si="2"/>
        <v>16</v>
      </c>
      <c r="F877" s="15">
        <f t="shared" si="3"/>
        <v>2.285714286</v>
      </c>
      <c r="G877" s="1">
        <v>7.0</v>
      </c>
      <c r="H877" s="1">
        <v>2.0</v>
      </c>
      <c r="I877" s="1">
        <v>0.0</v>
      </c>
      <c r="J877" s="1">
        <v>2.0</v>
      </c>
      <c r="K877" s="1">
        <v>9.0</v>
      </c>
      <c r="L877" s="1">
        <v>0.0</v>
      </c>
      <c r="M877" s="1">
        <v>0.0</v>
      </c>
      <c r="N877" s="1">
        <v>0.0</v>
      </c>
      <c r="O877" s="1">
        <v>0.0</v>
      </c>
      <c r="P877" s="1">
        <v>4.0</v>
      </c>
      <c r="Q877" s="1">
        <v>3.0</v>
      </c>
      <c r="T877" s="12"/>
    </row>
    <row r="878">
      <c r="A878" s="2">
        <f t="shared" si="1"/>
        <v>875</v>
      </c>
      <c r="B878" s="1" t="s">
        <v>1833</v>
      </c>
      <c r="C878" s="1" t="s">
        <v>1044</v>
      </c>
      <c r="D878" s="1" t="s">
        <v>28</v>
      </c>
      <c r="E878" s="15">
        <f t="shared" si="2"/>
        <v>16</v>
      </c>
      <c r="F878" s="15">
        <f t="shared" si="3"/>
        <v>1.454545455</v>
      </c>
      <c r="G878" s="1">
        <v>11.0</v>
      </c>
      <c r="H878" s="1">
        <v>1.0</v>
      </c>
      <c r="I878" s="1">
        <v>0.0</v>
      </c>
      <c r="J878" s="1">
        <v>1.0</v>
      </c>
      <c r="K878" s="1">
        <v>14.0</v>
      </c>
      <c r="L878" s="1">
        <v>1.0</v>
      </c>
      <c r="M878" s="1">
        <v>0.0</v>
      </c>
      <c r="N878" s="1">
        <v>0.0</v>
      </c>
      <c r="O878" s="1">
        <v>0.0</v>
      </c>
      <c r="P878" s="1">
        <v>16.0</v>
      </c>
      <c r="Q878" s="1">
        <v>1.0</v>
      </c>
    </row>
    <row r="879">
      <c r="A879" s="2">
        <f t="shared" si="1"/>
        <v>877</v>
      </c>
      <c r="B879" s="1" t="s">
        <v>2018</v>
      </c>
      <c r="C879" s="1" t="s">
        <v>1046</v>
      </c>
      <c r="D879" s="1" t="s">
        <v>66</v>
      </c>
      <c r="E879" s="15">
        <f t="shared" si="2"/>
        <v>15.5</v>
      </c>
      <c r="F879" s="15">
        <f t="shared" si="3"/>
        <v>2.214285714</v>
      </c>
      <c r="G879" s="1">
        <v>7.0</v>
      </c>
      <c r="H879" s="1">
        <v>0.0</v>
      </c>
      <c r="I879" s="1">
        <v>3.0</v>
      </c>
      <c r="J879" s="1">
        <v>3.0</v>
      </c>
      <c r="K879" s="1">
        <v>4.0</v>
      </c>
      <c r="L879" s="1">
        <v>0.0</v>
      </c>
      <c r="M879" s="1">
        <v>2.0</v>
      </c>
      <c r="N879" s="1">
        <v>0.0</v>
      </c>
      <c r="O879" s="1">
        <v>0.0</v>
      </c>
      <c r="P879" s="1">
        <v>6.0</v>
      </c>
      <c r="Q879" s="1">
        <v>6.0</v>
      </c>
    </row>
    <row r="880">
      <c r="A880" s="2">
        <f t="shared" si="1"/>
        <v>877</v>
      </c>
      <c r="B880" s="1" t="s">
        <v>1719</v>
      </c>
      <c r="C880" s="1" t="s">
        <v>1046</v>
      </c>
      <c r="D880" s="1" t="s">
        <v>66</v>
      </c>
      <c r="E880" s="15">
        <f t="shared" si="2"/>
        <v>15.5</v>
      </c>
      <c r="F880" s="15">
        <f t="shared" si="3"/>
        <v>1.409090909</v>
      </c>
      <c r="G880" s="1">
        <v>11.0</v>
      </c>
      <c r="H880" s="1">
        <v>1.0</v>
      </c>
      <c r="I880" s="1">
        <v>0.0</v>
      </c>
      <c r="J880" s="1">
        <v>1.0</v>
      </c>
      <c r="K880" s="1">
        <v>7.0</v>
      </c>
      <c r="L880" s="1">
        <v>0.0</v>
      </c>
      <c r="M880" s="1">
        <v>0.0</v>
      </c>
      <c r="N880" s="1">
        <v>0.0</v>
      </c>
      <c r="O880" s="1">
        <v>0.0</v>
      </c>
      <c r="P880" s="1">
        <v>10.0</v>
      </c>
      <c r="Q880" s="1">
        <v>10.0</v>
      </c>
    </row>
    <row r="881">
      <c r="A881" s="2">
        <f t="shared" si="1"/>
        <v>877</v>
      </c>
      <c r="B881" s="1" t="s">
        <v>1303</v>
      </c>
      <c r="C881" s="1" t="s">
        <v>1054</v>
      </c>
      <c r="D881" s="1" t="s">
        <v>31</v>
      </c>
      <c r="E881" s="15">
        <f t="shared" si="2"/>
        <v>15.5</v>
      </c>
      <c r="F881" s="15">
        <f t="shared" si="3"/>
        <v>0.8157894737</v>
      </c>
      <c r="G881" s="1">
        <v>19.0</v>
      </c>
      <c r="H881" s="1">
        <v>0.0</v>
      </c>
      <c r="I881" s="1">
        <v>1.0</v>
      </c>
      <c r="J881" s="1">
        <v>1.0</v>
      </c>
      <c r="K881" s="1">
        <v>13.0</v>
      </c>
      <c r="L881" s="1">
        <v>0.0</v>
      </c>
      <c r="M881" s="1">
        <v>0.0</v>
      </c>
      <c r="N881" s="1">
        <v>0.0</v>
      </c>
      <c r="O881" s="1">
        <v>0.0</v>
      </c>
      <c r="P881" s="1">
        <v>6.0</v>
      </c>
      <c r="Q881" s="1">
        <v>9.0</v>
      </c>
    </row>
    <row r="882">
      <c r="A882" s="2">
        <f t="shared" si="1"/>
        <v>880</v>
      </c>
      <c r="B882" s="1" t="s">
        <v>1983</v>
      </c>
      <c r="C882" s="1" t="s">
        <v>1175</v>
      </c>
      <c r="D882" s="1" t="s">
        <v>66</v>
      </c>
      <c r="E882" s="15">
        <f t="shared" si="2"/>
        <v>15</v>
      </c>
      <c r="F882" s="15">
        <f t="shared" si="3"/>
        <v>1.875</v>
      </c>
      <c r="G882" s="1">
        <v>8.0</v>
      </c>
      <c r="H882" s="1">
        <v>0.0</v>
      </c>
      <c r="I882" s="1">
        <v>2.0</v>
      </c>
      <c r="J882" s="1">
        <v>2.0</v>
      </c>
      <c r="K882" s="1">
        <v>4.0</v>
      </c>
      <c r="L882" s="1">
        <v>0.0</v>
      </c>
      <c r="M882" s="1">
        <v>0.0</v>
      </c>
      <c r="N882" s="1">
        <v>0.0</v>
      </c>
      <c r="O882" s="1">
        <v>0.0</v>
      </c>
      <c r="P882" s="1">
        <v>10.0</v>
      </c>
      <c r="Q882" s="1">
        <v>9.0</v>
      </c>
    </row>
    <row r="883">
      <c r="A883" s="2">
        <f t="shared" si="1"/>
        <v>880</v>
      </c>
      <c r="B883" s="1" t="s">
        <v>1687</v>
      </c>
      <c r="C883" s="1" t="s">
        <v>1175</v>
      </c>
      <c r="D883" s="1" t="s">
        <v>66</v>
      </c>
      <c r="E883" s="15">
        <f t="shared" si="2"/>
        <v>15</v>
      </c>
      <c r="F883" s="15">
        <f t="shared" si="3"/>
        <v>1.875</v>
      </c>
      <c r="G883" s="1">
        <v>8.0</v>
      </c>
      <c r="H883" s="1">
        <v>0.0</v>
      </c>
      <c r="I883" s="1">
        <v>2.0</v>
      </c>
      <c r="J883" s="1">
        <v>2.0</v>
      </c>
      <c r="K883" s="1">
        <v>7.0</v>
      </c>
      <c r="L883" s="1">
        <v>0.0</v>
      </c>
      <c r="M883" s="1">
        <v>0.0</v>
      </c>
      <c r="N883" s="1">
        <v>0.0</v>
      </c>
      <c r="O883" s="1">
        <v>0.0</v>
      </c>
      <c r="P883" s="1">
        <v>4.0</v>
      </c>
      <c r="Q883" s="1">
        <v>9.0</v>
      </c>
    </row>
    <row r="884">
      <c r="A884" s="2">
        <f t="shared" si="1"/>
        <v>882</v>
      </c>
      <c r="B884" s="1" t="s">
        <v>2186</v>
      </c>
      <c r="C884" s="1" t="s">
        <v>1032</v>
      </c>
      <c r="D884" s="1" t="s">
        <v>66</v>
      </c>
      <c r="E884" s="15">
        <f t="shared" si="2"/>
        <v>14.75</v>
      </c>
      <c r="F884" s="15">
        <f t="shared" si="3"/>
        <v>3.6875</v>
      </c>
      <c r="G884" s="1">
        <v>4.0</v>
      </c>
      <c r="H884" s="1">
        <v>0.0</v>
      </c>
      <c r="I884" s="1">
        <v>1.0</v>
      </c>
      <c r="J884" s="1">
        <v>1.0</v>
      </c>
      <c r="K884" s="1">
        <v>8.0</v>
      </c>
      <c r="L884" s="1">
        <v>0.0</v>
      </c>
      <c r="M884" s="1">
        <v>0.0</v>
      </c>
      <c r="N884" s="1">
        <v>0.0</v>
      </c>
      <c r="O884" s="1">
        <v>0.0</v>
      </c>
      <c r="P884" s="1">
        <v>11.0</v>
      </c>
      <c r="Q884" s="1">
        <v>10.0</v>
      </c>
    </row>
    <row r="885">
      <c r="A885" s="2">
        <f t="shared" si="1"/>
        <v>882</v>
      </c>
      <c r="B885" s="1" t="s">
        <v>2067</v>
      </c>
      <c r="C885" s="1" t="s">
        <v>1032</v>
      </c>
      <c r="D885" s="1" t="s">
        <v>66</v>
      </c>
      <c r="E885" s="15">
        <f t="shared" si="2"/>
        <v>14.75</v>
      </c>
      <c r="F885" s="15">
        <f t="shared" si="3"/>
        <v>1.340909091</v>
      </c>
      <c r="G885" s="1">
        <v>11.0</v>
      </c>
      <c r="H885" s="1">
        <v>0.0</v>
      </c>
      <c r="I885" s="1">
        <v>2.0</v>
      </c>
      <c r="J885" s="1">
        <v>2.0</v>
      </c>
      <c r="K885" s="1">
        <v>7.0</v>
      </c>
      <c r="L885" s="1">
        <v>0.0</v>
      </c>
      <c r="M885" s="1">
        <v>0.0</v>
      </c>
      <c r="N885" s="1">
        <v>0.0</v>
      </c>
      <c r="O885" s="1">
        <v>0.0</v>
      </c>
      <c r="P885" s="1">
        <v>3.0</v>
      </c>
      <c r="Q885" s="1">
        <v>9.0</v>
      </c>
    </row>
    <row r="886">
      <c r="A886" s="2">
        <f t="shared" si="1"/>
        <v>884</v>
      </c>
      <c r="B886" s="1" t="s">
        <v>2187</v>
      </c>
      <c r="C886" s="1" t="s">
        <v>1175</v>
      </c>
      <c r="D886" s="1" t="s">
        <v>5</v>
      </c>
      <c r="E886" s="15">
        <f t="shared" si="2"/>
        <v>14.7</v>
      </c>
      <c r="F886" s="15">
        <f t="shared" si="3"/>
        <v>3.675</v>
      </c>
      <c r="G886" s="1">
        <v>4.0</v>
      </c>
      <c r="R886" s="1">
        <v>0.0</v>
      </c>
      <c r="S886" s="1">
        <v>9.0</v>
      </c>
      <c r="T886" s="1">
        <v>94.0</v>
      </c>
      <c r="U886" s="1">
        <v>0.0</v>
      </c>
    </row>
    <row r="887">
      <c r="A887" s="2">
        <f t="shared" si="1"/>
        <v>885</v>
      </c>
      <c r="B887" s="1" t="s">
        <v>2188</v>
      </c>
      <c r="C887" s="1" t="s">
        <v>1048</v>
      </c>
      <c r="D887" s="1" t="s">
        <v>28</v>
      </c>
      <c r="E887" s="15">
        <f t="shared" si="2"/>
        <v>14.5</v>
      </c>
      <c r="F887" s="15">
        <f t="shared" si="3"/>
        <v>1.45</v>
      </c>
      <c r="G887" s="1">
        <v>10.0</v>
      </c>
      <c r="H887" s="1">
        <v>1.0</v>
      </c>
      <c r="I887" s="1">
        <v>2.0</v>
      </c>
      <c r="J887" s="1">
        <v>3.0</v>
      </c>
      <c r="K887" s="1">
        <v>6.0</v>
      </c>
      <c r="L887" s="1">
        <v>0.0</v>
      </c>
      <c r="M887" s="1">
        <v>0.0</v>
      </c>
      <c r="N887" s="1">
        <v>0.0</v>
      </c>
      <c r="O887" s="1">
        <v>0.0</v>
      </c>
      <c r="P887" s="1">
        <v>2.0</v>
      </c>
      <c r="Q887" s="1">
        <v>1.0</v>
      </c>
    </row>
    <row r="888">
      <c r="A888" s="2">
        <f t="shared" si="1"/>
        <v>885</v>
      </c>
      <c r="B888" s="1" t="s">
        <v>1867</v>
      </c>
      <c r="C888" s="1" t="s">
        <v>1080</v>
      </c>
      <c r="D888" s="1" t="s">
        <v>36</v>
      </c>
      <c r="E888" s="15">
        <f t="shared" si="2"/>
        <v>14.5</v>
      </c>
      <c r="F888" s="15">
        <f t="shared" si="3"/>
        <v>1.115384615</v>
      </c>
      <c r="G888" s="1">
        <v>13.0</v>
      </c>
      <c r="H888" s="1">
        <v>0.0</v>
      </c>
      <c r="I888" s="1">
        <v>1.0</v>
      </c>
      <c r="J888" s="1">
        <v>1.0</v>
      </c>
      <c r="K888" s="1">
        <v>15.0</v>
      </c>
      <c r="L888" s="1">
        <v>0.0</v>
      </c>
      <c r="M888" s="1">
        <v>0.0</v>
      </c>
      <c r="N888" s="1">
        <v>0.0</v>
      </c>
      <c r="O888" s="1">
        <v>0.0</v>
      </c>
      <c r="P888" s="1">
        <v>2.0</v>
      </c>
      <c r="Q888" s="1">
        <v>7.0</v>
      </c>
    </row>
    <row r="889">
      <c r="A889" s="2">
        <f t="shared" si="1"/>
        <v>887</v>
      </c>
      <c r="B889" s="1" t="s">
        <v>1196</v>
      </c>
      <c r="C889" s="1" t="s">
        <v>1085</v>
      </c>
      <c r="D889" s="1" t="s">
        <v>66</v>
      </c>
      <c r="E889" s="15">
        <f t="shared" si="2"/>
        <v>14.25</v>
      </c>
      <c r="F889" s="15">
        <f t="shared" si="3"/>
        <v>2.375</v>
      </c>
      <c r="G889" s="1">
        <v>6.0</v>
      </c>
      <c r="H889" s="1">
        <v>0.0</v>
      </c>
      <c r="I889" s="1">
        <v>2.0</v>
      </c>
      <c r="J889" s="1">
        <v>2.0</v>
      </c>
      <c r="K889" s="1">
        <v>8.0</v>
      </c>
      <c r="L889" s="1">
        <v>0.0</v>
      </c>
      <c r="M889" s="1">
        <v>0.0</v>
      </c>
      <c r="N889" s="1">
        <v>0.0</v>
      </c>
      <c r="O889" s="1">
        <v>0.0</v>
      </c>
      <c r="P889" s="1">
        <v>1.0</v>
      </c>
      <c r="Q889" s="1">
        <v>8.0</v>
      </c>
      <c r="T889" s="12"/>
    </row>
    <row r="890">
      <c r="A890" s="2">
        <f t="shared" si="1"/>
        <v>888</v>
      </c>
      <c r="B890" s="1" t="s">
        <v>1932</v>
      </c>
      <c r="C890" s="1" t="s">
        <v>1175</v>
      </c>
      <c r="D890" s="1" t="s">
        <v>36</v>
      </c>
      <c r="E890" s="15">
        <f t="shared" si="2"/>
        <v>14</v>
      </c>
      <c r="F890" s="15">
        <f t="shared" si="3"/>
        <v>7</v>
      </c>
      <c r="G890" s="1">
        <v>2.0</v>
      </c>
      <c r="H890" s="1">
        <v>1.0</v>
      </c>
      <c r="I890" s="1">
        <v>1.0</v>
      </c>
      <c r="J890" s="1">
        <v>2.0</v>
      </c>
      <c r="K890" s="1">
        <v>8.0</v>
      </c>
      <c r="L890" s="1">
        <v>1.0</v>
      </c>
      <c r="M890" s="1">
        <v>1.0</v>
      </c>
      <c r="N890" s="1">
        <v>0.0</v>
      </c>
      <c r="O890" s="1">
        <v>0.0</v>
      </c>
      <c r="P890" s="1">
        <v>0.0</v>
      </c>
      <c r="Q890" s="1">
        <v>5.0</v>
      </c>
      <c r="T890" s="12"/>
    </row>
    <row r="891">
      <c r="A891" s="2">
        <f t="shared" si="1"/>
        <v>888</v>
      </c>
      <c r="B891" s="1" t="s">
        <v>2189</v>
      </c>
      <c r="C891" s="1" t="s">
        <v>1097</v>
      </c>
      <c r="D891" s="1" t="s">
        <v>66</v>
      </c>
      <c r="E891" s="15">
        <f t="shared" si="2"/>
        <v>14</v>
      </c>
      <c r="F891" s="15">
        <f t="shared" si="3"/>
        <v>2</v>
      </c>
      <c r="G891" s="1">
        <v>7.0</v>
      </c>
      <c r="H891" s="1">
        <v>0.0</v>
      </c>
      <c r="I891" s="1">
        <v>1.0</v>
      </c>
      <c r="J891" s="1">
        <v>1.0</v>
      </c>
      <c r="K891" s="1">
        <v>8.0</v>
      </c>
      <c r="L891" s="1">
        <v>0.0</v>
      </c>
      <c r="M891" s="1">
        <v>0.0</v>
      </c>
      <c r="N891" s="1">
        <v>0.0</v>
      </c>
      <c r="O891" s="1">
        <v>0.0</v>
      </c>
      <c r="P891" s="1">
        <v>4.0</v>
      </c>
      <c r="Q891" s="1">
        <v>12.0</v>
      </c>
    </row>
    <row r="892">
      <c r="A892" s="2">
        <f t="shared" si="1"/>
        <v>890</v>
      </c>
      <c r="B892" s="1" t="s">
        <v>1982</v>
      </c>
      <c r="C892" s="1" t="s">
        <v>1172</v>
      </c>
      <c r="D892" s="1" t="s">
        <v>28</v>
      </c>
      <c r="E892" s="15">
        <f t="shared" si="2"/>
        <v>13.75</v>
      </c>
      <c r="F892" s="15">
        <f t="shared" si="3"/>
        <v>1.964285714</v>
      </c>
      <c r="G892" s="1">
        <v>7.0</v>
      </c>
      <c r="H892" s="1">
        <v>1.0</v>
      </c>
      <c r="I892" s="1">
        <v>0.0</v>
      </c>
      <c r="J892" s="1">
        <v>1.0</v>
      </c>
      <c r="K892" s="1">
        <v>9.0</v>
      </c>
      <c r="L892" s="1">
        <v>0.0</v>
      </c>
      <c r="M892" s="1">
        <v>0.0</v>
      </c>
      <c r="N892" s="1">
        <v>0.0</v>
      </c>
      <c r="O892" s="1">
        <v>0.0</v>
      </c>
      <c r="P892" s="1">
        <v>11.0</v>
      </c>
      <c r="Q892" s="1">
        <v>4.0</v>
      </c>
    </row>
    <row r="893">
      <c r="A893" s="2">
        <f t="shared" si="1"/>
        <v>891</v>
      </c>
      <c r="B893" s="1" t="s">
        <v>1698</v>
      </c>
      <c r="C893" s="1" t="s">
        <v>1087</v>
      </c>
      <c r="D893" s="1" t="s">
        <v>66</v>
      </c>
      <c r="E893" s="15">
        <f t="shared" si="2"/>
        <v>13.5</v>
      </c>
      <c r="F893" s="15">
        <f t="shared" si="3"/>
        <v>1.125</v>
      </c>
      <c r="G893" s="1">
        <v>12.0</v>
      </c>
      <c r="H893" s="1">
        <v>0.0</v>
      </c>
      <c r="I893" s="1">
        <v>1.0</v>
      </c>
      <c r="J893" s="1">
        <v>1.0</v>
      </c>
      <c r="K893" s="1">
        <v>10.0</v>
      </c>
      <c r="L893" s="1">
        <v>0.0</v>
      </c>
      <c r="M893" s="1">
        <v>0.0</v>
      </c>
      <c r="N893" s="1">
        <v>0.0</v>
      </c>
      <c r="O893" s="1">
        <v>0.0</v>
      </c>
      <c r="P893" s="1">
        <v>8.0</v>
      </c>
      <c r="Q893" s="1">
        <v>7.0</v>
      </c>
    </row>
    <row r="894">
      <c r="A894" s="2">
        <f t="shared" si="1"/>
        <v>892</v>
      </c>
      <c r="B894" s="1" t="s">
        <v>2190</v>
      </c>
      <c r="C894" s="1" t="s">
        <v>1030</v>
      </c>
      <c r="D894" s="1" t="s">
        <v>28</v>
      </c>
      <c r="E894" s="15">
        <f t="shared" si="2"/>
        <v>13.25</v>
      </c>
      <c r="F894" s="15">
        <f t="shared" si="3"/>
        <v>1.472222222</v>
      </c>
      <c r="G894" s="1">
        <v>9.0</v>
      </c>
      <c r="H894" s="1">
        <v>0.0</v>
      </c>
      <c r="I894" s="1">
        <v>0.0</v>
      </c>
      <c r="J894" s="1">
        <v>0.0</v>
      </c>
      <c r="K894" s="1">
        <v>18.0</v>
      </c>
      <c r="L894" s="1">
        <v>0.0</v>
      </c>
      <c r="M894" s="1">
        <v>0.0</v>
      </c>
      <c r="N894" s="1">
        <v>0.0</v>
      </c>
      <c r="O894" s="1">
        <v>0.0</v>
      </c>
      <c r="P894" s="1">
        <v>13.0</v>
      </c>
      <c r="Q894" s="1">
        <v>2.0</v>
      </c>
    </row>
    <row r="895">
      <c r="A895" s="2">
        <f t="shared" si="1"/>
        <v>893</v>
      </c>
      <c r="B895" s="1" t="s">
        <v>1747</v>
      </c>
      <c r="C895" s="1" t="s">
        <v>1175</v>
      </c>
      <c r="D895" s="1" t="s">
        <v>28</v>
      </c>
      <c r="E895" s="15">
        <f t="shared" si="2"/>
        <v>13</v>
      </c>
      <c r="F895" s="15">
        <f t="shared" si="3"/>
        <v>1.625</v>
      </c>
      <c r="G895" s="1">
        <v>8.0</v>
      </c>
      <c r="H895" s="1">
        <v>0.0</v>
      </c>
      <c r="I895" s="1">
        <v>2.0</v>
      </c>
      <c r="J895" s="1">
        <v>2.0</v>
      </c>
      <c r="K895" s="1">
        <v>9.0</v>
      </c>
      <c r="L895" s="1">
        <v>0.0</v>
      </c>
      <c r="M895" s="1">
        <v>0.0</v>
      </c>
      <c r="N895" s="1">
        <v>0.0</v>
      </c>
      <c r="O895" s="1">
        <v>0.0</v>
      </c>
      <c r="P895" s="1">
        <v>4.0</v>
      </c>
      <c r="Q895" s="1">
        <v>3.0</v>
      </c>
    </row>
    <row r="896">
      <c r="A896" s="2">
        <f t="shared" si="1"/>
        <v>894</v>
      </c>
      <c r="B896" s="1" t="s">
        <v>1869</v>
      </c>
      <c r="C896" s="1" t="s">
        <v>1146</v>
      </c>
      <c r="D896" s="1" t="s">
        <v>31</v>
      </c>
      <c r="E896" s="15">
        <f t="shared" si="2"/>
        <v>12.75</v>
      </c>
      <c r="F896" s="15">
        <f t="shared" si="3"/>
        <v>1.59375</v>
      </c>
      <c r="G896" s="1">
        <v>8.0</v>
      </c>
      <c r="H896" s="1">
        <v>1.0</v>
      </c>
      <c r="I896" s="1">
        <v>1.0</v>
      </c>
      <c r="J896" s="1">
        <v>2.0</v>
      </c>
      <c r="K896" s="1">
        <v>4.0</v>
      </c>
      <c r="L896" s="1">
        <v>0.0</v>
      </c>
      <c r="M896" s="1">
        <v>0.0</v>
      </c>
      <c r="N896" s="1">
        <v>0.0</v>
      </c>
      <c r="O896" s="1">
        <v>0.0</v>
      </c>
      <c r="P896" s="1">
        <v>1.0</v>
      </c>
      <c r="Q896" s="1">
        <v>6.0</v>
      </c>
    </row>
    <row r="897">
      <c r="A897" s="2">
        <f t="shared" si="1"/>
        <v>894</v>
      </c>
      <c r="B897" s="1" t="s">
        <v>2191</v>
      </c>
      <c r="C897" s="1" t="s">
        <v>1172</v>
      </c>
      <c r="D897" s="1" t="s">
        <v>36</v>
      </c>
      <c r="E897" s="15">
        <f t="shared" si="2"/>
        <v>12.75</v>
      </c>
      <c r="F897" s="15">
        <f t="shared" si="3"/>
        <v>1.59375</v>
      </c>
      <c r="G897" s="1">
        <v>8.0</v>
      </c>
      <c r="H897" s="1">
        <v>0.0</v>
      </c>
      <c r="I897" s="1">
        <v>0.0</v>
      </c>
      <c r="J897" s="1">
        <v>0.0</v>
      </c>
      <c r="K897" s="1">
        <v>7.0</v>
      </c>
      <c r="L897" s="1">
        <v>0.0</v>
      </c>
      <c r="M897" s="1">
        <v>0.0</v>
      </c>
      <c r="N897" s="1">
        <v>0.0</v>
      </c>
      <c r="O897" s="1">
        <v>0.0</v>
      </c>
      <c r="P897" s="1">
        <v>25.0</v>
      </c>
      <c r="Q897" s="1">
        <v>6.0</v>
      </c>
    </row>
    <row r="898">
      <c r="A898" s="2">
        <f t="shared" si="1"/>
        <v>896</v>
      </c>
      <c r="B898" s="1" t="s">
        <v>2028</v>
      </c>
      <c r="C898" s="1" t="s">
        <v>1054</v>
      </c>
      <c r="D898" s="1" t="s">
        <v>36</v>
      </c>
      <c r="E898" s="15">
        <f t="shared" si="2"/>
        <v>12.5</v>
      </c>
      <c r="F898" s="15">
        <f t="shared" si="3"/>
        <v>1.388888889</v>
      </c>
      <c r="G898" s="1">
        <v>9.0</v>
      </c>
      <c r="H898" s="1">
        <v>1.0</v>
      </c>
      <c r="I898" s="1">
        <v>1.0</v>
      </c>
      <c r="J898" s="1">
        <v>2.0</v>
      </c>
      <c r="K898" s="1">
        <v>8.0</v>
      </c>
      <c r="L898" s="1">
        <v>0.0</v>
      </c>
      <c r="M898" s="1">
        <v>0.0</v>
      </c>
      <c r="N898" s="1">
        <v>0.0</v>
      </c>
      <c r="O898" s="1">
        <v>0.0</v>
      </c>
      <c r="P898" s="1">
        <v>2.0</v>
      </c>
      <c r="Q898" s="1">
        <v>1.0</v>
      </c>
    </row>
    <row r="899">
      <c r="A899" s="2">
        <f t="shared" si="1"/>
        <v>897</v>
      </c>
      <c r="B899" s="1" t="s">
        <v>2192</v>
      </c>
      <c r="C899" s="1" t="s">
        <v>1044</v>
      </c>
      <c r="D899" s="1" t="s">
        <v>28</v>
      </c>
      <c r="E899" s="15">
        <f t="shared" si="2"/>
        <v>12.25</v>
      </c>
      <c r="F899" s="15">
        <f t="shared" si="3"/>
        <v>2.45</v>
      </c>
      <c r="G899" s="1">
        <v>5.0</v>
      </c>
      <c r="H899" s="1">
        <v>1.0</v>
      </c>
      <c r="I899" s="1">
        <v>1.0</v>
      </c>
      <c r="J899" s="1">
        <v>2.0</v>
      </c>
      <c r="K899" s="1">
        <v>5.0</v>
      </c>
      <c r="L899" s="1">
        <v>0.0</v>
      </c>
      <c r="M899" s="1">
        <v>0.0</v>
      </c>
      <c r="N899" s="1">
        <v>0.0</v>
      </c>
      <c r="O899" s="1">
        <v>0.0</v>
      </c>
      <c r="P899" s="1">
        <v>5.0</v>
      </c>
      <c r="Q899" s="1">
        <v>2.0</v>
      </c>
    </row>
    <row r="900">
      <c r="A900" s="2">
        <f t="shared" si="1"/>
        <v>897</v>
      </c>
      <c r="B900" s="1" t="s">
        <v>2193</v>
      </c>
      <c r="C900" s="1" t="s">
        <v>1156</v>
      </c>
      <c r="D900" s="1" t="s">
        <v>36</v>
      </c>
      <c r="E900" s="15">
        <f t="shared" si="2"/>
        <v>12.25</v>
      </c>
      <c r="F900" s="15">
        <f t="shared" si="3"/>
        <v>1.75</v>
      </c>
      <c r="G900" s="1">
        <v>7.0</v>
      </c>
      <c r="H900" s="1">
        <v>1.0</v>
      </c>
      <c r="I900" s="1">
        <v>0.0</v>
      </c>
      <c r="J900" s="1">
        <v>1.0</v>
      </c>
      <c r="K900" s="1">
        <v>7.0</v>
      </c>
      <c r="L900" s="1">
        <v>0.0</v>
      </c>
      <c r="M900" s="1">
        <v>0.0</v>
      </c>
      <c r="N900" s="1">
        <v>0.0</v>
      </c>
      <c r="O900" s="1">
        <v>0.0</v>
      </c>
      <c r="P900" s="1">
        <v>11.0</v>
      </c>
      <c r="Q900" s="1">
        <v>3.0</v>
      </c>
    </row>
    <row r="901">
      <c r="A901" s="2">
        <f t="shared" si="1"/>
        <v>899</v>
      </c>
      <c r="B901" s="1" t="s">
        <v>2194</v>
      </c>
      <c r="C901" s="1" t="s">
        <v>1106</v>
      </c>
      <c r="D901" s="1" t="s">
        <v>66</v>
      </c>
      <c r="E901" s="15">
        <f t="shared" si="2"/>
        <v>12</v>
      </c>
      <c r="F901" s="15">
        <f t="shared" si="3"/>
        <v>3</v>
      </c>
      <c r="G901" s="1">
        <v>4.0</v>
      </c>
      <c r="H901" s="1">
        <v>0.0</v>
      </c>
      <c r="I901" s="1">
        <v>1.0</v>
      </c>
      <c r="J901" s="1">
        <v>1.0</v>
      </c>
      <c r="K901" s="1">
        <v>5.0</v>
      </c>
      <c r="L901" s="1">
        <v>0.0</v>
      </c>
      <c r="M901" s="1">
        <v>0.0</v>
      </c>
      <c r="N901" s="1">
        <v>0.0</v>
      </c>
      <c r="O901" s="1">
        <v>0.0</v>
      </c>
      <c r="P901" s="1">
        <v>6.0</v>
      </c>
      <c r="Q901" s="1">
        <v>10.0</v>
      </c>
    </row>
    <row r="902">
      <c r="A902" s="2">
        <f t="shared" si="1"/>
        <v>899</v>
      </c>
      <c r="B902" s="1" t="s">
        <v>2195</v>
      </c>
      <c r="C902" s="1" t="s">
        <v>1087</v>
      </c>
      <c r="D902" s="1" t="s">
        <v>31</v>
      </c>
      <c r="E902" s="15">
        <f t="shared" si="2"/>
        <v>12</v>
      </c>
      <c r="F902" s="15">
        <f t="shared" si="3"/>
        <v>1.5</v>
      </c>
      <c r="G902" s="1">
        <v>8.0</v>
      </c>
      <c r="H902" s="1">
        <v>0.0</v>
      </c>
      <c r="I902" s="1">
        <v>2.0</v>
      </c>
      <c r="J902" s="1">
        <v>2.0</v>
      </c>
      <c r="K902" s="1">
        <v>5.0</v>
      </c>
      <c r="L902" s="1">
        <v>0.0</v>
      </c>
      <c r="M902" s="1">
        <v>0.0</v>
      </c>
      <c r="N902" s="1">
        <v>0.0</v>
      </c>
      <c r="O902" s="1">
        <v>0.0</v>
      </c>
      <c r="P902" s="1">
        <v>6.0</v>
      </c>
      <c r="Q902" s="1">
        <v>4.0</v>
      </c>
    </row>
    <row r="903">
      <c r="A903" s="2">
        <f t="shared" si="1"/>
        <v>899</v>
      </c>
      <c r="B903" s="1" t="s">
        <v>2196</v>
      </c>
      <c r="C903" s="1" t="s">
        <v>1036</v>
      </c>
      <c r="D903" s="1" t="s">
        <v>31</v>
      </c>
      <c r="E903" s="15">
        <f t="shared" si="2"/>
        <v>12</v>
      </c>
      <c r="F903" s="15">
        <f t="shared" si="3"/>
        <v>1.2</v>
      </c>
      <c r="G903" s="1">
        <v>10.0</v>
      </c>
      <c r="H903" s="1">
        <v>0.0</v>
      </c>
      <c r="I903" s="1">
        <v>0.0</v>
      </c>
      <c r="J903" s="1">
        <v>0.0</v>
      </c>
      <c r="K903" s="1">
        <v>7.0</v>
      </c>
      <c r="L903" s="1">
        <v>0.0</v>
      </c>
      <c r="M903" s="1">
        <v>0.0</v>
      </c>
      <c r="N903" s="1">
        <v>0.0</v>
      </c>
      <c r="O903" s="1">
        <v>0.0</v>
      </c>
      <c r="P903" s="1">
        <v>26.0</v>
      </c>
      <c r="Q903" s="1">
        <v>4.0</v>
      </c>
    </row>
    <row r="904">
      <c r="A904" s="2">
        <f t="shared" si="1"/>
        <v>902</v>
      </c>
      <c r="B904" s="1" t="s">
        <v>2069</v>
      </c>
      <c r="C904" s="1" t="s">
        <v>1046</v>
      </c>
      <c r="D904" s="1" t="s">
        <v>66</v>
      </c>
      <c r="E904" s="15">
        <f t="shared" si="2"/>
        <v>11.75</v>
      </c>
      <c r="F904" s="15">
        <f t="shared" si="3"/>
        <v>2.35</v>
      </c>
      <c r="G904" s="1">
        <v>5.0</v>
      </c>
      <c r="H904" s="1">
        <v>1.0</v>
      </c>
      <c r="I904" s="1">
        <v>0.0</v>
      </c>
      <c r="J904" s="1">
        <v>1.0</v>
      </c>
      <c r="K904" s="1">
        <v>6.0</v>
      </c>
      <c r="L904" s="1">
        <v>0.0</v>
      </c>
      <c r="M904" s="1">
        <v>0.0</v>
      </c>
      <c r="N904" s="1">
        <v>0.0</v>
      </c>
      <c r="O904" s="1">
        <v>0.0</v>
      </c>
      <c r="P904" s="1">
        <v>5.0</v>
      </c>
      <c r="Q904" s="1">
        <v>6.0</v>
      </c>
    </row>
    <row r="905">
      <c r="A905" s="2">
        <f t="shared" si="1"/>
        <v>902</v>
      </c>
      <c r="B905" s="1" t="s">
        <v>2197</v>
      </c>
      <c r="C905" s="1" t="s">
        <v>1032</v>
      </c>
      <c r="D905" s="1" t="s">
        <v>66</v>
      </c>
      <c r="E905" s="15">
        <f t="shared" si="2"/>
        <v>11.75</v>
      </c>
      <c r="F905" s="15">
        <f t="shared" si="3"/>
        <v>1.958333333</v>
      </c>
      <c r="G905" s="1">
        <v>6.0</v>
      </c>
      <c r="H905" s="1">
        <v>0.0</v>
      </c>
      <c r="I905" s="1">
        <v>2.0</v>
      </c>
      <c r="J905" s="1">
        <v>2.0</v>
      </c>
      <c r="K905" s="1">
        <v>4.0</v>
      </c>
      <c r="L905" s="1">
        <v>0.0</v>
      </c>
      <c r="M905" s="1">
        <v>0.0</v>
      </c>
      <c r="N905" s="1">
        <v>0.0</v>
      </c>
      <c r="O905" s="1">
        <v>0.0</v>
      </c>
      <c r="P905" s="1">
        <v>3.0</v>
      </c>
      <c r="Q905" s="1">
        <v>6.0</v>
      </c>
    </row>
    <row r="906">
      <c r="A906" s="2">
        <f t="shared" si="1"/>
        <v>902</v>
      </c>
      <c r="B906" s="1" t="s">
        <v>1798</v>
      </c>
      <c r="C906" s="1" t="s">
        <v>1032</v>
      </c>
      <c r="D906" s="1" t="s">
        <v>36</v>
      </c>
      <c r="E906" s="15">
        <f t="shared" si="2"/>
        <v>11.75</v>
      </c>
      <c r="F906" s="15">
        <f t="shared" si="3"/>
        <v>1.175</v>
      </c>
      <c r="G906" s="1">
        <v>10.0</v>
      </c>
      <c r="H906" s="1">
        <v>1.0</v>
      </c>
      <c r="I906" s="1">
        <v>0.0</v>
      </c>
      <c r="J906" s="1">
        <v>1.0</v>
      </c>
      <c r="K906" s="1">
        <v>9.0</v>
      </c>
      <c r="L906" s="1">
        <v>0.0</v>
      </c>
      <c r="M906" s="1">
        <v>0.0</v>
      </c>
      <c r="N906" s="1">
        <v>0.0</v>
      </c>
      <c r="O906" s="1">
        <v>0.0</v>
      </c>
      <c r="P906" s="1">
        <v>7.0</v>
      </c>
      <c r="Q906" s="1">
        <v>2.0</v>
      </c>
    </row>
    <row r="907">
      <c r="A907" s="2">
        <f t="shared" si="1"/>
        <v>905</v>
      </c>
      <c r="B907" s="1" t="s">
        <v>2198</v>
      </c>
      <c r="C907" s="1" t="s">
        <v>1042</v>
      </c>
      <c r="D907" s="1" t="s">
        <v>66</v>
      </c>
      <c r="E907" s="15">
        <f t="shared" si="2"/>
        <v>11.5</v>
      </c>
      <c r="F907" s="15">
        <f t="shared" si="3"/>
        <v>2.3</v>
      </c>
      <c r="G907" s="1">
        <v>5.0</v>
      </c>
      <c r="H907" s="1">
        <v>0.0</v>
      </c>
      <c r="I907" s="1">
        <v>1.0</v>
      </c>
      <c r="J907" s="1">
        <v>1.0</v>
      </c>
      <c r="K907" s="1">
        <v>3.0</v>
      </c>
      <c r="L907" s="1">
        <v>0.0</v>
      </c>
      <c r="M907" s="1">
        <v>0.0</v>
      </c>
      <c r="N907" s="1">
        <v>0.0</v>
      </c>
      <c r="O907" s="1">
        <v>0.0</v>
      </c>
      <c r="P907" s="1">
        <v>6.0</v>
      </c>
      <c r="Q907" s="1">
        <v>11.0</v>
      </c>
    </row>
    <row r="908">
      <c r="A908" s="2">
        <f t="shared" si="1"/>
        <v>905</v>
      </c>
      <c r="B908" s="1" t="s">
        <v>1846</v>
      </c>
      <c r="C908" s="1" t="s">
        <v>1091</v>
      </c>
      <c r="D908" s="1" t="s">
        <v>28</v>
      </c>
      <c r="E908" s="15">
        <f t="shared" si="2"/>
        <v>11.5</v>
      </c>
      <c r="F908" s="15">
        <f t="shared" si="3"/>
        <v>1.277777778</v>
      </c>
      <c r="G908" s="1">
        <v>9.0</v>
      </c>
      <c r="H908" s="1">
        <v>0.0</v>
      </c>
      <c r="I908" s="1">
        <v>0.0</v>
      </c>
      <c r="J908" s="1">
        <v>0.0</v>
      </c>
      <c r="K908" s="1">
        <v>9.0</v>
      </c>
      <c r="L908" s="1">
        <v>0.0</v>
      </c>
      <c r="M908" s="1">
        <v>0.0</v>
      </c>
      <c r="N908" s="1">
        <v>0.0</v>
      </c>
      <c r="O908" s="1">
        <v>0.0</v>
      </c>
      <c r="P908" s="1">
        <v>16.0</v>
      </c>
      <c r="Q908" s="1">
        <v>6.0</v>
      </c>
      <c r="T908" s="12"/>
    </row>
    <row r="909">
      <c r="A909" s="2">
        <f t="shared" si="1"/>
        <v>907</v>
      </c>
      <c r="B909" s="1" t="s">
        <v>2199</v>
      </c>
      <c r="C909" s="1" t="s">
        <v>1030</v>
      </c>
      <c r="D909" s="1" t="s">
        <v>5</v>
      </c>
      <c r="E909" s="15">
        <f t="shared" si="2"/>
        <v>11.4</v>
      </c>
      <c r="F909" s="15">
        <f t="shared" si="3"/>
        <v>5.7</v>
      </c>
      <c r="G909" s="1">
        <v>2.0</v>
      </c>
      <c r="R909" s="1">
        <v>1.0</v>
      </c>
      <c r="S909" s="1">
        <v>2.0</v>
      </c>
      <c r="T909" s="1">
        <v>38.0</v>
      </c>
      <c r="U909" s="1">
        <v>0.0</v>
      </c>
    </row>
    <row r="910">
      <c r="A910" s="2">
        <f t="shared" si="1"/>
        <v>908</v>
      </c>
      <c r="B910" s="1" t="s">
        <v>2200</v>
      </c>
      <c r="C910" s="1" t="s">
        <v>1085</v>
      </c>
      <c r="D910" s="1" t="s">
        <v>28</v>
      </c>
      <c r="E910" s="15">
        <f t="shared" si="2"/>
        <v>10.75</v>
      </c>
      <c r="F910" s="15">
        <f t="shared" si="3"/>
        <v>1.791666667</v>
      </c>
      <c r="G910" s="1">
        <v>6.0</v>
      </c>
      <c r="H910" s="1">
        <v>1.0</v>
      </c>
      <c r="I910" s="1">
        <v>0.0</v>
      </c>
      <c r="J910" s="1">
        <v>1.0</v>
      </c>
      <c r="K910" s="1">
        <v>7.0</v>
      </c>
      <c r="L910" s="1">
        <v>0.0</v>
      </c>
      <c r="M910" s="1">
        <v>0.0</v>
      </c>
      <c r="N910" s="1">
        <v>0.0</v>
      </c>
      <c r="O910" s="1">
        <v>0.0</v>
      </c>
      <c r="P910" s="1">
        <v>7.0</v>
      </c>
      <c r="Q910" s="1">
        <v>2.0</v>
      </c>
    </row>
    <row r="911">
      <c r="A911" s="2">
        <f t="shared" si="1"/>
        <v>908</v>
      </c>
      <c r="B911" s="1" t="s">
        <v>1507</v>
      </c>
      <c r="C911" s="1" t="s">
        <v>1172</v>
      </c>
      <c r="D911" s="1" t="s">
        <v>66</v>
      </c>
      <c r="E911" s="15">
        <f t="shared" si="2"/>
        <v>10.75</v>
      </c>
      <c r="F911" s="15">
        <f t="shared" si="3"/>
        <v>1.791666667</v>
      </c>
      <c r="G911" s="1">
        <v>6.0</v>
      </c>
      <c r="H911" s="1">
        <v>0.0</v>
      </c>
      <c r="I911" s="1">
        <v>1.0</v>
      </c>
      <c r="J911" s="1">
        <v>1.0</v>
      </c>
      <c r="K911" s="1">
        <v>4.0</v>
      </c>
      <c r="L911" s="1">
        <v>0.0</v>
      </c>
      <c r="M911" s="1">
        <v>0.0</v>
      </c>
      <c r="N911" s="1">
        <v>0.0</v>
      </c>
      <c r="O911" s="1">
        <v>0.0</v>
      </c>
      <c r="P911" s="1">
        <v>5.0</v>
      </c>
      <c r="Q911" s="1">
        <v>9.0</v>
      </c>
    </row>
    <row r="912">
      <c r="A912" s="2">
        <f t="shared" si="1"/>
        <v>908</v>
      </c>
      <c r="B912" s="1" t="s">
        <v>2201</v>
      </c>
      <c r="C912" s="1" t="s">
        <v>1116</v>
      </c>
      <c r="D912" s="1" t="s">
        <v>66</v>
      </c>
      <c r="E912" s="15">
        <f t="shared" si="2"/>
        <v>10.75</v>
      </c>
      <c r="F912" s="15">
        <f t="shared" si="3"/>
        <v>1.075</v>
      </c>
      <c r="G912" s="1">
        <v>10.0</v>
      </c>
      <c r="H912" s="1">
        <v>0.0</v>
      </c>
      <c r="I912" s="1">
        <v>1.0</v>
      </c>
      <c r="J912" s="1">
        <v>1.0</v>
      </c>
      <c r="K912" s="1">
        <v>5.0</v>
      </c>
      <c r="L912" s="1">
        <v>0.0</v>
      </c>
      <c r="M912" s="1">
        <v>0.0</v>
      </c>
      <c r="N912" s="1">
        <v>0.0</v>
      </c>
      <c r="O912" s="1">
        <v>0.0</v>
      </c>
      <c r="P912" s="1">
        <v>7.0</v>
      </c>
      <c r="Q912" s="1">
        <v>7.0</v>
      </c>
    </row>
    <row r="913">
      <c r="A913" s="2">
        <f t="shared" si="1"/>
        <v>911</v>
      </c>
      <c r="B913" s="1" t="s">
        <v>1979</v>
      </c>
      <c r="C913" s="1" t="s">
        <v>1082</v>
      </c>
      <c r="D913" s="1" t="s">
        <v>66</v>
      </c>
      <c r="E913" s="15">
        <f t="shared" si="2"/>
        <v>10.5</v>
      </c>
      <c r="F913" s="15">
        <f t="shared" si="3"/>
        <v>1.75</v>
      </c>
      <c r="G913" s="1">
        <v>6.0</v>
      </c>
      <c r="H913" s="1">
        <v>0.0</v>
      </c>
      <c r="I913" s="1">
        <v>1.0</v>
      </c>
      <c r="J913" s="1">
        <v>1.0</v>
      </c>
      <c r="K913" s="1">
        <v>1.0</v>
      </c>
      <c r="L913" s="1">
        <v>0.0</v>
      </c>
      <c r="M913" s="1">
        <v>0.0</v>
      </c>
      <c r="N913" s="1">
        <v>0.0</v>
      </c>
      <c r="O913" s="1">
        <v>0.0</v>
      </c>
      <c r="P913" s="1">
        <v>14.0</v>
      </c>
      <c r="Q913" s="1">
        <v>7.0</v>
      </c>
    </row>
    <row r="914">
      <c r="A914" s="2">
        <f t="shared" si="1"/>
        <v>911</v>
      </c>
      <c r="B914" s="1" t="s">
        <v>2202</v>
      </c>
      <c r="C914" s="1" t="s">
        <v>1030</v>
      </c>
      <c r="D914" s="1" t="s">
        <v>31</v>
      </c>
      <c r="E914" s="15">
        <f t="shared" si="2"/>
        <v>10.5</v>
      </c>
      <c r="F914" s="15">
        <f t="shared" si="3"/>
        <v>0.9545454545</v>
      </c>
      <c r="G914" s="1">
        <v>11.0</v>
      </c>
      <c r="H914" s="1">
        <v>0.0</v>
      </c>
      <c r="I914" s="1">
        <v>0.0</v>
      </c>
      <c r="J914" s="1">
        <v>0.0</v>
      </c>
      <c r="K914" s="1">
        <v>10.0</v>
      </c>
      <c r="L914" s="1">
        <v>0.0</v>
      </c>
      <c r="M914" s="1">
        <v>0.0</v>
      </c>
      <c r="N914" s="1">
        <v>0.0</v>
      </c>
      <c r="O914" s="1">
        <v>0.0</v>
      </c>
      <c r="P914" s="1">
        <v>16.0</v>
      </c>
      <c r="Q914" s="1">
        <v>3.0</v>
      </c>
    </row>
    <row r="915">
      <c r="A915" s="2">
        <f t="shared" si="1"/>
        <v>913</v>
      </c>
      <c r="B915" s="1" t="s">
        <v>1315</v>
      </c>
      <c r="C915" s="1" t="s">
        <v>1076</v>
      </c>
      <c r="D915" s="1" t="s">
        <v>66</v>
      </c>
      <c r="E915" s="15">
        <f t="shared" si="2"/>
        <v>10.25</v>
      </c>
      <c r="F915" s="15">
        <f t="shared" si="3"/>
        <v>5.125</v>
      </c>
      <c r="G915" s="1">
        <v>2.0</v>
      </c>
      <c r="H915" s="1">
        <v>1.0</v>
      </c>
      <c r="I915" s="1">
        <v>1.0</v>
      </c>
      <c r="J915" s="1">
        <v>2.0</v>
      </c>
      <c r="K915" s="1">
        <v>2.0</v>
      </c>
      <c r="L915" s="1">
        <v>0.0</v>
      </c>
      <c r="M915" s="1">
        <v>0.0</v>
      </c>
      <c r="N915" s="1">
        <v>0.0</v>
      </c>
      <c r="O915" s="1">
        <v>0.0</v>
      </c>
      <c r="P915" s="1">
        <v>1.0</v>
      </c>
      <c r="Q915" s="1">
        <v>3.0</v>
      </c>
    </row>
    <row r="916">
      <c r="A916" s="2">
        <f t="shared" si="1"/>
        <v>914</v>
      </c>
      <c r="B916" s="1" t="s">
        <v>2058</v>
      </c>
      <c r="C916" s="1" t="s">
        <v>1040</v>
      </c>
      <c r="D916" s="1" t="s">
        <v>28</v>
      </c>
      <c r="E916" s="15">
        <f t="shared" si="2"/>
        <v>10</v>
      </c>
      <c r="F916" s="15">
        <f t="shared" si="3"/>
        <v>0.7142857143</v>
      </c>
      <c r="G916" s="1">
        <v>14.0</v>
      </c>
      <c r="H916" s="1">
        <v>0.0</v>
      </c>
      <c r="I916" s="1">
        <v>0.0</v>
      </c>
      <c r="J916" s="1">
        <v>0.0</v>
      </c>
      <c r="K916" s="1">
        <v>9.0</v>
      </c>
      <c r="L916" s="1">
        <v>0.0</v>
      </c>
      <c r="M916" s="1">
        <v>0.0</v>
      </c>
      <c r="N916" s="1">
        <v>0.0</v>
      </c>
      <c r="O916" s="1">
        <v>0.0</v>
      </c>
      <c r="P916" s="1">
        <v>18.0</v>
      </c>
      <c r="Q916" s="1">
        <v>2.0</v>
      </c>
    </row>
    <row r="917">
      <c r="A917" s="2">
        <f t="shared" si="1"/>
        <v>915</v>
      </c>
      <c r="B917" s="1" t="s">
        <v>1935</v>
      </c>
      <c r="C917" s="1" t="s">
        <v>1067</v>
      </c>
      <c r="D917" s="1" t="s">
        <v>28</v>
      </c>
      <c r="E917" s="15">
        <f t="shared" si="2"/>
        <v>9.5</v>
      </c>
      <c r="F917" s="15">
        <f t="shared" si="3"/>
        <v>4.75</v>
      </c>
      <c r="G917" s="1">
        <v>2.0</v>
      </c>
      <c r="H917" s="1">
        <v>1.0</v>
      </c>
      <c r="I917" s="1">
        <v>1.0</v>
      </c>
      <c r="J917" s="1">
        <v>2.0</v>
      </c>
      <c r="K917" s="1">
        <v>3.0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1.0</v>
      </c>
      <c r="T917" s="12"/>
    </row>
    <row r="918">
      <c r="A918" s="2">
        <f t="shared" si="1"/>
        <v>915</v>
      </c>
      <c r="B918" s="1" t="s">
        <v>1825</v>
      </c>
      <c r="C918" s="1" t="s">
        <v>1156</v>
      </c>
      <c r="D918" s="1" t="s">
        <v>31</v>
      </c>
      <c r="E918" s="15">
        <f t="shared" si="2"/>
        <v>9.5</v>
      </c>
      <c r="F918" s="15">
        <f t="shared" si="3"/>
        <v>1.9</v>
      </c>
      <c r="G918" s="1">
        <v>5.0</v>
      </c>
      <c r="H918" s="1">
        <v>0.0</v>
      </c>
      <c r="I918" s="1">
        <v>1.0</v>
      </c>
      <c r="J918" s="1">
        <v>1.0</v>
      </c>
      <c r="K918" s="1">
        <v>9.0</v>
      </c>
      <c r="L918" s="1">
        <v>0.0</v>
      </c>
      <c r="M918" s="1">
        <v>0.0</v>
      </c>
      <c r="N918" s="1">
        <v>0.0</v>
      </c>
      <c r="O918" s="1">
        <v>0.0</v>
      </c>
      <c r="P918" s="1">
        <v>4.0</v>
      </c>
      <c r="Q918" s="1">
        <v>2.0</v>
      </c>
    </row>
    <row r="919">
      <c r="A919" s="2">
        <f t="shared" si="1"/>
        <v>915</v>
      </c>
      <c r="B919" s="1" t="s">
        <v>2203</v>
      </c>
      <c r="C919" s="1" t="s">
        <v>1097</v>
      </c>
      <c r="D919" s="1" t="s">
        <v>28</v>
      </c>
      <c r="E919" s="15">
        <f t="shared" si="2"/>
        <v>9.5</v>
      </c>
      <c r="F919" s="15">
        <f t="shared" si="3"/>
        <v>1.583333333</v>
      </c>
      <c r="G919" s="1">
        <v>6.0</v>
      </c>
      <c r="H919" s="1">
        <v>1.0</v>
      </c>
      <c r="I919" s="1">
        <v>0.0</v>
      </c>
      <c r="J919" s="1">
        <v>1.0</v>
      </c>
      <c r="K919" s="1">
        <v>8.0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2.0</v>
      </c>
    </row>
    <row r="920">
      <c r="A920" s="2">
        <f t="shared" si="1"/>
        <v>915</v>
      </c>
      <c r="B920" s="1" t="s">
        <v>1956</v>
      </c>
      <c r="C920" s="1" t="s">
        <v>1042</v>
      </c>
      <c r="D920" s="1" t="s">
        <v>31</v>
      </c>
      <c r="E920" s="15">
        <f t="shared" si="2"/>
        <v>9.5</v>
      </c>
      <c r="F920" s="15">
        <f t="shared" si="3"/>
        <v>1.583333333</v>
      </c>
      <c r="G920" s="1">
        <v>6.0</v>
      </c>
      <c r="H920" s="1">
        <v>1.0</v>
      </c>
      <c r="I920" s="1">
        <v>0.0</v>
      </c>
      <c r="J920" s="1">
        <v>1.0</v>
      </c>
      <c r="K920" s="1">
        <v>4.0</v>
      </c>
      <c r="L920" s="1">
        <v>0.0</v>
      </c>
      <c r="M920" s="1">
        <v>0.0</v>
      </c>
      <c r="N920" s="1">
        <v>0.0</v>
      </c>
      <c r="O920" s="1">
        <v>0.0</v>
      </c>
      <c r="P920" s="1">
        <v>4.0</v>
      </c>
      <c r="Q920" s="1">
        <v>4.0</v>
      </c>
    </row>
    <row r="921">
      <c r="A921" s="2">
        <f t="shared" si="1"/>
        <v>915</v>
      </c>
      <c r="B921" s="1" t="s">
        <v>2204</v>
      </c>
      <c r="C921" s="1" t="s">
        <v>1038</v>
      </c>
      <c r="D921" s="1" t="s">
        <v>66</v>
      </c>
      <c r="E921" s="15">
        <f t="shared" si="2"/>
        <v>9.5</v>
      </c>
      <c r="F921" s="15">
        <f t="shared" si="3"/>
        <v>1.1875</v>
      </c>
      <c r="G921" s="1">
        <v>8.0</v>
      </c>
      <c r="H921" s="1">
        <v>0.0</v>
      </c>
      <c r="I921" s="1">
        <v>0.0</v>
      </c>
      <c r="J921" s="1">
        <v>0.0</v>
      </c>
      <c r="K921" s="1">
        <v>3.0</v>
      </c>
      <c r="L921" s="1">
        <v>0.0</v>
      </c>
      <c r="M921" s="1">
        <v>0.0</v>
      </c>
      <c r="N921" s="1">
        <v>0.0</v>
      </c>
      <c r="O921" s="1">
        <v>0.0</v>
      </c>
      <c r="P921" s="1">
        <v>12.0</v>
      </c>
      <c r="Q921" s="1">
        <v>10.0</v>
      </c>
    </row>
    <row r="922">
      <c r="A922" s="2">
        <f t="shared" si="1"/>
        <v>920</v>
      </c>
      <c r="B922" s="1" t="s">
        <v>1819</v>
      </c>
      <c r="C922" s="1" t="s">
        <v>1156</v>
      </c>
      <c r="D922" s="1" t="s">
        <v>5</v>
      </c>
      <c r="E922" s="15">
        <f t="shared" si="2"/>
        <v>9.3</v>
      </c>
      <c r="F922" s="15">
        <f t="shared" si="3"/>
        <v>9.3</v>
      </c>
      <c r="G922" s="1">
        <v>1.0</v>
      </c>
      <c r="R922" s="1">
        <v>0.0</v>
      </c>
      <c r="S922" s="1">
        <v>3.0</v>
      </c>
      <c r="T922" s="1">
        <v>46.0</v>
      </c>
      <c r="U922" s="1">
        <v>0.0</v>
      </c>
    </row>
    <row r="923">
      <c r="A923" s="2">
        <f t="shared" si="1"/>
        <v>921</v>
      </c>
      <c r="B923" s="1" t="s">
        <v>2205</v>
      </c>
      <c r="C923" s="1" t="s">
        <v>1172</v>
      </c>
      <c r="D923" s="1" t="s">
        <v>36</v>
      </c>
      <c r="E923" s="15">
        <f t="shared" si="2"/>
        <v>9.25</v>
      </c>
      <c r="F923" s="15">
        <f t="shared" si="3"/>
        <v>2.3125</v>
      </c>
      <c r="G923" s="1">
        <v>4.0</v>
      </c>
      <c r="H923" s="1">
        <v>1.0</v>
      </c>
      <c r="I923" s="1">
        <v>0.0</v>
      </c>
      <c r="J923" s="1">
        <v>1.0</v>
      </c>
      <c r="K923" s="1">
        <v>7.0</v>
      </c>
      <c r="L923" s="1">
        <v>0.0</v>
      </c>
      <c r="M923" s="1">
        <v>0.0</v>
      </c>
      <c r="N923" s="1">
        <v>0.0</v>
      </c>
      <c r="O923" s="1">
        <v>0.0</v>
      </c>
      <c r="P923" s="1">
        <v>3.0</v>
      </c>
      <c r="Q923" s="1">
        <v>1.0</v>
      </c>
    </row>
    <row r="924">
      <c r="A924" s="2">
        <f t="shared" si="1"/>
        <v>921</v>
      </c>
      <c r="B924" s="1" t="s">
        <v>2206</v>
      </c>
      <c r="C924" s="1" t="s">
        <v>1046</v>
      </c>
      <c r="D924" s="1" t="s">
        <v>28</v>
      </c>
      <c r="E924" s="15">
        <f t="shared" si="2"/>
        <v>9.25</v>
      </c>
      <c r="F924" s="15">
        <f t="shared" si="3"/>
        <v>1.541666667</v>
      </c>
      <c r="G924" s="1">
        <v>6.0</v>
      </c>
      <c r="H924" s="1">
        <v>1.0</v>
      </c>
      <c r="I924" s="1">
        <v>0.0</v>
      </c>
      <c r="J924" s="1">
        <v>1.0</v>
      </c>
      <c r="K924" s="1">
        <v>4.0</v>
      </c>
      <c r="L924" s="1">
        <v>0.0</v>
      </c>
      <c r="M924" s="1">
        <v>0.0</v>
      </c>
      <c r="N924" s="1">
        <v>0.0</v>
      </c>
      <c r="O924" s="1">
        <v>0.0</v>
      </c>
      <c r="P924" s="1">
        <v>7.0</v>
      </c>
      <c r="Q924" s="1">
        <v>2.0</v>
      </c>
    </row>
    <row r="925">
      <c r="A925" s="2">
        <f t="shared" si="1"/>
        <v>921</v>
      </c>
      <c r="B925" s="1" t="s">
        <v>1960</v>
      </c>
      <c r="C925" s="1" t="s">
        <v>1076</v>
      </c>
      <c r="D925" s="1" t="s">
        <v>28</v>
      </c>
      <c r="E925" s="15">
        <f t="shared" si="2"/>
        <v>9.25</v>
      </c>
      <c r="F925" s="15">
        <f t="shared" si="3"/>
        <v>1.541666667</v>
      </c>
      <c r="G925" s="1">
        <v>6.0</v>
      </c>
      <c r="H925" s="1">
        <v>1.0</v>
      </c>
      <c r="I925" s="1">
        <v>0.0</v>
      </c>
      <c r="J925" s="1">
        <v>1.0</v>
      </c>
      <c r="K925" s="1">
        <v>4.0</v>
      </c>
      <c r="L925" s="1">
        <v>0.0</v>
      </c>
      <c r="M925" s="1">
        <v>0.0</v>
      </c>
      <c r="N925" s="1">
        <v>0.0</v>
      </c>
      <c r="O925" s="1">
        <v>0.0</v>
      </c>
      <c r="P925" s="1">
        <v>5.0</v>
      </c>
      <c r="Q925" s="1">
        <v>3.0</v>
      </c>
    </row>
    <row r="926">
      <c r="A926" s="2">
        <f t="shared" si="1"/>
        <v>921</v>
      </c>
      <c r="B926" s="1" t="s">
        <v>1855</v>
      </c>
      <c r="C926" s="1" t="s">
        <v>1091</v>
      </c>
      <c r="D926" s="1" t="s">
        <v>36</v>
      </c>
      <c r="E926" s="15">
        <f t="shared" si="2"/>
        <v>9.25</v>
      </c>
      <c r="F926" s="15">
        <f t="shared" si="3"/>
        <v>1.15625</v>
      </c>
      <c r="G926" s="1">
        <v>8.0</v>
      </c>
      <c r="H926" s="1">
        <v>0.0</v>
      </c>
      <c r="I926" s="1">
        <v>1.0</v>
      </c>
      <c r="J926" s="1">
        <v>1.0</v>
      </c>
      <c r="K926" s="1">
        <v>5.0</v>
      </c>
      <c r="L926" s="1">
        <v>0.0</v>
      </c>
      <c r="M926" s="1">
        <v>0.0</v>
      </c>
      <c r="N926" s="1">
        <v>0.0</v>
      </c>
      <c r="O926" s="1">
        <v>0.0</v>
      </c>
      <c r="P926" s="1">
        <v>1.0</v>
      </c>
      <c r="Q926" s="1">
        <v>7.0</v>
      </c>
    </row>
    <row r="927">
      <c r="A927" s="2">
        <f t="shared" si="1"/>
        <v>925</v>
      </c>
      <c r="B927" s="1" t="s">
        <v>1849</v>
      </c>
      <c r="C927" s="1" t="s">
        <v>1116</v>
      </c>
      <c r="D927" s="1" t="s">
        <v>28</v>
      </c>
      <c r="E927" s="15">
        <f t="shared" si="2"/>
        <v>9</v>
      </c>
      <c r="F927" s="15">
        <f t="shared" si="3"/>
        <v>1.8</v>
      </c>
      <c r="G927" s="1">
        <v>5.0</v>
      </c>
      <c r="H927" s="1">
        <v>0.0</v>
      </c>
      <c r="I927" s="1">
        <v>1.0</v>
      </c>
      <c r="J927" s="1">
        <v>1.0</v>
      </c>
      <c r="K927" s="1">
        <v>7.0</v>
      </c>
      <c r="L927" s="1">
        <v>0.0</v>
      </c>
      <c r="M927" s="1">
        <v>0.0</v>
      </c>
      <c r="N927" s="1">
        <v>0.0</v>
      </c>
      <c r="O927" s="1">
        <v>0.0</v>
      </c>
      <c r="P927" s="1">
        <v>6.0</v>
      </c>
      <c r="Q927" s="1">
        <v>2.0</v>
      </c>
    </row>
    <row r="928">
      <c r="A928" s="2">
        <f t="shared" si="1"/>
        <v>925</v>
      </c>
      <c r="B928" s="1" t="s">
        <v>2207</v>
      </c>
      <c r="C928" s="1" t="s">
        <v>1082</v>
      </c>
      <c r="D928" s="1" t="s">
        <v>66</v>
      </c>
      <c r="E928" s="15">
        <f t="shared" si="2"/>
        <v>9</v>
      </c>
      <c r="F928" s="15">
        <f t="shared" si="3"/>
        <v>1.5</v>
      </c>
      <c r="G928" s="1">
        <v>6.0</v>
      </c>
      <c r="H928" s="1">
        <v>0.0</v>
      </c>
      <c r="I928" s="1">
        <v>2.0</v>
      </c>
      <c r="J928" s="1">
        <v>2.0</v>
      </c>
      <c r="K928" s="1">
        <v>3.0</v>
      </c>
      <c r="L928" s="1">
        <v>0.0</v>
      </c>
      <c r="M928" s="1">
        <v>0.0</v>
      </c>
      <c r="N928" s="1">
        <v>0.0</v>
      </c>
      <c r="O928" s="1">
        <v>0.0</v>
      </c>
      <c r="P928" s="1">
        <v>4.0</v>
      </c>
      <c r="Q928" s="1">
        <v>1.0</v>
      </c>
    </row>
    <row r="929">
      <c r="A929" s="2">
        <f t="shared" si="1"/>
        <v>927</v>
      </c>
      <c r="B929" s="1" t="s">
        <v>1718</v>
      </c>
      <c r="C929" s="1" t="s">
        <v>1065</v>
      </c>
      <c r="D929" s="1" t="s">
        <v>66</v>
      </c>
      <c r="E929" s="15">
        <f t="shared" si="2"/>
        <v>8.75</v>
      </c>
      <c r="F929" s="15">
        <f t="shared" si="3"/>
        <v>1.09375</v>
      </c>
      <c r="G929" s="1">
        <v>8.0</v>
      </c>
      <c r="H929" s="1">
        <v>0.0</v>
      </c>
      <c r="I929" s="1">
        <v>0.0</v>
      </c>
      <c r="J929" s="1">
        <v>0.0</v>
      </c>
      <c r="K929" s="1">
        <v>8.0</v>
      </c>
      <c r="L929" s="1">
        <v>0.0</v>
      </c>
      <c r="M929" s="1">
        <v>0.0</v>
      </c>
      <c r="N929" s="1">
        <v>0.0</v>
      </c>
      <c r="O929" s="1">
        <v>0.0</v>
      </c>
      <c r="P929" s="1">
        <v>7.0</v>
      </c>
      <c r="Q929" s="1">
        <v>6.0</v>
      </c>
    </row>
    <row r="930">
      <c r="A930" s="2">
        <f t="shared" si="1"/>
        <v>927</v>
      </c>
      <c r="B930" s="1" t="s">
        <v>2208</v>
      </c>
      <c r="C930" s="1" t="s">
        <v>1156</v>
      </c>
      <c r="D930" s="1" t="s">
        <v>31</v>
      </c>
      <c r="E930" s="15">
        <f t="shared" si="2"/>
        <v>8.75</v>
      </c>
      <c r="F930" s="15">
        <f t="shared" si="3"/>
        <v>1.09375</v>
      </c>
      <c r="G930" s="1">
        <v>8.0</v>
      </c>
      <c r="H930" s="1">
        <v>0.0</v>
      </c>
      <c r="I930" s="1">
        <v>0.0</v>
      </c>
      <c r="J930" s="1">
        <v>0.0</v>
      </c>
      <c r="K930" s="1">
        <v>4.0</v>
      </c>
      <c r="L930" s="1">
        <v>0.0</v>
      </c>
      <c r="M930" s="1">
        <v>0.0</v>
      </c>
      <c r="N930" s="1">
        <v>0.0</v>
      </c>
      <c r="O930" s="1">
        <v>0.0</v>
      </c>
      <c r="P930" s="1">
        <v>19.0</v>
      </c>
      <c r="Q930" s="1">
        <v>4.0</v>
      </c>
    </row>
    <row r="931">
      <c r="A931" s="2">
        <f t="shared" si="1"/>
        <v>929</v>
      </c>
      <c r="B931" s="1" t="s">
        <v>2209</v>
      </c>
      <c r="C931" s="1" t="s">
        <v>1065</v>
      </c>
      <c r="D931" s="1" t="s">
        <v>66</v>
      </c>
      <c r="E931" s="15">
        <f t="shared" si="2"/>
        <v>8.5</v>
      </c>
      <c r="F931" s="15">
        <f t="shared" si="3"/>
        <v>2.833333333</v>
      </c>
      <c r="G931" s="1">
        <v>3.0</v>
      </c>
      <c r="H931" s="1">
        <v>1.0</v>
      </c>
      <c r="I931" s="1">
        <v>0.0</v>
      </c>
      <c r="J931" s="1">
        <v>1.0</v>
      </c>
      <c r="K931" s="1">
        <v>4.0</v>
      </c>
      <c r="L931" s="1">
        <v>0.0</v>
      </c>
      <c r="M931" s="1">
        <v>0.0</v>
      </c>
      <c r="N931" s="1">
        <v>0.0</v>
      </c>
      <c r="O931" s="1">
        <v>0.0</v>
      </c>
      <c r="P931" s="1">
        <v>2.0</v>
      </c>
      <c r="Q931" s="1">
        <v>3.0</v>
      </c>
    </row>
    <row r="932">
      <c r="A932" s="2">
        <f t="shared" si="1"/>
        <v>930</v>
      </c>
      <c r="B932" s="1" t="s">
        <v>1765</v>
      </c>
      <c r="C932" s="1" t="s">
        <v>1069</v>
      </c>
      <c r="D932" s="1" t="s">
        <v>5</v>
      </c>
      <c r="E932" s="15">
        <f t="shared" si="2"/>
        <v>8.4</v>
      </c>
      <c r="F932" s="15">
        <f t="shared" si="3"/>
        <v>8.4</v>
      </c>
      <c r="G932" s="1">
        <v>1.0</v>
      </c>
      <c r="R932" s="1">
        <v>1.0</v>
      </c>
      <c r="S932" s="1">
        <v>1.0</v>
      </c>
      <c r="T932" s="1">
        <v>23.0</v>
      </c>
      <c r="U932" s="1">
        <v>0.0</v>
      </c>
    </row>
    <row r="933">
      <c r="A933" s="2">
        <f t="shared" si="1"/>
        <v>931</v>
      </c>
      <c r="B933" s="1" t="s">
        <v>1744</v>
      </c>
      <c r="C933" s="1" t="s">
        <v>1156</v>
      </c>
      <c r="D933" s="1" t="s">
        <v>66</v>
      </c>
      <c r="E933" s="15">
        <f t="shared" si="2"/>
        <v>8.25</v>
      </c>
      <c r="F933" s="15">
        <f t="shared" si="3"/>
        <v>2.0625</v>
      </c>
      <c r="G933" s="1">
        <v>4.0</v>
      </c>
      <c r="H933" s="1">
        <v>0.0</v>
      </c>
      <c r="I933" s="1">
        <v>0.0</v>
      </c>
      <c r="J933" s="1">
        <v>0.0</v>
      </c>
      <c r="K933" s="1">
        <v>5.0</v>
      </c>
      <c r="L933" s="1">
        <v>0.0</v>
      </c>
      <c r="M933" s="1">
        <v>0.0</v>
      </c>
      <c r="N933" s="1">
        <v>0.0</v>
      </c>
      <c r="O933" s="1">
        <v>0.0</v>
      </c>
      <c r="P933" s="1">
        <v>9.0</v>
      </c>
      <c r="Q933" s="1">
        <v>7.0</v>
      </c>
    </row>
    <row r="934">
      <c r="A934" s="2">
        <f t="shared" si="1"/>
        <v>931</v>
      </c>
      <c r="B934" s="1" t="s">
        <v>1542</v>
      </c>
      <c r="C934" s="1" t="s">
        <v>1078</v>
      </c>
      <c r="D934" s="1" t="s">
        <v>66</v>
      </c>
      <c r="E934" s="15">
        <f t="shared" si="2"/>
        <v>8.25</v>
      </c>
      <c r="F934" s="15">
        <f t="shared" si="3"/>
        <v>1.375</v>
      </c>
      <c r="G934" s="1">
        <v>6.0</v>
      </c>
      <c r="H934" s="1">
        <v>0.0</v>
      </c>
      <c r="I934" s="1">
        <v>1.0</v>
      </c>
      <c r="J934" s="1">
        <v>1.0</v>
      </c>
      <c r="K934" s="1">
        <v>6.0</v>
      </c>
      <c r="L934" s="1">
        <v>0.0</v>
      </c>
      <c r="M934" s="1">
        <v>0.0</v>
      </c>
      <c r="N934" s="1">
        <v>0.0</v>
      </c>
      <c r="O934" s="1">
        <v>0.0</v>
      </c>
      <c r="P934" s="1">
        <v>3.0</v>
      </c>
      <c r="Q934" s="1">
        <v>3.0</v>
      </c>
    </row>
    <row r="935">
      <c r="A935" s="2">
        <f t="shared" si="1"/>
        <v>933</v>
      </c>
      <c r="B935" s="1" t="s">
        <v>1824</v>
      </c>
      <c r="C935" s="1" t="s">
        <v>1044</v>
      </c>
      <c r="D935" s="1" t="s">
        <v>31</v>
      </c>
      <c r="E935" s="15">
        <f t="shared" si="2"/>
        <v>8</v>
      </c>
      <c r="F935" s="15">
        <f t="shared" si="3"/>
        <v>1.333333333</v>
      </c>
      <c r="G935" s="1">
        <v>6.0</v>
      </c>
      <c r="H935" s="1">
        <v>0.0</v>
      </c>
      <c r="I935" s="1">
        <v>0.0</v>
      </c>
      <c r="J935" s="1">
        <v>0.0</v>
      </c>
      <c r="K935" s="1">
        <v>8.0</v>
      </c>
      <c r="L935" s="1">
        <v>0.0</v>
      </c>
      <c r="M935" s="1">
        <v>0.0</v>
      </c>
      <c r="N935" s="1">
        <v>0.0</v>
      </c>
      <c r="O935" s="1">
        <v>0.0</v>
      </c>
      <c r="P935" s="1">
        <v>10.0</v>
      </c>
      <c r="Q935" s="1">
        <v>3.0</v>
      </c>
    </row>
    <row r="936">
      <c r="A936" s="2">
        <f t="shared" si="1"/>
        <v>933</v>
      </c>
      <c r="B936" s="1" t="s">
        <v>2210</v>
      </c>
      <c r="C936" s="1" t="s">
        <v>1030</v>
      </c>
      <c r="D936" s="1" t="s">
        <v>36</v>
      </c>
      <c r="E936" s="15">
        <f t="shared" si="2"/>
        <v>8</v>
      </c>
      <c r="F936" s="15">
        <f t="shared" si="3"/>
        <v>0.7272727273</v>
      </c>
      <c r="G936" s="1">
        <v>11.0</v>
      </c>
      <c r="H936" s="1">
        <v>0.0</v>
      </c>
      <c r="I936" s="1">
        <v>0.0</v>
      </c>
      <c r="J936" s="1">
        <v>0.0</v>
      </c>
      <c r="K936" s="1">
        <v>8.0</v>
      </c>
      <c r="L936" s="1">
        <v>0.0</v>
      </c>
      <c r="M936" s="1">
        <v>0.0</v>
      </c>
      <c r="N936" s="1">
        <v>0.0</v>
      </c>
      <c r="O936" s="1">
        <v>0.0</v>
      </c>
      <c r="P936" s="1">
        <v>10.0</v>
      </c>
      <c r="Q936" s="1">
        <v>3.0</v>
      </c>
    </row>
    <row r="937">
      <c r="A937" s="2">
        <f t="shared" si="1"/>
        <v>935</v>
      </c>
      <c r="B937" s="1" t="s">
        <v>2023</v>
      </c>
      <c r="C937" s="1" t="s">
        <v>1097</v>
      </c>
      <c r="D937" s="1" t="s">
        <v>28</v>
      </c>
      <c r="E937" s="15">
        <f t="shared" si="2"/>
        <v>7.75</v>
      </c>
      <c r="F937" s="15">
        <f t="shared" si="3"/>
        <v>7.75</v>
      </c>
      <c r="G937" s="1">
        <v>1.0</v>
      </c>
      <c r="H937" s="1">
        <v>1.0</v>
      </c>
      <c r="I937" s="1">
        <v>0.0</v>
      </c>
      <c r="J937" s="1">
        <v>1.0</v>
      </c>
      <c r="K937" s="1">
        <v>5.0</v>
      </c>
      <c r="L937" s="1">
        <v>0.0</v>
      </c>
      <c r="M937" s="1">
        <v>0.0</v>
      </c>
      <c r="N937" s="1">
        <v>0.0</v>
      </c>
      <c r="O937" s="1">
        <v>0.0</v>
      </c>
      <c r="P937" s="1">
        <v>3.0</v>
      </c>
      <c r="Q937" s="1">
        <v>0.0</v>
      </c>
    </row>
    <row r="938">
      <c r="A938" s="2">
        <f t="shared" si="1"/>
        <v>935</v>
      </c>
      <c r="B938" s="1" t="s">
        <v>1817</v>
      </c>
      <c r="C938" s="1" t="s">
        <v>1038</v>
      </c>
      <c r="D938" s="1" t="s">
        <v>31</v>
      </c>
      <c r="E938" s="15">
        <f t="shared" si="2"/>
        <v>7.75</v>
      </c>
      <c r="F938" s="15">
        <f t="shared" si="3"/>
        <v>2.583333333</v>
      </c>
      <c r="G938" s="1">
        <v>3.0</v>
      </c>
      <c r="H938" s="1">
        <v>1.0</v>
      </c>
      <c r="I938" s="1">
        <v>0.0</v>
      </c>
      <c r="J938" s="1">
        <v>1.0</v>
      </c>
      <c r="K938" s="1">
        <v>5.0</v>
      </c>
      <c r="L938" s="1">
        <v>0.0</v>
      </c>
      <c r="M938" s="1">
        <v>0.0</v>
      </c>
      <c r="N938" s="1">
        <v>0.0</v>
      </c>
      <c r="O938" s="1">
        <v>0.0</v>
      </c>
      <c r="P938" s="1">
        <v>3.0</v>
      </c>
      <c r="Q938" s="1">
        <v>0.0</v>
      </c>
    </row>
    <row r="939">
      <c r="A939" s="2">
        <f t="shared" si="1"/>
        <v>935</v>
      </c>
      <c r="B939" s="1" t="s">
        <v>1918</v>
      </c>
      <c r="C939" s="1" t="s">
        <v>1054</v>
      </c>
      <c r="D939" s="1" t="s">
        <v>28</v>
      </c>
      <c r="E939" s="15">
        <f t="shared" si="2"/>
        <v>7.75</v>
      </c>
      <c r="F939" s="15">
        <f t="shared" si="3"/>
        <v>0.8611111111</v>
      </c>
      <c r="G939" s="1">
        <v>9.0</v>
      </c>
      <c r="H939" s="1">
        <v>0.0</v>
      </c>
      <c r="I939" s="1">
        <v>0.0</v>
      </c>
      <c r="J939" s="1">
        <v>0.0</v>
      </c>
      <c r="K939" s="1">
        <v>12.0</v>
      </c>
      <c r="L939" s="1">
        <v>0.0</v>
      </c>
      <c r="M939" s="1">
        <v>0.0</v>
      </c>
      <c r="N939" s="1">
        <v>0.0</v>
      </c>
      <c r="O939" s="1">
        <v>0.0</v>
      </c>
      <c r="P939" s="1">
        <v>3.0</v>
      </c>
      <c r="Q939" s="1">
        <v>2.0</v>
      </c>
    </row>
    <row r="940">
      <c r="A940" s="2">
        <f t="shared" si="1"/>
        <v>938</v>
      </c>
      <c r="B940" s="1" t="s">
        <v>2035</v>
      </c>
      <c r="C940" s="1" t="s">
        <v>1156</v>
      </c>
      <c r="D940" s="1" t="s">
        <v>28</v>
      </c>
      <c r="E940" s="15">
        <f t="shared" si="2"/>
        <v>7.5</v>
      </c>
      <c r="F940" s="15">
        <f t="shared" si="3"/>
        <v>3.75</v>
      </c>
      <c r="G940" s="1">
        <v>2.0</v>
      </c>
      <c r="H940" s="1">
        <v>1.0</v>
      </c>
      <c r="I940" s="1">
        <v>0.0</v>
      </c>
      <c r="J940" s="1">
        <v>1.0</v>
      </c>
      <c r="K940" s="1">
        <v>5.0</v>
      </c>
      <c r="L940" s="1">
        <v>0.0</v>
      </c>
      <c r="M940" s="1">
        <v>0.0</v>
      </c>
      <c r="N940" s="1">
        <v>0.0</v>
      </c>
      <c r="O940" s="1">
        <v>0.0</v>
      </c>
      <c r="P940" s="1">
        <v>2.0</v>
      </c>
      <c r="Q940" s="1">
        <v>0.0</v>
      </c>
    </row>
    <row r="941">
      <c r="A941" s="2">
        <f t="shared" si="1"/>
        <v>938</v>
      </c>
      <c r="B941" s="1" t="s">
        <v>2211</v>
      </c>
      <c r="C941" s="1" t="s">
        <v>1570</v>
      </c>
      <c r="D941" s="1" t="s">
        <v>31</v>
      </c>
      <c r="E941" s="15">
        <f t="shared" si="2"/>
        <v>7.5</v>
      </c>
      <c r="F941" s="15">
        <f t="shared" si="3"/>
        <v>1.875</v>
      </c>
      <c r="G941" s="1">
        <v>4.0</v>
      </c>
      <c r="H941" s="1">
        <v>1.0</v>
      </c>
      <c r="I941" s="1">
        <v>0.0</v>
      </c>
      <c r="J941" s="1">
        <v>1.0</v>
      </c>
      <c r="K941" s="1">
        <v>1.0</v>
      </c>
      <c r="L941" s="1">
        <v>0.0</v>
      </c>
      <c r="M941" s="1">
        <v>0.0</v>
      </c>
      <c r="N941" s="1">
        <v>0.0</v>
      </c>
      <c r="O941" s="1">
        <v>0.0</v>
      </c>
      <c r="P941" s="1">
        <v>8.0</v>
      </c>
      <c r="Q941" s="1">
        <v>1.0</v>
      </c>
    </row>
    <row r="942">
      <c r="A942" s="2">
        <f t="shared" si="1"/>
        <v>938</v>
      </c>
      <c r="B942" s="1" t="s">
        <v>1993</v>
      </c>
      <c r="C942" s="1" t="s">
        <v>1030</v>
      </c>
      <c r="D942" s="1" t="s">
        <v>31</v>
      </c>
      <c r="E942" s="15">
        <f t="shared" si="2"/>
        <v>7.5</v>
      </c>
      <c r="F942" s="15">
        <f t="shared" si="3"/>
        <v>0.8333333333</v>
      </c>
      <c r="G942" s="1">
        <v>9.0</v>
      </c>
      <c r="H942" s="1">
        <v>0.0</v>
      </c>
      <c r="I942" s="1">
        <v>0.0</v>
      </c>
      <c r="J942" s="1">
        <v>0.0</v>
      </c>
      <c r="K942" s="1">
        <v>12.0</v>
      </c>
      <c r="L942" s="1">
        <v>0.0</v>
      </c>
      <c r="M942" s="1">
        <v>0.0</v>
      </c>
      <c r="N942" s="1">
        <v>0.0</v>
      </c>
      <c r="O942" s="1">
        <v>0.0</v>
      </c>
      <c r="P942" s="1">
        <v>2.0</v>
      </c>
      <c r="Q942" s="1">
        <v>2.0</v>
      </c>
    </row>
    <row r="943">
      <c r="A943" s="2">
        <f t="shared" si="1"/>
        <v>941</v>
      </c>
      <c r="B943" s="1" t="s">
        <v>2212</v>
      </c>
      <c r="C943" s="1" t="s">
        <v>1032</v>
      </c>
      <c r="D943" s="1" t="s">
        <v>31</v>
      </c>
      <c r="E943" s="15">
        <f t="shared" si="2"/>
        <v>7.25</v>
      </c>
      <c r="F943" s="15">
        <f t="shared" si="3"/>
        <v>3.625</v>
      </c>
      <c r="G943" s="1">
        <v>2.0</v>
      </c>
      <c r="H943" s="1">
        <v>0.0</v>
      </c>
      <c r="I943" s="1">
        <v>2.0</v>
      </c>
      <c r="J943" s="1">
        <v>2.0</v>
      </c>
      <c r="K943" s="1">
        <v>2.0</v>
      </c>
      <c r="L943" s="1">
        <v>0.0</v>
      </c>
      <c r="M943" s="1">
        <v>1.0</v>
      </c>
      <c r="N943" s="1">
        <v>0.0</v>
      </c>
      <c r="O943" s="1">
        <v>0.0</v>
      </c>
      <c r="P943" s="1">
        <v>1.0</v>
      </c>
      <c r="Q943" s="1">
        <v>0.0</v>
      </c>
    </row>
    <row r="944">
      <c r="A944" s="2">
        <f t="shared" si="1"/>
        <v>942</v>
      </c>
      <c r="B944" s="1" t="s">
        <v>2213</v>
      </c>
      <c r="C944" s="1" t="s">
        <v>1175</v>
      </c>
      <c r="D944" s="1" t="s">
        <v>5</v>
      </c>
      <c r="E944" s="15">
        <f t="shared" si="2"/>
        <v>7.2</v>
      </c>
      <c r="F944" s="15">
        <f t="shared" si="3"/>
        <v>3.6</v>
      </c>
      <c r="G944" s="1">
        <v>2.0</v>
      </c>
      <c r="R944" s="1">
        <v>1.0</v>
      </c>
      <c r="S944" s="1">
        <v>3.0</v>
      </c>
      <c r="T944" s="1">
        <v>29.0</v>
      </c>
      <c r="U944" s="1">
        <v>0.0</v>
      </c>
    </row>
    <row r="945">
      <c r="A945" s="2">
        <f t="shared" si="1"/>
        <v>943</v>
      </c>
      <c r="B945" s="1" t="s">
        <v>2012</v>
      </c>
      <c r="C945" s="1" t="s">
        <v>1038</v>
      </c>
      <c r="D945" s="1" t="s">
        <v>28</v>
      </c>
      <c r="E945" s="15">
        <f t="shared" si="2"/>
        <v>7</v>
      </c>
      <c r="F945" s="15">
        <f t="shared" si="3"/>
        <v>1.4</v>
      </c>
      <c r="G945" s="1">
        <v>5.0</v>
      </c>
      <c r="H945" s="1">
        <v>0.0</v>
      </c>
      <c r="I945" s="1">
        <v>1.0</v>
      </c>
      <c r="J945" s="1">
        <v>1.0</v>
      </c>
      <c r="K945" s="1">
        <v>2.0</v>
      </c>
      <c r="L945" s="1">
        <v>0.0</v>
      </c>
      <c r="M945" s="1">
        <v>0.0</v>
      </c>
      <c r="N945" s="1">
        <v>0.0</v>
      </c>
      <c r="O945" s="1">
        <v>0.0</v>
      </c>
      <c r="P945" s="1">
        <v>8.0</v>
      </c>
      <c r="Q945" s="1">
        <v>2.0</v>
      </c>
    </row>
    <row r="946">
      <c r="A946" s="2">
        <f t="shared" si="1"/>
        <v>943</v>
      </c>
      <c r="B946" s="1" t="s">
        <v>1847</v>
      </c>
      <c r="C946" s="1" t="s">
        <v>1036</v>
      </c>
      <c r="D946" s="1" t="s">
        <v>31</v>
      </c>
      <c r="E946" s="15">
        <f t="shared" si="2"/>
        <v>7</v>
      </c>
      <c r="F946" s="15">
        <f t="shared" si="3"/>
        <v>0.7</v>
      </c>
      <c r="G946" s="1">
        <v>10.0</v>
      </c>
      <c r="H946" s="1">
        <v>0.0</v>
      </c>
      <c r="I946" s="1">
        <v>0.0</v>
      </c>
      <c r="J946" s="1">
        <v>0.0</v>
      </c>
      <c r="K946" s="1">
        <v>12.0</v>
      </c>
      <c r="L946" s="1">
        <v>0.0</v>
      </c>
      <c r="M946" s="1">
        <v>0.0</v>
      </c>
      <c r="N946" s="1">
        <v>0.0</v>
      </c>
      <c r="O946" s="1">
        <v>0.0</v>
      </c>
      <c r="P946" s="1">
        <v>2.0</v>
      </c>
      <c r="Q946" s="1">
        <v>1.0</v>
      </c>
    </row>
    <row r="947">
      <c r="A947" s="2">
        <f t="shared" si="1"/>
        <v>945</v>
      </c>
      <c r="B947" s="1" t="s">
        <v>2214</v>
      </c>
      <c r="C947" s="1" t="s">
        <v>1044</v>
      </c>
      <c r="D947" s="1" t="s">
        <v>66</v>
      </c>
      <c r="E947" s="15">
        <f t="shared" si="2"/>
        <v>6.75</v>
      </c>
      <c r="F947" s="15">
        <f t="shared" si="3"/>
        <v>0.9642857143</v>
      </c>
      <c r="G947" s="1">
        <v>7.0</v>
      </c>
      <c r="H947" s="1">
        <v>0.0</v>
      </c>
      <c r="I947" s="1">
        <v>0.0</v>
      </c>
      <c r="J947" s="1">
        <v>0.0</v>
      </c>
      <c r="K947" s="1">
        <v>4.0</v>
      </c>
      <c r="L947" s="1">
        <v>0.0</v>
      </c>
      <c r="M947" s="1">
        <v>0.0</v>
      </c>
      <c r="N947" s="1">
        <v>0.0</v>
      </c>
      <c r="O947" s="1">
        <v>0.0</v>
      </c>
      <c r="P947" s="1">
        <v>7.0</v>
      </c>
      <c r="Q947" s="1">
        <v>6.0</v>
      </c>
    </row>
    <row r="948">
      <c r="A948" s="2">
        <f t="shared" si="1"/>
        <v>946</v>
      </c>
      <c r="B948" s="1" t="s">
        <v>2215</v>
      </c>
      <c r="C948" s="1" t="s">
        <v>1156</v>
      </c>
      <c r="D948" s="1" t="s">
        <v>5</v>
      </c>
      <c r="E948" s="15">
        <f t="shared" si="2"/>
        <v>6.6</v>
      </c>
      <c r="F948" s="15">
        <f t="shared" si="3"/>
        <v>2.2</v>
      </c>
      <c r="G948" s="1">
        <v>3.0</v>
      </c>
      <c r="R948" s="1">
        <v>1.0</v>
      </c>
      <c r="S948" s="1">
        <v>9.0</v>
      </c>
      <c r="T948" s="1">
        <v>57.0</v>
      </c>
      <c r="U948" s="1">
        <v>0.0</v>
      </c>
    </row>
    <row r="949">
      <c r="A949" s="2">
        <f t="shared" si="1"/>
        <v>947</v>
      </c>
      <c r="B949" s="1" t="s">
        <v>2216</v>
      </c>
      <c r="C949" s="1" t="s">
        <v>1175</v>
      </c>
      <c r="D949" s="1" t="s">
        <v>31</v>
      </c>
      <c r="E949" s="15">
        <f t="shared" si="2"/>
        <v>6.5</v>
      </c>
      <c r="F949" s="15">
        <f t="shared" si="3"/>
        <v>6.5</v>
      </c>
      <c r="G949" s="1">
        <v>1.0</v>
      </c>
      <c r="H949" s="1">
        <v>1.0</v>
      </c>
      <c r="I949" s="1">
        <v>0.0</v>
      </c>
      <c r="J949" s="1">
        <v>1.0</v>
      </c>
      <c r="K949" s="1">
        <v>2.0</v>
      </c>
      <c r="L949" s="1">
        <v>0.0</v>
      </c>
      <c r="M949" s="1">
        <v>0.0</v>
      </c>
      <c r="N949" s="1">
        <v>0.0</v>
      </c>
      <c r="O949" s="1">
        <v>0.0</v>
      </c>
      <c r="P949" s="1">
        <v>2.0</v>
      </c>
      <c r="Q949" s="1">
        <v>1.0</v>
      </c>
    </row>
    <row r="950">
      <c r="A950" s="2">
        <f t="shared" si="1"/>
        <v>947</v>
      </c>
      <c r="B950" s="1" t="s">
        <v>1991</v>
      </c>
      <c r="C950" s="1" t="s">
        <v>1082</v>
      </c>
      <c r="D950" s="1" t="s">
        <v>66</v>
      </c>
      <c r="E950" s="15">
        <f t="shared" si="2"/>
        <v>6.5</v>
      </c>
      <c r="F950" s="15">
        <f t="shared" si="3"/>
        <v>2.166666667</v>
      </c>
      <c r="G950" s="1">
        <v>3.0</v>
      </c>
      <c r="H950" s="1">
        <v>0.0</v>
      </c>
      <c r="I950" s="1">
        <v>1.0</v>
      </c>
      <c r="J950" s="1">
        <v>1.0</v>
      </c>
      <c r="K950" s="1">
        <v>3.0</v>
      </c>
      <c r="L950" s="1">
        <v>0.0</v>
      </c>
      <c r="M950" s="1">
        <v>0.0</v>
      </c>
      <c r="N950" s="1">
        <v>0.0</v>
      </c>
      <c r="O950" s="1">
        <v>0.0</v>
      </c>
      <c r="P950" s="1">
        <v>2.0</v>
      </c>
      <c r="Q950" s="1">
        <v>3.0</v>
      </c>
    </row>
    <row r="951">
      <c r="A951" s="2">
        <f t="shared" si="1"/>
        <v>947</v>
      </c>
      <c r="B951" s="1" t="s">
        <v>1313</v>
      </c>
      <c r="C951" s="1" t="s">
        <v>1032</v>
      </c>
      <c r="D951" s="1" t="s">
        <v>28</v>
      </c>
      <c r="E951" s="15">
        <f t="shared" si="2"/>
        <v>6.5</v>
      </c>
      <c r="F951" s="15">
        <f t="shared" si="3"/>
        <v>2.166666667</v>
      </c>
      <c r="G951" s="1">
        <v>3.0</v>
      </c>
      <c r="H951" s="1">
        <v>0.0</v>
      </c>
      <c r="I951" s="1">
        <v>1.0</v>
      </c>
      <c r="J951" s="1">
        <v>1.0</v>
      </c>
      <c r="K951" s="1">
        <v>4.0</v>
      </c>
      <c r="L951" s="1">
        <v>0.0</v>
      </c>
      <c r="M951" s="1">
        <v>0.0</v>
      </c>
      <c r="N951" s="1">
        <v>0.0</v>
      </c>
      <c r="O951" s="1">
        <v>0.0</v>
      </c>
      <c r="P951" s="1">
        <v>2.0</v>
      </c>
      <c r="Q951" s="1">
        <v>2.0</v>
      </c>
    </row>
    <row r="952">
      <c r="A952" s="2">
        <f t="shared" si="1"/>
        <v>947</v>
      </c>
      <c r="B952" s="1" t="s">
        <v>2217</v>
      </c>
      <c r="C952" s="1" t="s">
        <v>1030</v>
      </c>
      <c r="D952" s="1" t="s">
        <v>28</v>
      </c>
      <c r="E952" s="15">
        <f t="shared" si="2"/>
        <v>6.5</v>
      </c>
      <c r="F952" s="15">
        <f t="shared" si="3"/>
        <v>1.083333333</v>
      </c>
      <c r="G952" s="1">
        <v>6.0</v>
      </c>
      <c r="H952" s="1">
        <v>0.0</v>
      </c>
      <c r="I952" s="1">
        <v>0.0</v>
      </c>
      <c r="J952" s="1">
        <v>0.0</v>
      </c>
      <c r="K952" s="1">
        <v>5.0</v>
      </c>
      <c r="L952" s="1">
        <v>0.0</v>
      </c>
      <c r="M952" s="1">
        <v>0.0</v>
      </c>
      <c r="N952" s="1">
        <v>0.0</v>
      </c>
      <c r="O952" s="1">
        <v>0.0</v>
      </c>
      <c r="P952" s="1">
        <v>10.0</v>
      </c>
      <c r="Q952" s="1">
        <v>3.0</v>
      </c>
    </row>
    <row r="953">
      <c r="A953" s="2">
        <f t="shared" si="1"/>
        <v>951</v>
      </c>
      <c r="B953" s="1" t="s">
        <v>2218</v>
      </c>
      <c r="C953" s="1" t="s">
        <v>1087</v>
      </c>
      <c r="D953" s="1" t="s">
        <v>28</v>
      </c>
      <c r="E953" s="15">
        <f t="shared" si="2"/>
        <v>6.25</v>
      </c>
      <c r="F953" s="15">
        <f t="shared" si="3"/>
        <v>1.5625</v>
      </c>
      <c r="G953" s="1">
        <v>4.0</v>
      </c>
      <c r="H953" s="1">
        <v>0.0</v>
      </c>
      <c r="I953" s="1">
        <v>0.0</v>
      </c>
      <c r="J953" s="1">
        <v>0.0</v>
      </c>
      <c r="K953" s="1">
        <v>9.0</v>
      </c>
      <c r="L953" s="1">
        <v>0.0</v>
      </c>
      <c r="M953" s="1">
        <v>0.0</v>
      </c>
      <c r="N953" s="1">
        <v>0.0</v>
      </c>
      <c r="O953" s="1">
        <v>0.0</v>
      </c>
      <c r="P953" s="1">
        <v>3.0</v>
      </c>
      <c r="Q953" s="1">
        <v>2.0</v>
      </c>
    </row>
    <row r="954">
      <c r="A954" s="2">
        <f t="shared" si="1"/>
        <v>952</v>
      </c>
      <c r="B954" s="1" t="s">
        <v>2219</v>
      </c>
      <c r="C954" s="1" t="s">
        <v>1046</v>
      </c>
      <c r="D954" s="1" t="s">
        <v>66</v>
      </c>
      <c r="E954" s="15">
        <f t="shared" si="2"/>
        <v>6</v>
      </c>
      <c r="F954" s="15">
        <f t="shared" si="3"/>
        <v>2</v>
      </c>
      <c r="G954" s="1">
        <v>3.0</v>
      </c>
      <c r="H954" s="1">
        <v>0.0</v>
      </c>
      <c r="I954" s="1">
        <v>1.0</v>
      </c>
      <c r="J954" s="1">
        <v>1.0</v>
      </c>
      <c r="K954" s="1">
        <v>3.0</v>
      </c>
      <c r="L954" s="1">
        <v>0.0</v>
      </c>
      <c r="M954" s="1">
        <v>0.0</v>
      </c>
      <c r="N954" s="1">
        <v>0.0</v>
      </c>
      <c r="O954" s="1">
        <v>0.0</v>
      </c>
      <c r="P954" s="1">
        <v>2.0</v>
      </c>
      <c r="Q954" s="1">
        <v>2.0</v>
      </c>
    </row>
    <row r="955">
      <c r="A955" s="2">
        <f t="shared" si="1"/>
        <v>952</v>
      </c>
      <c r="B955" s="1" t="s">
        <v>2220</v>
      </c>
      <c r="C955" s="1" t="s">
        <v>1172</v>
      </c>
      <c r="D955" s="1" t="s">
        <v>66</v>
      </c>
      <c r="E955" s="15">
        <f t="shared" si="2"/>
        <v>6</v>
      </c>
      <c r="F955" s="15">
        <f t="shared" si="3"/>
        <v>1.5</v>
      </c>
      <c r="G955" s="1">
        <v>4.0</v>
      </c>
      <c r="H955" s="1">
        <v>0.0</v>
      </c>
      <c r="I955" s="1">
        <v>0.0</v>
      </c>
      <c r="J955" s="1">
        <v>0.0</v>
      </c>
      <c r="K955" s="1">
        <v>2.0</v>
      </c>
      <c r="L955" s="1">
        <v>0.0</v>
      </c>
      <c r="M955" s="1">
        <v>0.0</v>
      </c>
      <c r="N955" s="1">
        <v>0.0</v>
      </c>
      <c r="O955" s="1">
        <v>0.0</v>
      </c>
      <c r="P955" s="1">
        <v>4.0</v>
      </c>
      <c r="Q955" s="1">
        <v>8.0</v>
      </c>
      <c r="T955" s="12"/>
    </row>
    <row r="956">
      <c r="A956" s="2">
        <f t="shared" si="1"/>
        <v>952</v>
      </c>
      <c r="B956" s="1" t="s">
        <v>2025</v>
      </c>
      <c r="C956" s="1" t="s">
        <v>1065</v>
      </c>
      <c r="D956" s="1" t="s">
        <v>28</v>
      </c>
      <c r="E956" s="15">
        <f t="shared" si="2"/>
        <v>6</v>
      </c>
      <c r="F956" s="15">
        <f t="shared" si="3"/>
        <v>0.8571428571</v>
      </c>
      <c r="G956" s="1">
        <v>7.0</v>
      </c>
      <c r="H956" s="1">
        <v>0.0</v>
      </c>
      <c r="I956" s="1">
        <v>0.0</v>
      </c>
      <c r="J956" s="1">
        <v>0.0</v>
      </c>
      <c r="K956" s="1">
        <v>5.0</v>
      </c>
      <c r="L956" s="1">
        <v>0.0</v>
      </c>
      <c r="M956" s="1">
        <v>0.0</v>
      </c>
      <c r="N956" s="1">
        <v>0.0</v>
      </c>
      <c r="O956" s="1">
        <v>0.0</v>
      </c>
      <c r="P956" s="1">
        <v>8.0</v>
      </c>
      <c r="Q956" s="1">
        <v>3.0</v>
      </c>
    </row>
    <row r="957">
      <c r="A957" s="2">
        <f t="shared" si="1"/>
        <v>955</v>
      </c>
      <c r="B957" s="1" t="s">
        <v>1891</v>
      </c>
      <c r="C957" s="1" t="s">
        <v>1078</v>
      </c>
      <c r="D957" s="1" t="s">
        <v>66</v>
      </c>
      <c r="E957" s="15">
        <f t="shared" si="2"/>
        <v>5.75</v>
      </c>
      <c r="F957" s="15">
        <f t="shared" si="3"/>
        <v>2.875</v>
      </c>
      <c r="G957" s="1">
        <v>2.0</v>
      </c>
      <c r="H957" s="1">
        <v>0.0</v>
      </c>
      <c r="I957" s="1">
        <v>0.0</v>
      </c>
      <c r="J957" s="1">
        <v>0.0</v>
      </c>
      <c r="K957" s="1">
        <v>6.0</v>
      </c>
      <c r="L957" s="1">
        <v>0.0</v>
      </c>
      <c r="M957" s="1">
        <v>0.0</v>
      </c>
      <c r="N957" s="1">
        <v>0.0</v>
      </c>
      <c r="O957" s="1">
        <v>0.0</v>
      </c>
      <c r="P957" s="1">
        <v>3.0</v>
      </c>
      <c r="Q957" s="1">
        <v>4.0</v>
      </c>
    </row>
    <row r="958">
      <c r="A958" s="2">
        <f t="shared" si="1"/>
        <v>955</v>
      </c>
      <c r="B958" s="1" t="s">
        <v>2221</v>
      </c>
      <c r="C958" s="1" t="s">
        <v>1087</v>
      </c>
      <c r="D958" s="1" t="s">
        <v>31</v>
      </c>
      <c r="E958" s="15">
        <f t="shared" si="2"/>
        <v>5.75</v>
      </c>
      <c r="F958" s="15">
        <f t="shared" si="3"/>
        <v>1.916666667</v>
      </c>
      <c r="G958" s="1">
        <v>3.0</v>
      </c>
      <c r="H958" s="1">
        <v>0.0</v>
      </c>
      <c r="I958" s="1">
        <v>1.0</v>
      </c>
      <c r="J958" s="1">
        <v>1.0</v>
      </c>
      <c r="K958" s="1">
        <v>1.0</v>
      </c>
      <c r="L958" s="1">
        <v>0.0</v>
      </c>
      <c r="M958" s="1">
        <v>0.0</v>
      </c>
      <c r="N958" s="1">
        <v>0.0</v>
      </c>
      <c r="O958" s="1">
        <v>0.0</v>
      </c>
      <c r="P958" s="1">
        <v>7.0</v>
      </c>
      <c r="Q958" s="1">
        <v>1.0</v>
      </c>
    </row>
    <row r="959">
      <c r="A959" s="2">
        <f t="shared" si="1"/>
        <v>955</v>
      </c>
      <c r="B959" s="1" t="s">
        <v>2222</v>
      </c>
      <c r="C959" s="1" t="s">
        <v>1091</v>
      </c>
      <c r="D959" s="1" t="s">
        <v>31</v>
      </c>
      <c r="E959" s="15">
        <f t="shared" si="2"/>
        <v>5.75</v>
      </c>
      <c r="F959" s="15">
        <f t="shared" si="3"/>
        <v>1.4375</v>
      </c>
      <c r="G959" s="1">
        <v>4.0</v>
      </c>
      <c r="H959" s="1">
        <v>0.0</v>
      </c>
      <c r="I959" s="1">
        <v>0.0</v>
      </c>
      <c r="J959" s="1">
        <v>0.0</v>
      </c>
      <c r="K959" s="1">
        <v>3.0</v>
      </c>
      <c r="L959" s="1">
        <v>0.0</v>
      </c>
      <c r="M959" s="1">
        <v>0.0</v>
      </c>
      <c r="N959" s="1">
        <v>0.0</v>
      </c>
      <c r="O959" s="1">
        <v>0.0</v>
      </c>
      <c r="P959" s="1">
        <v>9.0</v>
      </c>
      <c r="Q959" s="1">
        <v>4.0</v>
      </c>
    </row>
    <row r="960">
      <c r="A960" s="2">
        <f t="shared" si="1"/>
        <v>955</v>
      </c>
      <c r="B960" s="1" t="s">
        <v>2223</v>
      </c>
      <c r="C960" s="1" t="s">
        <v>1067</v>
      </c>
      <c r="D960" s="1" t="s">
        <v>66</v>
      </c>
      <c r="E960" s="15">
        <f t="shared" si="2"/>
        <v>5.75</v>
      </c>
      <c r="F960" s="15">
        <f t="shared" si="3"/>
        <v>1.15</v>
      </c>
      <c r="G960" s="1">
        <v>5.0</v>
      </c>
      <c r="H960" s="1">
        <v>0.0</v>
      </c>
      <c r="I960" s="1">
        <v>0.0</v>
      </c>
      <c r="J960" s="1">
        <v>0.0</v>
      </c>
      <c r="K960" s="1">
        <v>5.0</v>
      </c>
      <c r="L960" s="1">
        <v>0.0</v>
      </c>
      <c r="M960" s="1">
        <v>0.0</v>
      </c>
      <c r="N960" s="1">
        <v>0.0</v>
      </c>
      <c r="O960" s="1">
        <v>0.0</v>
      </c>
      <c r="P960" s="1">
        <v>5.0</v>
      </c>
      <c r="Q960" s="1">
        <v>4.0</v>
      </c>
    </row>
    <row r="961">
      <c r="A961" s="2">
        <f t="shared" si="1"/>
        <v>959</v>
      </c>
      <c r="B961" s="1" t="s">
        <v>2224</v>
      </c>
      <c r="C961" s="1" t="s">
        <v>1032</v>
      </c>
      <c r="D961" s="1" t="s">
        <v>28</v>
      </c>
      <c r="E961" s="15">
        <f t="shared" si="2"/>
        <v>5.5</v>
      </c>
      <c r="F961" s="15">
        <f t="shared" si="3"/>
        <v>2.75</v>
      </c>
      <c r="G961" s="1">
        <v>2.0</v>
      </c>
      <c r="H961" s="1">
        <v>0.0</v>
      </c>
      <c r="I961" s="1">
        <v>1.0</v>
      </c>
      <c r="J961" s="1">
        <v>1.0</v>
      </c>
      <c r="K961" s="1">
        <v>2.0</v>
      </c>
      <c r="L961" s="1">
        <v>0.0</v>
      </c>
      <c r="M961" s="1">
        <v>0.0</v>
      </c>
      <c r="N961" s="1">
        <v>0.0</v>
      </c>
      <c r="O961" s="1">
        <v>0.0</v>
      </c>
      <c r="P961" s="1">
        <v>6.0</v>
      </c>
      <c r="Q961" s="1">
        <v>0.0</v>
      </c>
      <c r="T961" s="12"/>
    </row>
    <row r="962">
      <c r="A962" s="2">
        <f t="shared" si="1"/>
        <v>959</v>
      </c>
      <c r="B962" s="1" t="s">
        <v>2050</v>
      </c>
      <c r="C962" s="1" t="s">
        <v>1146</v>
      </c>
      <c r="D962" s="1" t="s">
        <v>66</v>
      </c>
      <c r="E962" s="15">
        <f t="shared" si="2"/>
        <v>5.5</v>
      </c>
      <c r="F962" s="15">
        <f t="shared" si="3"/>
        <v>1.833333333</v>
      </c>
      <c r="G962" s="1">
        <v>3.0</v>
      </c>
      <c r="H962" s="1">
        <v>0.0</v>
      </c>
      <c r="I962" s="1">
        <v>0.0</v>
      </c>
      <c r="J962" s="1">
        <v>0.0</v>
      </c>
      <c r="K962" s="1">
        <v>6.0</v>
      </c>
      <c r="L962" s="1">
        <v>0.0</v>
      </c>
      <c r="M962" s="1">
        <v>0.0</v>
      </c>
      <c r="N962" s="1">
        <v>0.0</v>
      </c>
      <c r="O962" s="1">
        <v>0.0</v>
      </c>
      <c r="P962" s="1">
        <v>2.0</v>
      </c>
      <c r="Q962" s="1">
        <v>4.0</v>
      </c>
    </row>
    <row r="963">
      <c r="A963" s="2">
        <f t="shared" si="1"/>
        <v>959</v>
      </c>
      <c r="B963" s="1" t="s">
        <v>2225</v>
      </c>
      <c r="C963" s="1" t="s">
        <v>1106</v>
      </c>
      <c r="D963" s="1" t="s">
        <v>31</v>
      </c>
      <c r="E963" s="15">
        <f t="shared" si="2"/>
        <v>5.5</v>
      </c>
      <c r="F963" s="15">
        <f t="shared" si="3"/>
        <v>1.375</v>
      </c>
      <c r="G963" s="1">
        <v>4.0</v>
      </c>
      <c r="H963" s="1">
        <v>0.0</v>
      </c>
      <c r="I963" s="1">
        <v>1.0</v>
      </c>
      <c r="J963" s="1">
        <v>1.0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10.0</v>
      </c>
      <c r="Q963" s="1">
        <v>0.0</v>
      </c>
    </row>
    <row r="964">
      <c r="A964" s="2">
        <f t="shared" si="1"/>
        <v>959</v>
      </c>
      <c r="B964" s="1" t="s">
        <v>2226</v>
      </c>
      <c r="C964" s="1" t="s">
        <v>1042</v>
      </c>
      <c r="D964" s="1" t="s">
        <v>66</v>
      </c>
      <c r="E964" s="15">
        <f t="shared" si="2"/>
        <v>5.5</v>
      </c>
      <c r="F964" s="15">
        <f t="shared" si="3"/>
        <v>0.9166666667</v>
      </c>
      <c r="G964" s="1">
        <v>6.0</v>
      </c>
      <c r="H964" s="1">
        <v>0.0</v>
      </c>
      <c r="I964" s="1">
        <v>0.0</v>
      </c>
      <c r="J964" s="1">
        <v>0.0</v>
      </c>
      <c r="K964" s="1">
        <v>3.0</v>
      </c>
      <c r="L964" s="1">
        <v>0.0</v>
      </c>
      <c r="M964" s="1">
        <v>0.0</v>
      </c>
      <c r="N964" s="1">
        <v>0.0</v>
      </c>
      <c r="O964" s="1">
        <v>0.0</v>
      </c>
      <c r="P964" s="1">
        <v>4.0</v>
      </c>
      <c r="Q964" s="1">
        <v>6.0</v>
      </c>
    </row>
    <row r="965">
      <c r="A965" s="2">
        <f t="shared" si="1"/>
        <v>963</v>
      </c>
      <c r="B965" s="1" t="s">
        <v>1544</v>
      </c>
      <c r="C965" s="1" t="s">
        <v>1065</v>
      </c>
      <c r="D965" s="1" t="s">
        <v>66</v>
      </c>
      <c r="E965" s="15">
        <f t="shared" si="2"/>
        <v>5.25</v>
      </c>
      <c r="F965" s="15">
        <f t="shared" si="3"/>
        <v>2.625</v>
      </c>
      <c r="G965" s="1">
        <v>2.0</v>
      </c>
      <c r="H965" s="1">
        <v>0.0</v>
      </c>
      <c r="I965" s="1">
        <v>0.0</v>
      </c>
      <c r="J965" s="1">
        <v>0.0</v>
      </c>
      <c r="K965" s="1">
        <v>1.0</v>
      </c>
      <c r="L965" s="1">
        <v>0.0</v>
      </c>
      <c r="M965" s="1">
        <v>0.0</v>
      </c>
      <c r="N965" s="1">
        <v>0.0</v>
      </c>
      <c r="O965" s="1">
        <v>0.0</v>
      </c>
      <c r="P965" s="1">
        <v>1.0</v>
      </c>
      <c r="Q965" s="1">
        <v>9.0</v>
      </c>
    </row>
    <row r="966">
      <c r="A966" s="2">
        <f t="shared" si="1"/>
        <v>963</v>
      </c>
      <c r="B966" s="1" t="s">
        <v>2227</v>
      </c>
      <c r="C966" s="1" t="s">
        <v>1156</v>
      </c>
      <c r="D966" s="1" t="s">
        <v>66</v>
      </c>
      <c r="E966" s="15">
        <f t="shared" si="2"/>
        <v>5.25</v>
      </c>
      <c r="F966" s="15">
        <f t="shared" si="3"/>
        <v>2.625</v>
      </c>
      <c r="G966" s="1">
        <v>2.0</v>
      </c>
      <c r="H966" s="1">
        <v>0.0</v>
      </c>
      <c r="I966" s="1">
        <v>1.0</v>
      </c>
      <c r="J966" s="1">
        <v>1.0</v>
      </c>
      <c r="K966" s="1">
        <v>3.0</v>
      </c>
      <c r="L966" s="1">
        <v>0.0</v>
      </c>
      <c r="M966" s="1">
        <v>1.0</v>
      </c>
      <c r="N966" s="1">
        <v>0.0</v>
      </c>
      <c r="O966" s="1">
        <v>0.0</v>
      </c>
      <c r="P966" s="1">
        <v>1.0</v>
      </c>
      <c r="Q966" s="1">
        <v>1.0</v>
      </c>
    </row>
    <row r="967">
      <c r="A967" s="2">
        <f t="shared" si="1"/>
        <v>963</v>
      </c>
      <c r="B967" s="1" t="s">
        <v>2010</v>
      </c>
      <c r="C967" s="1" t="s">
        <v>1052</v>
      </c>
      <c r="D967" s="1" t="s">
        <v>36</v>
      </c>
      <c r="E967" s="15">
        <f t="shared" si="2"/>
        <v>5.25</v>
      </c>
      <c r="F967" s="15">
        <f t="shared" si="3"/>
        <v>1.75</v>
      </c>
      <c r="G967" s="1">
        <v>3.0</v>
      </c>
      <c r="H967" s="1">
        <v>0.0</v>
      </c>
      <c r="I967" s="1">
        <v>1.0</v>
      </c>
      <c r="J967" s="1">
        <v>1.0</v>
      </c>
      <c r="K967" s="1">
        <v>2.0</v>
      </c>
      <c r="L967" s="1">
        <v>0.0</v>
      </c>
      <c r="M967" s="1">
        <v>1.0</v>
      </c>
      <c r="N967" s="1">
        <v>0.0</v>
      </c>
      <c r="O967" s="1">
        <v>0.0</v>
      </c>
      <c r="P967" s="1">
        <v>3.0</v>
      </c>
      <c r="Q967" s="1">
        <v>1.0</v>
      </c>
      <c r="T967" s="12"/>
    </row>
    <row r="968">
      <c r="A968" s="2">
        <f t="shared" si="1"/>
        <v>963</v>
      </c>
      <c r="B968" s="1" t="s">
        <v>2228</v>
      </c>
      <c r="C968" s="1" t="s">
        <v>1052</v>
      </c>
      <c r="D968" s="1" t="s">
        <v>66</v>
      </c>
      <c r="E968" s="15">
        <f t="shared" si="2"/>
        <v>5.25</v>
      </c>
      <c r="F968" s="15">
        <f t="shared" si="3"/>
        <v>1.3125</v>
      </c>
      <c r="G968" s="1">
        <v>4.0</v>
      </c>
      <c r="H968" s="1">
        <v>0.0</v>
      </c>
      <c r="I968" s="1">
        <v>0.0</v>
      </c>
      <c r="J968" s="1">
        <v>0.0</v>
      </c>
      <c r="K968" s="1">
        <v>5.0</v>
      </c>
      <c r="L968" s="1">
        <v>0.0</v>
      </c>
      <c r="M968" s="1">
        <v>0.0</v>
      </c>
      <c r="N968" s="1">
        <v>0.0</v>
      </c>
      <c r="O968" s="1">
        <v>0.0</v>
      </c>
      <c r="P968" s="1">
        <v>3.0</v>
      </c>
      <c r="Q968" s="1">
        <v>4.0</v>
      </c>
    </row>
    <row r="969">
      <c r="A969" s="2">
        <f t="shared" si="1"/>
        <v>967</v>
      </c>
      <c r="B969" s="1" t="s">
        <v>2229</v>
      </c>
      <c r="C969" s="1" t="s">
        <v>1038</v>
      </c>
      <c r="D969" s="1" t="s">
        <v>66</v>
      </c>
      <c r="E969" s="15">
        <f t="shared" si="2"/>
        <v>5</v>
      </c>
      <c r="F969" s="15">
        <f t="shared" si="3"/>
        <v>5</v>
      </c>
      <c r="G969" s="1">
        <v>1.0</v>
      </c>
      <c r="H969" s="1">
        <v>0.0</v>
      </c>
      <c r="I969" s="1">
        <v>1.0</v>
      </c>
      <c r="J969" s="1">
        <v>1.0</v>
      </c>
      <c r="K969" s="1">
        <v>2.0</v>
      </c>
      <c r="L969" s="1">
        <v>0.0</v>
      </c>
      <c r="M969" s="1">
        <v>0.0</v>
      </c>
      <c r="N969" s="1">
        <v>0.0</v>
      </c>
      <c r="O969" s="1">
        <v>0.0</v>
      </c>
      <c r="P969" s="1">
        <v>4.0</v>
      </c>
      <c r="Q969" s="1">
        <v>0.0</v>
      </c>
    </row>
    <row r="970">
      <c r="A970" s="2">
        <f t="shared" si="1"/>
        <v>967</v>
      </c>
      <c r="B970" s="1" t="s">
        <v>1871</v>
      </c>
      <c r="C970" s="1" t="s">
        <v>1156</v>
      </c>
      <c r="D970" s="1" t="s">
        <v>28</v>
      </c>
      <c r="E970" s="15">
        <f t="shared" si="2"/>
        <v>5</v>
      </c>
      <c r="F970" s="15">
        <f t="shared" si="3"/>
        <v>2.5</v>
      </c>
      <c r="G970" s="1">
        <v>2.0</v>
      </c>
      <c r="H970" s="1">
        <v>0.0</v>
      </c>
      <c r="I970" s="1">
        <v>1.0</v>
      </c>
      <c r="J970" s="1">
        <v>1.0</v>
      </c>
      <c r="K970" s="1">
        <v>2.0</v>
      </c>
      <c r="L970" s="1">
        <v>0.0</v>
      </c>
      <c r="M970" s="1">
        <v>1.0</v>
      </c>
      <c r="N970" s="1">
        <v>0.0</v>
      </c>
      <c r="O970" s="1">
        <v>0.0</v>
      </c>
      <c r="P970" s="1">
        <v>0.0</v>
      </c>
      <c r="Q970" s="1">
        <v>2.0</v>
      </c>
    </row>
    <row r="971">
      <c r="A971" s="2">
        <f t="shared" si="1"/>
        <v>967</v>
      </c>
      <c r="B971" s="1" t="s">
        <v>1212</v>
      </c>
      <c r="C971" s="1" t="s">
        <v>1054</v>
      </c>
      <c r="D971" s="1" t="s">
        <v>66</v>
      </c>
      <c r="E971" s="15">
        <f t="shared" si="2"/>
        <v>5</v>
      </c>
      <c r="F971" s="15">
        <f t="shared" si="3"/>
        <v>2.5</v>
      </c>
      <c r="G971" s="1">
        <v>2.0</v>
      </c>
      <c r="H971" s="1">
        <v>0.0</v>
      </c>
      <c r="I971" s="1">
        <v>0.0</v>
      </c>
      <c r="J971" s="1">
        <v>0.0</v>
      </c>
      <c r="K971" s="1">
        <v>1.0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9.0</v>
      </c>
      <c r="T971" s="12"/>
    </row>
    <row r="972">
      <c r="A972" s="2">
        <f t="shared" si="1"/>
        <v>970</v>
      </c>
      <c r="B972" s="1" t="s">
        <v>1705</v>
      </c>
      <c r="C972" s="1" t="s">
        <v>1030</v>
      </c>
      <c r="D972" s="1" t="s">
        <v>5</v>
      </c>
      <c r="E972" s="15">
        <f t="shared" si="2"/>
        <v>4.8</v>
      </c>
      <c r="F972" s="15">
        <f t="shared" si="3"/>
        <v>2.4</v>
      </c>
      <c r="G972" s="1">
        <v>2.0</v>
      </c>
      <c r="R972" s="1">
        <v>1.0</v>
      </c>
      <c r="S972" s="1">
        <v>7.0</v>
      </c>
      <c r="T972" s="1">
        <v>41.0</v>
      </c>
      <c r="U972" s="1">
        <v>0.0</v>
      </c>
    </row>
    <row r="973">
      <c r="A973" s="2">
        <f t="shared" si="1"/>
        <v>971</v>
      </c>
      <c r="B973" s="1" t="s">
        <v>2004</v>
      </c>
      <c r="C973" s="1" t="s">
        <v>1175</v>
      </c>
      <c r="D973" s="1" t="s">
        <v>28</v>
      </c>
      <c r="E973" s="15">
        <f t="shared" si="2"/>
        <v>4.75</v>
      </c>
      <c r="F973" s="15">
        <f t="shared" si="3"/>
        <v>1.583333333</v>
      </c>
      <c r="G973" s="1">
        <v>3.0</v>
      </c>
      <c r="H973" s="1">
        <v>0.0</v>
      </c>
      <c r="I973" s="1">
        <v>0.0</v>
      </c>
      <c r="J973" s="1">
        <v>0.0</v>
      </c>
      <c r="K973" s="1">
        <v>1.0</v>
      </c>
      <c r="L973" s="1">
        <v>0.0</v>
      </c>
      <c r="M973" s="1">
        <v>0.0</v>
      </c>
      <c r="N973" s="1">
        <v>0.0</v>
      </c>
      <c r="O973" s="1">
        <v>0.0</v>
      </c>
      <c r="P973" s="1">
        <v>13.0</v>
      </c>
      <c r="Q973" s="1">
        <v>2.0</v>
      </c>
    </row>
    <row r="974">
      <c r="A974" s="2">
        <f t="shared" si="1"/>
        <v>972</v>
      </c>
      <c r="B974" s="1" t="s">
        <v>2230</v>
      </c>
      <c r="C974" s="1" t="s">
        <v>1097</v>
      </c>
      <c r="D974" s="1" t="s">
        <v>28</v>
      </c>
      <c r="E974" s="15">
        <f t="shared" si="2"/>
        <v>4.5</v>
      </c>
      <c r="F974" s="15">
        <f t="shared" si="3"/>
        <v>2.25</v>
      </c>
      <c r="G974" s="1">
        <v>2.0</v>
      </c>
      <c r="H974" s="1">
        <v>0.0</v>
      </c>
      <c r="I974" s="1">
        <v>1.0</v>
      </c>
      <c r="J974" s="1">
        <v>1.0</v>
      </c>
      <c r="K974" s="1">
        <v>1.0</v>
      </c>
      <c r="L974" s="1">
        <v>0.0</v>
      </c>
      <c r="M974" s="1">
        <v>0.0</v>
      </c>
      <c r="N974" s="1">
        <v>0.0</v>
      </c>
      <c r="O974" s="1">
        <v>0.0</v>
      </c>
      <c r="P974" s="1">
        <v>2.0</v>
      </c>
      <c r="Q974" s="1">
        <v>1.0</v>
      </c>
    </row>
    <row r="975">
      <c r="A975" s="2">
        <f t="shared" si="1"/>
        <v>972</v>
      </c>
      <c r="B975" s="1" t="s">
        <v>1774</v>
      </c>
      <c r="C975" s="1" t="s">
        <v>1069</v>
      </c>
      <c r="D975" s="1" t="s">
        <v>66</v>
      </c>
      <c r="E975" s="15">
        <f t="shared" si="2"/>
        <v>4.5</v>
      </c>
      <c r="F975" s="15">
        <f t="shared" si="3"/>
        <v>1.125</v>
      </c>
      <c r="G975" s="1">
        <v>4.0</v>
      </c>
      <c r="H975" s="1">
        <v>0.0</v>
      </c>
      <c r="I975" s="1">
        <v>0.0</v>
      </c>
      <c r="J975" s="1">
        <v>0.0</v>
      </c>
      <c r="K975" s="1">
        <v>4.0</v>
      </c>
      <c r="L975" s="1">
        <v>0.0</v>
      </c>
      <c r="M975" s="1">
        <v>0.0</v>
      </c>
      <c r="N975" s="1">
        <v>0.0</v>
      </c>
      <c r="O975" s="1">
        <v>0.0</v>
      </c>
      <c r="P975" s="1">
        <v>2.0</v>
      </c>
      <c r="Q975" s="1">
        <v>4.0</v>
      </c>
    </row>
    <row r="976">
      <c r="A976" s="2">
        <f t="shared" si="1"/>
        <v>972</v>
      </c>
      <c r="B976" s="1" t="s">
        <v>2231</v>
      </c>
      <c r="C976" s="1" t="s">
        <v>1175</v>
      </c>
      <c r="D976" s="1" t="s">
        <v>28</v>
      </c>
      <c r="E976" s="15">
        <f t="shared" si="2"/>
        <v>4.5</v>
      </c>
      <c r="F976" s="15">
        <f t="shared" si="3"/>
        <v>1.125</v>
      </c>
      <c r="G976" s="1">
        <v>4.0</v>
      </c>
      <c r="H976" s="1">
        <v>0.0</v>
      </c>
      <c r="I976" s="1">
        <v>0.0</v>
      </c>
      <c r="J976" s="1">
        <v>0.0</v>
      </c>
      <c r="K976" s="1">
        <v>4.0</v>
      </c>
      <c r="L976" s="1">
        <v>0.0</v>
      </c>
      <c r="M976" s="1">
        <v>0.0</v>
      </c>
      <c r="N976" s="1">
        <v>0.0</v>
      </c>
      <c r="O976" s="1">
        <v>0.0</v>
      </c>
      <c r="P976" s="1">
        <v>6.0</v>
      </c>
      <c r="Q976" s="1">
        <v>2.0</v>
      </c>
    </row>
    <row r="977">
      <c r="A977" s="2">
        <f t="shared" si="1"/>
        <v>975</v>
      </c>
      <c r="B977" s="1" t="s">
        <v>1882</v>
      </c>
      <c r="C977" s="1" t="s">
        <v>1091</v>
      </c>
      <c r="D977" s="1" t="s">
        <v>66</v>
      </c>
      <c r="E977" s="15">
        <f t="shared" si="2"/>
        <v>4.25</v>
      </c>
      <c r="F977" s="15">
        <f t="shared" si="3"/>
        <v>2.125</v>
      </c>
      <c r="G977" s="1">
        <v>2.0</v>
      </c>
      <c r="H977" s="1">
        <v>0.0</v>
      </c>
      <c r="I977" s="1">
        <v>0.0</v>
      </c>
      <c r="J977" s="1">
        <v>0.0</v>
      </c>
      <c r="K977" s="1">
        <v>5.0</v>
      </c>
      <c r="L977" s="1">
        <v>0.0</v>
      </c>
      <c r="M977" s="1">
        <v>0.0</v>
      </c>
      <c r="N977" s="1">
        <v>0.0</v>
      </c>
      <c r="O977" s="1">
        <v>0.0</v>
      </c>
      <c r="P977" s="1">
        <v>3.0</v>
      </c>
      <c r="Q977" s="1">
        <v>2.0</v>
      </c>
    </row>
    <row r="978">
      <c r="A978" s="2">
        <f t="shared" si="1"/>
        <v>975</v>
      </c>
      <c r="B978" s="1" t="s">
        <v>1968</v>
      </c>
      <c r="C978" s="1" t="s">
        <v>1111</v>
      </c>
      <c r="D978" s="1" t="s">
        <v>28</v>
      </c>
      <c r="E978" s="15">
        <f t="shared" si="2"/>
        <v>4.25</v>
      </c>
      <c r="F978" s="15">
        <f t="shared" si="3"/>
        <v>0.85</v>
      </c>
      <c r="G978" s="1">
        <v>5.0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13.0</v>
      </c>
      <c r="Q978" s="1">
        <v>2.0</v>
      </c>
    </row>
    <row r="979">
      <c r="A979" s="2">
        <f t="shared" si="1"/>
        <v>977</v>
      </c>
      <c r="B979" s="1" t="s">
        <v>1938</v>
      </c>
      <c r="C979" s="1" t="s">
        <v>1085</v>
      </c>
      <c r="D979" s="1" t="s">
        <v>5</v>
      </c>
      <c r="E979" s="15">
        <f t="shared" si="2"/>
        <v>4.2</v>
      </c>
      <c r="F979" s="15">
        <f t="shared" si="3"/>
        <v>1.4</v>
      </c>
      <c r="G979" s="1">
        <v>3.0</v>
      </c>
      <c r="R979" s="1">
        <v>1.0</v>
      </c>
      <c r="S979" s="1">
        <v>10.0</v>
      </c>
      <c r="T979" s="1">
        <v>54.0</v>
      </c>
      <c r="U979" s="1">
        <v>0.0</v>
      </c>
    </row>
    <row r="980">
      <c r="A980" s="2">
        <f t="shared" si="1"/>
        <v>978</v>
      </c>
      <c r="B980" s="1" t="s">
        <v>2232</v>
      </c>
      <c r="C980" s="1" t="s">
        <v>1054</v>
      </c>
      <c r="D980" s="1" t="s">
        <v>31</v>
      </c>
      <c r="E980" s="15">
        <f t="shared" si="2"/>
        <v>4</v>
      </c>
      <c r="F980" s="15">
        <f t="shared" si="3"/>
        <v>4</v>
      </c>
      <c r="G980" s="1">
        <v>1.0</v>
      </c>
      <c r="H980" s="1">
        <v>0.0</v>
      </c>
      <c r="I980" s="1">
        <v>1.0</v>
      </c>
      <c r="J980" s="1">
        <v>1.0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2.0</v>
      </c>
      <c r="Q980" s="1">
        <v>1.0</v>
      </c>
    </row>
    <row r="981">
      <c r="A981" s="2">
        <f t="shared" si="1"/>
        <v>978</v>
      </c>
      <c r="B981" s="1" t="s">
        <v>2233</v>
      </c>
      <c r="C981" s="1" t="s">
        <v>1156</v>
      </c>
      <c r="D981" s="1" t="s">
        <v>31</v>
      </c>
      <c r="E981" s="15">
        <f t="shared" si="2"/>
        <v>4</v>
      </c>
      <c r="F981" s="15">
        <f t="shared" si="3"/>
        <v>2</v>
      </c>
      <c r="G981" s="1">
        <v>2.0</v>
      </c>
      <c r="H981" s="1">
        <v>0.0</v>
      </c>
      <c r="I981" s="1">
        <v>1.0</v>
      </c>
      <c r="J981" s="1">
        <v>1.0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4.0</v>
      </c>
      <c r="Q981" s="1">
        <v>0.0</v>
      </c>
    </row>
    <row r="982">
      <c r="A982" s="2">
        <f t="shared" si="1"/>
        <v>978</v>
      </c>
      <c r="B982" s="1" t="s">
        <v>2234</v>
      </c>
      <c r="C982" s="1" t="s">
        <v>1116</v>
      </c>
      <c r="D982" s="1" t="s">
        <v>31</v>
      </c>
      <c r="E982" s="15">
        <f t="shared" si="2"/>
        <v>4</v>
      </c>
      <c r="F982" s="15">
        <f t="shared" si="3"/>
        <v>2</v>
      </c>
      <c r="G982" s="1">
        <v>2.0</v>
      </c>
      <c r="H982" s="1">
        <v>0.0</v>
      </c>
      <c r="I982" s="1">
        <v>1.0</v>
      </c>
      <c r="J982" s="1">
        <v>1.0</v>
      </c>
      <c r="K982" s="1">
        <v>1.0</v>
      </c>
      <c r="L982" s="1">
        <v>0.0</v>
      </c>
      <c r="M982" s="1">
        <v>0.0</v>
      </c>
      <c r="N982" s="1">
        <v>0.0</v>
      </c>
      <c r="O982" s="1">
        <v>0.0</v>
      </c>
      <c r="P982" s="1">
        <v>2.0</v>
      </c>
      <c r="Q982" s="1">
        <v>0.0</v>
      </c>
    </row>
    <row r="983">
      <c r="A983" s="2">
        <f t="shared" si="1"/>
        <v>978</v>
      </c>
      <c r="B983" s="1" t="s">
        <v>2235</v>
      </c>
      <c r="C983" s="1" t="s">
        <v>1570</v>
      </c>
      <c r="D983" s="1" t="s">
        <v>28</v>
      </c>
      <c r="E983" s="15">
        <f t="shared" si="2"/>
        <v>4</v>
      </c>
      <c r="F983" s="15">
        <f t="shared" si="3"/>
        <v>1.333333333</v>
      </c>
      <c r="G983" s="1">
        <v>3.0</v>
      </c>
      <c r="H983" s="1">
        <v>0.0</v>
      </c>
      <c r="I983" s="1">
        <v>0.0</v>
      </c>
      <c r="J983" s="1">
        <v>0.0</v>
      </c>
      <c r="K983" s="1">
        <v>4.0</v>
      </c>
      <c r="L983" s="1">
        <v>0.0</v>
      </c>
      <c r="M983" s="1">
        <v>0.0</v>
      </c>
      <c r="N983" s="1">
        <v>0.0</v>
      </c>
      <c r="O983" s="1">
        <v>0.0</v>
      </c>
      <c r="P983" s="1">
        <v>8.0</v>
      </c>
      <c r="Q983" s="1">
        <v>0.0</v>
      </c>
    </row>
    <row r="984">
      <c r="A984" s="2">
        <f t="shared" si="1"/>
        <v>978</v>
      </c>
      <c r="B984" s="1" t="s">
        <v>2236</v>
      </c>
      <c r="C984" s="1" t="s">
        <v>1097</v>
      </c>
      <c r="D984" s="1" t="s">
        <v>66</v>
      </c>
      <c r="E984" s="15">
        <f t="shared" si="2"/>
        <v>4</v>
      </c>
      <c r="F984" s="15">
        <f t="shared" si="3"/>
        <v>1.333333333</v>
      </c>
      <c r="G984" s="1">
        <v>3.0</v>
      </c>
      <c r="H984" s="1">
        <v>0.0</v>
      </c>
      <c r="I984" s="1">
        <v>0.0</v>
      </c>
      <c r="J984" s="1">
        <v>0.0</v>
      </c>
      <c r="K984" s="1">
        <v>6.0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2.0</v>
      </c>
    </row>
    <row r="985">
      <c r="A985" s="2">
        <f t="shared" si="1"/>
        <v>978</v>
      </c>
      <c r="B985" s="1" t="s">
        <v>2237</v>
      </c>
      <c r="C985" s="1" t="s">
        <v>1172</v>
      </c>
      <c r="D985" s="1" t="s">
        <v>31</v>
      </c>
      <c r="E985" s="15">
        <f t="shared" si="2"/>
        <v>4</v>
      </c>
      <c r="F985" s="15">
        <f t="shared" si="3"/>
        <v>1.333333333</v>
      </c>
      <c r="G985" s="1">
        <v>3.0</v>
      </c>
      <c r="H985" s="1">
        <v>0.0</v>
      </c>
      <c r="I985" s="1">
        <v>1.0</v>
      </c>
      <c r="J985" s="1">
        <v>1.0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4.0</v>
      </c>
      <c r="Q985" s="1">
        <v>0.0</v>
      </c>
      <c r="T985" s="12"/>
    </row>
    <row r="986">
      <c r="A986" s="2">
        <f t="shared" si="1"/>
        <v>978</v>
      </c>
      <c r="B986" s="1" t="s">
        <v>2039</v>
      </c>
      <c r="C986" s="1" t="s">
        <v>1065</v>
      </c>
      <c r="D986" s="1" t="s">
        <v>31</v>
      </c>
      <c r="E986" s="15">
        <f t="shared" si="2"/>
        <v>4</v>
      </c>
      <c r="F986" s="15">
        <f t="shared" si="3"/>
        <v>1.333333333</v>
      </c>
      <c r="G986" s="1">
        <v>3.0</v>
      </c>
      <c r="H986" s="1">
        <v>0.0</v>
      </c>
      <c r="I986" s="1">
        <v>0.0</v>
      </c>
      <c r="J986" s="1">
        <v>0.0</v>
      </c>
      <c r="K986" s="1">
        <v>3.0</v>
      </c>
      <c r="L986" s="1">
        <v>0.0</v>
      </c>
      <c r="M986" s="1">
        <v>0.0</v>
      </c>
      <c r="N986" s="1">
        <v>0.0</v>
      </c>
      <c r="O986" s="1">
        <v>0.0</v>
      </c>
      <c r="P986" s="1">
        <v>4.0</v>
      </c>
      <c r="Q986" s="1">
        <v>3.0</v>
      </c>
    </row>
    <row r="987">
      <c r="A987" s="2">
        <f t="shared" si="1"/>
        <v>978</v>
      </c>
      <c r="B987" s="1" t="s">
        <v>2238</v>
      </c>
      <c r="C987" s="1" t="s">
        <v>1111</v>
      </c>
      <c r="D987" s="1" t="s">
        <v>31</v>
      </c>
      <c r="E987" s="15">
        <f t="shared" si="2"/>
        <v>4</v>
      </c>
      <c r="F987" s="15">
        <f t="shared" si="3"/>
        <v>1</v>
      </c>
      <c r="G987" s="1">
        <v>4.0</v>
      </c>
      <c r="H987" s="1">
        <v>0.0</v>
      </c>
      <c r="I987" s="1">
        <v>0.0</v>
      </c>
      <c r="J987" s="1">
        <v>0.0</v>
      </c>
      <c r="K987" s="1">
        <v>2.0</v>
      </c>
      <c r="L987" s="1">
        <v>0.0</v>
      </c>
      <c r="M987" s="1">
        <v>0.0</v>
      </c>
      <c r="N987" s="1">
        <v>0.0</v>
      </c>
      <c r="O987" s="1">
        <v>0.0</v>
      </c>
      <c r="P987" s="1">
        <v>6.0</v>
      </c>
      <c r="Q987" s="1">
        <v>3.0</v>
      </c>
    </row>
    <row r="988">
      <c r="A988" s="2">
        <f t="shared" si="1"/>
        <v>978</v>
      </c>
      <c r="B988" s="1" t="s">
        <v>2239</v>
      </c>
      <c r="C988" s="1" t="s">
        <v>1030</v>
      </c>
      <c r="D988" s="1" t="s">
        <v>31</v>
      </c>
      <c r="E988" s="15">
        <f t="shared" si="2"/>
        <v>4</v>
      </c>
      <c r="F988" s="15">
        <f t="shared" si="3"/>
        <v>0.8</v>
      </c>
      <c r="G988" s="1">
        <v>5.0</v>
      </c>
      <c r="H988" s="1">
        <v>0.0</v>
      </c>
      <c r="I988" s="1">
        <v>0.0</v>
      </c>
      <c r="J988" s="1">
        <v>0.0</v>
      </c>
      <c r="K988" s="1">
        <v>4.0</v>
      </c>
      <c r="L988" s="1">
        <v>0.0</v>
      </c>
      <c r="M988" s="1">
        <v>0.0</v>
      </c>
      <c r="N988" s="1">
        <v>0.0</v>
      </c>
      <c r="O988" s="1">
        <v>0.0</v>
      </c>
      <c r="P988" s="1">
        <v>4.0</v>
      </c>
      <c r="Q988" s="1">
        <v>2.0</v>
      </c>
    </row>
    <row r="989">
      <c r="A989" s="2">
        <f t="shared" si="1"/>
        <v>987</v>
      </c>
      <c r="B989" s="1" t="s">
        <v>2240</v>
      </c>
      <c r="C989" s="1" t="s">
        <v>1044</v>
      </c>
      <c r="D989" s="1" t="s">
        <v>5</v>
      </c>
      <c r="E989" s="15">
        <f t="shared" si="2"/>
        <v>3.9</v>
      </c>
      <c r="F989" s="15">
        <f t="shared" si="3"/>
        <v>1.95</v>
      </c>
      <c r="G989" s="1">
        <v>2.0</v>
      </c>
      <c r="R989" s="1">
        <v>0.0</v>
      </c>
      <c r="S989" s="1">
        <v>6.0</v>
      </c>
      <c r="T989" s="1">
        <v>43.0</v>
      </c>
      <c r="U989" s="1">
        <v>0.0</v>
      </c>
    </row>
    <row r="990">
      <c r="A990" s="2">
        <f t="shared" si="1"/>
        <v>988</v>
      </c>
      <c r="B990" s="1" t="s">
        <v>2241</v>
      </c>
      <c r="C990" s="1" t="s">
        <v>1038</v>
      </c>
      <c r="D990" s="1" t="s">
        <v>66</v>
      </c>
      <c r="E990" s="15">
        <f t="shared" si="2"/>
        <v>3.75</v>
      </c>
      <c r="F990" s="15">
        <f t="shared" si="3"/>
        <v>3.75</v>
      </c>
      <c r="G990" s="1">
        <v>1.0</v>
      </c>
      <c r="H990" s="1">
        <v>0.0</v>
      </c>
      <c r="I990" s="1">
        <v>0.0</v>
      </c>
      <c r="J990" s="1">
        <v>0.0</v>
      </c>
      <c r="K990" s="1">
        <v>5.0</v>
      </c>
      <c r="L990" s="1">
        <v>0.0</v>
      </c>
      <c r="M990" s="1">
        <v>0.0</v>
      </c>
      <c r="N990" s="1">
        <v>0.0</v>
      </c>
      <c r="O990" s="1">
        <v>0.0</v>
      </c>
      <c r="P990" s="1">
        <v>1.0</v>
      </c>
      <c r="Q990" s="1">
        <v>2.0</v>
      </c>
    </row>
    <row r="991">
      <c r="A991" s="2">
        <f t="shared" si="1"/>
        <v>988</v>
      </c>
      <c r="B991" s="1" t="s">
        <v>2242</v>
      </c>
      <c r="C991" s="1" t="s">
        <v>1085</v>
      </c>
      <c r="D991" s="1" t="s">
        <v>31</v>
      </c>
      <c r="E991" s="15">
        <f t="shared" si="2"/>
        <v>3.75</v>
      </c>
      <c r="F991" s="15">
        <f t="shared" si="3"/>
        <v>0.75</v>
      </c>
      <c r="G991" s="1">
        <v>5.0</v>
      </c>
      <c r="H991" s="1">
        <v>0.0</v>
      </c>
      <c r="I991" s="1">
        <v>0.0</v>
      </c>
      <c r="J991" s="1">
        <v>0.0</v>
      </c>
      <c r="K991" s="1">
        <v>6.0</v>
      </c>
      <c r="L991" s="1">
        <v>0.0</v>
      </c>
      <c r="M991" s="1">
        <v>0.0</v>
      </c>
      <c r="N991" s="1">
        <v>0.0</v>
      </c>
      <c r="O991" s="1">
        <v>0.0</v>
      </c>
      <c r="P991" s="1">
        <v>1.0</v>
      </c>
      <c r="Q991" s="1">
        <v>1.0</v>
      </c>
    </row>
    <row r="992">
      <c r="A992" s="2">
        <f t="shared" si="1"/>
        <v>990</v>
      </c>
      <c r="B992" s="1" t="s">
        <v>1955</v>
      </c>
      <c r="C992" s="1" t="s">
        <v>1042</v>
      </c>
      <c r="D992" s="1" t="s">
        <v>5</v>
      </c>
      <c r="E992" s="15">
        <f t="shared" si="2"/>
        <v>3.3</v>
      </c>
      <c r="F992" s="15">
        <f t="shared" si="3"/>
        <v>3.3</v>
      </c>
      <c r="G992" s="1">
        <v>1.0</v>
      </c>
      <c r="R992" s="1">
        <v>0.0</v>
      </c>
      <c r="S992" s="1">
        <v>4.0</v>
      </c>
      <c r="T992" s="1">
        <v>31.0</v>
      </c>
      <c r="U992" s="1">
        <v>0.0</v>
      </c>
    </row>
    <row r="993">
      <c r="A993" s="2">
        <f t="shared" si="1"/>
        <v>991</v>
      </c>
      <c r="B993" s="1" t="s">
        <v>2243</v>
      </c>
      <c r="C993" s="1" t="s">
        <v>1091</v>
      </c>
      <c r="D993" s="1" t="s">
        <v>31</v>
      </c>
      <c r="E993" s="15">
        <f t="shared" si="2"/>
        <v>3.25</v>
      </c>
      <c r="F993" s="15">
        <f t="shared" si="3"/>
        <v>0.65</v>
      </c>
      <c r="G993" s="1">
        <v>5.0</v>
      </c>
      <c r="H993" s="1">
        <v>0.0</v>
      </c>
      <c r="I993" s="1">
        <v>0.0</v>
      </c>
      <c r="J993" s="1">
        <v>0.0</v>
      </c>
      <c r="K993" s="1">
        <v>4.0</v>
      </c>
      <c r="L993" s="1">
        <v>0.0</v>
      </c>
      <c r="M993" s="1">
        <v>0.0</v>
      </c>
      <c r="N993" s="1">
        <v>0.0</v>
      </c>
      <c r="O993" s="1">
        <v>0.0</v>
      </c>
      <c r="P993" s="1">
        <v>3.0</v>
      </c>
      <c r="Q993" s="1">
        <v>1.0</v>
      </c>
    </row>
    <row r="994">
      <c r="A994" s="2">
        <f t="shared" si="1"/>
        <v>992</v>
      </c>
      <c r="B994" s="1" t="s">
        <v>1965</v>
      </c>
      <c r="C994" s="1" t="s">
        <v>1082</v>
      </c>
      <c r="D994" s="1" t="s">
        <v>66</v>
      </c>
      <c r="E994" s="15">
        <f t="shared" si="2"/>
        <v>3</v>
      </c>
      <c r="F994" s="15">
        <f t="shared" si="3"/>
        <v>1.5</v>
      </c>
      <c r="G994" s="1">
        <v>2.0</v>
      </c>
      <c r="H994" s="1">
        <v>0.0</v>
      </c>
      <c r="I994" s="1">
        <v>0.0</v>
      </c>
      <c r="J994" s="1">
        <v>0.0</v>
      </c>
      <c r="K994" s="1">
        <v>3.0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3.0</v>
      </c>
    </row>
    <row r="995">
      <c r="A995" s="2">
        <f t="shared" si="1"/>
        <v>992</v>
      </c>
      <c r="B995" s="1" t="s">
        <v>2244</v>
      </c>
      <c r="C995" s="1" t="s">
        <v>1175</v>
      </c>
      <c r="D995" s="1" t="s">
        <v>31</v>
      </c>
      <c r="E995" s="15">
        <f t="shared" si="2"/>
        <v>3</v>
      </c>
      <c r="F995" s="15">
        <f t="shared" si="3"/>
        <v>1</v>
      </c>
      <c r="G995" s="1">
        <v>3.0</v>
      </c>
      <c r="H995" s="1">
        <v>0.0</v>
      </c>
      <c r="I995" s="1">
        <v>0.0</v>
      </c>
      <c r="J995" s="1">
        <v>0.0</v>
      </c>
      <c r="K995" s="1">
        <v>2.0</v>
      </c>
      <c r="L995" s="1">
        <v>0.0</v>
      </c>
      <c r="M995" s="1">
        <v>0.0</v>
      </c>
      <c r="N995" s="1">
        <v>0.0</v>
      </c>
      <c r="O995" s="1">
        <v>0.0</v>
      </c>
      <c r="P995" s="1">
        <v>2.0</v>
      </c>
      <c r="Q995" s="1">
        <v>3.0</v>
      </c>
      <c r="T995" s="12"/>
    </row>
    <row r="996">
      <c r="A996" s="2">
        <f t="shared" si="1"/>
        <v>992</v>
      </c>
      <c r="B996" s="1" t="s">
        <v>1661</v>
      </c>
      <c r="C996" s="1" t="s">
        <v>1082</v>
      </c>
      <c r="D996" s="1" t="s">
        <v>36</v>
      </c>
      <c r="E996" s="15">
        <f t="shared" si="2"/>
        <v>3</v>
      </c>
      <c r="F996" s="15">
        <f t="shared" si="3"/>
        <v>0.75</v>
      </c>
      <c r="G996" s="1">
        <v>4.0</v>
      </c>
      <c r="H996" s="1">
        <v>0.0</v>
      </c>
      <c r="I996" s="1">
        <v>0.0</v>
      </c>
      <c r="J996" s="1">
        <v>0.0</v>
      </c>
      <c r="K996" s="1">
        <v>2.0</v>
      </c>
      <c r="L996" s="1">
        <v>0.0</v>
      </c>
      <c r="M996" s="1">
        <v>0.0</v>
      </c>
      <c r="N996" s="1">
        <v>0.0</v>
      </c>
      <c r="O996" s="1">
        <v>0.0</v>
      </c>
      <c r="P996" s="1">
        <v>6.0</v>
      </c>
      <c r="Q996" s="1">
        <v>1.0</v>
      </c>
    </row>
    <row r="997">
      <c r="A997" s="2">
        <f t="shared" si="1"/>
        <v>992</v>
      </c>
      <c r="B997" s="1" t="s">
        <v>2245</v>
      </c>
      <c r="C997" s="1" t="s">
        <v>1052</v>
      </c>
      <c r="D997" s="1" t="s">
        <v>28</v>
      </c>
      <c r="E997" s="15">
        <f t="shared" si="2"/>
        <v>3</v>
      </c>
      <c r="F997" s="15">
        <f t="shared" si="3"/>
        <v>0.75</v>
      </c>
      <c r="G997" s="1">
        <v>4.0</v>
      </c>
      <c r="H997" s="1">
        <v>0.0</v>
      </c>
      <c r="I997" s="1">
        <v>0.0</v>
      </c>
      <c r="J997" s="1">
        <v>0.0</v>
      </c>
      <c r="K997" s="1">
        <v>2.0</v>
      </c>
      <c r="L997" s="1">
        <v>0.0</v>
      </c>
      <c r="M997" s="1">
        <v>0.0</v>
      </c>
      <c r="N997" s="1">
        <v>0.0</v>
      </c>
      <c r="O997" s="1">
        <v>0.0</v>
      </c>
      <c r="P997" s="1">
        <v>6.0</v>
      </c>
      <c r="Q997" s="1">
        <v>1.0</v>
      </c>
    </row>
    <row r="998">
      <c r="A998" s="2">
        <f t="shared" si="1"/>
        <v>992</v>
      </c>
      <c r="B998" s="1" t="s">
        <v>1376</v>
      </c>
      <c r="C998" s="1" t="s">
        <v>1082</v>
      </c>
      <c r="D998" s="1" t="s">
        <v>31</v>
      </c>
      <c r="E998" s="15">
        <f t="shared" si="2"/>
        <v>3</v>
      </c>
      <c r="F998" s="15">
        <f t="shared" si="3"/>
        <v>0.5</v>
      </c>
      <c r="G998" s="1">
        <v>6.0</v>
      </c>
      <c r="H998" s="1">
        <v>0.0</v>
      </c>
      <c r="I998" s="1">
        <v>0.0</v>
      </c>
      <c r="J998" s="1">
        <v>0.0</v>
      </c>
      <c r="K998" s="1">
        <v>2.0</v>
      </c>
      <c r="L998" s="1">
        <v>0.0</v>
      </c>
      <c r="M998" s="1">
        <v>0.0</v>
      </c>
      <c r="N998" s="1">
        <v>0.0</v>
      </c>
      <c r="O998" s="1">
        <v>0.0</v>
      </c>
      <c r="P998" s="1">
        <v>2.0</v>
      </c>
      <c r="Q998" s="1">
        <v>3.0</v>
      </c>
      <c r="T998" s="12"/>
    </row>
    <row r="999">
      <c r="A999" s="2">
        <f t="shared" si="1"/>
        <v>997</v>
      </c>
      <c r="B999" s="1" t="s">
        <v>2246</v>
      </c>
      <c r="C999" s="1" t="s">
        <v>1036</v>
      </c>
      <c r="D999" s="1" t="s">
        <v>66</v>
      </c>
      <c r="E999" s="15">
        <f t="shared" si="2"/>
        <v>2.75</v>
      </c>
      <c r="F999" s="15">
        <f t="shared" si="3"/>
        <v>2.75</v>
      </c>
      <c r="G999" s="1">
        <v>1.0</v>
      </c>
      <c r="H999" s="1">
        <v>0.0</v>
      </c>
      <c r="I999" s="1">
        <v>0.0</v>
      </c>
      <c r="J999" s="1">
        <v>0.0</v>
      </c>
      <c r="K999" s="1">
        <v>1.0</v>
      </c>
      <c r="L999" s="1">
        <v>0.0</v>
      </c>
      <c r="M999" s="1">
        <v>0.0</v>
      </c>
      <c r="N999" s="1">
        <v>0.0</v>
      </c>
      <c r="O999" s="1">
        <v>0.0</v>
      </c>
      <c r="P999" s="1">
        <v>3.0</v>
      </c>
      <c r="Q999" s="1">
        <v>3.0</v>
      </c>
    </row>
    <row r="1000">
      <c r="A1000" s="2">
        <f t="shared" si="1"/>
        <v>997</v>
      </c>
      <c r="B1000" s="1" t="s">
        <v>2042</v>
      </c>
      <c r="C1000" s="1" t="s">
        <v>1085</v>
      </c>
      <c r="D1000" s="1" t="s">
        <v>36</v>
      </c>
      <c r="E1000" s="15">
        <f t="shared" si="2"/>
        <v>2.75</v>
      </c>
      <c r="F1000" s="15">
        <f t="shared" si="3"/>
        <v>0.9166666667</v>
      </c>
      <c r="G1000" s="1">
        <v>3.0</v>
      </c>
      <c r="H1000" s="1">
        <v>0.0</v>
      </c>
      <c r="I1000" s="1">
        <v>0.0</v>
      </c>
      <c r="J1000" s="1">
        <v>0.0</v>
      </c>
      <c r="K1000" s="1">
        <v>4.0</v>
      </c>
      <c r="L1000" s="1">
        <v>0.0</v>
      </c>
      <c r="M1000" s="1">
        <v>0.0</v>
      </c>
      <c r="N1000" s="1">
        <v>0.0</v>
      </c>
      <c r="O1000" s="1">
        <v>0.0</v>
      </c>
      <c r="P1000" s="1">
        <v>3.0</v>
      </c>
      <c r="Q1000" s="1">
        <v>0.0</v>
      </c>
      <c r="T1000" s="12"/>
    </row>
    <row r="1001">
      <c r="A1001" s="2">
        <f t="shared" si="1"/>
        <v>999</v>
      </c>
      <c r="B1001" s="1" t="s">
        <v>2247</v>
      </c>
      <c r="C1001" s="1" t="s">
        <v>1065</v>
      </c>
      <c r="D1001" s="1" t="s">
        <v>5</v>
      </c>
      <c r="E1001" s="15">
        <f t="shared" si="2"/>
        <v>2.7</v>
      </c>
      <c r="F1001" s="15">
        <f t="shared" si="3"/>
        <v>2.7</v>
      </c>
      <c r="G1001" s="1">
        <v>1.0</v>
      </c>
      <c r="R1001" s="1">
        <v>0.0</v>
      </c>
      <c r="S1001" s="1">
        <v>5.0</v>
      </c>
      <c r="T1001" s="1">
        <v>34.0</v>
      </c>
      <c r="U1001" s="1">
        <v>0.0</v>
      </c>
    </row>
    <row r="1002">
      <c r="A1002" s="2">
        <f t="shared" si="1"/>
        <v>1000</v>
      </c>
      <c r="B1002" s="1" t="s">
        <v>1717</v>
      </c>
      <c r="C1002" s="1" t="s">
        <v>1054</v>
      </c>
      <c r="D1002" s="1" t="s">
        <v>66</v>
      </c>
      <c r="E1002" s="15">
        <f t="shared" si="2"/>
        <v>2.5</v>
      </c>
      <c r="F1002" s="15">
        <f t="shared" si="3"/>
        <v>1.25</v>
      </c>
      <c r="G1002" s="1">
        <v>2.0</v>
      </c>
      <c r="H1002" s="1">
        <v>0.0</v>
      </c>
      <c r="I1002" s="1">
        <v>0.0</v>
      </c>
      <c r="J1002" s="1">
        <v>0.0</v>
      </c>
      <c r="K1002" s="1">
        <v>1.0</v>
      </c>
      <c r="L1002" s="1">
        <v>0.0</v>
      </c>
      <c r="M1002" s="1">
        <v>0.0</v>
      </c>
      <c r="N1002" s="1">
        <v>0.0</v>
      </c>
      <c r="O1002" s="1">
        <v>0.0</v>
      </c>
      <c r="P1002" s="1">
        <v>2.0</v>
      </c>
      <c r="Q1002" s="1">
        <v>3.0</v>
      </c>
    </row>
    <row r="1003">
      <c r="A1003" s="2">
        <f t="shared" si="1"/>
        <v>1000</v>
      </c>
      <c r="B1003" s="1" t="s">
        <v>1907</v>
      </c>
      <c r="C1003" s="1" t="s">
        <v>1111</v>
      </c>
      <c r="D1003" s="1" t="s">
        <v>66</v>
      </c>
      <c r="E1003" s="15">
        <f t="shared" si="2"/>
        <v>2.5</v>
      </c>
      <c r="F1003" s="15">
        <f t="shared" si="3"/>
        <v>1.25</v>
      </c>
      <c r="G1003" s="1">
        <v>2.0</v>
      </c>
      <c r="H1003" s="1">
        <v>0.0</v>
      </c>
      <c r="I1003" s="1">
        <v>0.0</v>
      </c>
      <c r="J1003" s="1">
        <v>0.0</v>
      </c>
      <c r="K1003" s="1">
        <v>2.0</v>
      </c>
      <c r="L1003" s="1">
        <v>0.0</v>
      </c>
      <c r="M1003" s="1">
        <v>0.0</v>
      </c>
      <c r="N1003" s="1">
        <v>0.0</v>
      </c>
      <c r="O1003" s="1">
        <v>0.0</v>
      </c>
      <c r="P1003" s="1">
        <v>2.0</v>
      </c>
      <c r="Q1003" s="1">
        <v>2.0</v>
      </c>
    </row>
    <row r="1004">
      <c r="A1004" s="2">
        <f t="shared" si="1"/>
        <v>1000</v>
      </c>
      <c r="B1004" s="1" t="s">
        <v>1355</v>
      </c>
      <c r="C1004" s="1" t="s">
        <v>1040</v>
      </c>
      <c r="D1004" s="1" t="s">
        <v>28</v>
      </c>
      <c r="E1004" s="15">
        <f t="shared" si="2"/>
        <v>2.5</v>
      </c>
      <c r="F1004" s="15">
        <f t="shared" si="3"/>
        <v>0.625</v>
      </c>
      <c r="G1004" s="1">
        <v>4.0</v>
      </c>
      <c r="H1004" s="1">
        <v>0.0</v>
      </c>
      <c r="I1004" s="1">
        <v>0.0</v>
      </c>
      <c r="J1004" s="1">
        <v>0.0</v>
      </c>
      <c r="K1004" s="1">
        <v>1.0</v>
      </c>
      <c r="L1004" s="1">
        <v>0.0</v>
      </c>
      <c r="M1004" s="1">
        <v>0.0</v>
      </c>
      <c r="N1004" s="1">
        <v>0.0</v>
      </c>
      <c r="O1004" s="1">
        <v>0.0</v>
      </c>
      <c r="P1004" s="1">
        <v>8.0</v>
      </c>
      <c r="Q1004" s="1">
        <v>0.0</v>
      </c>
    </row>
    <row r="1005">
      <c r="A1005" s="2">
        <f t="shared" si="1"/>
        <v>1003</v>
      </c>
      <c r="B1005" s="1" t="s">
        <v>1783</v>
      </c>
      <c r="C1005" s="1" t="s">
        <v>1069</v>
      </c>
      <c r="D1005" s="1" t="s">
        <v>28</v>
      </c>
      <c r="E1005" s="15">
        <f t="shared" si="2"/>
        <v>2.25</v>
      </c>
      <c r="F1005" s="15">
        <f t="shared" si="3"/>
        <v>2.25</v>
      </c>
      <c r="G1005" s="1">
        <v>1.0</v>
      </c>
      <c r="H1005" s="1">
        <v>0.0</v>
      </c>
      <c r="I1005" s="1">
        <v>0.0</v>
      </c>
      <c r="J1005" s="1">
        <v>0.0</v>
      </c>
      <c r="K1005" s="1">
        <v>4.0</v>
      </c>
      <c r="L1005" s="1">
        <v>0.0</v>
      </c>
      <c r="M1005" s="1">
        <v>0.0</v>
      </c>
      <c r="N1005" s="1">
        <v>0.0</v>
      </c>
      <c r="O1005" s="1">
        <v>0.0</v>
      </c>
      <c r="P1005" s="1">
        <v>1.0</v>
      </c>
      <c r="Q1005" s="1">
        <v>0.0</v>
      </c>
    </row>
    <row r="1006">
      <c r="A1006" s="2">
        <f t="shared" si="1"/>
        <v>1003</v>
      </c>
      <c r="B1006" s="1" t="s">
        <v>2248</v>
      </c>
      <c r="C1006" s="1" t="s">
        <v>1048</v>
      </c>
      <c r="D1006" s="1" t="s">
        <v>66</v>
      </c>
      <c r="E1006" s="15">
        <f t="shared" si="2"/>
        <v>2.25</v>
      </c>
      <c r="F1006" s="15">
        <f t="shared" si="3"/>
        <v>1.125</v>
      </c>
      <c r="G1006" s="1">
        <v>2.0</v>
      </c>
      <c r="H1006" s="1">
        <v>0.0</v>
      </c>
      <c r="I1006" s="1">
        <v>0.0</v>
      </c>
      <c r="J1006" s="1">
        <v>0.0</v>
      </c>
      <c r="K1006" s="1">
        <v>2.0</v>
      </c>
      <c r="L1006" s="1">
        <v>0.0</v>
      </c>
      <c r="M1006" s="1">
        <v>0.0</v>
      </c>
      <c r="N1006" s="1">
        <v>0.0</v>
      </c>
      <c r="O1006" s="1">
        <v>0.0</v>
      </c>
      <c r="P1006" s="1">
        <v>3.0</v>
      </c>
      <c r="Q1006" s="1">
        <v>1.0</v>
      </c>
    </row>
    <row r="1007">
      <c r="A1007" s="2">
        <f t="shared" si="1"/>
        <v>1003</v>
      </c>
      <c r="B1007" s="1" t="s">
        <v>2055</v>
      </c>
      <c r="C1007" s="1" t="s">
        <v>1030</v>
      </c>
      <c r="D1007" s="1" t="s">
        <v>31</v>
      </c>
      <c r="E1007" s="15">
        <f t="shared" si="2"/>
        <v>2.25</v>
      </c>
      <c r="F1007" s="15">
        <f t="shared" si="3"/>
        <v>1.125</v>
      </c>
      <c r="G1007" s="1">
        <v>2.0</v>
      </c>
      <c r="H1007" s="1">
        <v>0.0</v>
      </c>
      <c r="I1007" s="1">
        <v>0.0</v>
      </c>
      <c r="J1007" s="1">
        <v>0.0</v>
      </c>
      <c r="K1007" s="1">
        <v>2.0</v>
      </c>
      <c r="L1007" s="1">
        <v>0.0</v>
      </c>
      <c r="M1007" s="1">
        <v>0.0</v>
      </c>
      <c r="N1007" s="1">
        <v>0.0</v>
      </c>
      <c r="O1007" s="1">
        <v>0.0</v>
      </c>
      <c r="P1007" s="1">
        <v>1.0</v>
      </c>
      <c r="Q1007" s="1">
        <v>2.0</v>
      </c>
    </row>
    <row r="1008">
      <c r="A1008" s="2">
        <f t="shared" si="1"/>
        <v>1003</v>
      </c>
      <c r="B1008" s="1" t="s">
        <v>2249</v>
      </c>
      <c r="C1008" s="1" t="s">
        <v>1120</v>
      </c>
      <c r="D1008" s="1" t="s">
        <v>28</v>
      </c>
      <c r="E1008" s="15">
        <f t="shared" si="2"/>
        <v>2.25</v>
      </c>
      <c r="F1008" s="15">
        <f t="shared" si="3"/>
        <v>0.75</v>
      </c>
      <c r="G1008" s="1">
        <v>3.0</v>
      </c>
      <c r="H1008" s="1">
        <v>0.0</v>
      </c>
      <c r="I1008" s="1">
        <v>0.0</v>
      </c>
      <c r="J1008" s="1">
        <v>0.0</v>
      </c>
      <c r="K1008" s="1">
        <v>2.0</v>
      </c>
      <c r="L1008" s="1">
        <v>0.0</v>
      </c>
      <c r="M1008" s="1">
        <v>0.0</v>
      </c>
      <c r="N1008" s="1">
        <v>0.0</v>
      </c>
      <c r="O1008" s="1">
        <v>0.0</v>
      </c>
      <c r="P1008" s="1">
        <v>1.0</v>
      </c>
      <c r="Q1008" s="1">
        <v>2.0</v>
      </c>
    </row>
    <row r="1009">
      <c r="A1009" s="2">
        <f t="shared" si="1"/>
        <v>1003</v>
      </c>
      <c r="B1009" s="1" t="s">
        <v>2029</v>
      </c>
      <c r="C1009" s="1" t="s">
        <v>1032</v>
      </c>
      <c r="D1009" s="1" t="s">
        <v>28</v>
      </c>
      <c r="E1009" s="15">
        <f t="shared" si="2"/>
        <v>2.25</v>
      </c>
      <c r="F1009" s="15">
        <f t="shared" si="3"/>
        <v>0.75</v>
      </c>
      <c r="G1009" s="1">
        <v>3.0</v>
      </c>
      <c r="H1009" s="1">
        <v>0.0</v>
      </c>
      <c r="I1009" s="1">
        <v>0.0</v>
      </c>
      <c r="J1009" s="1">
        <v>0.0</v>
      </c>
      <c r="K1009" s="1">
        <v>3.0</v>
      </c>
      <c r="L1009" s="1">
        <v>0.0</v>
      </c>
      <c r="M1009" s="1">
        <v>0.0</v>
      </c>
      <c r="N1009" s="1">
        <v>0.0</v>
      </c>
      <c r="O1009" s="1">
        <v>0.0</v>
      </c>
      <c r="P1009" s="1">
        <v>3.0</v>
      </c>
      <c r="Q1009" s="1">
        <v>0.0</v>
      </c>
    </row>
    <row r="1010">
      <c r="A1010" s="2">
        <f t="shared" si="1"/>
        <v>1003</v>
      </c>
      <c r="B1010" s="1" t="s">
        <v>2250</v>
      </c>
      <c r="C1010" s="1" t="s">
        <v>1570</v>
      </c>
      <c r="D1010" s="1" t="s">
        <v>66</v>
      </c>
      <c r="E1010" s="15">
        <f t="shared" si="2"/>
        <v>2.25</v>
      </c>
      <c r="F1010" s="15">
        <f t="shared" si="3"/>
        <v>0.5625</v>
      </c>
      <c r="G1010" s="1">
        <v>4.0</v>
      </c>
      <c r="H1010" s="1">
        <v>0.0</v>
      </c>
      <c r="I1010" s="1">
        <v>0.0</v>
      </c>
      <c r="J1010" s="1">
        <v>0.0</v>
      </c>
      <c r="K1010" s="1">
        <v>1.0</v>
      </c>
      <c r="L1010" s="1">
        <v>0.0</v>
      </c>
      <c r="M1010" s="1">
        <v>0.0</v>
      </c>
      <c r="N1010" s="1">
        <v>0.0</v>
      </c>
      <c r="O1010" s="1">
        <v>0.0</v>
      </c>
      <c r="P1010" s="1">
        <v>5.0</v>
      </c>
      <c r="Q1010" s="1">
        <v>1.0</v>
      </c>
    </row>
    <row r="1011">
      <c r="A1011" s="2">
        <f t="shared" si="1"/>
        <v>1009</v>
      </c>
      <c r="B1011" s="1" t="s">
        <v>2251</v>
      </c>
      <c r="C1011" s="1" t="s">
        <v>1085</v>
      </c>
      <c r="D1011" s="1" t="s">
        <v>5</v>
      </c>
      <c r="E1011" s="15">
        <f t="shared" si="2"/>
        <v>2.1</v>
      </c>
      <c r="F1011" s="15">
        <f t="shared" si="3"/>
        <v>2.1</v>
      </c>
      <c r="G1011" s="1">
        <v>1.0</v>
      </c>
      <c r="R1011" s="1">
        <v>0.0</v>
      </c>
      <c r="S1011" s="1">
        <v>1.0</v>
      </c>
      <c r="T1011" s="1">
        <v>12.0</v>
      </c>
      <c r="U1011" s="1">
        <v>0.0</v>
      </c>
    </row>
    <row r="1012">
      <c r="A1012" s="2">
        <f t="shared" si="1"/>
        <v>1010</v>
      </c>
      <c r="B1012" s="1" t="s">
        <v>1879</v>
      </c>
      <c r="C1012" s="1" t="s">
        <v>1038</v>
      </c>
      <c r="D1012" s="1" t="s">
        <v>36</v>
      </c>
      <c r="E1012" s="15">
        <f t="shared" si="2"/>
        <v>2</v>
      </c>
      <c r="F1012" s="15">
        <f t="shared" si="3"/>
        <v>2</v>
      </c>
      <c r="G1012" s="1">
        <v>1.0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6.0</v>
      </c>
      <c r="Q1012" s="1">
        <v>1.0</v>
      </c>
    </row>
    <row r="1013">
      <c r="A1013" s="2">
        <f t="shared" si="1"/>
        <v>1010</v>
      </c>
      <c r="B1013" s="1" t="s">
        <v>1961</v>
      </c>
      <c r="C1013" s="1" t="s">
        <v>1106</v>
      </c>
      <c r="D1013" s="1" t="s">
        <v>31</v>
      </c>
      <c r="E1013" s="15">
        <f t="shared" si="2"/>
        <v>2</v>
      </c>
      <c r="F1013" s="15">
        <f t="shared" si="3"/>
        <v>1</v>
      </c>
      <c r="G1013" s="1">
        <v>2.0</v>
      </c>
      <c r="H1013" s="1">
        <v>0.0</v>
      </c>
      <c r="I1013" s="1">
        <v>0.0</v>
      </c>
      <c r="J1013" s="1">
        <v>0.0</v>
      </c>
      <c r="K1013" s="1">
        <v>2.0</v>
      </c>
      <c r="L1013" s="1">
        <v>0.0</v>
      </c>
      <c r="M1013" s="1">
        <v>0.0</v>
      </c>
      <c r="N1013" s="1">
        <v>0.0</v>
      </c>
      <c r="O1013" s="1">
        <v>0.0</v>
      </c>
      <c r="P1013" s="1">
        <v>4.0</v>
      </c>
      <c r="Q1013" s="1">
        <v>0.0</v>
      </c>
    </row>
    <row r="1014">
      <c r="A1014" s="2">
        <f t="shared" si="1"/>
        <v>1010</v>
      </c>
      <c r="B1014" s="1" t="s">
        <v>1959</v>
      </c>
      <c r="C1014" s="1" t="s">
        <v>1111</v>
      </c>
      <c r="D1014" s="1" t="s">
        <v>31</v>
      </c>
      <c r="E1014" s="15">
        <f t="shared" si="2"/>
        <v>2</v>
      </c>
      <c r="F1014" s="15">
        <f t="shared" si="3"/>
        <v>1</v>
      </c>
      <c r="G1014" s="1">
        <v>2.0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4.0</v>
      </c>
      <c r="Q1014" s="1">
        <v>2.0</v>
      </c>
    </row>
    <row r="1015">
      <c r="A1015" s="2">
        <f t="shared" si="1"/>
        <v>1010</v>
      </c>
      <c r="B1015" s="1" t="s">
        <v>1977</v>
      </c>
      <c r="C1015" s="1" t="s">
        <v>1038</v>
      </c>
      <c r="D1015" s="1" t="s">
        <v>31</v>
      </c>
      <c r="E1015" s="15">
        <f t="shared" si="2"/>
        <v>2</v>
      </c>
      <c r="F1015" s="15">
        <f t="shared" si="3"/>
        <v>1</v>
      </c>
      <c r="G1015" s="1">
        <v>2.0</v>
      </c>
      <c r="H1015" s="1">
        <v>0.0</v>
      </c>
      <c r="I1015" s="1">
        <v>0.0</v>
      </c>
      <c r="J1015" s="1">
        <v>0.0</v>
      </c>
      <c r="K1015" s="1">
        <v>3.0</v>
      </c>
      <c r="L1015" s="1">
        <v>0.0</v>
      </c>
      <c r="M1015" s="1">
        <v>0.0</v>
      </c>
      <c r="N1015" s="1">
        <v>0.0</v>
      </c>
      <c r="O1015" s="1">
        <v>0.0</v>
      </c>
      <c r="P1015" s="1">
        <v>2.0</v>
      </c>
      <c r="Q1015" s="1">
        <v>0.0</v>
      </c>
    </row>
    <row r="1016">
      <c r="A1016" s="2">
        <f t="shared" si="1"/>
        <v>1010</v>
      </c>
      <c r="B1016" s="1" t="s">
        <v>1741</v>
      </c>
      <c r="C1016" s="1" t="s">
        <v>1106</v>
      </c>
      <c r="D1016" s="1" t="s">
        <v>66</v>
      </c>
      <c r="E1016" s="15">
        <f t="shared" si="2"/>
        <v>2</v>
      </c>
      <c r="F1016" s="15">
        <f t="shared" si="3"/>
        <v>1</v>
      </c>
      <c r="G1016" s="1">
        <v>2.0</v>
      </c>
      <c r="H1016" s="1">
        <v>0.0</v>
      </c>
      <c r="I1016" s="1">
        <v>0.0</v>
      </c>
      <c r="J1016" s="1">
        <v>0.0</v>
      </c>
      <c r="K1016" s="1">
        <v>3.0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1.0</v>
      </c>
    </row>
    <row r="1017">
      <c r="A1017" s="2">
        <f t="shared" si="1"/>
        <v>1010</v>
      </c>
      <c r="B1017" s="1" t="s">
        <v>2252</v>
      </c>
      <c r="C1017" s="1" t="s">
        <v>1044</v>
      </c>
      <c r="D1017" s="1" t="s">
        <v>66</v>
      </c>
      <c r="E1017" s="15">
        <f t="shared" si="2"/>
        <v>2</v>
      </c>
      <c r="F1017" s="15">
        <f t="shared" si="3"/>
        <v>0.6666666667</v>
      </c>
      <c r="G1017" s="1">
        <v>3.0</v>
      </c>
      <c r="H1017" s="1">
        <v>0.0</v>
      </c>
      <c r="I1017" s="1">
        <v>0.0</v>
      </c>
      <c r="J1017" s="1">
        <v>0.0</v>
      </c>
      <c r="K1017" s="1">
        <v>1.0</v>
      </c>
      <c r="L1017" s="1">
        <v>0.0</v>
      </c>
      <c r="M1017" s="1">
        <v>0.0</v>
      </c>
      <c r="N1017" s="1">
        <v>0.0</v>
      </c>
      <c r="O1017" s="1">
        <v>0.0</v>
      </c>
      <c r="P1017" s="1">
        <v>2.0</v>
      </c>
      <c r="Q1017" s="1">
        <v>2.0</v>
      </c>
    </row>
    <row r="1018">
      <c r="A1018" s="2">
        <f t="shared" si="1"/>
        <v>1010</v>
      </c>
      <c r="B1018" s="1" t="s">
        <v>1925</v>
      </c>
      <c r="C1018" s="1" t="s">
        <v>1085</v>
      </c>
      <c r="D1018" s="1" t="s">
        <v>28</v>
      </c>
      <c r="E1018" s="15">
        <f t="shared" si="2"/>
        <v>2</v>
      </c>
      <c r="F1018" s="15">
        <f t="shared" si="3"/>
        <v>0.6666666667</v>
      </c>
      <c r="G1018" s="1">
        <v>3.0</v>
      </c>
      <c r="H1018" s="1">
        <v>0.0</v>
      </c>
      <c r="I1018" s="1">
        <v>0.0</v>
      </c>
      <c r="J1018" s="1">
        <v>0.0</v>
      </c>
      <c r="K1018" s="1">
        <v>1.0</v>
      </c>
      <c r="L1018" s="1">
        <v>0.0</v>
      </c>
      <c r="M1018" s="1">
        <v>0.0</v>
      </c>
      <c r="N1018" s="1">
        <v>0.0</v>
      </c>
      <c r="O1018" s="1">
        <v>0.0</v>
      </c>
      <c r="P1018" s="1">
        <v>6.0</v>
      </c>
      <c r="Q1018" s="1">
        <v>0.0</v>
      </c>
    </row>
    <row r="1019">
      <c r="A1019" s="2">
        <f t="shared" si="1"/>
        <v>1017</v>
      </c>
      <c r="B1019" s="1" t="s">
        <v>1636</v>
      </c>
      <c r="C1019" s="1" t="s">
        <v>1097</v>
      </c>
      <c r="D1019" s="1" t="s">
        <v>5</v>
      </c>
      <c r="E1019" s="15">
        <f t="shared" si="2"/>
        <v>1.8</v>
      </c>
      <c r="F1019" s="15">
        <f t="shared" si="3"/>
        <v>0.6</v>
      </c>
      <c r="G1019" s="1">
        <v>3.0</v>
      </c>
      <c r="R1019" s="1">
        <v>0.0</v>
      </c>
      <c r="S1019" s="1">
        <v>8.0</v>
      </c>
      <c r="T1019" s="1">
        <v>46.0</v>
      </c>
      <c r="U1019" s="1">
        <v>0.0</v>
      </c>
    </row>
    <row r="1020">
      <c r="A1020" s="2">
        <f t="shared" si="1"/>
        <v>1018</v>
      </c>
      <c r="B1020" s="1" t="s">
        <v>1973</v>
      </c>
      <c r="C1020" s="1" t="s">
        <v>1044</v>
      </c>
      <c r="D1020" s="1" t="s">
        <v>66</v>
      </c>
      <c r="E1020" s="15">
        <f t="shared" si="2"/>
        <v>1.75</v>
      </c>
      <c r="F1020" s="15">
        <f t="shared" si="3"/>
        <v>1.75</v>
      </c>
      <c r="G1020" s="1">
        <v>1.0</v>
      </c>
      <c r="H1020" s="1">
        <v>0.0</v>
      </c>
      <c r="I1020" s="1">
        <v>0.0</v>
      </c>
      <c r="J1020" s="1">
        <v>0.0</v>
      </c>
      <c r="K1020" s="1">
        <v>2.0</v>
      </c>
      <c r="L1020" s="1">
        <v>0.0</v>
      </c>
      <c r="M1020" s="1">
        <v>0.0</v>
      </c>
      <c r="N1020" s="1">
        <v>0.0</v>
      </c>
      <c r="O1020" s="1">
        <v>0.0</v>
      </c>
      <c r="P1020" s="1">
        <v>1.0</v>
      </c>
      <c r="Q1020" s="1">
        <v>1.0</v>
      </c>
    </row>
    <row r="1021">
      <c r="A1021" s="2">
        <f t="shared" si="1"/>
        <v>1018</v>
      </c>
      <c r="B1021" s="1" t="s">
        <v>2253</v>
      </c>
      <c r="C1021" s="1" t="s">
        <v>1052</v>
      </c>
      <c r="D1021" s="1" t="s">
        <v>31</v>
      </c>
      <c r="E1021" s="15">
        <f t="shared" si="2"/>
        <v>1.75</v>
      </c>
      <c r="F1021" s="15">
        <f t="shared" si="3"/>
        <v>0.875</v>
      </c>
      <c r="G1021" s="1">
        <v>2.0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1.0</v>
      </c>
      <c r="Q1021" s="1">
        <v>3.0</v>
      </c>
      <c r="T1021" s="12"/>
    </row>
    <row r="1022">
      <c r="A1022" s="2">
        <f t="shared" si="1"/>
        <v>1018</v>
      </c>
      <c r="B1022" s="1" t="s">
        <v>2254</v>
      </c>
      <c r="C1022" s="1" t="s">
        <v>1111</v>
      </c>
      <c r="D1022" s="1" t="s">
        <v>31</v>
      </c>
      <c r="E1022" s="15">
        <f t="shared" si="2"/>
        <v>1.75</v>
      </c>
      <c r="F1022" s="15">
        <f t="shared" si="3"/>
        <v>0.4375</v>
      </c>
      <c r="G1022" s="1">
        <v>4.0</v>
      </c>
      <c r="H1022" s="1">
        <v>0.0</v>
      </c>
      <c r="I1022" s="1">
        <v>0.0</v>
      </c>
      <c r="J1022" s="1">
        <v>0.0</v>
      </c>
      <c r="K1022" s="1">
        <v>1.0</v>
      </c>
      <c r="L1022" s="1">
        <v>0.0</v>
      </c>
      <c r="M1022" s="1">
        <v>0.0</v>
      </c>
      <c r="N1022" s="1">
        <v>0.0</v>
      </c>
      <c r="O1022" s="1">
        <v>0.0</v>
      </c>
      <c r="P1022" s="1">
        <v>3.0</v>
      </c>
      <c r="Q1022" s="1">
        <v>1.0</v>
      </c>
    </row>
    <row r="1023">
      <c r="A1023" s="2">
        <f t="shared" si="1"/>
        <v>1021</v>
      </c>
      <c r="B1023" s="1" t="s">
        <v>1915</v>
      </c>
      <c r="C1023" s="1" t="s">
        <v>1091</v>
      </c>
      <c r="D1023" s="1" t="s">
        <v>66</v>
      </c>
      <c r="E1023" s="15">
        <f t="shared" si="2"/>
        <v>1.5</v>
      </c>
      <c r="F1023" s="15">
        <f t="shared" si="3"/>
        <v>1.5</v>
      </c>
      <c r="G1023" s="1">
        <v>1.0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2.0</v>
      </c>
      <c r="Q1023" s="1">
        <v>2.0</v>
      </c>
    </row>
    <row r="1024">
      <c r="A1024" s="2">
        <f t="shared" si="1"/>
        <v>1021</v>
      </c>
      <c r="B1024" s="1" t="s">
        <v>2255</v>
      </c>
      <c r="C1024" s="1" t="s">
        <v>1106</v>
      </c>
      <c r="D1024" s="1" t="s">
        <v>66</v>
      </c>
      <c r="E1024" s="15">
        <f t="shared" si="2"/>
        <v>1.5</v>
      </c>
      <c r="F1024" s="15">
        <f t="shared" si="3"/>
        <v>0.75</v>
      </c>
      <c r="G1024" s="1">
        <v>2.0</v>
      </c>
      <c r="H1024" s="1">
        <v>0.0</v>
      </c>
      <c r="I1024" s="1">
        <v>0.0</v>
      </c>
      <c r="J1024" s="1">
        <v>0.0</v>
      </c>
      <c r="K1024" s="1">
        <v>1.0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2.0</v>
      </c>
    </row>
    <row r="1025">
      <c r="A1025" s="2">
        <f t="shared" si="1"/>
        <v>1021</v>
      </c>
      <c r="B1025" s="1" t="s">
        <v>2256</v>
      </c>
      <c r="C1025" s="1" t="s">
        <v>1076</v>
      </c>
      <c r="D1025" s="1" t="s">
        <v>31</v>
      </c>
      <c r="E1025" s="15">
        <f t="shared" si="2"/>
        <v>1.5</v>
      </c>
      <c r="F1025" s="15">
        <f t="shared" si="3"/>
        <v>0.75</v>
      </c>
      <c r="G1025" s="1">
        <v>2.0</v>
      </c>
      <c r="H1025" s="1">
        <v>0.0</v>
      </c>
      <c r="I1025" s="1">
        <v>0.0</v>
      </c>
      <c r="J1025" s="1">
        <v>0.0</v>
      </c>
      <c r="K1025" s="1">
        <v>1.0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2.0</v>
      </c>
    </row>
    <row r="1026">
      <c r="A1026" s="2">
        <f t="shared" si="1"/>
        <v>1021</v>
      </c>
      <c r="B1026" s="1" t="s">
        <v>2257</v>
      </c>
      <c r="C1026" s="1" t="s">
        <v>1032</v>
      </c>
      <c r="D1026" s="1" t="s">
        <v>66</v>
      </c>
      <c r="E1026" s="15">
        <f t="shared" si="2"/>
        <v>1.5</v>
      </c>
      <c r="F1026" s="15">
        <f t="shared" si="3"/>
        <v>0.75</v>
      </c>
      <c r="G1026" s="1">
        <v>2.0</v>
      </c>
      <c r="H1026" s="1">
        <v>0.0</v>
      </c>
      <c r="I1026" s="1">
        <v>0.0</v>
      </c>
      <c r="J1026" s="1">
        <v>0.0</v>
      </c>
      <c r="K1026" s="1">
        <v>1.0</v>
      </c>
      <c r="L1026" s="1">
        <v>0.0</v>
      </c>
      <c r="M1026" s="1">
        <v>0.0</v>
      </c>
      <c r="N1026" s="1">
        <v>0.0</v>
      </c>
      <c r="O1026" s="1">
        <v>0.0</v>
      </c>
      <c r="P1026" s="1">
        <v>2.0</v>
      </c>
      <c r="Q1026" s="1">
        <v>1.0</v>
      </c>
    </row>
    <row r="1027">
      <c r="A1027" s="2">
        <f t="shared" si="1"/>
        <v>1021</v>
      </c>
      <c r="B1027" s="1" t="s">
        <v>1947</v>
      </c>
      <c r="C1027" s="1" t="s">
        <v>1073</v>
      </c>
      <c r="D1027" s="1" t="s">
        <v>66</v>
      </c>
      <c r="E1027" s="15">
        <f t="shared" si="2"/>
        <v>1.5</v>
      </c>
      <c r="F1027" s="15">
        <f t="shared" si="3"/>
        <v>0.5</v>
      </c>
      <c r="G1027" s="1">
        <v>3.0</v>
      </c>
      <c r="H1027" s="1">
        <v>0.0</v>
      </c>
      <c r="I1027" s="1">
        <v>0.0</v>
      </c>
      <c r="J1027" s="1">
        <v>0.0</v>
      </c>
      <c r="K1027" s="1">
        <v>2.0</v>
      </c>
      <c r="L1027" s="1">
        <v>0.0</v>
      </c>
      <c r="M1027" s="1">
        <v>0.0</v>
      </c>
      <c r="N1027" s="1">
        <v>0.0</v>
      </c>
      <c r="O1027" s="1">
        <v>0.0</v>
      </c>
      <c r="P1027" s="1">
        <v>2.0</v>
      </c>
      <c r="Q1027" s="1">
        <v>0.0</v>
      </c>
    </row>
    <row r="1028">
      <c r="A1028" s="2">
        <f t="shared" si="1"/>
        <v>1021</v>
      </c>
      <c r="B1028" s="1" t="s">
        <v>1899</v>
      </c>
      <c r="C1028" s="1" t="s">
        <v>1052</v>
      </c>
      <c r="D1028" s="1" t="s">
        <v>28</v>
      </c>
      <c r="E1028" s="15">
        <f t="shared" si="2"/>
        <v>1.5</v>
      </c>
      <c r="F1028" s="15">
        <f t="shared" si="3"/>
        <v>0.5</v>
      </c>
      <c r="G1028" s="1">
        <v>3.0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4.0</v>
      </c>
      <c r="Q1028" s="1">
        <v>1.0</v>
      </c>
    </row>
    <row r="1029">
      <c r="A1029" s="2">
        <f t="shared" si="1"/>
        <v>1027</v>
      </c>
      <c r="B1029" s="1" t="s">
        <v>1725</v>
      </c>
      <c r="C1029" s="1" t="s">
        <v>1038</v>
      </c>
      <c r="D1029" s="1" t="s">
        <v>31</v>
      </c>
      <c r="E1029" s="15">
        <f t="shared" si="2"/>
        <v>1.25</v>
      </c>
      <c r="F1029" s="15">
        <f t="shared" si="3"/>
        <v>1.25</v>
      </c>
      <c r="G1029" s="1">
        <v>1.0</v>
      </c>
      <c r="H1029" s="1">
        <v>0.0</v>
      </c>
      <c r="I1029" s="1">
        <v>0.0</v>
      </c>
      <c r="J1029" s="1">
        <v>0.0</v>
      </c>
      <c r="K1029" s="1">
        <v>1.0</v>
      </c>
      <c r="L1029" s="1">
        <v>0.0</v>
      </c>
      <c r="M1029" s="1">
        <v>0.0</v>
      </c>
      <c r="N1029" s="1">
        <v>0.0</v>
      </c>
      <c r="O1029" s="1">
        <v>0.0</v>
      </c>
      <c r="P1029" s="1">
        <v>3.0</v>
      </c>
      <c r="Q1029" s="1">
        <v>0.0</v>
      </c>
    </row>
    <row r="1030">
      <c r="A1030" s="2">
        <f t="shared" si="1"/>
        <v>1027</v>
      </c>
      <c r="B1030" s="1" t="s">
        <v>2258</v>
      </c>
      <c r="C1030" s="1" t="s">
        <v>1120</v>
      </c>
      <c r="D1030" s="1" t="s">
        <v>31</v>
      </c>
      <c r="E1030" s="15">
        <f t="shared" si="2"/>
        <v>1.25</v>
      </c>
      <c r="F1030" s="15">
        <f t="shared" si="3"/>
        <v>1.25</v>
      </c>
      <c r="G1030" s="1">
        <v>1.0</v>
      </c>
      <c r="H1030" s="1">
        <v>0.0</v>
      </c>
      <c r="I1030" s="1">
        <v>0.0</v>
      </c>
      <c r="J1030" s="1">
        <v>0.0</v>
      </c>
      <c r="K1030" s="1">
        <v>1.0</v>
      </c>
      <c r="L1030" s="1">
        <v>0.0</v>
      </c>
      <c r="M1030" s="1">
        <v>0.0</v>
      </c>
      <c r="N1030" s="1">
        <v>0.0</v>
      </c>
      <c r="O1030" s="1">
        <v>0.0</v>
      </c>
      <c r="P1030" s="1">
        <v>3.0</v>
      </c>
      <c r="Q1030" s="1">
        <v>0.0</v>
      </c>
    </row>
    <row r="1031">
      <c r="A1031" s="2">
        <f t="shared" si="1"/>
        <v>1027</v>
      </c>
      <c r="B1031" s="1" t="s">
        <v>1881</v>
      </c>
      <c r="C1031" s="1" t="s">
        <v>1078</v>
      </c>
      <c r="D1031" s="1" t="s">
        <v>31</v>
      </c>
      <c r="E1031" s="15">
        <f t="shared" si="2"/>
        <v>1.25</v>
      </c>
      <c r="F1031" s="15">
        <f t="shared" si="3"/>
        <v>0.3125</v>
      </c>
      <c r="G1031" s="1">
        <v>4.0</v>
      </c>
      <c r="H1031" s="1">
        <v>0.0</v>
      </c>
      <c r="I1031" s="1">
        <v>0.0</v>
      </c>
      <c r="J1031" s="1">
        <v>0.0</v>
      </c>
      <c r="K1031" s="1">
        <v>2.0</v>
      </c>
      <c r="L1031" s="1">
        <v>0.0</v>
      </c>
      <c r="M1031" s="1">
        <v>0.0</v>
      </c>
      <c r="N1031" s="1">
        <v>0.0</v>
      </c>
      <c r="O1031" s="1">
        <v>0.0</v>
      </c>
      <c r="P1031" s="1">
        <v>1.0</v>
      </c>
      <c r="Q1031" s="1">
        <v>0.0</v>
      </c>
    </row>
    <row r="1032">
      <c r="A1032" s="2">
        <f t="shared" si="1"/>
        <v>1030</v>
      </c>
      <c r="B1032" s="1" t="s">
        <v>2259</v>
      </c>
      <c r="C1032" s="1" t="s">
        <v>1078</v>
      </c>
      <c r="D1032" s="1" t="s">
        <v>28</v>
      </c>
      <c r="E1032" s="15">
        <f t="shared" si="2"/>
        <v>1</v>
      </c>
      <c r="F1032" s="15">
        <f t="shared" si="3"/>
        <v>1</v>
      </c>
      <c r="G1032" s="1">
        <v>1.0</v>
      </c>
      <c r="H1032" s="1">
        <v>0.0</v>
      </c>
      <c r="I1032" s="1">
        <v>0.0</v>
      </c>
      <c r="J1032" s="1">
        <v>0.0</v>
      </c>
      <c r="K1032" s="1">
        <v>1.0</v>
      </c>
      <c r="L1032" s="1">
        <v>0.0</v>
      </c>
      <c r="M1032" s="1">
        <v>0.0</v>
      </c>
      <c r="N1032" s="1">
        <v>0.0</v>
      </c>
      <c r="O1032" s="1">
        <v>0.0</v>
      </c>
      <c r="P1032" s="1">
        <v>2.0</v>
      </c>
      <c r="Q1032" s="1">
        <v>0.0</v>
      </c>
    </row>
    <row r="1033">
      <c r="A1033" s="2">
        <f t="shared" si="1"/>
        <v>1030</v>
      </c>
      <c r="B1033" s="1" t="s">
        <v>2260</v>
      </c>
      <c r="C1033" s="1" t="s">
        <v>1067</v>
      </c>
      <c r="D1033" s="1" t="s">
        <v>66</v>
      </c>
      <c r="E1033" s="15">
        <f t="shared" si="2"/>
        <v>1</v>
      </c>
      <c r="F1033" s="15">
        <f t="shared" si="3"/>
        <v>1</v>
      </c>
      <c r="G1033" s="1">
        <v>1.0</v>
      </c>
      <c r="H1033" s="1">
        <v>0.0</v>
      </c>
      <c r="I1033" s="1">
        <v>0.0</v>
      </c>
      <c r="J1033" s="1">
        <v>0.0</v>
      </c>
      <c r="K1033" s="1">
        <v>1.0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1.0</v>
      </c>
    </row>
    <row r="1034">
      <c r="A1034" s="2">
        <f t="shared" si="1"/>
        <v>1030</v>
      </c>
      <c r="B1034" s="1" t="s">
        <v>2261</v>
      </c>
      <c r="C1034" s="1" t="s">
        <v>1044</v>
      </c>
      <c r="D1034" s="1" t="s">
        <v>66</v>
      </c>
      <c r="E1034" s="15">
        <f t="shared" si="2"/>
        <v>1</v>
      </c>
      <c r="F1034" s="15">
        <f t="shared" si="3"/>
        <v>0.5</v>
      </c>
      <c r="G1034" s="1">
        <v>2.0</v>
      </c>
      <c r="H1034" s="1">
        <v>0.0</v>
      </c>
      <c r="I1034" s="1">
        <v>0.0</v>
      </c>
      <c r="J1034" s="1">
        <v>0.0</v>
      </c>
      <c r="K1034" s="1">
        <v>1.0</v>
      </c>
      <c r="L1034" s="1">
        <v>0.0</v>
      </c>
      <c r="M1034" s="1">
        <v>0.0</v>
      </c>
      <c r="N1034" s="1">
        <v>0.0</v>
      </c>
      <c r="O1034" s="1">
        <v>0.0</v>
      </c>
      <c r="P1034" s="1">
        <v>2.0</v>
      </c>
      <c r="Q1034" s="1">
        <v>0.0</v>
      </c>
    </row>
    <row r="1035">
      <c r="A1035" s="2">
        <f t="shared" si="1"/>
        <v>1030</v>
      </c>
      <c r="B1035" s="1" t="s">
        <v>1762</v>
      </c>
      <c r="C1035" s="1" t="s">
        <v>1065</v>
      </c>
      <c r="D1035" s="1" t="s">
        <v>31</v>
      </c>
      <c r="E1035" s="15">
        <f t="shared" si="2"/>
        <v>1</v>
      </c>
      <c r="F1035" s="15">
        <f t="shared" si="3"/>
        <v>0.5</v>
      </c>
      <c r="G1035" s="1">
        <v>2.0</v>
      </c>
      <c r="H1035" s="1">
        <v>0.0</v>
      </c>
      <c r="I1035" s="1">
        <v>0.0</v>
      </c>
      <c r="J1035" s="1">
        <v>0.0</v>
      </c>
      <c r="K1035" s="1">
        <v>2.0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</row>
    <row r="1036">
      <c r="A1036" s="2">
        <f t="shared" si="1"/>
        <v>1034</v>
      </c>
      <c r="B1036" s="1" t="s">
        <v>2262</v>
      </c>
      <c r="C1036" s="1" t="s">
        <v>1054</v>
      </c>
      <c r="D1036" s="1" t="s">
        <v>36</v>
      </c>
      <c r="E1036" s="15">
        <f t="shared" si="2"/>
        <v>0.75</v>
      </c>
      <c r="F1036" s="15">
        <f t="shared" si="3"/>
        <v>0.75</v>
      </c>
      <c r="G1036" s="1">
        <v>1.0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3.0</v>
      </c>
      <c r="Q1036" s="1">
        <v>0.0</v>
      </c>
    </row>
    <row r="1037">
      <c r="A1037" s="2">
        <f t="shared" si="1"/>
        <v>1034</v>
      </c>
      <c r="B1037" s="1" t="s">
        <v>2263</v>
      </c>
      <c r="C1037" s="1" t="s">
        <v>1054</v>
      </c>
      <c r="D1037" s="1" t="s">
        <v>31</v>
      </c>
      <c r="E1037" s="15">
        <f t="shared" si="2"/>
        <v>0.75</v>
      </c>
      <c r="F1037" s="15">
        <f t="shared" si="3"/>
        <v>0.375</v>
      </c>
      <c r="G1037" s="1">
        <v>2.0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3.0</v>
      </c>
      <c r="Q1037" s="1">
        <v>0.0</v>
      </c>
    </row>
    <row r="1038">
      <c r="A1038" s="2">
        <f t="shared" si="1"/>
        <v>1036</v>
      </c>
      <c r="B1038" s="1" t="s">
        <v>2264</v>
      </c>
      <c r="C1038" s="1" t="s">
        <v>1087</v>
      </c>
      <c r="D1038" s="1" t="s">
        <v>28</v>
      </c>
      <c r="E1038" s="15">
        <f t="shared" si="2"/>
        <v>0.5</v>
      </c>
      <c r="F1038" s="15">
        <f t="shared" si="3"/>
        <v>0.5</v>
      </c>
      <c r="G1038" s="1">
        <v>1.0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2.0</v>
      </c>
      <c r="Q1038" s="1">
        <v>0.0</v>
      </c>
    </row>
    <row r="1039">
      <c r="A1039" s="2">
        <f t="shared" si="1"/>
        <v>1036</v>
      </c>
      <c r="B1039" s="1" t="s">
        <v>1763</v>
      </c>
      <c r="C1039" s="1" t="s">
        <v>1034</v>
      </c>
      <c r="D1039" s="1" t="s">
        <v>31</v>
      </c>
      <c r="E1039" s="15">
        <f t="shared" si="2"/>
        <v>0.5</v>
      </c>
      <c r="F1039" s="15">
        <f t="shared" si="3"/>
        <v>0.5</v>
      </c>
      <c r="G1039" s="1">
        <v>1.0</v>
      </c>
      <c r="H1039" s="1">
        <v>0.0</v>
      </c>
      <c r="I1039" s="1">
        <v>0.0</v>
      </c>
      <c r="J1039" s="1">
        <v>0.0</v>
      </c>
      <c r="K1039" s="1">
        <v>1.0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</row>
    <row r="1040">
      <c r="A1040" s="2">
        <f t="shared" si="1"/>
        <v>1036</v>
      </c>
      <c r="B1040" s="1" t="s">
        <v>1985</v>
      </c>
      <c r="C1040" s="1" t="s">
        <v>1038</v>
      </c>
      <c r="D1040" s="1" t="s">
        <v>31</v>
      </c>
      <c r="E1040" s="15">
        <f t="shared" si="2"/>
        <v>0.5</v>
      </c>
      <c r="F1040" s="15">
        <f t="shared" si="3"/>
        <v>0.5</v>
      </c>
      <c r="G1040" s="1">
        <v>1.0</v>
      </c>
      <c r="H1040" s="1">
        <v>0.0</v>
      </c>
      <c r="I1040" s="1">
        <v>0.0</v>
      </c>
      <c r="J1040" s="1">
        <v>0.0</v>
      </c>
      <c r="K1040" s="1">
        <v>1.0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</row>
    <row r="1041">
      <c r="A1041" s="2">
        <f t="shared" si="1"/>
        <v>1036</v>
      </c>
      <c r="B1041" s="1" t="s">
        <v>2265</v>
      </c>
      <c r="C1041" s="1" t="s">
        <v>1097</v>
      </c>
      <c r="D1041" s="1" t="s">
        <v>31</v>
      </c>
      <c r="E1041" s="15">
        <f t="shared" si="2"/>
        <v>0.5</v>
      </c>
      <c r="F1041" s="15">
        <f t="shared" si="3"/>
        <v>0.5</v>
      </c>
      <c r="G1041" s="1">
        <v>1.0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1.0</v>
      </c>
      <c r="T1041" s="12"/>
    </row>
    <row r="1042">
      <c r="A1042" s="2">
        <f t="shared" si="1"/>
        <v>1036</v>
      </c>
      <c r="B1042" s="1" t="s">
        <v>2266</v>
      </c>
      <c r="C1042" s="1" t="s">
        <v>1570</v>
      </c>
      <c r="D1042" s="1" t="s">
        <v>31</v>
      </c>
      <c r="E1042" s="15">
        <f t="shared" si="2"/>
        <v>0.5</v>
      </c>
      <c r="F1042" s="15">
        <f t="shared" si="3"/>
        <v>0.25</v>
      </c>
      <c r="G1042" s="1">
        <v>2.0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1.0</v>
      </c>
    </row>
    <row r="1043">
      <c r="A1043" s="2">
        <f t="shared" si="1"/>
        <v>1036</v>
      </c>
      <c r="B1043" s="1" t="s">
        <v>2267</v>
      </c>
      <c r="C1043" s="1" t="s">
        <v>1087</v>
      </c>
      <c r="D1043" s="1" t="s">
        <v>66</v>
      </c>
      <c r="E1043" s="15">
        <f t="shared" si="2"/>
        <v>0.5</v>
      </c>
      <c r="F1043" s="15">
        <f t="shared" si="3"/>
        <v>0.25</v>
      </c>
      <c r="G1043" s="1">
        <v>2.0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1.0</v>
      </c>
    </row>
    <row r="1044">
      <c r="A1044" s="2">
        <f t="shared" si="1"/>
        <v>1036</v>
      </c>
      <c r="B1044" s="1" t="s">
        <v>2268</v>
      </c>
      <c r="C1044" s="1" t="s">
        <v>1036</v>
      </c>
      <c r="D1044" s="1" t="s">
        <v>28</v>
      </c>
      <c r="E1044" s="15">
        <f t="shared" si="2"/>
        <v>0.5</v>
      </c>
      <c r="F1044" s="15">
        <f t="shared" si="3"/>
        <v>0.25</v>
      </c>
      <c r="G1044" s="1">
        <v>2.0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2.0</v>
      </c>
      <c r="Q1044" s="1">
        <v>0.0</v>
      </c>
    </row>
    <row r="1045">
      <c r="A1045" s="2">
        <f t="shared" si="1"/>
        <v>1036</v>
      </c>
      <c r="B1045" s="1" t="s">
        <v>1845</v>
      </c>
      <c r="C1045" s="1" t="s">
        <v>1069</v>
      </c>
      <c r="D1045" s="1" t="s">
        <v>31</v>
      </c>
      <c r="E1045" s="15">
        <f t="shared" si="2"/>
        <v>0.5</v>
      </c>
      <c r="F1045" s="15">
        <f t="shared" si="3"/>
        <v>0.25</v>
      </c>
      <c r="G1045" s="1">
        <v>2.0</v>
      </c>
      <c r="H1045" s="1">
        <v>0.0</v>
      </c>
      <c r="I1045" s="1">
        <v>0.0</v>
      </c>
      <c r="J1045" s="1">
        <v>0.0</v>
      </c>
      <c r="K1045" s="1">
        <v>1.0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</row>
    <row r="1046">
      <c r="A1046" s="2">
        <f t="shared" si="1"/>
        <v>1036</v>
      </c>
      <c r="B1046" s="1" t="s">
        <v>2269</v>
      </c>
      <c r="C1046" s="1" t="s">
        <v>1156</v>
      </c>
      <c r="D1046" s="1" t="s">
        <v>66</v>
      </c>
      <c r="E1046" s="15">
        <f t="shared" si="2"/>
        <v>0.5</v>
      </c>
      <c r="F1046" s="15">
        <f t="shared" si="3"/>
        <v>0.25</v>
      </c>
      <c r="G1046" s="1">
        <v>2.0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1.0</v>
      </c>
    </row>
    <row r="1047">
      <c r="A1047" s="2">
        <f t="shared" si="1"/>
        <v>1036</v>
      </c>
      <c r="B1047" s="1" t="s">
        <v>2270</v>
      </c>
      <c r="C1047" s="1" t="s">
        <v>1570</v>
      </c>
      <c r="D1047" s="1" t="s">
        <v>28</v>
      </c>
      <c r="E1047" s="15">
        <f t="shared" si="2"/>
        <v>0.5</v>
      </c>
      <c r="F1047" s="15">
        <f t="shared" si="3"/>
        <v>0.25</v>
      </c>
      <c r="G1047" s="1">
        <v>2.0</v>
      </c>
      <c r="H1047" s="1">
        <v>0.0</v>
      </c>
      <c r="I1047" s="1">
        <v>0.0</v>
      </c>
      <c r="J1047" s="1">
        <v>0.0</v>
      </c>
      <c r="K1047" s="1">
        <v>1.0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</row>
    <row r="1048">
      <c r="A1048" s="2">
        <f t="shared" si="1"/>
        <v>1046</v>
      </c>
      <c r="B1048" s="1" t="s">
        <v>2271</v>
      </c>
      <c r="C1048" s="1" t="s">
        <v>1036</v>
      </c>
      <c r="D1048" s="1" t="s">
        <v>5</v>
      </c>
      <c r="E1048" s="15">
        <f t="shared" si="2"/>
        <v>0.3</v>
      </c>
      <c r="F1048" s="15">
        <f t="shared" si="3"/>
        <v>0.3</v>
      </c>
      <c r="G1048" s="1">
        <v>1.0</v>
      </c>
      <c r="R1048" s="1">
        <v>0.0</v>
      </c>
      <c r="S1048" s="1">
        <v>0.0</v>
      </c>
      <c r="T1048" s="1">
        <v>1.0</v>
      </c>
      <c r="U1048" s="1">
        <v>0.0</v>
      </c>
    </row>
    <row r="1049">
      <c r="A1049" s="2">
        <f t="shared" si="1"/>
        <v>1047</v>
      </c>
      <c r="B1049" s="1" t="s">
        <v>2272</v>
      </c>
      <c r="C1049" s="1" t="s">
        <v>1073</v>
      </c>
      <c r="D1049" s="1" t="s">
        <v>36</v>
      </c>
      <c r="E1049" s="15">
        <f t="shared" si="2"/>
        <v>0.25</v>
      </c>
      <c r="F1049" s="15">
        <f t="shared" si="3"/>
        <v>0.25</v>
      </c>
      <c r="G1049" s="1">
        <v>1.0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1.0</v>
      </c>
      <c r="Q1049" s="1">
        <v>0.0</v>
      </c>
    </row>
    <row r="1050">
      <c r="A1050" s="2">
        <f t="shared" si="1"/>
        <v>1047</v>
      </c>
      <c r="B1050" s="1" t="s">
        <v>2273</v>
      </c>
      <c r="C1050" s="1" t="s">
        <v>1175</v>
      </c>
      <c r="D1050" s="1" t="s">
        <v>28</v>
      </c>
      <c r="E1050" s="15">
        <f t="shared" si="2"/>
        <v>0.25</v>
      </c>
      <c r="F1050" s="15">
        <f t="shared" si="3"/>
        <v>0.25</v>
      </c>
      <c r="G1050" s="1">
        <v>1.0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1.0</v>
      </c>
      <c r="Q1050" s="1">
        <v>0.0</v>
      </c>
    </row>
    <row r="1051">
      <c r="A1051" s="2">
        <f t="shared" si="1"/>
        <v>1047</v>
      </c>
      <c r="B1051" s="1" t="s">
        <v>2274</v>
      </c>
      <c r="C1051" s="1" t="s">
        <v>1034</v>
      </c>
      <c r="D1051" s="1" t="s">
        <v>28</v>
      </c>
      <c r="E1051" s="15">
        <f t="shared" si="2"/>
        <v>0.25</v>
      </c>
      <c r="F1051" s="15">
        <f t="shared" si="3"/>
        <v>0.25</v>
      </c>
      <c r="G1051" s="1">
        <v>1.0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1.0</v>
      </c>
      <c r="Q1051" s="1">
        <v>0.0</v>
      </c>
    </row>
    <row r="1052">
      <c r="A1052" s="2">
        <f t="shared" si="1"/>
        <v>1047</v>
      </c>
      <c r="B1052" s="1" t="s">
        <v>2275</v>
      </c>
      <c r="C1052" s="1" t="s">
        <v>1087</v>
      </c>
      <c r="D1052" s="1" t="s">
        <v>36</v>
      </c>
      <c r="E1052" s="15">
        <f t="shared" si="2"/>
        <v>0.25</v>
      </c>
      <c r="F1052" s="15">
        <f t="shared" si="3"/>
        <v>0.25</v>
      </c>
      <c r="G1052" s="1">
        <v>1.0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1.0</v>
      </c>
      <c r="Q1052" s="1">
        <v>0.0</v>
      </c>
    </row>
    <row r="1053">
      <c r="A1053" s="2">
        <f t="shared" si="1"/>
        <v>1051</v>
      </c>
      <c r="B1053" s="1" t="s">
        <v>2276</v>
      </c>
      <c r="C1053" s="1" t="s">
        <v>1091</v>
      </c>
      <c r="D1053" s="1" t="s">
        <v>31</v>
      </c>
      <c r="E1053" s="15">
        <f t="shared" si="2"/>
        <v>0</v>
      </c>
      <c r="F1053" s="15">
        <f t="shared" si="3"/>
        <v>0</v>
      </c>
      <c r="G1053" s="1">
        <v>1.0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</row>
    <row r="1054">
      <c r="A1054" s="2">
        <f t="shared" si="1"/>
        <v>1051</v>
      </c>
      <c r="B1054" s="1" t="s">
        <v>2277</v>
      </c>
      <c r="C1054" s="1" t="s">
        <v>1082</v>
      </c>
      <c r="D1054" s="1" t="s">
        <v>31</v>
      </c>
      <c r="E1054" s="15">
        <f t="shared" si="2"/>
        <v>0</v>
      </c>
      <c r="F1054" s="15">
        <f t="shared" si="3"/>
        <v>0</v>
      </c>
      <c r="G1054" s="1">
        <v>1.0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</row>
    <row r="1055">
      <c r="A1055" s="2">
        <f t="shared" si="1"/>
        <v>1051</v>
      </c>
      <c r="B1055" s="1" t="s">
        <v>1904</v>
      </c>
      <c r="C1055" s="1" t="s">
        <v>1080</v>
      </c>
      <c r="D1055" s="1" t="s">
        <v>28</v>
      </c>
      <c r="E1055" s="15">
        <f t="shared" si="2"/>
        <v>0</v>
      </c>
      <c r="F1055" s="15">
        <f t="shared" si="3"/>
        <v>0</v>
      </c>
      <c r="G1055" s="1">
        <v>1.0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</row>
    <row r="1056">
      <c r="A1056" s="2">
        <f t="shared" si="1"/>
        <v>1051</v>
      </c>
      <c r="B1056" s="1" t="s">
        <v>2278</v>
      </c>
      <c r="C1056" s="1" t="s">
        <v>1032</v>
      </c>
      <c r="D1056" s="1" t="s">
        <v>31</v>
      </c>
      <c r="E1056" s="15">
        <f t="shared" si="2"/>
        <v>0</v>
      </c>
      <c r="F1056" s="15">
        <f t="shared" si="3"/>
        <v>0</v>
      </c>
      <c r="G1056" s="1">
        <v>1.0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T1056" s="12"/>
    </row>
    <row r="1057">
      <c r="A1057" s="2">
        <f t="shared" si="1"/>
        <v>1051</v>
      </c>
      <c r="B1057" s="1" t="s">
        <v>1987</v>
      </c>
      <c r="C1057" s="1" t="s">
        <v>1106</v>
      </c>
      <c r="D1057" s="1" t="s">
        <v>28</v>
      </c>
      <c r="E1057" s="15">
        <f t="shared" si="2"/>
        <v>0</v>
      </c>
      <c r="F1057" s="15">
        <f t="shared" si="3"/>
        <v>0</v>
      </c>
      <c r="G1057" s="1">
        <v>1.0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</row>
    <row r="1058">
      <c r="A1058" s="2">
        <f t="shared" si="1"/>
        <v>1051</v>
      </c>
      <c r="B1058" s="1" t="s">
        <v>2027</v>
      </c>
      <c r="C1058" s="1" t="s">
        <v>1030</v>
      </c>
      <c r="D1058" s="1" t="s">
        <v>28</v>
      </c>
      <c r="E1058" s="15">
        <f t="shared" si="2"/>
        <v>0</v>
      </c>
      <c r="F1058" s="15">
        <f t="shared" si="3"/>
        <v>0</v>
      </c>
      <c r="G1058" s="1">
        <v>1.0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</row>
    <row r="1059">
      <c r="A1059" s="2">
        <f t="shared" si="1"/>
        <v>1051</v>
      </c>
      <c r="B1059" s="1" t="s">
        <v>2279</v>
      </c>
      <c r="C1059" s="1" t="s">
        <v>1032</v>
      </c>
      <c r="D1059" s="1" t="s">
        <v>5</v>
      </c>
      <c r="E1059" s="15">
        <f t="shared" si="2"/>
        <v>0</v>
      </c>
      <c r="F1059" s="15">
        <f t="shared" si="3"/>
        <v>0</v>
      </c>
      <c r="G1059" s="1">
        <v>1.0</v>
      </c>
      <c r="R1059" s="1">
        <v>0.0</v>
      </c>
      <c r="S1059" s="1">
        <v>0.0</v>
      </c>
      <c r="T1059" s="1">
        <v>0.0</v>
      </c>
      <c r="U1059" s="1">
        <v>0.0</v>
      </c>
    </row>
    <row r="1060">
      <c r="A1060" s="2">
        <f t="shared" si="1"/>
        <v>1058</v>
      </c>
      <c r="B1060" s="1" t="s">
        <v>2280</v>
      </c>
      <c r="C1060" s="1" t="s">
        <v>1172</v>
      </c>
      <c r="D1060" s="1" t="s">
        <v>5</v>
      </c>
      <c r="E1060" s="15">
        <f t="shared" si="2"/>
        <v>-2.4</v>
      </c>
      <c r="F1060" s="15">
        <f t="shared" si="3"/>
        <v>-2.4</v>
      </c>
      <c r="G1060" s="1">
        <v>1.0</v>
      </c>
      <c r="R1060" s="1">
        <v>0.0</v>
      </c>
      <c r="S1060" s="1">
        <v>6.0</v>
      </c>
      <c r="T1060" s="1">
        <v>22.0</v>
      </c>
      <c r="U1060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2" max="2" width="27.0"/>
    <col customWidth="1" min="3" max="3" width="8.0"/>
    <col customWidth="1" min="4" max="4" width="6.75"/>
    <col customWidth="1" min="5" max="5" width="9.13"/>
    <col customWidth="1" min="6" max="6" width="10.38"/>
    <col customWidth="1" min="7" max="21" width="5.63"/>
  </cols>
  <sheetData>
    <row r="1">
      <c r="A1" s="13" t="s">
        <v>1021</v>
      </c>
      <c r="B1" s="13" t="s">
        <v>1022</v>
      </c>
      <c r="C1" s="13" t="s">
        <v>1023</v>
      </c>
      <c r="D1" s="13" t="s">
        <v>1</v>
      </c>
      <c r="E1" s="14" t="s">
        <v>2</v>
      </c>
      <c r="F1" s="14" t="s">
        <v>3</v>
      </c>
      <c r="G1" s="13" t="s">
        <v>4</v>
      </c>
      <c r="H1" s="13" t="s">
        <v>5</v>
      </c>
      <c r="I1" s="13" t="s">
        <v>6</v>
      </c>
      <c r="J1" s="13" t="s">
        <v>1024</v>
      </c>
      <c r="K1" s="13" t="s">
        <v>1025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1026</v>
      </c>
      <c r="Q1" s="13" t="s">
        <v>1027</v>
      </c>
      <c r="R1" s="1" t="s">
        <v>19</v>
      </c>
      <c r="S1" s="1" t="s">
        <v>21</v>
      </c>
      <c r="T1" s="1" t="s">
        <v>23</v>
      </c>
      <c r="U1" s="1" t="s">
        <v>24</v>
      </c>
    </row>
    <row r="2">
      <c r="A2" s="1" t="s">
        <v>25</v>
      </c>
      <c r="E2" s="15"/>
      <c r="F2" s="15"/>
      <c r="G2" s="1">
        <v>0.0</v>
      </c>
      <c r="H2" s="1">
        <v>4.5</v>
      </c>
      <c r="I2" s="1">
        <v>3.0</v>
      </c>
      <c r="J2" s="1">
        <v>0.0</v>
      </c>
      <c r="K2" s="1">
        <v>0.5</v>
      </c>
      <c r="L2" s="1">
        <v>0.0</v>
      </c>
      <c r="M2" s="1">
        <v>0.0</v>
      </c>
      <c r="N2" s="1">
        <v>2.0</v>
      </c>
      <c r="O2" s="1">
        <v>2.0</v>
      </c>
      <c r="P2" s="1">
        <v>0.25</v>
      </c>
      <c r="Q2" s="1">
        <v>0.5</v>
      </c>
      <c r="R2" s="1">
        <v>3.0</v>
      </c>
      <c r="S2" s="1">
        <v>-1.5</v>
      </c>
      <c r="T2" s="1">
        <v>0.3</v>
      </c>
      <c r="U2" s="1">
        <v>3.0</v>
      </c>
    </row>
    <row r="3">
      <c r="A3" s="1">
        <f t="shared" ref="A3:A1125" si="1">rank(E3, E:E)</f>
        <v>1</v>
      </c>
      <c r="B3" s="1" t="s">
        <v>1031</v>
      </c>
      <c r="C3" s="1" t="s">
        <v>1032</v>
      </c>
      <c r="D3" s="1" t="s">
        <v>31</v>
      </c>
      <c r="E3" s="15">
        <f t="shared" ref="E3:E1125" si="2">SUMPRODUCT(G$2:U$2,G3:U3)</f>
        <v>629.75</v>
      </c>
      <c r="F3" s="16">
        <f t="shared" ref="F3:F1125" si="3">E3/G3</f>
        <v>8.626712329</v>
      </c>
      <c r="G3" s="1">
        <v>73.0</v>
      </c>
      <c r="H3" s="1">
        <v>60.0</v>
      </c>
      <c r="I3" s="1">
        <v>46.0</v>
      </c>
      <c r="J3" s="1">
        <v>106.0</v>
      </c>
      <c r="K3" s="1">
        <v>348.0</v>
      </c>
      <c r="L3" s="1">
        <v>16.0</v>
      </c>
      <c r="M3" s="1">
        <v>13.0</v>
      </c>
      <c r="N3" s="1">
        <v>0.0</v>
      </c>
      <c r="O3" s="1">
        <v>0.0</v>
      </c>
      <c r="P3" s="1">
        <v>67.0</v>
      </c>
      <c r="Q3" s="1">
        <v>62.0</v>
      </c>
    </row>
    <row r="4">
      <c r="A4" s="1">
        <f t="shared" si="1"/>
        <v>2</v>
      </c>
      <c r="B4" s="1" t="s">
        <v>1035</v>
      </c>
      <c r="C4" s="1" t="s">
        <v>1036</v>
      </c>
      <c r="D4" s="1" t="s">
        <v>31</v>
      </c>
      <c r="E4" s="15">
        <f t="shared" si="2"/>
        <v>625.75</v>
      </c>
      <c r="F4" s="16">
        <f t="shared" si="3"/>
        <v>7.821875</v>
      </c>
      <c r="G4" s="1">
        <v>80.0</v>
      </c>
      <c r="H4" s="1">
        <v>44.0</v>
      </c>
      <c r="I4" s="1">
        <v>79.0</v>
      </c>
      <c r="J4" s="1">
        <v>123.0</v>
      </c>
      <c r="K4" s="1">
        <v>314.0</v>
      </c>
      <c r="L4" s="1">
        <v>10.0</v>
      </c>
      <c r="M4" s="1">
        <v>34.0</v>
      </c>
      <c r="N4" s="1">
        <v>0.0</v>
      </c>
      <c r="O4" s="1">
        <v>1.0</v>
      </c>
      <c r="P4" s="1">
        <v>75.0</v>
      </c>
      <c r="Q4" s="1">
        <v>26.0</v>
      </c>
    </row>
    <row r="5">
      <c r="A5" s="1">
        <f t="shared" si="1"/>
        <v>3</v>
      </c>
      <c r="B5" s="1" t="s">
        <v>1055</v>
      </c>
      <c r="C5" s="1" t="s">
        <v>1036</v>
      </c>
      <c r="D5" s="1" t="s">
        <v>31</v>
      </c>
      <c r="E5" s="15">
        <f t="shared" si="2"/>
        <v>579.25</v>
      </c>
      <c r="F5" s="16">
        <f t="shared" si="3"/>
        <v>7.240625</v>
      </c>
      <c r="G5" s="1">
        <v>80.0</v>
      </c>
      <c r="H5" s="1">
        <v>55.0</v>
      </c>
      <c r="I5" s="1">
        <v>55.0</v>
      </c>
      <c r="J5" s="1">
        <v>110.0</v>
      </c>
      <c r="K5" s="1">
        <v>278.0</v>
      </c>
      <c r="L5" s="1">
        <v>24.0</v>
      </c>
      <c r="M5" s="1">
        <v>17.0</v>
      </c>
      <c r="N5" s="1">
        <v>1.0</v>
      </c>
      <c r="O5" s="1">
        <v>0.0</v>
      </c>
      <c r="P5" s="1">
        <v>53.0</v>
      </c>
      <c r="Q5" s="1">
        <v>25.0</v>
      </c>
    </row>
    <row r="6">
      <c r="A6" s="1">
        <f t="shared" si="1"/>
        <v>4</v>
      </c>
      <c r="B6" s="1" t="s">
        <v>1053</v>
      </c>
      <c r="C6" s="1" t="s">
        <v>1054</v>
      </c>
      <c r="D6" s="1" t="s">
        <v>28</v>
      </c>
      <c r="E6" s="15">
        <f t="shared" si="2"/>
        <v>571.75</v>
      </c>
      <c r="F6" s="16">
        <f t="shared" si="3"/>
        <v>7.058641975</v>
      </c>
      <c r="G6" s="1">
        <v>81.0</v>
      </c>
      <c r="H6" s="1">
        <v>47.0</v>
      </c>
      <c r="I6" s="1">
        <v>61.0</v>
      </c>
      <c r="J6" s="1">
        <v>108.0</v>
      </c>
      <c r="K6" s="1">
        <v>289.0</v>
      </c>
      <c r="L6" s="1">
        <v>14.0</v>
      </c>
      <c r="M6" s="1">
        <v>17.0</v>
      </c>
      <c r="N6" s="1">
        <v>0.0</v>
      </c>
      <c r="O6" s="1">
        <v>0.0</v>
      </c>
      <c r="P6" s="1">
        <v>73.0</v>
      </c>
      <c r="Q6" s="1">
        <v>29.0</v>
      </c>
    </row>
    <row r="7">
      <c r="A7" s="1">
        <f t="shared" si="1"/>
        <v>5</v>
      </c>
      <c r="B7" s="1" t="s">
        <v>1081</v>
      </c>
      <c r="C7" s="1" t="s">
        <v>1082</v>
      </c>
      <c r="D7" s="1" t="s">
        <v>28</v>
      </c>
      <c r="E7" s="15">
        <f t="shared" si="2"/>
        <v>565.25</v>
      </c>
      <c r="F7" s="16">
        <f t="shared" si="3"/>
        <v>7.340909091</v>
      </c>
      <c r="G7" s="1">
        <v>77.0</v>
      </c>
      <c r="H7" s="1">
        <v>50.0</v>
      </c>
      <c r="I7" s="1">
        <v>40.0</v>
      </c>
      <c r="J7" s="1">
        <v>90.0</v>
      </c>
      <c r="K7" s="1">
        <v>334.0</v>
      </c>
      <c r="L7" s="1">
        <v>16.0</v>
      </c>
      <c r="M7" s="1">
        <v>13.0</v>
      </c>
      <c r="N7" s="1">
        <v>1.0</v>
      </c>
      <c r="O7" s="1">
        <v>0.0</v>
      </c>
      <c r="P7" s="1">
        <v>155.0</v>
      </c>
      <c r="Q7" s="1">
        <v>25.0</v>
      </c>
    </row>
    <row r="8">
      <c r="A8" s="1">
        <f t="shared" si="1"/>
        <v>6</v>
      </c>
      <c r="B8" s="1" t="s">
        <v>1266</v>
      </c>
      <c r="C8" s="1" t="s">
        <v>1048</v>
      </c>
      <c r="D8" s="1" t="s">
        <v>28</v>
      </c>
      <c r="E8" s="15">
        <f t="shared" si="2"/>
        <v>549.75</v>
      </c>
      <c r="F8" s="16">
        <f t="shared" si="3"/>
        <v>6.871875</v>
      </c>
      <c r="G8" s="1">
        <v>80.0</v>
      </c>
      <c r="H8" s="1">
        <v>30.0</v>
      </c>
      <c r="I8" s="1">
        <v>85.0</v>
      </c>
      <c r="J8" s="1">
        <v>115.0</v>
      </c>
      <c r="K8" s="1">
        <v>222.0</v>
      </c>
      <c r="L8" s="1">
        <v>5.0</v>
      </c>
      <c r="M8" s="1">
        <v>33.0</v>
      </c>
      <c r="N8" s="1">
        <v>3.0</v>
      </c>
      <c r="O8" s="1">
        <v>2.0</v>
      </c>
      <c r="P8" s="1">
        <v>99.0</v>
      </c>
      <c r="Q8" s="1">
        <v>28.0</v>
      </c>
    </row>
    <row r="9">
      <c r="A9" s="1">
        <f t="shared" si="1"/>
        <v>7</v>
      </c>
      <c r="B9" s="1" t="s">
        <v>1056</v>
      </c>
      <c r="C9" s="1" t="s">
        <v>1042</v>
      </c>
      <c r="D9" s="1" t="s">
        <v>66</v>
      </c>
      <c r="E9" s="15">
        <f t="shared" si="2"/>
        <v>546</v>
      </c>
      <c r="F9" s="16">
        <f t="shared" si="3"/>
        <v>6.825</v>
      </c>
      <c r="G9" s="1">
        <v>80.0</v>
      </c>
      <c r="H9" s="1">
        <v>23.0</v>
      </c>
      <c r="I9" s="1">
        <v>73.0</v>
      </c>
      <c r="J9" s="1">
        <v>96.0</v>
      </c>
      <c r="K9" s="1">
        <v>281.0</v>
      </c>
      <c r="L9" s="1">
        <v>11.0</v>
      </c>
      <c r="M9" s="1">
        <v>26.0</v>
      </c>
      <c r="N9" s="1">
        <v>0.0</v>
      </c>
      <c r="O9" s="1">
        <v>0.0</v>
      </c>
      <c r="P9" s="1">
        <v>66.0</v>
      </c>
      <c r="Q9" s="1">
        <v>133.0</v>
      </c>
    </row>
    <row r="10">
      <c r="A10" s="1">
        <f t="shared" si="1"/>
        <v>8</v>
      </c>
      <c r="B10" s="1" t="s">
        <v>1257</v>
      </c>
      <c r="C10" s="1" t="s">
        <v>1069</v>
      </c>
      <c r="D10" s="1" t="s">
        <v>28</v>
      </c>
      <c r="E10" s="15">
        <f t="shared" si="2"/>
        <v>543</v>
      </c>
      <c r="F10" s="16">
        <f t="shared" si="3"/>
        <v>6.62195122</v>
      </c>
      <c r="G10" s="1">
        <v>82.0</v>
      </c>
      <c r="H10" s="1">
        <v>40.0</v>
      </c>
      <c r="I10" s="1">
        <v>75.0</v>
      </c>
      <c r="J10" s="1">
        <v>115.0</v>
      </c>
      <c r="K10" s="1">
        <v>262.0</v>
      </c>
      <c r="L10" s="1">
        <v>6.0</v>
      </c>
      <c r="M10" s="1">
        <v>19.0</v>
      </c>
      <c r="N10" s="1">
        <v>0.0</v>
      </c>
      <c r="O10" s="1">
        <v>0.0</v>
      </c>
      <c r="P10" s="1">
        <v>10.0</v>
      </c>
      <c r="Q10" s="1">
        <v>9.0</v>
      </c>
    </row>
    <row r="11">
      <c r="A11" s="1">
        <f t="shared" si="1"/>
        <v>9</v>
      </c>
      <c r="B11" s="1" t="s">
        <v>1061</v>
      </c>
      <c r="C11" s="1" t="s">
        <v>1034</v>
      </c>
      <c r="D11" s="1" t="s">
        <v>31</v>
      </c>
      <c r="E11" s="15">
        <f t="shared" si="2"/>
        <v>540.25</v>
      </c>
      <c r="F11" s="16">
        <f t="shared" si="3"/>
        <v>6.669753086</v>
      </c>
      <c r="G11" s="1">
        <v>81.0</v>
      </c>
      <c r="H11" s="1">
        <v>42.0</v>
      </c>
      <c r="I11" s="1">
        <v>64.0</v>
      </c>
      <c r="J11" s="1">
        <v>106.0</v>
      </c>
      <c r="K11" s="1">
        <v>241.0</v>
      </c>
      <c r="L11" s="1">
        <v>16.0</v>
      </c>
      <c r="M11" s="1">
        <v>20.0</v>
      </c>
      <c r="N11" s="1">
        <v>0.0</v>
      </c>
      <c r="O11" s="1">
        <v>0.0</v>
      </c>
      <c r="P11" s="1">
        <v>93.0</v>
      </c>
      <c r="Q11" s="1">
        <v>31.0</v>
      </c>
    </row>
    <row r="12">
      <c r="A12" s="1">
        <f t="shared" si="1"/>
        <v>10</v>
      </c>
      <c r="B12" s="1" t="s">
        <v>1058</v>
      </c>
      <c r="C12" s="1" t="s">
        <v>1069</v>
      </c>
      <c r="D12" s="1" t="s">
        <v>28</v>
      </c>
      <c r="E12" s="15">
        <f t="shared" si="2"/>
        <v>534.75</v>
      </c>
      <c r="F12" s="16">
        <f t="shared" si="3"/>
        <v>6.521341463</v>
      </c>
      <c r="G12" s="1">
        <v>82.0</v>
      </c>
      <c r="H12" s="1">
        <v>42.0</v>
      </c>
      <c r="I12" s="1">
        <v>62.0</v>
      </c>
      <c r="J12" s="1">
        <v>104.0</v>
      </c>
      <c r="K12" s="1">
        <v>253.0</v>
      </c>
      <c r="L12" s="1">
        <v>12.0</v>
      </c>
      <c r="M12" s="1">
        <v>17.0</v>
      </c>
      <c r="N12" s="1">
        <v>0.0</v>
      </c>
      <c r="O12" s="1">
        <v>0.0</v>
      </c>
      <c r="P12" s="1">
        <v>93.0</v>
      </c>
      <c r="Q12" s="1">
        <v>20.0</v>
      </c>
    </row>
    <row r="13">
      <c r="A13" s="1">
        <f t="shared" si="1"/>
        <v>11</v>
      </c>
      <c r="B13" s="1" t="s">
        <v>1161</v>
      </c>
      <c r="C13" s="1" t="s">
        <v>1116</v>
      </c>
      <c r="D13" s="1" t="s">
        <v>28</v>
      </c>
      <c r="E13" s="15">
        <f t="shared" si="2"/>
        <v>533.5</v>
      </c>
      <c r="F13" s="16">
        <f t="shared" si="3"/>
        <v>6.753164557</v>
      </c>
      <c r="G13" s="1">
        <v>79.0</v>
      </c>
      <c r="H13" s="1">
        <v>47.0</v>
      </c>
      <c r="I13" s="1">
        <v>46.0</v>
      </c>
      <c r="J13" s="1">
        <v>93.0</v>
      </c>
      <c r="K13" s="1">
        <v>317.0</v>
      </c>
      <c r="L13" s="1">
        <v>8.0</v>
      </c>
      <c r="M13" s="1">
        <v>20.0</v>
      </c>
      <c r="N13" s="1">
        <v>3.0</v>
      </c>
      <c r="O13" s="1">
        <v>0.0</v>
      </c>
      <c r="P13" s="1">
        <v>32.0</v>
      </c>
      <c r="Q13" s="1">
        <v>23.0</v>
      </c>
    </row>
    <row r="14">
      <c r="A14" s="1">
        <f t="shared" si="1"/>
        <v>12</v>
      </c>
      <c r="B14" s="1" t="s">
        <v>1045</v>
      </c>
      <c r="C14" s="1" t="s">
        <v>1046</v>
      </c>
      <c r="D14" s="1" t="s">
        <v>31</v>
      </c>
      <c r="E14" s="15">
        <f t="shared" si="2"/>
        <v>523</v>
      </c>
      <c r="F14" s="16">
        <f t="shared" si="3"/>
        <v>6.5375</v>
      </c>
      <c r="G14" s="1">
        <v>80.0</v>
      </c>
      <c r="H14" s="1">
        <v>32.0</v>
      </c>
      <c r="I14" s="1">
        <v>67.0</v>
      </c>
      <c r="J14" s="1">
        <v>99.0</v>
      </c>
      <c r="K14" s="1">
        <v>206.0</v>
      </c>
      <c r="L14" s="1">
        <v>8.0</v>
      </c>
      <c r="M14" s="1">
        <v>30.0</v>
      </c>
      <c r="N14" s="1">
        <v>0.0</v>
      </c>
      <c r="O14" s="1">
        <v>2.0</v>
      </c>
      <c r="P14" s="1">
        <v>172.0</v>
      </c>
      <c r="Q14" s="1">
        <v>56.0</v>
      </c>
    </row>
    <row r="15">
      <c r="A15" s="1">
        <f t="shared" si="1"/>
        <v>13</v>
      </c>
      <c r="B15" s="1" t="s">
        <v>1157</v>
      </c>
      <c r="C15" s="1" t="s">
        <v>1175</v>
      </c>
      <c r="D15" s="1" t="s">
        <v>28</v>
      </c>
      <c r="E15" s="15">
        <f t="shared" si="2"/>
        <v>514.5</v>
      </c>
      <c r="F15" s="16">
        <f t="shared" si="3"/>
        <v>6.681818182</v>
      </c>
      <c r="G15" s="1">
        <v>77.0</v>
      </c>
      <c r="H15" s="1">
        <v>35.0</v>
      </c>
      <c r="I15" s="1">
        <v>41.0</v>
      </c>
      <c r="J15" s="1">
        <v>76.0</v>
      </c>
      <c r="K15" s="1">
        <v>326.0</v>
      </c>
      <c r="L15" s="1">
        <v>12.0</v>
      </c>
      <c r="M15" s="1">
        <v>6.0</v>
      </c>
      <c r="N15" s="1">
        <v>0.0</v>
      </c>
      <c r="O15" s="1">
        <v>0.0</v>
      </c>
      <c r="P15" s="1">
        <v>162.0</v>
      </c>
      <c r="Q15" s="1">
        <v>61.0</v>
      </c>
    </row>
    <row r="16">
      <c r="A16" s="1">
        <f t="shared" si="1"/>
        <v>14</v>
      </c>
      <c r="B16" s="1" t="s">
        <v>1057</v>
      </c>
      <c r="C16" s="1" t="s">
        <v>1030</v>
      </c>
      <c r="D16" s="1" t="s">
        <v>66</v>
      </c>
      <c r="E16" s="15">
        <f t="shared" si="2"/>
        <v>498.75</v>
      </c>
      <c r="F16" s="16">
        <f t="shared" si="3"/>
        <v>6.477272727</v>
      </c>
      <c r="G16" s="1">
        <v>77.0</v>
      </c>
      <c r="H16" s="1">
        <v>28.0</v>
      </c>
      <c r="I16" s="1">
        <v>58.0</v>
      </c>
      <c r="J16" s="1">
        <v>86.0</v>
      </c>
      <c r="K16" s="1">
        <v>240.0</v>
      </c>
      <c r="L16" s="1">
        <v>9.0</v>
      </c>
      <c r="M16" s="1">
        <v>25.0</v>
      </c>
      <c r="N16" s="1">
        <v>0.0</v>
      </c>
      <c r="O16" s="1">
        <v>0.0</v>
      </c>
      <c r="P16" s="1">
        <v>95.0</v>
      </c>
      <c r="Q16" s="1">
        <v>110.0</v>
      </c>
    </row>
    <row r="17">
      <c r="A17" s="1">
        <f t="shared" si="1"/>
        <v>14</v>
      </c>
      <c r="B17" s="1" t="s">
        <v>1070</v>
      </c>
      <c r="C17" s="1" t="s">
        <v>1040</v>
      </c>
      <c r="D17" s="1" t="s">
        <v>28</v>
      </c>
      <c r="E17" s="15">
        <f t="shared" si="2"/>
        <v>498.75</v>
      </c>
      <c r="F17" s="16">
        <f t="shared" si="3"/>
        <v>6.157407407</v>
      </c>
      <c r="G17" s="1">
        <v>81.0</v>
      </c>
      <c r="H17" s="1">
        <v>52.0</v>
      </c>
      <c r="I17" s="1">
        <v>25.0</v>
      </c>
      <c r="J17" s="1">
        <v>77.0</v>
      </c>
      <c r="K17" s="1">
        <v>258.0</v>
      </c>
      <c r="L17" s="1">
        <v>26.0</v>
      </c>
      <c r="M17" s="1">
        <v>9.0</v>
      </c>
      <c r="N17" s="1">
        <v>3.0</v>
      </c>
      <c r="O17" s="1">
        <v>0.0</v>
      </c>
      <c r="P17" s="1">
        <v>141.0</v>
      </c>
      <c r="Q17" s="1">
        <v>39.0</v>
      </c>
    </row>
    <row r="18">
      <c r="A18" s="1">
        <f t="shared" si="1"/>
        <v>16</v>
      </c>
      <c r="B18" s="1" t="s">
        <v>1029</v>
      </c>
      <c r="C18" s="1" t="s">
        <v>1030</v>
      </c>
      <c r="D18" s="1" t="s">
        <v>31</v>
      </c>
      <c r="E18" s="15">
        <f t="shared" si="2"/>
        <v>498</v>
      </c>
      <c r="F18" s="16">
        <f t="shared" si="3"/>
        <v>7.661538462</v>
      </c>
      <c r="G18" s="1">
        <v>65.0</v>
      </c>
      <c r="H18" s="1">
        <v>32.0</v>
      </c>
      <c r="I18" s="1">
        <v>56.0</v>
      </c>
      <c r="J18" s="1">
        <v>88.0</v>
      </c>
      <c r="K18" s="1">
        <v>299.0</v>
      </c>
      <c r="L18" s="1">
        <v>7.0</v>
      </c>
      <c r="M18" s="1">
        <v>20.0</v>
      </c>
      <c r="N18" s="1">
        <v>0.0</v>
      </c>
      <c r="O18" s="1">
        <v>0.0</v>
      </c>
      <c r="P18" s="1">
        <v>68.0</v>
      </c>
      <c r="Q18" s="1">
        <v>39.0</v>
      </c>
    </row>
    <row r="19">
      <c r="A19" s="1">
        <f t="shared" si="1"/>
        <v>17</v>
      </c>
      <c r="B19" s="1" t="s">
        <v>1102</v>
      </c>
      <c r="C19" s="1" t="s">
        <v>1032</v>
      </c>
      <c r="D19" s="1" t="s">
        <v>31</v>
      </c>
      <c r="E19" s="15">
        <f t="shared" si="2"/>
        <v>497.75</v>
      </c>
      <c r="F19" s="16">
        <f t="shared" si="3"/>
        <v>6.913194444</v>
      </c>
      <c r="G19" s="1">
        <v>72.0</v>
      </c>
      <c r="H19" s="1">
        <v>35.0</v>
      </c>
      <c r="I19" s="1">
        <v>62.0</v>
      </c>
      <c r="J19" s="1">
        <v>97.0</v>
      </c>
      <c r="K19" s="1">
        <v>224.0</v>
      </c>
      <c r="L19" s="1">
        <v>6.0</v>
      </c>
      <c r="M19" s="1">
        <v>19.0</v>
      </c>
      <c r="N19" s="1">
        <v>3.0</v>
      </c>
      <c r="O19" s="1">
        <v>1.0</v>
      </c>
      <c r="P19" s="1">
        <v>75.0</v>
      </c>
      <c r="Q19" s="1">
        <v>31.0</v>
      </c>
    </row>
    <row r="20">
      <c r="A20" s="1">
        <f t="shared" si="1"/>
        <v>18</v>
      </c>
      <c r="B20" s="1" t="s">
        <v>1049</v>
      </c>
      <c r="C20" s="1" t="s">
        <v>1030</v>
      </c>
      <c r="D20" s="1" t="s">
        <v>36</v>
      </c>
      <c r="E20" s="15">
        <f t="shared" si="2"/>
        <v>493</v>
      </c>
      <c r="F20" s="16">
        <f t="shared" si="3"/>
        <v>6.573333333</v>
      </c>
      <c r="G20" s="1">
        <v>75.0</v>
      </c>
      <c r="H20" s="1">
        <v>36.0</v>
      </c>
      <c r="I20" s="1">
        <v>56.0</v>
      </c>
      <c r="J20" s="1">
        <v>92.0</v>
      </c>
      <c r="K20" s="1">
        <v>254.0</v>
      </c>
      <c r="L20" s="1">
        <v>16.0</v>
      </c>
      <c r="M20" s="1">
        <v>19.0</v>
      </c>
      <c r="N20" s="1">
        <v>0.0</v>
      </c>
      <c r="O20" s="1">
        <v>0.0</v>
      </c>
      <c r="P20" s="1">
        <v>58.0</v>
      </c>
      <c r="Q20" s="1">
        <v>43.0</v>
      </c>
    </row>
    <row r="21">
      <c r="A21" s="1">
        <f t="shared" si="1"/>
        <v>19</v>
      </c>
      <c r="B21" s="1" t="s">
        <v>1117</v>
      </c>
      <c r="C21" s="1" t="s">
        <v>1034</v>
      </c>
      <c r="D21" s="1" t="s">
        <v>66</v>
      </c>
      <c r="E21" s="15">
        <f t="shared" si="2"/>
        <v>482.5</v>
      </c>
      <c r="F21" s="16">
        <f t="shared" si="3"/>
        <v>5.884146341</v>
      </c>
      <c r="G21" s="1">
        <v>82.0</v>
      </c>
      <c r="H21" s="1">
        <v>20.0</v>
      </c>
      <c r="I21" s="1">
        <v>65.0</v>
      </c>
      <c r="J21" s="1">
        <v>85.0</v>
      </c>
      <c r="K21" s="1">
        <v>219.0</v>
      </c>
      <c r="L21" s="1">
        <v>6.0</v>
      </c>
      <c r="M21" s="1">
        <v>32.0</v>
      </c>
      <c r="N21" s="1">
        <v>0.0</v>
      </c>
      <c r="O21" s="1">
        <v>0.0</v>
      </c>
      <c r="P21" s="1">
        <v>94.0</v>
      </c>
      <c r="Q21" s="1">
        <v>129.0</v>
      </c>
    </row>
    <row r="22">
      <c r="A22" s="1">
        <f t="shared" si="1"/>
        <v>20</v>
      </c>
      <c r="B22" s="1" t="s">
        <v>1095</v>
      </c>
      <c r="C22" s="1" t="s">
        <v>1052</v>
      </c>
      <c r="D22" s="1" t="s">
        <v>28</v>
      </c>
      <c r="E22" s="15">
        <f t="shared" si="2"/>
        <v>481</v>
      </c>
      <c r="F22" s="16">
        <f t="shared" si="3"/>
        <v>6.328947368</v>
      </c>
      <c r="G22" s="1">
        <v>76.0</v>
      </c>
      <c r="H22" s="1">
        <v>40.0</v>
      </c>
      <c r="I22" s="1">
        <v>44.0</v>
      </c>
      <c r="J22" s="1">
        <v>84.0</v>
      </c>
      <c r="K22" s="1">
        <v>264.0</v>
      </c>
      <c r="L22" s="1">
        <v>7.0</v>
      </c>
      <c r="M22" s="1">
        <v>15.0</v>
      </c>
      <c r="N22" s="1">
        <v>0.0</v>
      </c>
      <c r="O22" s="1">
        <v>0.0</v>
      </c>
      <c r="P22" s="1">
        <v>72.0</v>
      </c>
      <c r="Q22" s="1">
        <v>38.0</v>
      </c>
    </row>
    <row r="23">
      <c r="A23" s="1">
        <f t="shared" si="1"/>
        <v>21</v>
      </c>
      <c r="B23" s="1" t="s">
        <v>1041</v>
      </c>
      <c r="C23" s="1" t="s">
        <v>1042</v>
      </c>
      <c r="D23" s="1" t="s">
        <v>36</v>
      </c>
      <c r="E23" s="15">
        <f t="shared" si="2"/>
        <v>480</v>
      </c>
      <c r="F23" s="16">
        <f t="shared" si="3"/>
        <v>6.956521739</v>
      </c>
      <c r="G23" s="1">
        <v>69.0</v>
      </c>
      <c r="H23" s="1">
        <v>42.0</v>
      </c>
      <c r="I23" s="1">
        <v>42.0</v>
      </c>
      <c r="J23" s="1">
        <v>84.0</v>
      </c>
      <c r="K23" s="1">
        <v>226.0</v>
      </c>
      <c r="L23" s="1">
        <v>10.0</v>
      </c>
      <c r="M23" s="1">
        <v>17.0</v>
      </c>
      <c r="N23" s="1">
        <v>0.0</v>
      </c>
      <c r="O23" s="1">
        <v>0.0</v>
      </c>
      <c r="P23" s="1">
        <v>112.0</v>
      </c>
      <c r="Q23" s="1">
        <v>48.0</v>
      </c>
    </row>
    <row r="24">
      <c r="A24" s="1">
        <f t="shared" si="1"/>
        <v>22</v>
      </c>
      <c r="B24" s="1" t="s">
        <v>1319</v>
      </c>
      <c r="C24" s="1" t="s">
        <v>1172</v>
      </c>
      <c r="D24" s="1" t="s">
        <v>36</v>
      </c>
      <c r="E24" s="15">
        <f t="shared" si="2"/>
        <v>474.25</v>
      </c>
      <c r="F24" s="16">
        <f t="shared" si="3"/>
        <v>6.080128205</v>
      </c>
      <c r="G24" s="1">
        <v>78.0</v>
      </c>
      <c r="H24" s="1">
        <v>26.0</v>
      </c>
      <c r="I24" s="1">
        <v>66.0</v>
      </c>
      <c r="J24" s="1">
        <v>92.0</v>
      </c>
      <c r="K24" s="1">
        <v>287.0</v>
      </c>
      <c r="L24" s="1">
        <v>9.0</v>
      </c>
      <c r="M24" s="1">
        <v>22.0</v>
      </c>
      <c r="N24" s="1">
        <v>0.0</v>
      </c>
      <c r="O24" s="1">
        <v>0.0</v>
      </c>
      <c r="P24" s="1">
        <v>11.0</v>
      </c>
      <c r="Q24" s="1">
        <v>26.0</v>
      </c>
    </row>
    <row r="25">
      <c r="A25" s="1">
        <f t="shared" si="1"/>
        <v>23</v>
      </c>
      <c r="B25" s="1" t="s">
        <v>1123</v>
      </c>
      <c r="C25" s="1" t="s">
        <v>1172</v>
      </c>
      <c r="D25" s="1" t="s">
        <v>36</v>
      </c>
      <c r="E25" s="15">
        <f t="shared" si="2"/>
        <v>473.25</v>
      </c>
      <c r="F25" s="16">
        <f t="shared" si="3"/>
        <v>5.771341463</v>
      </c>
      <c r="G25" s="1">
        <v>82.0</v>
      </c>
      <c r="H25" s="1">
        <v>41.0</v>
      </c>
      <c r="I25" s="1">
        <v>37.0</v>
      </c>
      <c r="J25" s="1">
        <v>78.0</v>
      </c>
      <c r="K25" s="1">
        <v>270.0</v>
      </c>
      <c r="L25" s="1">
        <v>14.0</v>
      </c>
      <c r="M25" s="1">
        <v>14.0</v>
      </c>
      <c r="N25" s="1">
        <v>0.0</v>
      </c>
      <c r="O25" s="1">
        <v>0.0</v>
      </c>
      <c r="P25" s="1">
        <v>101.0</v>
      </c>
      <c r="Q25" s="1">
        <v>35.0</v>
      </c>
    </row>
    <row r="26">
      <c r="A26" s="1">
        <f t="shared" si="1"/>
        <v>24</v>
      </c>
      <c r="B26" s="1" t="s">
        <v>1223</v>
      </c>
      <c r="C26" s="1" t="s">
        <v>1069</v>
      </c>
      <c r="D26" s="1" t="s">
        <v>36</v>
      </c>
      <c r="E26" s="15">
        <f t="shared" si="2"/>
        <v>473</v>
      </c>
      <c r="F26" s="16">
        <f t="shared" si="3"/>
        <v>5.768292683</v>
      </c>
      <c r="G26" s="1">
        <v>82.0</v>
      </c>
      <c r="H26" s="1">
        <v>42.0</v>
      </c>
      <c r="I26" s="1">
        <v>40.0</v>
      </c>
      <c r="J26" s="1">
        <v>82.0</v>
      </c>
      <c r="K26" s="1">
        <v>235.0</v>
      </c>
      <c r="L26" s="1">
        <v>10.0</v>
      </c>
      <c r="M26" s="1">
        <v>9.0</v>
      </c>
      <c r="N26" s="1">
        <v>1.0</v>
      </c>
      <c r="O26" s="1">
        <v>1.0</v>
      </c>
      <c r="P26" s="1">
        <v>66.0</v>
      </c>
      <c r="Q26" s="1">
        <v>52.0</v>
      </c>
    </row>
    <row r="27">
      <c r="A27" s="1">
        <f t="shared" si="1"/>
        <v>24</v>
      </c>
      <c r="B27" s="1" t="s">
        <v>1092</v>
      </c>
      <c r="C27" s="1" t="s">
        <v>1048</v>
      </c>
      <c r="D27" s="1" t="s">
        <v>31</v>
      </c>
      <c r="E27" s="15">
        <f t="shared" si="2"/>
        <v>473</v>
      </c>
      <c r="F27" s="16">
        <f t="shared" si="3"/>
        <v>7.059701493</v>
      </c>
      <c r="G27" s="1">
        <v>67.0</v>
      </c>
      <c r="H27" s="1">
        <v>39.0</v>
      </c>
      <c r="I27" s="1">
        <v>49.0</v>
      </c>
      <c r="J27" s="1">
        <v>88.0</v>
      </c>
      <c r="K27" s="1">
        <v>214.0</v>
      </c>
      <c r="L27" s="1">
        <v>12.0</v>
      </c>
      <c r="M27" s="1">
        <v>14.0</v>
      </c>
      <c r="N27" s="1">
        <v>4.0</v>
      </c>
      <c r="O27" s="1">
        <v>1.0</v>
      </c>
      <c r="P27" s="1">
        <v>50.0</v>
      </c>
      <c r="Q27" s="1">
        <v>42.0</v>
      </c>
    </row>
    <row r="28">
      <c r="A28" s="1">
        <f t="shared" si="1"/>
        <v>26</v>
      </c>
      <c r="B28" s="1" t="s">
        <v>1043</v>
      </c>
      <c r="C28" s="1" t="s">
        <v>1044</v>
      </c>
      <c r="D28" s="1" t="s">
        <v>28</v>
      </c>
      <c r="E28" s="15">
        <f t="shared" si="2"/>
        <v>470</v>
      </c>
      <c r="F28" s="16">
        <f t="shared" si="3"/>
        <v>5.949367089</v>
      </c>
      <c r="G28" s="1">
        <v>79.0</v>
      </c>
      <c r="H28" s="1">
        <v>30.0</v>
      </c>
      <c r="I28" s="1">
        <v>37.0</v>
      </c>
      <c r="J28" s="1">
        <v>67.0</v>
      </c>
      <c r="K28" s="1">
        <v>288.0</v>
      </c>
      <c r="L28" s="1">
        <v>9.0</v>
      </c>
      <c r="M28" s="1">
        <v>8.0</v>
      </c>
      <c r="N28" s="1">
        <v>0.0</v>
      </c>
      <c r="O28" s="1">
        <v>0.0</v>
      </c>
      <c r="P28" s="1">
        <v>270.0</v>
      </c>
      <c r="Q28" s="1">
        <v>25.0</v>
      </c>
    </row>
    <row r="29">
      <c r="A29" s="1">
        <f t="shared" si="1"/>
        <v>27</v>
      </c>
      <c r="B29" s="1" t="s">
        <v>1037</v>
      </c>
      <c r="C29" s="1" t="s">
        <v>1038</v>
      </c>
      <c r="D29" s="1" t="s">
        <v>36</v>
      </c>
      <c r="E29" s="15">
        <f t="shared" si="2"/>
        <v>469.75</v>
      </c>
      <c r="F29" s="16">
        <f t="shared" si="3"/>
        <v>6.524305556</v>
      </c>
      <c r="G29" s="1">
        <v>72.0</v>
      </c>
      <c r="H29" s="1">
        <v>40.0</v>
      </c>
      <c r="I29" s="1">
        <v>37.0</v>
      </c>
      <c r="J29" s="1">
        <v>77.0</v>
      </c>
      <c r="K29" s="1">
        <v>312.0</v>
      </c>
      <c r="L29" s="1">
        <v>15.0</v>
      </c>
      <c r="M29" s="1">
        <v>11.0</v>
      </c>
      <c r="N29" s="1">
        <v>0.0</v>
      </c>
      <c r="O29" s="1">
        <v>0.0</v>
      </c>
      <c r="P29" s="1">
        <v>63.0</v>
      </c>
      <c r="Q29" s="1">
        <v>14.0</v>
      </c>
    </row>
    <row r="30">
      <c r="A30" s="1">
        <f t="shared" si="1"/>
        <v>28</v>
      </c>
      <c r="B30" s="1" t="s">
        <v>1113</v>
      </c>
      <c r="C30" s="1" t="s">
        <v>1054</v>
      </c>
      <c r="D30" s="1" t="s">
        <v>28</v>
      </c>
      <c r="E30" s="15">
        <f t="shared" si="2"/>
        <v>461</v>
      </c>
      <c r="F30" s="16">
        <f t="shared" si="3"/>
        <v>5.62195122</v>
      </c>
      <c r="G30" s="1">
        <v>82.0</v>
      </c>
      <c r="H30" s="1">
        <v>33.0</v>
      </c>
      <c r="I30" s="1">
        <v>52.0</v>
      </c>
      <c r="J30" s="1">
        <v>85.0</v>
      </c>
      <c r="K30" s="1">
        <v>262.0</v>
      </c>
      <c r="L30" s="1">
        <v>5.0</v>
      </c>
      <c r="M30" s="1">
        <v>12.0</v>
      </c>
      <c r="N30" s="1">
        <v>1.0</v>
      </c>
      <c r="O30" s="1">
        <v>0.0</v>
      </c>
      <c r="P30" s="1">
        <v>52.0</v>
      </c>
      <c r="Q30" s="1">
        <v>21.0</v>
      </c>
    </row>
    <row r="31">
      <c r="A31" s="1">
        <f t="shared" si="1"/>
        <v>29</v>
      </c>
      <c r="B31" s="1" t="s">
        <v>1169</v>
      </c>
      <c r="C31" s="1" t="s">
        <v>1042</v>
      </c>
      <c r="D31" s="1" t="s">
        <v>31</v>
      </c>
      <c r="E31" s="15">
        <f t="shared" si="2"/>
        <v>458.25</v>
      </c>
      <c r="F31" s="16">
        <f t="shared" si="3"/>
        <v>5.875</v>
      </c>
      <c r="G31" s="1">
        <v>78.0</v>
      </c>
      <c r="H31" s="1">
        <v>43.0</v>
      </c>
      <c r="I31" s="1">
        <v>43.0</v>
      </c>
      <c r="J31" s="1">
        <v>86.0</v>
      </c>
      <c r="K31" s="1">
        <v>228.0</v>
      </c>
      <c r="L31" s="1">
        <v>16.0</v>
      </c>
      <c r="M31" s="1">
        <v>13.0</v>
      </c>
      <c r="N31" s="1">
        <v>0.0</v>
      </c>
      <c r="O31" s="1">
        <v>0.0</v>
      </c>
      <c r="P31" s="1">
        <v>31.0</v>
      </c>
      <c r="Q31" s="1">
        <v>28.0</v>
      </c>
    </row>
    <row r="32">
      <c r="A32" s="1">
        <f t="shared" si="1"/>
        <v>30</v>
      </c>
      <c r="B32" s="1" t="s">
        <v>1199</v>
      </c>
      <c r="C32" s="1" t="s">
        <v>1106</v>
      </c>
      <c r="D32" s="1" t="s">
        <v>36</v>
      </c>
      <c r="E32" s="15">
        <f t="shared" si="2"/>
        <v>457.25</v>
      </c>
      <c r="F32" s="16">
        <f t="shared" si="3"/>
        <v>6.096666667</v>
      </c>
      <c r="G32" s="1">
        <v>75.0</v>
      </c>
      <c r="H32" s="1">
        <v>34.0</v>
      </c>
      <c r="I32" s="1">
        <v>48.0</v>
      </c>
      <c r="J32" s="1">
        <v>82.0</v>
      </c>
      <c r="K32" s="1">
        <v>230.0</v>
      </c>
      <c r="L32" s="1">
        <v>5.0</v>
      </c>
      <c r="M32" s="1">
        <v>17.0</v>
      </c>
      <c r="N32" s="1">
        <v>0.0</v>
      </c>
      <c r="O32" s="1">
        <v>1.0</v>
      </c>
      <c r="P32" s="1">
        <v>83.0</v>
      </c>
      <c r="Q32" s="1">
        <v>45.0</v>
      </c>
    </row>
    <row r="33">
      <c r="A33" s="1">
        <f t="shared" si="1"/>
        <v>31</v>
      </c>
      <c r="B33" s="1" t="s">
        <v>1124</v>
      </c>
      <c r="C33" s="1" t="s">
        <v>1085</v>
      </c>
      <c r="D33" s="1" t="s">
        <v>36</v>
      </c>
      <c r="E33" s="15">
        <f t="shared" si="2"/>
        <v>452</v>
      </c>
      <c r="F33" s="16">
        <f t="shared" si="3"/>
        <v>5.512195122</v>
      </c>
      <c r="G33" s="1">
        <v>82.0</v>
      </c>
      <c r="H33" s="1">
        <v>27.0</v>
      </c>
      <c r="I33" s="1">
        <v>54.0</v>
      </c>
      <c r="J33" s="1">
        <v>81.0</v>
      </c>
      <c r="K33" s="1">
        <v>216.0</v>
      </c>
      <c r="L33" s="1">
        <v>12.0</v>
      </c>
      <c r="M33" s="1">
        <v>13.0</v>
      </c>
      <c r="N33" s="1">
        <v>0.0</v>
      </c>
      <c r="O33" s="1">
        <v>0.0</v>
      </c>
      <c r="P33" s="1">
        <v>104.0</v>
      </c>
      <c r="Q33" s="1">
        <v>69.0</v>
      </c>
    </row>
    <row r="34">
      <c r="A34" s="1">
        <f t="shared" si="1"/>
        <v>32</v>
      </c>
      <c r="B34" s="1" t="s">
        <v>1088</v>
      </c>
      <c r="C34" s="1" t="s">
        <v>1030</v>
      </c>
      <c r="D34" s="1" t="s">
        <v>31</v>
      </c>
      <c r="E34" s="15">
        <f t="shared" si="2"/>
        <v>449</v>
      </c>
      <c r="F34" s="16">
        <f t="shared" si="3"/>
        <v>6.323943662</v>
      </c>
      <c r="G34" s="1">
        <v>71.0</v>
      </c>
      <c r="H34" s="1">
        <v>28.0</v>
      </c>
      <c r="I34" s="1">
        <v>59.0</v>
      </c>
      <c r="J34" s="1">
        <v>87.0</v>
      </c>
      <c r="K34" s="1">
        <v>247.0</v>
      </c>
      <c r="L34" s="1">
        <v>8.0</v>
      </c>
      <c r="M34" s="1">
        <v>21.0</v>
      </c>
      <c r="N34" s="1">
        <v>0.0</v>
      </c>
      <c r="O34" s="1">
        <v>0.0</v>
      </c>
      <c r="P34" s="1">
        <v>52.0</v>
      </c>
      <c r="Q34" s="1">
        <v>19.0</v>
      </c>
    </row>
    <row r="35">
      <c r="A35" s="1">
        <f t="shared" si="1"/>
        <v>33</v>
      </c>
      <c r="B35" s="1" t="s">
        <v>1164</v>
      </c>
      <c r="C35" s="1" t="s">
        <v>1042</v>
      </c>
      <c r="D35" s="1" t="s">
        <v>5</v>
      </c>
      <c r="E35" s="15">
        <f t="shared" si="2"/>
        <v>446.7</v>
      </c>
      <c r="F35" s="16">
        <f t="shared" si="3"/>
        <v>6.667164179</v>
      </c>
      <c r="G35" s="1">
        <v>67.0</v>
      </c>
      <c r="K35" s="12"/>
      <c r="N35" s="12"/>
      <c r="R35" s="1">
        <v>38.0</v>
      </c>
      <c r="S35" s="1">
        <v>173.0</v>
      </c>
      <c r="T35" s="12">
        <v>1934.0</v>
      </c>
      <c r="U35" s="1">
        <v>4.0</v>
      </c>
    </row>
    <row r="36">
      <c r="A36" s="1">
        <f t="shared" si="1"/>
        <v>34</v>
      </c>
      <c r="B36" s="1" t="s">
        <v>1100</v>
      </c>
      <c r="C36" s="1" t="s">
        <v>1040</v>
      </c>
      <c r="D36" s="1" t="s">
        <v>31</v>
      </c>
      <c r="E36" s="15">
        <f t="shared" si="2"/>
        <v>446.25</v>
      </c>
      <c r="F36" s="16">
        <f t="shared" si="3"/>
        <v>5.509259259</v>
      </c>
      <c r="G36" s="1">
        <v>81.0</v>
      </c>
      <c r="H36" s="1">
        <v>29.0</v>
      </c>
      <c r="I36" s="1">
        <v>52.0</v>
      </c>
      <c r="J36" s="1">
        <v>81.0</v>
      </c>
      <c r="K36" s="1">
        <v>219.0</v>
      </c>
      <c r="L36" s="1">
        <v>15.0</v>
      </c>
      <c r="M36" s="1">
        <v>13.0</v>
      </c>
      <c r="N36" s="1">
        <v>1.0</v>
      </c>
      <c r="O36" s="1">
        <v>4.0</v>
      </c>
      <c r="P36" s="1">
        <v>67.0</v>
      </c>
      <c r="Q36" s="1">
        <v>47.0</v>
      </c>
    </row>
    <row r="37">
      <c r="A37" s="1">
        <f t="shared" si="1"/>
        <v>35</v>
      </c>
      <c r="B37" s="1" t="s">
        <v>1072</v>
      </c>
      <c r="C37" s="1" t="s">
        <v>1073</v>
      </c>
      <c r="D37" s="1" t="s">
        <v>28</v>
      </c>
      <c r="E37" s="15">
        <f t="shared" si="2"/>
        <v>445.5</v>
      </c>
      <c r="F37" s="16">
        <f t="shared" si="3"/>
        <v>5.639240506</v>
      </c>
      <c r="G37" s="1">
        <v>79.0</v>
      </c>
      <c r="H37" s="1">
        <v>37.0</v>
      </c>
      <c r="I37" s="1">
        <v>44.0</v>
      </c>
      <c r="J37" s="1">
        <v>81.0</v>
      </c>
      <c r="K37" s="1">
        <v>221.0</v>
      </c>
      <c r="L37" s="1">
        <v>13.0</v>
      </c>
      <c r="M37" s="1">
        <v>15.0</v>
      </c>
      <c r="N37" s="1">
        <v>1.0</v>
      </c>
      <c r="O37" s="1">
        <v>2.0</v>
      </c>
      <c r="P37" s="1">
        <v>76.0</v>
      </c>
      <c r="Q37" s="1">
        <v>23.0</v>
      </c>
    </row>
    <row r="38">
      <c r="A38" s="1">
        <f t="shared" si="1"/>
        <v>36</v>
      </c>
      <c r="B38" s="1" t="s">
        <v>1112</v>
      </c>
      <c r="C38" s="1" t="s">
        <v>1038</v>
      </c>
      <c r="D38" s="1" t="s">
        <v>28</v>
      </c>
      <c r="E38" s="15">
        <f t="shared" si="2"/>
        <v>442.5</v>
      </c>
      <c r="F38" s="16">
        <f t="shared" si="3"/>
        <v>6.321428571</v>
      </c>
      <c r="G38" s="1">
        <v>70.0</v>
      </c>
      <c r="H38" s="1">
        <v>32.0</v>
      </c>
      <c r="I38" s="1">
        <v>48.0</v>
      </c>
      <c r="J38" s="1">
        <v>80.0</v>
      </c>
      <c r="K38" s="1">
        <v>242.0</v>
      </c>
      <c r="L38" s="1">
        <v>7.0</v>
      </c>
      <c r="M38" s="1">
        <v>20.0</v>
      </c>
      <c r="N38" s="1">
        <v>2.0</v>
      </c>
      <c r="O38" s="1">
        <v>0.0</v>
      </c>
      <c r="P38" s="1">
        <v>78.0</v>
      </c>
      <c r="Q38" s="1">
        <v>20.0</v>
      </c>
    </row>
    <row r="39">
      <c r="A39" s="1">
        <f t="shared" si="1"/>
        <v>37</v>
      </c>
      <c r="B39" s="1" t="s">
        <v>1050</v>
      </c>
      <c r="C39" s="1" t="s">
        <v>1032</v>
      </c>
      <c r="D39" s="1" t="s">
        <v>31</v>
      </c>
      <c r="E39" s="15">
        <f t="shared" si="2"/>
        <v>438.75</v>
      </c>
      <c r="F39" s="16">
        <f t="shared" si="3"/>
        <v>5.416666667</v>
      </c>
      <c r="G39" s="1">
        <v>81.0</v>
      </c>
      <c r="H39" s="1">
        <v>34.0</v>
      </c>
      <c r="I39" s="1">
        <v>46.0</v>
      </c>
      <c r="J39" s="1">
        <v>80.0</v>
      </c>
      <c r="K39" s="1">
        <v>256.0</v>
      </c>
      <c r="L39" s="1">
        <v>13.0</v>
      </c>
      <c r="M39" s="1">
        <v>18.0</v>
      </c>
      <c r="N39" s="1">
        <v>0.0</v>
      </c>
      <c r="O39" s="1">
        <v>0.0</v>
      </c>
      <c r="P39" s="1">
        <v>19.0</v>
      </c>
      <c r="Q39" s="1">
        <v>30.0</v>
      </c>
    </row>
    <row r="40">
      <c r="A40" s="1">
        <f t="shared" si="1"/>
        <v>38</v>
      </c>
      <c r="B40" s="1" t="s">
        <v>1051</v>
      </c>
      <c r="C40" s="1" t="s">
        <v>1052</v>
      </c>
      <c r="D40" s="1" t="s">
        <v>31</v>
      </c>
      <c r="E40" s="15">
        <f t="shared" si="2"/>
        <v>433.5</v>
      </c>
      <c r="F40" s="16">
        <f t="shared" si="3"/>
        <v>6.282608696</v>
      </c>
      <c r="G40" s="1">
        <v>69.0</v>
      </c>
      <c r="H40" s="1">
        <v>31.0</v>
      </c>
      <c r="I40" s="1">
        <v>53.0</v>
      </c>
      <c r="J40" s="1">
        <v>84.0</v>
      </c>
      <c r="K40" s="1">
        <v>208.0</v>
      </c>
      <c r="L40" s="1">
        <v>8.0</v>
      </c>
      <c r="M40" s="1">
        <v>22.0</v>
      </c>
      <c r="N40" s="1">
        <v>0.0</v>
      </c>
      <c r="O40" s="1">
        <v>0.0</v>
      </c>
      <c r="P40" s="1">
        <v>50.0</v>
      </c>
      <c r="Q40" s="1">
        <v>37.0</v>
      </c>
    </row>
    <row r="41">
      <c r="A41" s="1">
        <f t="shared" si="1"/>
        <v>39</v>
      </c>
      <c r="B41" s="1" t="s">
        <v>1084</v>
      </c>
      <c r="C41" s="1" t="s">
        <v>1085</v>
      </c>
      <c r="D41" s="1" t="s">
        <v>28</v>
      </c>
      <c r="E41" s="15">
        <f t="shared" si="2"/>
        <v>433</v>
      </c>
      <c r="F41" s="16">
        <f t="shared" si="3"/>
        <v>5.851351351</v>
      </c>
      <c r="G41" s="1">
        <v>74.0</v>
      </c>
      <c r="H41" s="1">
        <v>41.0</v>
      </c>
      <c r="I41" s="1">
        <v>38.0</v>
      </c>
      <c r="J41" s="1">
        <v>79.0</v>
      </c>
      <c r="K41" s="1">
        <v>220.0</v>
      </c>
      <c r="L41" s="1">
        <v>13.0</v>
      </c>
      <c r="M41" s="1">
        <v>8.0</v>
      </c>
      <c r="N41" s="1">
        <v>0.0</v>
      </c>
      <c r="O41" s="1">
        <v>0.0</v>
      </c>
      <c r="P41" s="1">
        <v>50.0</v>
      </c>
      <c r="Q41" s="1">
        <v>24.0</v>
      </c>
    </row>
    <row r="42">
      <c r="A42" s="1">
        <f t="shared" si="1"/>
        <v>39</v>
      </c>
      <c r="B42" s="1" t="s">
        <v>1147</v>
      </c>
      <c r="C42" s="1" t="s">
        <v>1085</v>
      </c>
      <c r="D42" s="1" t="s">
        <v>28</v>
      </c>
      <c r="E42" s="15">
        <f t="shared" si="2"/>
        <v>433</v>
      </c>
      <c r="F42" s="16">
        <f t="shared" si="3"/>
        <v>5.4125</v>
      </c>
      <c r="G42" s="1">
        <v>80.0</v>
      </c>
      <c r="H42" s="1">
        <v>37.0</v>
      </c>
      <c r="I42" s="1">
        <v>35.0</v>
      </c>
      <c r="J42" s="1">
        <v>72.0</v>
      </c>
      <c r="K42" s="1">
        <v>213.0</v>
      </c>
      <c r="L42" s="1">
        <v>9.0</v>
      </c>
      <c r="M42" s="1">
        <v>15.0</v>
      </c>
      <c r="N42" s="1">
        <v>3.0</v>
      </c>
      <c r="O42" s="1">
        <v>1.0</v>
      </c>
      <c r="P42" s="1">
        <v>82.0</v>
      </c>
      <c r="Q42" s="1">
        <v>53.0</v>
      </c>
    </row>
    <row r="43">
      <c r="A43" s="1">
        <f t="shared" si="1"/>
        <v>41</v>
      </c>
      <c r="B43" s="1" t="s">
        <v>1083</v>
      </c>
      <c r="C43" s="1" t="s">
        <v>1032</v>
      </c>
      <c r="D43" s="1" t="s">
        <v>31</v>
      </c>
      <c r="E43" s="15">
        <f t="shared" si="2"/>
        <v>431.5</v>
      </c>
      <c r="F43" s="16">
        <f t="shared" si="3"/>
        <v>5.462025316</v>
      </c>
      <c r="G43" s="1">
        <v>79.0</v>
      </c>
      <c r="H43" s="1">
        <v>27.0</v>
      </c>
      <c r="I43" s="1">
        <v>49.0</v>
      </c>
      <c r="J43" s="1">
        <v>76.0</v>
      </c>
      <c r="K43" s="1">
        <v>237.0</v>
      </c>
      <c r="L43" s="1">
        <v>10.0</v>
      </c>
      <c r="M43" s="1">
        <v>16.0</v>
      </c>
      <c r="N43" s="1">
        <v>0.0</v>
      </c>
      <c r="O43" s="1">
        <v>0.0</v>
      </c>
      <c r="P43" s="1">
        <v>90.0</v>
      </c>
      <c r="Q43" s="1">
        <v>44.0</v>
      </c>
    </row>
    <row r="44">
      <c r="A44" s="1">
        <f t="shared" si="1"/>
        <v>42</v>
      </c>
      <c r="B44" s="1" t="s">
        <v>1215</v>
      </c>
      <c r="C44" s="1" t="s">
        <v>1073</v>
      </c>
      <c r="D44" s="1" t="s">
        <v>36</v>
      </c>
      <c r="E44" s="15">
        <f t="shared" si="2"/>
        <v>431.25</v>
      </c>
      <c r="F44" s="16">
        <f t="shared" si="3"/>
        <v>5.528846154</v>
      </c>
      <c r="G44" s="1">
        <v>78.0</v>
      </c>
      <c r="H44" s="1">
        <v>30.0</v>
      </c>
      <c r="I44" s="1">
        <v>39.0</v>
      </c>
      <c r="J44" s="1">
        <v>69.0</v>
      </c>
      <c r="K44" s="1">
        <v>249.0</v>
      </c>
      <c r="L44" s="1">
        <v>9.0</v>
      </c>
      <c r="M44" s="1">
        <v>13.0</v>
      </c>
      <c r="N44" s="1">
        <v>0.0</v>
      </c>
      <c r="O44" s="1">
        <v>0.0</v>
      </c>
      <c r="P44" s="1">
        <v>189.0</v>
      </c>
      <c r="Q44" s="1">
        <v>15.0</v>
      </c>
    </row>
    <row r="45">
      <c r="A45" s="1">
        <f t="shared" si="1"/>
        <v>43</v>
      </c>
      <c r="B45" s="1" t="s">
        <v>1149</v>
      </c>
      <c r="C45" s="1" t="s">
        <v>1052</v>
      </c>
      <c r="D45" s="1" t="s">
        <v>66</v>
      </c>
      <c r="E45" s="15">
        <f t="shared" si="2"/>
        <v>429.75</v>
      </c>
      <c r="F45" s="16">
        <f t="shared" si="3"/>
        <v>5.509615385</v>
      </c>
      <c r="G45" s="1">
        <v>78.0</v>
      </c>
      <c r="H45" s="1">
        <v>10.0</v>
      </c>
      <c r="I45" s="1">
        <v>58.0</v>
      </c>
      <c r="J45" s="1">
        <v>68.0</v>
      </c>
      <c r="K45" s="1">
        <v>214.0</v>
      </c>
      <c r="L45" s="1">
        <v>2.0</v>
      </c>
      <c r="M45" s="1">
        <v>20.0</v>
      </c>
      <c r="N45" s="1">
        <v>0.0</v>
      </c>
      <c r="O45" s="1">
        <v>0.0</v>
      </c>
      <c r="P45" s="1">
        <v>171.0</v>
      </c>
      <c r="Q45" s="1">
        <v>122.0</v>
      </c>
    </row>
    <row r="46">
      <c r="A46" s="1">
        <f t="shared" si="1"/>
        <v>44</v>
      </c>
      <c r="B46" s="1" t="s">
        <v>2085</v>
      </c>
      <c r="C46" s="1" t="s">
        <v>1038</v>
      </c>
      <c r="D46" s="1" t="s">
        <v>31</v>
      </c>
      <c r="E46" s="15">
        <f t="shared" si="2"/>
        <v>427</v>
      </c>
      <c r="F46" s="16">
        <f t="shared" si="3"/>
        <v>5.849315068</v>
      </c>
      <c r="G46" s="1">
        <v>73.0</v>
      </c>
      <c r="H46" s="1">
        <v>25.0</v>
      </c>
      <c r="I46" s="1">
        <v>40.0</v>
      </c>
      <c r="J46" s="1">
        <v>65.0</v>
      </c>
      <c r="K46" s="1">
        <v>293.0</v>
      </c>
      <c r="L46" s="1">
        <v>8.0</v>
      </c>
      <c r="M46" s="1">
        <v>15.0</v>
      </c>
      <c r="N46" s="1">
        <v>0.0</v>
      </c>
      <c r="O46" s="1">
        <v>3.0</v>
      </c>
      <c r="P46" s="1">
        <v>78.0</v>
      </c>
      <c r="Q46" s="1">
        <v>45.0</v>
      </c>
    </row>
    <row r="47">
      <c r="A47" s="1">
        <f t="shared" si="1"/>
        <v>45</v>
      </c>
      <c r="B47" s="1" t="s">
        <v>1039</v>
      </c>
      <c r="C47" s="1" t="s">
        <v>1040</v>
      </c>
      <c r="D47" s="1" t="s">
        <v>28</v>
      </c>
      <c r="E47" s="15">
        <f t="shared" si="2"/>
        <v>422</v>
      </c>
      <c r="F47" s="16">
        <f t="shared" si="3"/>
        <v>5.626666667</v>
      </c>
      <c r="G47" s="1">
        <v>75.0</v>
      </c>
      <c r="H47" s="1">
        <v>22.0</v>
      </c>
      <c r="I47" s="1">
        <v>74.0</v>
      </c>
      <c r="J47" s="1">
        <v>96.0</v>
      </c>
      <c r="K47" s="1">
        <v>177.0</v>
      </c>
      <c r="L47" s="1">
        <v>5.0</v>
      </c>
      <c r="M47" s="1">
        <v>32.0</v>
      </c>
      <c r="N47" s="1">
        <v>0.0</v>
      </c>
      <c r="O47" s="1">
        <v>0.0</v>
      </c>
      <c r="P47" s="1">
        <v>22.0</v>
      </c>
      <c r="Q47" s="1">
        <v>14.0</v>
      </c>
    </row>
    <row r="48">
      <c r="A48" s="1">
        <f t="shared" si="1"/>
        <v>46</v>
      </c>
      <c r="B48" s="1" t="s">
        <v>1179</v>
      </c>
      <c r="C48" s="1" t="s">
        <v>1040</v>
      </c>
      <c r="D48" s="1" t="s">
        <v>5</v>
      </c>
      <c r="E48" s="15">
        <f t="shared" si="2"/>
        <v>421.8</v>
      </c>
      <c r="F48" s="16">
        <f t="shared" si="3"/>
        <v>7.958490566</v>
      </c>
      <c r="G48" s="1">
        <v>53.0</v>
      </c>
      <c r="K48" s="12"/>
      <c r="N48" s="12"/>
      <c r="R48" s="1">
        <v>36.0</v>
      </c>
      <c r="S48" s="1">
        <v>106.0</v>
      </c>
      <c r="T48" s="12">
        <v>1516.0</v>
      </c>
      <c r="U48" s="1">
        <v>6.0</v>
      </c>
    </row>
    <row r="49">
      <c r="A49" s="1">
        <f t="shared" si="1"/>
        <v>47</v>
      </c>
      <c r="B49" s="1" t="s">
        <v>1135</v>
      </c>
      <c r="C49" s="1" t="s">
        <v>1067</v>
      </c>
      <c r="D49" s="1" t="s">
        <v>36</v>
      </c>
      <c r="E49" s="15">
        <f t="shared" si="2"/>
        <v>420.5</v>
      </c>
      <c r="F49" s="16">
        <f t="shared" si="3"/>
        <v>5.391025641</v>
      </c>
      <c r="G49" s="1">
        <v>78.0</v>
      </c>
      <c r="H49" s="1">
        <v>38.0</v>
      </c>
      <c r="I49" s="1">
        <v>30.0</v>
      </c>
      <c r="J49" s="1">
        <v>68.0</v>
      </c>
      <c r="K49" s="1">
        <v>253.0</v>
      </c>
      <c r="L49" s="1">
        <v>10.0</v>
      </c>
      <c r="M49" s="1">
        <v>6.0</v>
      </c>
      <c r="N49" s="1">
        <v>2.0</v>
      </c>
      <c r="O49" s="1">
        <v>0.0</v>
      </c>
      <c r="P49" s="1">
        <v>66.0</v>
      </c>
      <c r="Q49" s="1">
        <v>25.0</v>
      </c>
    </row>
    <row r="50">
      <c r="A50" s="1">
        <f t="shared" si="1"/>
        <v>48</v>
      </c>
      <c r="B50" s="1" t="s">
        <v>1047</v>
      </c>
      <c r="C50" s="1" t="s">
        <v>1048</v>
      </c>
      <c r="D50" s="1" t="s">
        <v>36</v>
      </c>
      <c r="E50" s="15">
        <f t="shared" si="2"/>
        <v>419.75</v>
      </c>
      <c r="F50" s="16">
        <f t="shared" si="3"/>
        <v>5.381410256</v>
      </c>
      <c r="G50" s="1">
        <v>78.0</v>
      </c>
      <c r="H50" s="1">
        <v>33.0</v>
      </c>
      <c r="I50" s="1">
        <v>49.0</v>
      </c>
      <c r="J50" s="1">
        <v>82.0</v>
      </c>
      <c r="K50" s="1">
        <v>186.0</v>
      </c>
      <c r="L50" s="1">
        <v>16.0</v>
      </c>
      <c r="M50" s="1">
        <v>15.0</v>
      </c>
      <c r="N50" s="1">
        <v>0.0</v>
      </c>
      <c r="O50" s="1">
        <v>2.0</v>
      </c>
      <c r="P50" s="1">
        <v>49.0</v>
      </c>
      <c r="Q50" s="1">
        <v>30.0</v>
      </c>
    </row>
    <row r="51">
      <c r="A51" s="1">
        <f t="shared" si="1"/>
        <v>49</v>
      </c>
      <c r="B51" s="1" t="s">
        <v>1327</v>
      </c>
      <c r="C51" s="1" t="s">
        <v>1069</v>
      </c>
      <c r="D51" s="1" t="s">
        <v>5</v>
      </c>
      <c r="E51" s="15">
        <f t="shared" si="2"/>
        <v>417.6</v>
      </c>
      <c r="F51" s="16">
        <f t="shared" si="3"/>
        <v>6.628571429</v>
      </c>
      <c r="G51" s="1">
        <v>63.0</v>
      </c>
      <c r="K51" s="12"/>
      <c r="N51" s="12"/>
      <c r="R51" s="1">
        <v>37.0</v>
      </c>
      <c r="S51" s="1">
        <v>137.0</v>
      </c>
      <c r="T51" s="12">
        <v>1617.0</v>
      </c>
      <c r="U51" s="1">
        <v>9.0</v>
      </c>
    </row>
    <row r="52">
      <c r="A52" s="1">
        <f t="shared" si="1"/>
        <v>50</v>
      </c>
      <c r="B52" s="1" t="s">
        <v>1136</v>
      </c>
      <c r="C52" s="1" t="s">
        <v>1082</v>
      </c>
      <c r="D52" s="1" t="s">
        <v>66</v>
      </c>
      <c r="E52" s="15">
        <f t="shared" si="2"/>
        <v>416.25</v>
      </c>
      <c r="F52" s="16">
        <f t="shared" si="3"/>
        <v>5.336538462</v>
      </c>
      <c r="G52" s="1">
        <v>78.0</v>
      </c>
      <c r="H52" s="1">
        <v>17.0</v>
      </c>
      <c r="I52" s="1">
        <v>54.0</v>
      </c>
      <c r="J52" s="1">
        <v>71.0</v>
      </c>
      <c r="K52" s="1">
        <v>195.0</v>
      </c>
      <c r="L52" s="1">
        <v>7.0</v>
      </c>
      <c r="M52" s="1">
        <v>18.0</v>
      </c>
      <c r="N52" s="1">
        <v>0.0</v>
      </c>
      <c r="O52" s="1">
        <v>3.0</v>
      </c>
      <c r="P52" s="1">
        <v>73.0</v>
      </c>
      <c r="Q52" s="1">
        <v>112.0</v>
      </c>
    </row>
    <row r="53">
      <c r="A53" s="1">
        <f t="shared" si="1"/>
        <v>51</v>
      </c>
      <c r="B53" s="1" t="s">
        <v>1219</v>
      </c>
      <c r="C53" s="1" t="s">
        <v>1054</v>
      </c>
      <c r="D53" s="1" t="s">
        <v>36</v>
      </c>
      <c r="E53" s="15">
        <f t="shared" si="2"/>
        <v>407.5</v>
      </c>
      <c r="F53" s="16">
        <f t="shared" si="3"/>
        <v>4.969512195</v>
      </c>
      <c r="G53" s="1">
        <v>82.0</v>
      </c>
      <c r="H53" s="1">
        <v>34.0</v>
      </c>
      <c r="I53" s="1">
        <v>31.0</v>
      </c>
      <c r="J53" s="1">
        <v>65.0</v>
      </c>
      <c r="K53" s="1">
        <v>239.0</v>
      </c>
      <c r="L53" s="1">
        <v>1.0</v>
      </c>
      <c r="M53" s="1">
        <v>7.0</v>
      </c>
      <c r="N53" s="1">
        <v>0.0</v>
      </c>
      <c r="O53" s="1">
        <v>0.0</v>
      </c>
      <c r="P53" s="1">
        <v>72.0</v>
      </c>
      <c r="Q53" s="1">
        <v>48.0</v>
      </c>
    </row>
    <row r="54">
      <c r="A54" s="1">
        <f t="shared" si="1"/>
        <v>52</v>
      </c>
      <c r="B54" s="1" t="s">
        <v>1578</v>
      </c>
      <c r="C54" s="1" t="s">
        <v>1082</v>
      </c>
      <c r="D54" s="1" t="s">
        <v>31</v>
      </c>
      <c r="E54" s="15">
        <f t="shared" si="2"/>
        <v>407</v>
      </c>
      <c r="F54" s="16">
        <f t="shared" si="3"/>
        <v>5.151898734</v>
      </c>
      <c r="G54" s="1">
        <v>79.0</v>
      </c>
      <c r="H54" s="1">
        <v>24.0</v>
      </c>
      <c r="I54" s="1">
        <v>54.0</v>
      </c>
      <c r="J54" s="1">
        <v>78.0</v>
      </c>
      <c r="K54" s="1">
        <v>208.0</v>
      </c>
      <c r="L54" s="1">
        <v>8.0</v>
      </c>
      <c r="M54" s="1">
        <v>19.0</v>
      </c>
      <c r="N54" s="1">
        <v>3.0</v>
      </c>
      <c r="O54" s="1">
        <v>2.0</v>
      </c>
      <c r="P54" s="1">
        <v>42.0</v>
      </c>
      <c r="Q54" s="1">
        <v>25.0</v>
      </c>
    </row>
    <row r="55">
      <c r="A55" s="1">
        <f t="shared" si="1"/>
        <v>53</v>
      </c>
      <c r="B55" s="1" t="s">
        <v>1610</v>
      </c>
      <c r="C55" s="1" t="s">
        <v>1030</v>
      </c>
      <c r="D55" s="1" t="s">
        <v>5</v>
      </c>
      <c r="E55" s="15">
        <f t="shared" si="2"/>
        <v>403.8</v>
      </c>
      <c r="F55" s="16">
        <f t="shared" si="3"/>
        <v>7.084210526</v>
      </c>
      <c r="G55" s="1">
        <v>57.0</v>
      </c>
      <c r="K55" s="12"/>
      <c r="N55" s="12"/>
      <c r="R55" s="1">
        <v>37.0</v>
      </c>
      <c r="S55" s="1">
        <v>138.0</v>
      </c>
      <c r="T55" s="12">
        <v>1616.0</v>
      </c>
      <c r="U55" s="1">
        <v>5.0</v>
      </c>
    </row>
    <row r="56">
      <c r="A56" s="1">
        <f t="shared" si="1"/>
        <v>54</v>
      </c>
      <c r="B56" s="1" t="s">
        <v>1290</v>
      </c>
      <c r="C56" s="1" t="s">
        <v>1034</v>
      </c>
      <c r="D56" s="1" t="s">
        <v>5</v>
      </c>
      <c r="E56" s="15">
        <f t="shared" si="2"/>
        <v>402.6</v>
      </c>
      <c r="F56" s="16">
        <f t="shared" si="3"/>
        <v>6.39047619</v>
      </c>
      <c r="G56" s="1">
        <v>63.0</v>
      </c>
      <c r="K56" s="12"/>
      <c r="N56" s="12"/>
      <c r="R56" s="1">
        <v>39.0</v>
      </c>
      <c r="S56" s="1">
        <v>156.0</v>
      </c>
      <c r="T56" s="12">
        <v>1712.0</v>
      </c>
      <c r="U56" s="1">
        <v>2.0</v>
      </c>
    </row>
    <row r="57">
      <c r="A57" s="1">
        <f t="shared" si="1"/>
        <v>55</v>
      </c>
      <c r="B57" s="1" t="s">
        <v>1150</v>
      </c>
      <c r="C57" s="1" t="s">
        <v>1106</v>
      </c>
      <c r="D57" s="1" t="s">
        <v>28</v>
      </c>
      <c r="E57" s="15">
        <f t="shared" si="2"/>
        <v>402.25</v>
      </c>
      <c r="F57" s="16">
        <f t="shared" si="3"/>
        <v>5.510273973</v>
      </c>
      <c r="G57" s="1">
        <v>73.0</v>
      </c>
      <c r="H57" s="1">
        <v>30.0</v>
      </c>
      <c r="I57" s="1">
        <v>46.0</v>
      </c>
      <c r="J57" s="1">
        <v>76.0</v>
      </c>
      <c r="K57" s="1">
        <v>199.0</v>
      </c>
      <c r="L57" s="1">
        <v>8.0</v>
      </c>
      <c r="M57" s="1">
        <v>11.0</v>
      </c>
      <c r="N57" s="1">
        <v>2.0</v>
      </c>
      <c r="O57" s="1">
        <v>2.0</v>
      </c>
      <c r="P57" s="1">
        <v>57.0</v>
      </c>
      <c r="Q57" s="1">
        <v>15.0</v>
      </c>
    </row>
    <row r="58">
      <c r="A58" s="1">
        <f t="shared" si="1"/>
        <v>56</v>
      </c>
      <c r="B58" s="1" t="s">
        <v>1139</v>
      </c>
      <c r="C58" s="1" t="s">
        <v>1032</v>
      </c>
      <c r="D58" s="1" t="s">
        <v>66</v>
      </c>
      <c r="E58" s="15">
        <f t="shared" si="2"/>
        <v>402</v>
      </c>
      <c r="F58" s="16">
        <f t="shared" si="3"/>
        <v>4.902439024</v>
      </c>
      <c r="G58" s="1">
        <v>82.0</v>
      </c>
      <c r="H58" s="1">
        <v>10.0</v>
      </c>
      <c r="I58" s="1">
        <v>58.0</v>
      </c>
      <c r="J58" s="1">
        <v>68.0</v>
      </c>
      <c r="K58" s="1">
        <v>221.0</v>
      </c>
      <c r="L58" s="1">
        <v>2.0</v>
      </c>
      <c r="M58" s="1">
        <v>21.0</v>
      </c>
      <c r="N58" s="1">
        <v>0.0</v>
      </c>
      <c r="O58" s="1">
        <v>3.0</v>
      </c>
      <c r="P58" s="1">
        <v>92.0</v>
      </c>
      <c r="Q58" s="1">
        <v>87.0</v>
      </c>
    </row>
    <row r="59">
      <c r="A59" s="1">
        <f t="shared" si="1"/>
        <v>57</v>
      </c>
      <c r="B59" s="1" t="s">
        <v>1115</v>
      </c>
      <c r="C59" s="1" t="s">
        <v>1116</v>
      </c>
      <c r="D59" s="1" t="s">
        <v>5</v>
      </c>
      <c r="E59" s="15">
        <f t="shared" si="2"/>
        <v>398.1</v>
      </c>
      <c r="F59" s="16">
        <f t="shared" si="3"/>
        <v>6.031818182</v>
      </c>
      <c r="G59" s="1">
        <v>66.0</v>
      </c>
      <c r="K59" s="12"/>
      <c r="N59" s="12"/>
      <c r="R59" s="1">
        <v>29.0</v>
      </c>
      <c r="S59" s="1">
        <v>193.0</v>
      </c>
      <c r="T59" s="12">
        <v>1962.0</v>
      </c>
      <c r="U59" s="1">
        <v>4.0</v>
      </c>
    </row>
    <row r="60">
      <c r="A60" s="1">
        <f t="shared" si="1"/>
        <v>58</v>
      </c>
      <c r="B60" s="1" t="s">
        <v>1341</v>
      </c>
      <c r="C60" s="1" t="s">
        <v>1175</v>
      </c>
      <c r="D60" s="1" t="s">
        <v>28</v>
      </c>
      <c r="E60" s="15">
        <f t="shared" si="2"/>
        <v>396.25</v>
      </c>
      <c r="F60" s="16">
        <f t="shared" si="3"/>
        <v>4.832317073</v>
      </c>
      <c r="G60" s="1">
        <v>82.0</v>
      </c>
      <c r="H60" s="1">
        <v>30.0</v>
      </c>
      <c r="I60" s="1">
        <v>34.0</v>
      </c>
      <c r="J60" s="1">
        <v>64.0</v>
      </c>
      <c r="K60" s="1">
        <v>205.0</v>
      </c>
      <c r="L60" s="1">
        <v>6.0</v>
      </c>
      <c r="M60" s="1">
        <v>10.0</v>
      </c>
      <c r="N60" s="1">
        <v>0.0</v>
      </c>
      <c r="O60" s="1">
        <v>1.0</v>
      </c>
      <c r="P60" s="1">
        <v>105.0</v>
      </c>
      <c r="Q60" s="1">
        <v>57.0</v>
      </c>
    </row>
    <row r="61">
      <c r="A61" s="1">
        <f t="shared" si="1"/>
        <v>59</v>
      </c>
      <c r="B61" s="1" t="s">
        <v>1119</v>
      </c>
      <c r="C61" s="1" t="s">
        <v>1120</v>
      </c>
      <c r="D61" s="1" t="s">
        <v>31</v>
      </c>
      <c r="E61" s="15">
        <f t="shared" si="2"/>
        <v>394.5</v>
      </c>
      <c r="F61" s="16">
        <f t="shared" si="3"/>
        <v>5.556338028</v>
      </c>
      <c r="G61" s="1">
        <v>71.0</v>
      </c>
      <c r="H61" s="1">
        <v>31.0</v>
      </c>
      <c r="I61" s="1">
        <v>38.0</v>
      </c>
      <c r="J61" s="1">
        <v>69.0</v>
      </c>
      <c r="K61" s="1">
        <v>212.0</v>
      </c>
      <c r="L61" s="1">
        <v>6.0</v>
      </c>
      <c r="M61" s="1">
        <v>7.0</v>
      </c>
      <c r="N61" s="1">
        <v>0.0</v>
      </c>
      <c r="O61" s="1">
        <v>1.0</v>
      </c>
      <c r="P61" s="1">
        <v>76.0</v>
      </c>
      <c r="Q61" s="1">
        <v>28.0</v>
      </c>
    </row>
    <row r="62">
      <c r="A62" s="1">
        <f t="shared" si="1"/>
        <v>60</v>
      </c>
      <c r="B62" s="1" t="s">
        <v>1127</v>
      </c>
      <c r="C62" s="1" t="s">
        <v>1040</v>
      </c>
      <c r="D62" s="1" t="s">
        <v>66</v>
      </c>
      <c r="E62" s="15">
        <f t="shared" si="2"/>
        <v>393</v>
      </c>
      <c r="F62" s="16">
        <f t="shared" si="3"/>
        <v>5.038461538</v>
      </c>
      <c r="G62" s="1">
        <v>78.0</v>
      </c>
      <c r="H62" s="1">
        <v>11.0</v>
      </c>
      <c r="I62" s="1">
        <v>63.0</v>
      </c>
      <c r="J62" s="1">
        <v>74.0</v>
      </c>
      <c r="K62" s="1">
        <v>158.0</v>
      </c>
      <c r="L62" s="1">
        <v>0.0</v>
      </c>
      <c r="M62" s="1">
        <v>33.0</v>
      </c>
      <c r="N62" s="1">
        <v>1.0</v>
      </c>
      <c r="O62" s="1">
        <v>1.0</v>
      </c>
      <c r="P62" s="1">
        <v>30.0</v>
      </c>
      <c r="Q62" s="1">
        <v>128.0</v>
      </c>
    </row>
    <row r="63">
      <c r="A63" s="1">
        <f t="shared" si="1"/>
        <v>61</v>
      </c>
      <c r="B63" s="1" t="s">
        <v>1079</v>
      </c>
      <c r="C63" s="1" t="s">
        <v>1080</v>
      </c>
      <c r="D63" s="1" t="s">
        <v>28</v>
      </c>
      <c r="E63" s="15">
        <f t="shared" si="2"/>
        <v>392.25</v>
      </c>
      <c r="F63" s="16">
        <f t="shared" si="3"/>
        <v>5.161184211</v>
      </c>
      <c r="G63" s="1">
        <v>76.0</v>
      </c>
      <c r="H63" s="1">
        <v>30.0</v>
      </c>
      <c r="I63" s="1">
        <v>36.0</v>
      </c>
      <c r="J63" s="1">
        <v>66.0</v>
      </c>
      <c r="K63" s="1">
        <v>251.0</v>
      </c>
      <c r="L63" s="1">
        <v>5.0</v>
      </c>
      <c r="M63" s="1">
        <v>15.0</v>
      </c>
      <c r="N63" s="1">
        <v>0.0</v>
      </c>
      <c r="O63" s="1">
        <v>0.0</v>
      </c>
      <c r="P63" s="1">
        <v>61.0</v>
      </c>
      <c r="Q63" s="1">
        <v>17.0</v>
      </c>
    </row>
    <row r="64">
      <c r="A64" s="1">
        <f t="shared" si="1"/>
        <v>62</v>
      </c>
      <c r="B64" s="1" t="s">
        <v>1152</v>
      </c>
      <c r="C64" s="1" t="s">
        <v>1078</v>
      </c>
      <c r="D64" s="1" t="s">
        <v>31</v>
      </c>
      <c r="E64" s="15">
        <f t="shared" si="2"/>
        <v>390</v>
      </c>
      <c r="F64" s="16">
        <f t="shared" si="3"/>
        <v>4.814814815</v>
      </c>
      <c r="G64" s="1">
        <v>81.0</v>
      </c>
      <c r="H64" s="1">
        <v>19.0</v>
      </c>
      <c r="I64" s="1">
        <v>48.0</v>
      </c>
      <c r="J64" s="1">
        <v>67.0</v>
      </c>
      <c r="K64" s="1">
        <v>210.0</v>
      </c>
      <c r="L64" s="1">
        <v>6.0</v>
      </c>
      <c r="M64" s="1">
        <v>16.0</v>
      </c>
      <c r="N64" s="1">
        <v>0.0</v>
      </c>
      <c r="O64" s="1">
        <v>1.0</v>
      </c>
      <c r="P64" s="1">
        <v>72.0</v>
      </c>
      <c r="Q64" s="1">
        <v>71.0</v>
      </c>
    </row>
    <row r="65">
      <c r="A65" s="1">
        <f t="shared" si="1"/>
        <v>63</v>
      </c>
      <c r="B65" s="1" t="s">
        <v>1181</v>
      </c>
      <c r="C65" s="1" t="s">
        <v>1046</v>
      </c>
      <c r="D65" s="1" t="s">
        <v>5</v>
      </c>
      <c r="E65" s="15">
        <f t="shared" si="2"/>
        <v>389.7</v>
      </c>
      <c r="F65" s="16">
        <f t="shared" si="3"/>
        <v>6.0890625</v>
      </c>
      <c r="G65" s="1">
        <v>64.0</v>
      </c>
      <c r="K65" s="12"/>
      <c r="N65" s="12"/>
      <c r="R65" s="1">
        <v>33.0</v>
      </c>
      <c r="S65" s="1">
        <v>168.0</v>
      </c>
      <c r="T65" s="12">
        <v>1799.0</v>
      </c>
      <c r="U65" s="1">
        <v>1.0</v>
      </c>
    </row>
    <row r="66">
      <c r="A66" s="1">
        <f t="shared" si="1"/>
        <v>64</v>
      </c>
      <c r="B66" s="1" t="s">
        <v>1298</v>
      </c>
      <c r="C66" s="1" t="s">
        <v>1116</v>
      </c>
      <c r="D66" s="1" t="s">
        <v>31</v>
      </c>
      <c r="E66" s="15">
        <f t="shared" si="2"/>
        <v>388</v>
      </c>
      <c r="F66" s="16">
        <f t="shared" si="3"/>
        <v>4.790123457</v>
      </c>
      <c r="G66" s="1">
        <v>81.0</v>
      </c>
      <c r="H66" s="1">
        <v>28.0</v>
      </c>
      <c r="I66" s="1">
        <v>32.0</v>
      </c>
      <c r="J66" s="1">
        <v>60.0</v>
      </c>
      <c r="K66" s="1">
        <v>233.0</v>
      </c>
      <c r="L66" s="1">
        <v>15.0</v>
      </c>
      <c r="M66" s="1">
        <v>4.0</v>
      </c>
      <c r="N66" s="1">
        <v>0.0</v>
      </c>
      <c r="O66" s="1">
        <v>0.0</v>
      </c>
      <c r="P66" s="1">
        <v>112.0</v>
      </c>
      <c r="Q66" s="1">
        <v>43.0</v>
      </c>
    </row>
    <row r="67">
      <c r="A67" s="1">
        <f t="shared" si="1"/>
        <v>65</v>
      </c>
      <c r="B67" s="1" t="s">
        <v>1246</v>
      </c>
      <c r="C67" s="1" t="s">
        <v>1067</v>
      </c>
      <c r="D67" s="1" t="s">
        <v>28</v>
      </c>
      <c r="E67" s="15">
        <f t="shared" si="2"/>
        <v>386.75</v>
      </c>
      <c r="F67" s="16">
        <f t="shared" si="3"/>
        <v>4.834375</v>
      </c>
      <c r="G67" s="1">
        <v>80.0</v>
      </c>
      <c r="H67" s="1">
        <v>33.0</v>
      </c>
      <c r="I67" s="1">
        <v>30.0</v>
      </c>
      <c r="J67" s="1">
        <v>63.0</v>
      </c>
      <c r="K67" s="1">
        <v>262.0</v>
      </c>
      <c r="L67" s="1">
        <v>5.0</v>
      </c>
      <c r="M67" s="1">
        <v>6.0</v>
      </c>
      <c r="N67" s="1">
        <v>0.0</v>
      </c>
      <c r="O67" s="1">
        <v>0.0</v>
      </c>
      <c r="P67" s="1">
        <v>29.0</v>
      </c>
      <c r="Q67" s="1">
        <v>20.0</v>
      </c>
    </row>
    <row r="68">
      <c r="A68" s="1">
        <f t="shared" si="1"/>
        <v>66</v>
      </c>
      <c r="B68" s="1" t="s">
        <v>1060</v>
      </c>
      <c r="C68" s="1" t="s">
        <v>1046</v>
      </c>
      <c r="D68" s="1" t="s">
        <v>31</v>
      </c>
      <c r="E68" s="15">
        <f t="shared" si="2"/>
        <v>385.75</v>
      </c>
      <c r="F68" s="16">
        <f t="shared" si="3"/>
        <v>4.821875</v>
      </c>
      <c r="G68" s="1">
        <v>80.0</v>
      </c>
      <c r="H68" s="1">
        <v>32.0</v>
      </c>
      <c r="I68" s="1">
        <v>36.0</v>
      </c>
      <c r="J68" s="1">
        <v>68.0</v>
      </c>
      <c r="K68" s="1">
        <v>192.0</v>
      </c>
      <c r="L68" s="1">
        <v>10.0</v>
      </c>
      <c r="M68" s="1">
        <v>17.0</v>
      </c>
      <c r="N68" s="1">
        <v>2.0</v>
      </c>
      <c r="O68" s="1">
        <v>0.0</v>
      </c>
      <c r="P68" s="1">
        <v>49.0</v>
      </c>
      <c r="Q68" s="1">
        <v>43.0</v>
      </c>
    </row>
    <row r="69">
      <c r="A69" s="1">
        <f t="shared" si="1"/>
        <v>66</v>
      </c>
      <c r="B69" s="1" t="s">
        <v>1077</v>
      </c>
      <c r="C69" s="1" t="s">
        <v>1078</v>
      </c>
      <c r="D69" s="1" t="s">
        <v>31</v>
      </c>
      <c r="E69" s="15">
        <f t="shared" si="2"/>
        <v>385.75</v>
      </c>
      <c r="F69" s="16">
        <f t="shared" si="3"/>
        <v>4.945512821</v>
      </c>
      <c r="G69" s="1">
        <v>78.0</v>
      </c>
      <c r="H69" s="1">
        <v>35.0</v>
      </c>
      <c r="I69" s="1">
        <v>19.0</v>
      </c>
      <c r="J69" s="1">
        <v>54.0</v>
      </c>
      <c r="K69" s="1">
        <v>247.0</v>
      </c>
      <c r="L69" s="1">
        <v>6.0</v>
      </c>
      <c r="M69" s="1">
        <v>10.0</v>
      </c>
      <c r="N69" s="1">
        <v>3.0</v>
      </c>
      <c r="O69" s="1">
        <v>0.0</v>
      </c>
      <c r="P69" s="1">
        <v>111.0</v>
      </c>
      <c r="Q69" s="1">
        <v>28.0</v>
      </c>
    </row>
    <row r="70">
      <c r="A70" s="1">
        <f t="shared" si="1"/>
        <v>68</v>
      </c>
      <c r="B70" s="1" t="s">
        <v>1247</v>
      </c>
      <c r="C70" s="1" t="s">
        <v>1040</v>
      </c>
      <c r="D70" s="1" t="s">
        <v>66</v>
      </c>
      <c r="E70" s="15">
        <f t="shared" si="2"/>
        <v>379.75</v>
      </c>
      <c r="F70" s="16">
        <f t="shared" si="3"/>
        <v>4.688271605</v>
      </c>
      <c r="G70" s="1">
        <v>81.0</v>
      </c>
      <c r="H70" s="1">
        <v>11.0</v>
      </c>
      <c r="I70" s="1">
        <v>28.0</v>
      </c>
      <c r="J70" s="1">
        <v>39.0</v>
      </c>
      <c r="K70" s="1">
        <v>204.0</v>
      </c>
      <c r="L70" s="1">
        <v>1.0</v>
      </c>
      <c r="M70" s="1">
        <v>3.0</v>
      </c>
      <c r="N70" s="1">
        <v>0.0</v>
      </c>
      <c r="O70" s="1">
        <v>2.0</v>
      </c>
      <c r="P70" s="1">
        <v>207.0</v>
      </c>
      <c r="Q70" s="1">
        <v>177.0</v>
      </c>
    </row>
    <row r="71">
      <c r="A71" s="1">
        <f t="shared" si="1"/>
        <v>69</v>
      </c>
      <c r="B71" s="1" t="s">
        <v>1346</v>
      </c>
      <c r="C71" s="1" t="s">
        <v>1052</v>
      </c>
      <c r="D71" s="1" t="s">
        <v>5</v>
      </c>
      <c r="E71" s="15">
        <f t="shared" si="2"/>
        <v>378.9</v>
      </c>
      <c r="F71" s="16">
        <f t="shared" si="3"/>
        <v>6.532758621</v>
      </c>
      <c r="G71" s="1">
        <v>58.0</v>
      </c>
      <c r="K71" s="12"/>
      <c r="N71" s="12"/>
      <c r="R71" s="1">
        <v>34.0</v>
      </c>
      <c r="S71" s="1">
        <v>138.0</v>
      </c>
      <c r="T71" s="12">
        <v>1573.0</v>
      </c>
      <c r="U71" s="1">
        <v>4.0</v>
      </c>
    </row>
    <row r="72">
      <c r="A72" s="1">
        <f t="shared" si="1"/>
        <v>70</v>
      </c>
      <c r="B72" s="1" t="s">
        <v>1075</v>
      </c>
      <c r="C72" s="1" t="s">
        <v>1076</v>
      </c>
      <c r="D72" s="1" t="s">
        <v>28</v>
      </c>
      <c r="E72" s="15">
        <f t="shared" si="2"/>
        <v>378</v>
      </c>
      <c r="F72" s="16">
        <f t="shared" si="3"/>
        <v>4.973684211</v>
      </c>
      <c r="G72" s="1">
        <v>76.0</v>
      </c>
      <c r="H72" s="1">
        <v>26.0</v>
      </c>
      <c r="I72" s="1">
        <v>47.0</v>
      </c>
      <c r="J72" s="1">
        <v>73.0</v>
      </c>
      <c r="K72" s="1">
        <v>197.0</v>
      </c>
      <c r="L72" s="1">
        <v>3.0</v>
      </c>
      <c r="M72" s="1">
        <v>15.0</v>
      </c>
      <c r="N72" s="1">
        <v>0.0</v>
      </c>
      <c r="O72" s="1">
        <v>0.0</v>
      </c>
      <c r="P72" s="1">
        <v>26.0</v>
      </c>
      <c r="Q72" s="1">
        <v>30.0</v>
      </c>
    </row>
    <row r="73">
      <c r="A73" s="1">
        <f t="shared" si="1"/>
        <v>70</v>
      </c>
      <c r="B73" s="1" t="s">
        <v>1197</v>
      </c>
      <c r="C73" s="1" t="s">
        <v>1054</v>
      </c>
      <c r="D73" s="1" t="s">
        <v>36</v>
      </c>
      <c r="E73" s="15">
        <f t="shared" si="2"/>
        <v>378</v>
      </c>
      <c r="F73" s="16">
        <f t="shared" si="3"/>
        <v>5.4</v>
      </c>
      <c r="G73" s="1">
        <v>70.0</v>
      </c>
      <c r="H73" s="1">
        <v>24.0</v>
      </c>
      <c r="I73" s="1">
        <v>55.0</v>
      </c>
      <c r="J73" s="1">
        <v>79.0</v>
      </c>
      <c r="K73" s="1">
        <v>159.0</v>
      </c>
      <c r="L73" s="1">
        <v>7.0</v>
      </c>
      <c r="M73" s="1">
        <v>21.0</v>
      </c>
      <c r="N73" s="1">
        <v>0.0</v>
      </c>
      <c r="O73" s="1">
        <v>0.0</v>
      </c>
      <c r="P73" s="1">
        <v>36.0</v>
      </c>
      <c r="Q73" s="1">
        <v>33.0</v>
      </c>
    </row>
    <row r="74">
      <c r="A74" s="1">
        <f t="shared" si="1"/>
        <v>72</v>
      </c>
      <c r="B74" s="1" t="s">
        <v>1131</v>
      </c>
      <c r="C74" s="1" t="s">
        <v>1120</v>
      </c>
      <c r="D74" s="1" t="s">
        <v>66</v>
      </c>
      <c r="E74" s="15">
        <f t="shared" si="2"/>
        <v>376.25</v>
      </c>
      <c r="F74" s="16">
        <f t="shared" si="3"/>
        <v>4.588414634</v>
      </c>
      <c r="G74" s="1">
        <v>82.0</v>
      </c>
      <c r="H74" s="1">
        <v>7.0</v>
      </c>
      <c r="I74" s="1">
        <v>43.0</v>
      </c>
      <c r="J74" s="1">
        <v>50.0</v>
      </c>
      <c r="K74" s="1">
        <v>187.0</v>
      </c>
      <c r="L74" s="1">
        <v>2.0</v>
      </c>
      <c r="M74" s="1">
        <v>19.0</v>
      </c>
      <c r="N74" s="1">
        <v>0.0</v>
      </c>
      <c r="O74" s="1">
        <v>2.0</v>
      </c>
      <c r="P74" s="1">
        <v>151.0</v>
      </c>
      <c r="Q74" s="1">
        <v>161.0</v>
      </c>
    </row>
    <row r="75">
      <c r="A75" s="1">
        <f t="shared" si="1"/>
        <v>73</v>
      </c>
      <c r="B75" s="1" t="s">
        <v>1125</v>
      </c>
      <c r="C75" s="1" t="s">
        <v>1106</v>
      </c>
      <c r="D75" s="1" t="s">
        <v>36</v>
      </c>
      <c r="E75" s="15">
        <f t="shared" si="2"/>
        <v>374.5</v>
      </c>
      <c r="F75" s="16">
        <f t="shared" si="3"/>
        <v>5.060810811</v>
      </c>
      <c r="G75" s="1">
        <v>74.0</v>
      </c>
      <c r="H75" s="1">
        <v>27.0</v>
      </c>
      <c r="I75" s="1">
        <v>48.0</v>
      </c>
      <c r="J75" s="1">
        <v>75.0</v>
      </c>
      <c r="K75" s="1">
        <v>188.0</v>
      </c>
      <c r="L75" s="1">
        <v>5.0</v>
      </c>
      <c r="M75" s="1">
        <v>14.0</v>
      </c>
      <c r="N75" s="1">
        <v>0.0</v>
      </c>
      <c r="O75" s="1">
        <v>1.0</v>
      </c>
      <c r="P75" s="1">
        <v>6.0</v>
      </c>
      <c r="Q75" s="1">
        <v>23.0</v>
      </c>
    </row>
    <row r="76">
      <c r="A76" s="1">
        <f t="shared" si="1"/>
        <v>74</v>
      </c>
      <c r="B76" s="1" t="s">
        <v>1068</v>
      </c>
      <c r="C76" s="1" t="s">
        <v>1048</v>
      </c>
      <c r="D76" s="1" t="s">
        <v>66</v>
      </c>
      <c r="E76" s="15">
        <f t="shared" si="2"/>
        <v>372.25</v>
      </c>
      <c r="F76" s="16">
        <f t="shared" si="3"/>
        <v>4.653125</v>
      </c>
      <c r="G76" s="1">
        <v>80.0</v>
      </c>
      <c r="H76" s="1">
        <v>8.0</v>
      </c>
      <c r="I76" s="1">
        <v>36.0</v>
      </c>
      <c r="J76" s="1">
        <v>44.0</v>
      </c>
      <c r="K76" s="1">
        <v>203.0</v>
      </c>
      <c r="L76" s="1">
        <v>1.0</v>
      </c>
      <c r="M76" s="1">
        <v>2.0</v>
      </c>
      <c r="N76" s="1">
        <v>1.0</v>
      </c>
      <c r="O76" s="1">
        <v>1.0</v>
      </c>
      <c r="P76" s="1">
        <v>179.0</v>
      </c>
      <c r="Q76" s="1">
        <v>156.0</v>
      </c>
    </row>
    <row r="77">
      <c r="A77" s="1">
        <f t="shared" si="1"/>
        <v>75</v>
      </c>
      <c r="B77" s="1" t="s">
        <v>1289</v>
      </c>
      <c r="C77" s="1" t="s">
        <v>1080</v>
      </c>
      <c r="D77" s="1" t="s">
        <v>66</v>
      </c>
      <c r="E77" s="15">
        <f t="shared" si="2"/>
        <v>371.5</v>
      </c>
      <c r="F77" s="16">
        <f t="shared" si="3"/>
        <v>4.64375</v>
      </c>
      <c r="G77" s="1">
        <v>80.0</v>
      </c>
      <c r="H77" s="1">
        <v>13.0</v>
      </c>
      <c r="I77" s="1">
        <v>31.0</v>
      </c>
      <c r="J77" s="1">
        <v>44.0</v>
      </c>
      <c r="K77" s="1">
        <v>227.0</v>
      </c>
      <c r="L77" s="1">
        <v>3.0</v>
      </c>
      <c r="M77" s="1">
        <v>10.0</v>
      </c>
      <c r="N77" s="1">
        <v>1.0</v>
      </c>
      <c r="O77" s="1">
        <v>3.0</v>
      </c>
      <c r="P77" s="1">
        <v>66.0</v>
      </c>
      <c r="Q77" s="1">
        <v>164.0</v>
      </c>
    </row>
    <row r="78">
      <c r="A78" s="1">
        <f t="shared" si="1"/>
        <v>76</v>
      </c>
      <c r="B78" s="1" t="s">
        <v>1160</v>
      </c>
      <c r="C78" s="1" t="s">
        <v>1038</v>
      </c>
      <c r="D78" s="1" t="s">
        <v>66</v>
      </c>
      <c r="E78" s="15">
        <f t="shared" si="2"/>
        <v>371.25</v>
      </c>
      <c r="F78" s="16">
        <f t="shared" si="3"/>
        <v>4.759615385</v>
      </c>
      <c r="G78" s="1">
        <v>78.0</v>
      </c>
      <c r="H78" s="1">
        <v>10.0</v>
      </c>
      <c r="I78" s="1">
        <v>46.0</v>
      </c>
      <c r="J78" s="1">
        <v>56.0</v>
      </c>
      <c r="K78" s="1">
        <v>166.0</v>
      </c>
      <c r="L78" s="1">
        <v>4.0</v>
      </c>
      <c r="M78" s="1">
        <v>17.0</v>
      </c>
      <c r="N78" s="1">
        <v>1.0</v>
      </c>
      <c r="O78" s="1">
        <v>0.0</v>
      </c>
      <c r="P78" s="1">
        <v>155.0</v>
      </c>
      <c r="Q78" s="1">
        <v>129.0</v>
      </c>
    </row>
    <row r="79">
      <c r="A79" s="1">
        <f t="shared" si="1"/>
        <v>77</v>
      </c>
      <c r="B79" s="1" t="s">
        <v>1198</v>
      </c>
      <c r="C79" s="1" t="s">
        <v>1087</v>
      </c>
      <c r="D79" s="1" t="s">
        <v>5</v>
      </c>
      <c r="E79" s="15">
        <f t="shared" si="2"/>
        <v>370.5</v>
      </c>
      <c r="F79" s="16">
        <f t="shared" si="3"/>
        <v>7.125</v>
      </c>
      <c r="G79" s="1">
        <v>52.0</v>
      </c>
      <c r="K79" s="12"/>
      <c r="N79" s="12"/>
      <c r="R79" s="1">
        <v>26.0</v>
      </c>
      <c r="S79" s="1">
        <v>123.0</v>
      </c>
      <c r="T79" s="12">
        <v>1520.0</v>
      </c>
      <c r="U79" s="1">
        <v>7.0</v>
      </c>
    </row>
    <row r="80">
      <c r="A80" s="1">
        <f t="shared" si="1"/>
        <v>78</v>
      </c>
      <c r="B80" s="1" t="s">
        <v>1243</v>
      </c>
      <c r="C80" s="1" t="s">
        <v>1175</v>
      </c>
      <c r="D80" s="1" t="s">
        <v>66</v>
      </c>
      <c r="E80" s="15">
        <f t="shared" si="2"/>
        <v>369.25</v>
      </c>
      <c r="F80" s="16">
        <f t="shared" si="3"/>
        <v>4.50304878</v>
      </c>
      <c r="G80" s="1">
        <v>82.0</v>
      </c>
      <c r="H80" s="1">
        <v>10.0</v>
      </c>
      <c r="I80" s="1">
        <v>44.0</v>
      </c>
      <c r="J80" s="1">
        <v>54.0</v>
      </c>
      <c r="K80" s="1">
        <v>203.0</v>
      </c>
      <c r="L80" s="1">
        <v>4.0</v>
      </c>
      <c r="M80" s="1">
        <v>14.0</v>
      </c>
      <c r="N80" s="1">
        <v>0.0</v>
      </c>
      <c r="O80" s="1">
        <v>1.0</v>
      </c>
      <c r="P80" s="1">
        <v>55.0</v>
      </c>
      <c r="Q80" s="1">
        <v>150.0</v>
      </c>
    </row>
    <row r="81">
      <c r="A81" s="1">
        <f t="shared" si="1"/>
        <v>79</v>
      </c>
      <c r="B81" s="1" t="s">
        <v>1239</v>
      </c>
      <c r="C81" s="1" t="s">
        <v>1065</v>
      </c>
      <c r="D81" s="1" t="s">
        <v>31</v>
      </c>
      <c r="E81" s="15">
        <f t="shared" si="2"/>
        <v>367.5</v>
      </c>
      <c r="F81" s="16">
        <f t="shared" si="3"/>
        <v>4.9</v>
      </c>
      <c r="G81" s="1">
        <v>75.0</v>
      </c>
      <c r="H81" s="1">
        <v>37.0</v>
      </c>
      <c r="I81" s="1">
        <v>30.0</v>
      </c>
      <c r="J81" s="1">
        <v>67.0</v>
      </c>
      <c r="K81" s="1">
        <v>192.0</v>
      </c>
      <c r="L81" s="1">
        <v>8.0</v>
      </c>
      <c r="M81" s="1">
        <v>7.0</v>
      </c>
      <c r="N81" s="1">
        <v>0.0</v>
      </c>
      <c r="O81" s="1">
        <v>0.0</v>
      </c>
      <c r="P81" s="1">
        <v>6.0</v>
      </c>
      <c r="Q81" s="1">
        <v>27.0</v>
      </c>
    </row>
    <row r="82">
      <c r="A82" s="1">
        <f t="shared" si="1"/>
        <v>80</v>
      </c>
      <c r="B82" s="1" t="s">
        <v>1103</v>
      </c>
      <c r="C82" s="1" t="s">
        <v>1097</v>
      </c>
      <c r="D82" s="1" t="s">
        <v>31</v>
      </c>
      <c r="E82" s="15">
        <f t="shared" si="2"/>
        <v>366.75</v>
      </c>
      <c r="F82" s="16">
        <f t="shared" si="3"/>
        <v>4.472560976</v>
      </c>
      <c r="G82" s="1">
        <v>82.0</v>
      </c>
      <c r="H82" s="1">
        <v>21.0</v>
      </c>
      <c r="I82" s="1">
        <v>40.0</v>
      </c>
      <c r="J82" s="1">
        <v>61.0</v>
      </c>
      <c r="K82" s="1">
        <v>186.0</v>
      </c>
      <c r="L82" s="1">
        <v>8.0</v>
      </c>
      <c r="M82" s="1">
        <v>12.0</v>
      </c>
      <c r="N82" s="1">
        <v>1.0</v>
      </c>
      <c r="O82" s="1">
        <v>2.0</v>
      </c>
      <c r="P82" s="1">
        <v>89.0</v>
      </c>
      <c r="Q82" s="1">
        <v>62.0</v>
      </c>
    </row>
    <row r="83">
      <c r="A83" s="1">
        <f t="shared" si="1"/>
        <v>81</v>
      </c>
      <c r="B83" s="1" t="s">
        <v>1141</v>
      </c>
      <c r="C83" s="1" t="s">
        <v>1116</v>
      </c>
      <c r="D83" s="1" t="s">
        <v>31</v>
      </c>
      <c r="E83" s="15">
        <f t="shared" si="2"/>
        <v>365.5</v>
      </c>
      <c r="F83" s="16">
        <f t="shared" si="3"/>
        <v>5.455223881</v>
      </c>
      <c r="G83" s="1">
        <v>67.0</v>
      </c>
      <c r="H83" s="1">
        <v>29.0</v>
      </c>
      <c r="I83" s="1">
        <v>41.0</v>
      </c>
      <c r="J83" s="1">
        <v>70.0</v>
      </c>
      <c r="K83" s="1">
        <v>159.0</v>
      </c>
      <c r="L83" s="1">
        <v>7.0</v>
      </c>
      <c r="M83" s="1">
        <v>12.0</v>
      </c>
      <c r="N83" s="1">
        <v>0.0</v>
      </c>
      <c r="O83" s="1">
        <v>0.0</v>
      </c>
      <c r="P83" s="1">
        <v>36.0</v>
      </c>
      <c r="Q83" s="1">
        <v>47.0</v>
      </c>
    </row>
    <row r="84">
      <c r="A84" s="1">
        <f t="shared" si="1"/>
        <v>82</v>
      </c>
      <c r="B84" s="1" t="s">
        <v>1093</v>
      </c>
      <c r="C84" s="1" t="s">
        <v>1087</v>
      </c>
      <c r="D84" s="1" t="s">
        <v>66</v>
      </c>
      <c r="E84" s="15">
        <f t="shared" si="2"/>
        <v>364</v>
      </c>
      <c r="F84" s="16">
        <f t="shared" si="3"/>
        <v>4.55</v>
      </c>
      <c r="G84" s="1">
        <v>80.0</v>
      </c>
      <c r="H84" s="1">
        <v>13.0</v>
      </c>
      <c r="I84" s="1">
        <v>38.0</v>
      </c>
      <c r="J84" s="1">
        <v>51.0</v>
      </c>
      <c r="K84" s="1">
        <v>190.0</v>
      </c>
      <c r="L84" s="1">
        <v>3.0</v>
      </c>
      <c r="M84" s="1">
        <v>19.0</v>
      </c>
      <c r="N84" s="1">
        <v>0.0</v>
      </c>
      <c r="O84" s="1">
        <v>0.0</v>
      </c>
      <c r="P84" s="1">
        <v>78.0</v>
      </c>
      <c r="Q84" s="1">
        <v>154.0</v>
      </c>
    </row>
    <row r="85">
      <c r="A85" s="1">
        <f t="shared" si="1"/>
        <v>83</v>
      </c>
      <c r="B85" s="1" t="s">
        <v>1268</v>
      </c>
      <c r="C85" s="1" t="s">
        <v>1172</v>
      </c>
      <c r="D85" s="1" t="s">
        <v>66</v>
      </c>
      <c r="E85" s="15">
        <f t="shared" si="2"/>
        <v>361.75</v>
      </c>
      <c r="F85" s="16">
        <f t="shared" si="3"/>
        <v>4.637820513</v>
      </c>
      <c r="G85" s="1">
        <v>78.0</v>
      </c>
      <c r="H85" s="1">
        <v>5.0</v>
      </c>
      <c r="I85" s="1">
        <v>46.0</v>
      </c>
      <c r="J85" s="1">
        <v>51.0</v>
      </c>
      <c r="K85" s="1">
        <v>194.0</v>
      </c>
      <c r="L85" s="1">
        <v>0.0</v>
      </c>
      <c r="M85" s="1">
        <v>19.0</v>
      </c>
      <c r="N85" s="1">
        <v>0.0</v>
      </c>
      <c r="O85" s="1">
        <v>1.0</v>
      </c>
      <c r="P85" s="1">
        <v>99.0</v>
      </c>
      <c r="Q85" s="1">
        <v>155.0</v>
      </c>
    </row>
    <row r="86">
      <c r="A86" s="1">
        <f t="shared" si="1"/>
        <v>83</v>
      </c>
      <c r="B86" s="1" t="s">
        <v>1242</v>
      </c>
      <c r="C86" s="1" t="s">
        <v>1120</v>
      </c>
      <c r="D86" s="1" t="s">
        <v>28</v>
      </c>
      <c r="E86" s="15">
        <f t="shared" si="2"/>
        <v>361.75</v>
      </c>
      <c r="F86" s="16">
        <f t="shared" si="3"/>
        <v>5.319852941</v>
      </c>
      <c r="G86" s="1">
        <v>68.0</v>
      </c>
      <c r="H86" s="1">
        <v>30.0</v>
      </c>
      <c r="I86" s="1">
        <v>32.0</v>
      </c>
      <c r="J86" s="1">
        <v>62.0</v>
      </c>
      <c r="K86" s="1">
        <v>180.0</v>
      </c>
      <c r="L86" s="1">
        <v>6.0</v>
      </c>
      <c r="M86" s="1">
        <v>8.0</v>
      </c>
      <c r="N86" s="1">
        <v>1.0</v>
      </c>
      <c r="O86" s="1">
        <v>1.0</v>
      </c>
      <c r="P86" s="1">
        <v>65.0</v>
      </c>
      <c r="Q86" s="1">
        <v>41.0</v>
      </c>
    </row>
    <row r="87">
      <c r="A87" s="1">
        <f t="shared" si="1"/>
        <v>85</v>
      </c>
      <c r="B87" s="1" t="s">
        <v>1188</v>
      </c>
      <c r="C87" s="1" t="s">
        <v>1082</v>
      </c>
      <c r="D87" s="1" t="s">
        <v>36</v>
      </c>
      <c r="E87" s="15">
        <f t="shared" si="2"/>
        <v>361</v>
      </c>
      <c r="F87" s="16">
        <f t="shared" si="3"/>
        <v>4.628205128</v>
      </c>
      <c r="G87" s="1">
        <v>78.0</v>
      </c>
      <c r="H87" s="1">
        <v>24.0</v>
      </c>
      <c r="I87" s="1">
        <v>28.0</v>
      </c>
      <c r="J87" s="1">
        <v>52.0</v>
      </c>
      <c r="K87" s="1">
        <v>151.0</v>
      </c>
      <c r="L87" s="1">
        <v>4.0</v>
      </c>
      <c r="M87" s="1">
        <v>6.0</v>
      </c>
      <c r="N87" s="1">
        <v>2.0</v>
      </c>
      <c r="O87" s="1">
        <v>1.0</v>
      </c>
      <c r="P87" s="1">
        <v>240.0</v>
      </c>
      <c r="Q87" s="1">
        <v>55.0</v>
      </c>
    </row>
    <row r="88">
      <c r="A88" s="1">
        <f t="shared" si="1"/>
        <v>86</v>
      </c>
      <c r="B88" s="1" t="s">
        <v>1933</v>
      </c>
      <c r="C88" s="1" t="s">
        <v>1175</v>
      </c>
      <c r="D88" s="1" t="s">
        <v>31</v>
      </c>
      <c r="E88" s="15">
        <f t="shared" si="2"/>
        <v>360</v>
      </c>
      <c r="F88" s="16">
        <f t="shared" si="3"/>
        <v>4.675324675</v>
      </c>
      <c r="G88" s="1">
        <v>77.0</v>
      </c>
      <c r="H88" s="1">
        <v>23.0</v>
      </c>
      <c r="I88" s="1">
        <v>33.0</v>
      </c>
      <c r="J88" s="1">
        <v>56.0</v>
      </c>
      <c r="K88" s="1">
        <v>199.0</v>
      </c>
      <c r="L88" s="1">
        <v>5.0</v>
      </c>
      <c r="M88" s="1">
        <v>12.0</v>
      </c>
      <c r="N88" s="1">
        <v>2.0</v>
      </c>
      <c r="O88" s="1">
        <v>1.0</v>
      </c>
      <c r="P88" s="1">
        <v>92.0</v>
      </c>
      <c r="Q88" s="1">
        <v>58.0</v>
      </c>
    </row>
    <row r="89">
      <c r="A89" s="1">
        <f t="shared" si="1"/>
        <v>87</v>
      </c>
      <c r="B89" s="1" t="s">
        <v>1185</v>
      </c>
      <c r="C89" s="1" t="s">
        <v>1156</v>
      </c>
      <c r="D89" s="1" t="s">
        <v>36</v>
      </c>
      <c r="E89" s="15">
        <f t="shared" si="2"/>
        <v>357.25</v>
      </c>
      <c r="F89" s="16">
        <f t="shared" si="3"/>
        <v>4.465625</v>
      </c>
      <c r="G89" s="1">
        <v>80.0</v>
      </c>
      <c r="H89" s="1">
        <v>28.0</v>
      </c>
      <c r="I89" s="1">
        <v>29.0</v>
      </c>
      <c r="J89" s="1">
        <v>57.0</v>
      </c>
      <c r="K89" s="1">
        <v>215.0</v>
      </c>
      <c r="L89" s="1">
        <v>9.0</v>
      </c>
      <c r="M89" s="1">
        <v>10.0</v>
      </c>
      <c r="N89" s="1">
        <v>0.0</v>
      </c>
      <c r="O89" s="1">
        <v>0.0</v>
      </c>
      <c r="P89" s="1">
        <v>85.0</v>
      </c>
      <c r="Q89" s="1">
        <v>31.0</v>
      </c>
    </row>
    <row r="90">
      <c r="A90" s="1">
        <f t="shared" si="1"/>
        <v>88</v>
      </c>
      <c r="B90" s="1" t="s">
        <v>1210</v>
      </c>
      <c r="C90" s="1" t="s">
        <v>1048</v>
      </c>
      <c r="D90" s="1" t="s">
        <v>28</v>
      </c>
      <c r="E90" s="15">
        <f t="shared" si="2"/>
        <v>354.75</v>
      </c>
      <c r="F90" s="16">
        <f t="shared" si="3"/>
        <v>4.996478873</v>
      </c>
      <c r="G90" s="1">
        <v>71.0</v>
      </c>
      <c r="H90" s="1">
        <v>28.0</v>
      </c>
      <c r="I90" s="1">
        <v>21.0</v>
      </c>
      <c r="J90" s="1">
        <v>49.0</v>
      </c>
      <c r="K90" s="1">
        <v>241.0</v>
      </c>
      <c r="L90" s="1">
        <v>5.0</v>
      </c>
      <c r="M90" s="1">
        <v>4.0</v>
      </c>
      <c r="N90" s="1">
        <v>0.0</v>
      </c>
      <c r="O90" s="1">
        <v>1.0</v>
      </c>
      <c r="P90" s="1">
        <v>119.0</v>
      </c>
      <c r="Q90" s="1">
        <v>27.0</v>
      </c>
    </row>
    <row r="91">
      <c r="A91" s="1">
        <f t="shared" si="1"/>
        <v>89</v>
      </c>
      <c r="B91" s="1" t="s">
        <v>1130</v>
      </c>
      <c r="C91" s="1" t="s">
        <v>1044</v>
      </c>
      <c r="D91" s="1" t="s">
        <v>28</v>
      </c>
      <c r="E91" s="15">
        <f t="shared" si="2"/>
        <v>354.25</v>
      </c>
      <c r="F91" s="16">
        <f t="shared" si="3"/>
        <v>4.484177215</v>
      </c>
      <c r="G91" s="1">
        <v>79.0</v>
      </c>
      <c r="H91" s="1">
        <v>22.0</v>
      </c>
      <c r="I91" s="1">
        <v>36.0</v>
      </c>
      <c r="J91" s="1">
        <v>58.0</v>
      </c>
      <c r="K91" s="1">
        <v>176.0</v>
      </c>
      <c r="L91" s="1">
        <v>7.0</v>
      </c>
      <c r="M91" s="1">
        <v>19.0</v>
      </c>
      <c r="N91" s="1">
        <v>1.0</v>
      </c>
      <c r="O91" s="1">
        <v>0.0</v>
      </c>
      <c r="P91" s="1">
        <v>125.0</v>
      </c>
      <c r="Q91" s="1">
        <v>52.0</v>
      </c>
    </row>
    <row r="92">
      <c r="A92" s="1">
        <f t="shared" si="1"/>
        <v>90</v>
      </c>
      <c r="B92" s="1" t="s">
        <v>1074</v>
      </c>
      <c r="C92" s="1" t="s">
        <v>1054</v>
      </c>
      <c r="D92" s="1" t="s">
        <v>31</v>
      </c>
      <c r="E92" s="15">
        <f t="shared" si="2"/>
        <v>354</v>
      </c>
      <c r="F92" s="16">
        <f t="shared" si="3"/>
        <v>4.597402597</v>
      </c>
      <c r="G92" s="1">
        <v>77.0</v>
      </c>
      <c r="H92" s="1">
        <v>26.0</v>
      </c>
      <c r="I92" s="1">
        <v>23.0</v>
      </c>
      <c r="J92" s="1">
        <v>49.0</v>
      </c>
      <c r="K92" s="1">
        <v>223.0</v>
      </c>
      <c r="L92" s="1">
        <v>12.0</v>
      </c>
      <c r="M92" s="1">
        <v>5.0</v>
      </c>
      <c r="N92" s="1">
        <v>0.0</v>
      </c>
      <c r="O92" s="1">
        <v>0.0</v>
      </c>
      <c r="P92" s="1">
        <v>138.0</v>
      </c>
      <c r="Q92" s="1">
        <v>44.0</v>
      </c>
    </row>
    <row r="93">
      <c r="A93" s="1">
        <f t="shared" si="1"/>
        <v>90</v>
      </c>
      <c r="B93" s="1" t="s">
        <v>1173</v>
      </c>
      <c r="C93" s="1" t="s">
        <v>1048</v>
      </c>
      <c r="D93" s="1" t="s">
        <v>31</v>
      </c>
      <c r="E93" s="15">
        <f t="shared" si="2"/>
        <v>354</v>
      </c>
      <c r="F93" s="16">
        <f t="shared" si="3"/>
        <v>4.72</v>
      </c>
      <c r="G93" s="1">
        <v>75.0</v>
      </c>
      <c r="H93" s="1">
        <v>21.0</v>
      </c>
      <c r="I93" s="1">
        <v>44.0</v>
      </c>
      <c r="J93" s="1">
        <v>65.0</v>
      </c>
      <c r="K93" s="1">
        <v>205.0</v>
      </c>
      <c r="L93" s="1">
        <v>5.0</v>
      </c>
      <c r="M93" s="1">
        <v>18.0</v>
      </c>
      <c r="N93" s="1">
        <v>0.0</v>
      </c>
      <c r="O93" s="1">
        <v>0.0</v>
      </c>
      <c r="P93" s="1">
        <v>68.0</v>
      </c>
      <c r="Q93" s="1">
        <v>16.0</v>
      </c>
    </row>
    <row r="94">
      <c r="A94" s="1">
        <f t="shared" si="1"/>
        <v>92</v>
      </c>
      <c r="B94" s="1" t="s">
        <v>1249</v>
      </c>
      <c r="C94" s="1" t="s">
        <v>1073</v>
      </c>
      <c r="D94" s="1" t="s">
        <v>31</v>
      </c>
      <c r="E94" s="15">
        <f t="shared" si="2"/>
        <v>353.75</v>
      </c>
      <c r="F94" s="16">
        <f t="shared" si="3"/>
        <v>4.594155844</v>
      </c>
      <c r="G94" s="1">
        <v>77.0</v>
      </c>
      <c r="H94" s="1">
        <v>22.0</v>
      </c>
      <c r="I94" s="1">
        <v>43.0</v>
      </c>
      <c r="J94" s="1">
        <v>65.0</v>
      </c>
      <c r="K94" s="1">
        <v>202.0</v>
      </c>
      <c r="L94" s="1">
        <v>9.0</v>
      </c>
      <c r="M94" s="1">
        <v>22.0</v>
      </c>
      <c r="N94" s="1">
        <v>2.0</v>
      </c>
      <c r="O94" s="1">
        <v>1.0</v>
      </c>
      <c r="P94" s="1">
        <v>15.0</v>
      </c>
      <c r="Q94" s="1">
        <v>30.0</v>
      </c>
    </row>
    <row r="95">
      <c r="A95" s="1">
        <f t="shared" si="1"/>
        <v>93</v>
      </c>
      <c r="B95" s="1" t="s">
        <v>1877</v>
      </c>
      <c r="C95" s="1" t="s">
        <v>1038</v>
      </c>
      <c r="D95" s="1" t="s">
        <v>28</v>
      </c>
      <c r="E95" s="15">
        <f t="shared" si="2"/>
        <v>353.25</v>
      </c>
      <c r="F95" s="16">
        <f t="shared" si="3"/>
        <v>4.361111111</v>
      </c>
      <c r="G95" s="1">
        <v>81.0</v>
      </c>
      <c r="H95" s="1">
        <v>20.0</v>
      </c>
      <c r="I95" s="1">
        <v>41.0</v>
      </c>
      <c r="J95" s="1">
        <v>61.0</v>
      </c>
      <c r="K95" s="1">
        <v>217.0</v>
      </c>
      <c r="L95" s="1">
        <v>7.0</v>
      </c>
      <c r="M95" s="1">
        <v>8.0</v>
      </c>
      <c r="N95" s="1">
        <v>0.0</v>
      </c>
      <c r="O95" s="1">
        <v>0.0</v>
      </c>
      <c r="P95" s="1">
        <v>55.0</v>
      </c>
      <c r="Q95" s="1">
        <v>36.0</v>
      </c>
    </row>
    <row r="96">
      <c r="A96" s="1">
        <f t="shared" si="1"/>
        <v>94</v>
      </c>
      <c r="B96" s="1" t="s">
        <v>1151</v>
      </c>
      <c r="C96" s="1" t="s">
        <v>1116</v>
      </c>
      <c r="D96" s="1" t="s">
        <v>28</v>
      </c>
      <c r="E96" s="15">
        <f t="shared" si="2"/>
        <v>351</v>
      </c>
      <c r="F96" s="16">
        <f t="shared" si="3"/>
        <v>5.661290323</v>
      </c>
      <c r="G96" s="1">
        <v>62.0</v>
      </c>
      <c r="H96" s="1">
        <v>28.0</v>
      </c>
      <c r="I96" s="1">
        <v>27.0</v>
      </c>
      <c r="J96" s="1">
        <v>55.0</v>
      </c>
      <c r="K96" s="1">
        <v>245.0</v>
      </c>
      <c r="L96" s="1">
        <v>4.0</v>
      </c>
      <c r="M96" s="1">
        <v>5.0</v>
      </c>
      <c r="N96" s="1">
        <v>0.0</v>
      </c>
      <c r="O96" s="1">
        <v>0.0</v>
      </c>
      <c r="P96" s="1">
        <v>32.0</v>
      </c>
      <c r="Q96" s="1">
        <v>27.0</v>
      </c>
    </row>
    <row r="97">
      <c r="A97" s="1">
        <f t="shared" si="1"/>
        <v>94</v>
      </c>
      <c r="B97" s="1" t="s">
        <v>1059</v>
      </c>
      <c r="C97" s="1" t="s">
        <v>1036</v>
      </c>
      <c r="D97" s="1" t="s">
        <v>36</v>
      </c>
      <c r="E97" s="15">
        <f t="shared" si="2"/>
        <v>351</v>
      </c>
      <c r="F97" s="16">
        <f t="shared" si="3"/>
        <v>4.618421053</v>
      </c>
      <c r="G97" s="1">
        <v>76.0</v>
      </c>
      <c r="H97" s="1">
        <v>27.0</v>
      </c>
      <c r="I97" s="1">
        <v>27.0</v>
      </c>
      <c r="J97" s="1">
        <v>54.0</v>
      </c>
      <c r="K97" s="1">
        <v>213.0</v>
      </c>
      <c r="L97" s="1">
        <v>5.0</v>
      </c>
      <c r="M97" s="1">
        <v>5.0</v>
      </c>
      <c r="N97" s="1">
        <v>1.0</v>
      </c>
      <c r="O97" s="1">
        <v>3.0</v>
      </c>
      <c r="P97" s="1">
        <v>74.0</v>
      </c>
      <c r="Q97" s="1">
        <v>31.0</v>
      </c>
    </row>
    <row r="98">
      <c r="A98" s="1">
        <f t="shared" si="1"/>
        <v>96</v>
      </c>
      <c r="B98" s="1" t="s">
        <v>1332</v>
      </c>
      <c r="C98" s="1" t="s">
        <v>1069</v>
      </c>
      <c r="D98" s="1" t="s">
        <v>28</v>
      </c>
      <c r="E98" s="15">
        <f t="shared" si="2"/>
        <v>350.25</v>
      </c>
      <c r="F98" s="16">
        <f t="shared" si="3"/>
        <v>4.271341463</v>
      </c>
      <c r="G98" s="1">
        <v>82.0</v>
      </c>
      <c r="H98" s="1">
        <v>35.0</v>
      </c>
      <c r="I98" s="1">
        <v>20.0</v>
      </c>
      <c r="J98" s="1">
        <v>55.0</v>
      </c>
      <c r="K98" s="1">
        <v>185.0</v>
      </c>
      <c r="L98" s="1">
        <v>8.0</v>
      </c>
      <c r="M98" s="1">
        <v>3.0</v>
      </c>
      <c r="N98" s="1">
        <v>2.0</v>
      </c>
      <c r="O98" s="1">
        <v>1.0</v>
      </c>
      <c r="P98" s="1">
        <v>73.0</v>
      </c>
      <c r="Q98" s="1">
        <v>32.0</v>
      </c>
    </row>
    <row r="99">
      <c r="A99" s="1">
        <f t="shared" si="1"/>
        <v>97</v>
      </c>
      <c r="B99" s="1" t="s">
        <v>1162</v>
      </c>
      <c r="C99" s="1" t="s">
        <v>1048</v>
      </c>
      <c r="D99" s="1" t="s">
        <v>5</v>
      </c>
      <c r="E99" s="15">
        <f t="shared" si="2"/>
        <v>349.2</v>
      </c>
      <c r="F99" s="16">
        <f t="shared" si="3"/>
        <v>6.466666667</v>
      </c>
      <c r="G99" s="1">
        <v>54.0</v>
      </c>
      <c r="K99" s="12"/>
      <c r="N99" s="12"/>
      <c r="R99" s="1">
        <v>39.0</v>
      </c>
      <c r="S99" s="1">
        <v>137.0</v>
      </c>
      <c r="T99" s="12">
        <v>1429.0</v>
      </c>
      <c r="U99" s="1">
        <v>3.0</v>
      </c>
    </row>
    <row r="100">
      <c r="A100" s="1">
        <f t="shared" si="1"/>
        <v>98</v>
      </c>
      <c r="B100" s="1" t="s">
        <v>1099</v>
      </c>
      <c r="C100" s="1" t="s">
        <v>1046</v>
      </c>
      <c r="D100" s="1" t="s">
        <v>31</v>
      </c>
      <c r="E100" s="15">
        <f t="shared" si="2"/>
        <v>348</v>
      </c>
      <c r="F100" s="16">
        <f t="shared" si="3"/>
        <v>4.971428571</v>
      </c>
      <c r="G100" s="1">
        <v>70.0</v>
      </c>
      <c r="H100" s="1">
        <v>31.0</v>
      </c>
      <c r="I100" s="1">
        <v>21.0</v>
      </c>
      <c r="J100" s="1">
        <v>52.0</v>
      </c>
      <c r="K100" s="1">
        <v>194.0</v>
      </c>
      <c r="L100" s="1">
        <v>13.0</v>
      </c>
      <c r="M100" s="1">
        <v>6.0</v>
      </c>
      <c r="N100" s="1">
        <v>1.0</v>
      </c>
      <c r="O100" s="1">
        <v>0.0</v>
      </c>
      <c r="P100" s="1">
        <v>96.0</v>
      </c>
      <c r="Q100" s="1">
        <v>45.0</v>
      </c>
    </row>
    <row r="101">
      <c r="A101" s="1">
        <f t="shared" si="1"/>
        <v>99</v>
      </c>
      <c r="B101" s="1" t="s">
        <v>1098</v>
      </c>
      <c r="C101" s="1" t="s">
        <v>1087</v>
      </c>
      <c r="D101" s="1" t="s">
        <v>31</v>
      </c>
      <c r="E101" s="15">
        <f t="shared" si="2"/>
        <v>347.25</v>
      </c>
      <c r="F101" s="16">
        <f t="shared" si="3"/>
        <v>4.822916667</v>
      </c>
      <c r="G101" s="1">
        <v>72.0</v>
      </c>
      <c r="H101" s="1">
        <v>37.0</v>
      </c>
      <c r="I101" s="1">
        <v>22.0</v>
      </c>
      <c r="J101" s="1">
        <v>59.0</v>
      </c>
      <c r="K101" s="1">
        <v>171.0</v>
      </c>
      <c r="L101" s="1">
        <v>11.0</v>
      </c>
      <c r="M101" s="1">
        <v>3.0</v>
      </c>
      <c r="N101" s="1">
        <v>0.0</v>
      </c>
      <c r="O101" s="1">
        <v>0.0</v>
      </c>
      <c r="P101" s="1">
        <v>31.0</v>
      </c>
      <c r="Q101" s="1">
        <v>43.0</v>
      </c>
    </row>
    <row r="102">
      <c r="A102" s="1">
        <f t="shared" si="1"/>
        <v>100</v>
      </c>
      <c r="B102" s="1" t="s">
        <v>1656</v>
      </c>
      <c r="C102" s="1" t="s">
        <v>1073</v>
      </c>
      <c r="D102" s="1" t="s">
        <v>5</v>
      </c>
      <c r="E102" s="15">
        <f t="shared" si="2"/>
        <v>346.5</v>
      </c>
      <c r="F102" s="16">
        <f t="shared" si="3"/>
        <v>6.663461538</v>
      </c>
      <c r="G102" s="1">
        <v>52.0</v>
      </c>
      <c r="K102" s="12"/>
      <c r="N102" s="12"/>
      <c r="R102" s="1">
        <v>35.0</v>
      </c>
      <c r="S102" s="1">
        <v>111.0</v>
      </c>
      <c r="T102" s="12">
        <v>1320.0</v>
      </c>
      <c r="U102" s="1">
        <v>4.0</v>
      </c>
    </row>
    <row r="103">
      <c r="A103" s="1">
        <f t="shared" si="1"/>
        <v>101</v>
      </c>
      <c r="B103" s="1" t="s">
        <v>1406</v>
      </c>
      <c r="C103" s="1" t="s">
        <v>1044</v>
      </c>
      <c r="D103" s="1" t="s">
        <v>31</v>
      </c>
      <c r="E103" s="15">
        <f t="shared" si="2"/>
        <v>345.25</v>
      </c>
      <c r="F103" s="16">
        <f t="shared" si="3"/>
        <v>5.231060606</v>
      </c>
      <c r="G103" s="1">
        <v>66.0</v>
      </c>
      <c r="H103" s="1">
        <v>35.0</v>
      </c>
      <c r="I103" s="1">
        <v>20.0</v>
      </c>
      <c r="J103" s="1">
        <v>55.0</v>
      </c>
      <c r="K103" s="1">
        <v>172.0</v>
      </c>
      <c r="L103" s="1">
        <v>16.0</v>
      </c>
      <c r="M103" s="1">
        <v>7.0</v>
      </c>
      <c r="N103" s="1">
        <v>0.0</v>
      </c>
      <c r="O103" s="1">
        <v>0.0</v>
      </c>
      <c r="P103" s="1">
        <v>79.0</v>
      </c>
      <c r="Q103" s="1">
        <v>44.0</v>
      </c>
    </row>
    <row r="104">
      <c r="A104" s="1">
        <f t="shared" si="1"/>
        <v>102</v>
      </c>
      <c r="B104" s="1" t="s">
        <v>1110</v>
      </c>
      <c r="C104" s="1" t="s">
        <v>1111</v>
      </c>
      <c r="D104" s="1" t="s">
        <v>31</v>
      </c>
      <c r="E104" s="15">
        <f t="shared" si="2"/>
        <v>343.25</v>
      </c>
      <c r="F104" s="16">
        <f t="shared" si="3"/>
        <v>5.123134328</v>
      </c>
      <c r="G104" s="1">
        <v>67.0</v>
      </c>
      <c r="H104" s="1">
        <v>28.0</v>
      </c>
      <c r="I104" s="1">
        <v>35.0</v>
      </c>
      <c r="J104" s="1">
        <v>63.0</v>
      </c>
      <c r="K104" s="1">
        <v>177.0</v>
      </c>
      <c r="L104" s="1">
        <v>5.0</v>
      </c>
      <c r="M104" s="1">
        <v>6.0</v>
      </c>
      <c r="N104" s="1">
        <v>1.0</v>
      </c>
      <c r="O104" s="1">
        <v>1.0</v>
      </c>
      <c r="P104" s="1">
        <v>17.0</v>
      </c>
      <c r="Q104" s="1">
        <v>31.0</v>
      </c>
    </row>
    <row r="105">
      <c r="A105" s="1">
        <f t="shared" si="1"/>
        <v>103</v>
      </c>
      <c r="B105" s="1" t="s">
        <v>1230</v>
      </c>
      <c r="C105" s="1" t="s">
        <v>1032</v>
      </c>
      <c r="D105" s="1" t="s">
        <v>28</v>
      </c>
      <c r="E105" s="15">
        <f t="shared" si="2"/>
        <v>342.75</v>
      </c>
      <c r="F105" s="16">
        <f t="shared" si="3"/>
        <v>4.338607595</v>
      </c>
      <c r="G105" s="1">
        <v>79.0</v>
      </c>
      <c r="H105" s="1">
        <v>23.0</v>
      </c>
      <c r="I105" s="1">
        <v>40.0</v>
      </c>
      <c r="J105" s="1">
        <v>63.0</v>
      </c>
      <c r="K105" s="1">
        <v>175.0</v>
      </c>
      <c r="L105" s="1">
        <v>2.0</v>
      </c>
      <c r="M105" s="1">
        <v>3.0</v>
      </c>
      <c r="N105" s="1">
        <v>0.0</v>
      </c>
      <c r="O105" s="1">
        <v>0.0</v>
      </c>
      <c r="P105" s="1">
        <v>85.0</v>
      </c>
      <c r="Q105" s="1">
        <v>21.0</v>
      </c>
    </row>
    <row r="106">
      <c r="A106" s="1">
        <f t="shared" si="1"/>
        <v>104</v>
      </c>
      <c r="B106" s="1" t="s">
        <v>1489</v>
      </c>
      <c r="C106" s="1" t="s">
        <v>1156</v>
      </c>
      <c r="D106" s="1" t="s">
        <v>5</v>
      </c>
      <c r="E106" s="15">
        <f t="shared" si="2"/>
        <v>342.6</v>
      </c>
      <c r="F106" s="16">
        <f t="shared" si="3"/>
        <v>5.806779661</v>
      </c>
      <c r="G106" s="1">
        <v>59.0</v>
      </c>
      <c r="K106" s="12"/>
      <c r="N106" s="12"/>
      <c r="R106" s="1">
        <v>27.0</v>
      </c>
      <c r="S106" s="1">
        <v>178.0</v>
      </c>
      <c r="T106" s="12">
        <v>1742.0</v>
      </c>
      <c r="U106" s="1">
        <v>2.0</v>
      </c>
    </row>
    <row r="107">
      <c r="A107" s="1">
        <f t="shared" si="1"/>
        <v>105</v>
      </c>
      <c r="B107" s="1" t="s">
        <v>1066</v>
      </c>
      <c r="C107" s="1" t="s">
        <v>1067</v>
      </c>
      <c r="D107" s="1" t="s">
        <v>66</v>
      </c>
      <c r="E107" s="15">
        <f t="shared" si="2"/>
        <v>341.75</v>
      </c>
      <c r="F107" s="16">
        <f t="shared" si="3"/>
        <v>4.271875</v>
      </c>
      <c r="G107" s="1">
        <v>80.0</v>
      </c>
      <c r="H107" s="1">
        <v>13.0</v>
      </c>
      <c r="I107" s="1">
        <v>40.0</v>
      </c>
      <c r="J107" s="1">
        <v>53.0</v>
      </c>
      <c r="K107" s="1">
        <v>171.0</v>
      </c>
      <c r="L107" s="1">
        <v>3.0</v>
      </c>
      <c r="M107" s="1">
        <v>18.0</v>
      </c>
      <c r="N107" s="1">
        <v>0.0</v>
      </c>
      <c r="O107" s="1">
        <v>1.0</v>
      </c>
      <c r="P107" s="1">
        <v>121.0</v>
      </c>
      <c r="Q107" s="1">
        <v>91.0</v>
      </c>
    </row>
    <row r="108">
      <c r="A108" s="1">
        <f t="shared" si="1"/>
        <v>106</v>
      </c>
      <c r="B108" s="1" t="s">
        <v>1177</v>
      </c>
      <c r="C108" s="1" t="s">
        <v>1036</v>
      </c>
      <c r="D108" s="1" t="s">
        <v>66</v>
      </c>
      <c r="E108" s="15">
        <f t="shared" si="2"/>
        <v>341</v>
      </c>
      <c r="F108" s="16">
        <f t="shared" si="3"/>
        <v>4.802816901</v>
      </c>
      <c r="G108" s="1">
        <v>71.0</v>
      </c>
      <c r="H108" s="1">
        <v>9.0</v>
      </c>
      <c r="I108" s="1">
        <v>26.0</v>
      </c>
      <c r="J108" s="1">
        <v>35.0</v>
      </c>
      <c r="K108" s="1">
        <v>203.0</v>
      </c>
      <c r="L108" s="1">
        <v>0.0</v>
      </c>
      <c r="M108" s="1">
        <v>6.0</v>
      </c>
      <c r="N108" s="1">
        <v>2.0</v>
      </c>
      <c r="O108" s="1">
        <v>1.0</v>
      </c>
      <c r="P108" s="1">
        <v>196.0</v>
      </c>
      <c r="Q108" s="1">
        <v>132.0</v>
      </c>
    </row>
    <row r="109">
      <c r="A109" s="1">
        <f t="shared" si="1"/>
        <v>107</v>
      </c>
      <c r="B109" s="1" t="s">
        <v>1105</v>
      </c>
      <c r="C109" s="1" t="s">
        <v>1106</v>
      </c>
      <c r="D109" s="1" t="s">
        <v>31</v>
      </c>
      <c r="E109" s="15">
        <f t="shared" si="2"/>
        <v>340.25</v>
      </c>
      <c r="F109" s="16">
        <f t="shared" si="3"/>
        <v>4.725694444</v>
      </c>
      <c r="G109" s="1">
        <v>72.0</v>
      </c>
      <c r="H109" s="1">
        <v>20.0</v>
      </c>
      <c r="I109" s="1">
        <v>57.0</v>
      </c>
      <c r="J109" s="1">
        <v>77.0</v>
      </c>
      <c r="K109" s="1">
        <v>115.0</v>
      </c>
      <c r="L109" s="1">
        <v>3.0</v>
      </c>
      <c r="M109" s="1">
        <v>11.0</v>
      </c>
      <c r="N109" s="1">
        <v>2.0</v>
      </c>
      <c r="O109" s="1">
        <v>1.0</v>
      </c>
      <c r="P109" s="1">
        <v>13.0</v>
      </c>
      <c r="Q109" s="1">
        <v>25.0</v>
      </c>
    </row>
    <row r="110">
      <c r="A110" s="1">
        <f t="shared" si="1"/>
        <v>108</v>
      </c>
      <c r="B110" s="1" t="s">
        <v>1222</v>
      </c>
      <c r="C110" s="1" t="s">
        <v>1078</v>
      </c>
      <c r="D110" s="1" t="s">
        <v>31</v>
      </c>
      <c r="E110" s="15">
        <f t="shared" si="2"/>
        <v>339.5</v>
      </c>
      <c r="F110" s="16">
        <f t="shared" si="3"/>
        <v>4.297468354</v>
      </c>
      <c r="G110" s="1">
        <v>79.0</v>
      </c>
      <c r="H110" s="1">
        <v>27.0</v>
      </c>
      <c r="I110" s="1">
        <v>24.0</v>
      </c>
      <c r="J110" s="1">
        <v>51.0</v>
      </c>
      <c r="K110" s="1">
        <v>194.0</v>
      </c>
      <c r="L110" s="1">
        <v>2.0</v>
      </c>
      <c r="M110" s="1">
        <v>2.0</v>
      </c>
      <c r="N110" s="1">
        <v>0.0</v>
      </c>
      <c r="O110" s="1">
        <v>3.0</v>
      </c>
      <c r="P110" s="1">
        <v>74.0</v>
      </c>
      <c r="Q110" s="1">
        <v>49.0</v>
      </c>
    </row>
    <row r="111">
      <c r="A111" s="1">
        <f t="shared" si="1"/>
        <v>108</v>
      </c>
      <c r="B111" s="1" t="s">
        <v>1536</v>
      </c>
      <c r="C111" s="1" t="s">
        <v>1048</v>
      </c>
      <c r="D111" s="1" t="s">
        <v>66</v>
      </c>
      <c r="E111" s="15">
        <f t="shared" si="2"/>
        <v>339.5</v>
      </c>
      <c r="F111" s="16">
        <f t="shared" si="3"/>
        <v>5.56557377</v>
      </c>
      <c r="G111" s="1">
        <v>61.0</v>
      </c>
      <c r="H111" s="1">
        <v>15.0</v>
      </c>
      <c r="I111" s="1">
        <v>42.0</v>
      </c>
      <c r="J111" s="1">
        <v>57.0</v>
      </c>
      <c r="K111" s="1">
        <v>180.0</v>
      </c>
      <c r="L111" s="1">
        <v>3.0</v>
      </c>
      <c r="M111" s="1">
        <v>17.0</v>
      </c>
      <c r="N111" s="1">
        <v>0.0</v>
      </c>
      <c r="O111" s="1">
        <v>3.0</v>
      </c>
      <c r="P111" s="1">
        <v>62.0</v>
      </c>
      <c r="Q111" s="1">
        <v>69.0</v>
      </c>
    </row>
    <row r="112">
      <c r="A112" s="1">
        <f t="shared" si="1"/>
        <v>110</v>
      </c>
      <c r="B112" s="1" t="s">
        <v>1062</v>
      </c>
      <c r="C112" s="1" t="s">
        <v>1073</v>
      </c>
      <c r="D112" s="1" t="s">
        <v>31</v>
      </c>
      <c r="E112" s="15">
        <f t="shared" si="2"/>
        <v>337.75</v>
      </c>
      <c r="F112" s="16">
        <f t="shared" si="3"/>
        <v>4.169753086</v>
      </c>
      <c r="G112" s="1">
        <v>81.0</v>
      </c>
      <c r="H112" s="1">
        <v>21.0</v>
      </c>
      <c r="I112" s="1">
        <v>30.0</v>
      </c>
      <c r="J112" s="1">
        <v>51.0</v>
      </c>
      <c r="K112" s="1">
        <v>168.0</v>
      </c>
      <c r="L112" s="1">
        <v>6.0</v>
      </c>
      <c r="M112" s="1">
        <v>6.0</v>
      </c>
      <c r="N112" s="1">
        <v>0.0</v>
      </c>
      <c r="O112" s="1">
        <v>0.0</v>
      </c>
      <c r="P112" s="1">
        <v>185.0</v>
      </c>
      <c r="Q112" s="1">
        <v>46.0</v>
      </c>
    </row>
    <row r="113">
      <c r="A113" s="1">
        <f t="shared" si="1"/>
        <v>111</v>
      </c>
      <c r="B113" s="1" t="s">
        <v>2281</v>
      </c>
      <c r="C113" s="1" t="s">
        <v>1030</v>
      </c>
      <c r="D113" s="1" t="s">
        <v>28</v>
      </c>
      <c r="E113" s="15">
        <f t="shared" si="2"/>
        <v>337.5</v>
      </c>
      <c r="F113" s="16">
        <f t="shared" si="3"/>
        <v>6.617647059</v>
      </c>
      <c r="G113" s="1">
        <v>51.0</v>
      </c>
      <c r="H113" s="1">
        <v>30.0</v>
      </c>
      <c r="I113" s="1">
        <v>29.0</v>
      </c>
      <c r="J113" s="1">
        <v>59.0</v>
      </c>
      <c r="K113" s="1">
        <v>150.0</v>
      </c>
      <c r="L113" s="1">
        <v>7.0</v>
      </c>
      <c r="M113" s="1">
        <v>8.0</v>
      </c>
      <c r="N113" s="1">
        <v>0.0</v>
      </c>
      <c r="O113" s="1">
        <v>0.0</v>
      </c>
      <c r="P113" s="1">
        <v>94.0</v>
      </c>
      <c r="Q113" s="1">
        <v>34.0</v>
      </c>
    </row>
    <row r="114">
      <c r="A114" s="1">
        <f t="shared" si="1"/>
        <v>112</v>
      </c>
      <c r="B114" s="1" t="s">
        <v>1387</v>
      </c>
      <c r="C114" s="1" t="s">
        <v>1080</v>
      </c>
      <c r="D114" s="1" t="s">
        <v>66</v>
      </c>
      <c r="E114" s="15">
        <f t="shared" si="2"/>
        <v>337.25</v>
      </c>
      <c r="F114" s="16">
        <f t="shared" si="3"/>
        <v>4.323717949</v>
      </c>
      <c r="G114" s="1">
        <v>78.0</v>
      </c>
      <c r="H114" s="1">
        <v>14.0</v>
      </c>
      <c r="I114" s="1">
        <v>38.0</v>
      </c>
      <c r="J114" s="1">
        <v>52.0</v>
      </c>
      <c r="K114" s="1">
        <v>205.0</v>
      </c>
      <c r="L114" s="1">
        <v>1.0</v>
      </c>
      <c r="M114" s="1">
        <v>11.0</v>
      </c>
      <c r="N114" s="1">
        <v>0.0</v>
      </c>
      <c r="O114" s="1">
        <v>0.0</v>
      </c>
      <c r="P114" s="1">
        <v>37.0</v>
      </c>
      <c r="Q114" s="1">
        <v>97.0</v>
      </c>
    </row>
    <row r="115">
      <c r="A115" s="1">
        <f t="shared" si="1"/>
        <v>113</v>
      </c>
      <c r="B115" s="1" t="s">
        <v>1063</v>
      </c>
      <c r="C115" s="1" t="s">
        <v>1034</v>
      </c>
      <c r="D115" s="1" t="s">
        <v>31</v>
      </c>
      <c r="E115" s="15">
        <f t="shared" si="2"/>
        <v>336.25</v>
      </c>
      <c r="F115" s="16">
        <f t="shared" si="3"/>
        <v>5.09469697</v>
      </c>
      <c r="G115" s="1">
        <v>66.0</v>
      </c>
      <c r="H115" s="1">
        <v>28.0</v>
      </c>
      <c r="I115" s="1">
        <v>30.0</v>
      </c>
      <c r="J115" s="1">
        <v>58.0</v>
      </c>
      <c r="K115" s="1">
        <v>176.0</v>
      </c>
      <c r="L115" s="1">
        <v>10.0</v>
      </c>
      <c r="M115" s="1">
        <v>12.0</v>
      </c>
      <c r="N115" s="1">
        <v>0.0</v>
      </c>
      <c r="O115" s="1">
        <v>0.0</v>
      </c>
      <c r="P115" s="1">
        <v>75.0</v>
      </c>
      <c r="Q115" s="1">
        <v>27.0</v>
      </c>
    </row>
    <row r="116">
      <c r="A116" s="1">
        <f t="shared" si="1"/>
        <v>113</v>
      </c>
      <c r="B116" s="1" t="s">
        <v>1353</v>
      </c>
      <c r="C116" s="1" t="s">
        <v>1106</v>
      </c>
      <c r="D116" s="1" t="s">
        <v>66</v>
      </c>
      <c r="E116" s="15">
        <f t="shared" si="2"/>
        <v>336.25</v>
      </c>
      <c r="F116" s="16">
        <f t="shared" si="3"/>
        <v>4.424342105</v>
      </c>
      <c r="G116" s="1">
        <v>76.0</v>
      </c>
      <c r="H116" s="1">
        <v>16.0</v>
      </c>
      <c r="I116" s="1">
        <v>31.0</v>
      </c>
      <c r="J116" s="1">
        <v>47.0</v>
      </c>
      <c r="K116" s="1">
        <v>167.0</v>
      </c>
      <c r="L116" s="1">
        <v>1.0</v>
      </c>
      <c r="M116" s="1">
        <v>6.0</v>
      </c>
      <c r="N116" s="1">
        <v>0.0</v>
      </c>
      <c r="O116" s="1">
        <v>0.0</v>
      </c>
      <c r="P116" s="1">
        <v>149.0</v>
      </c>
      <c r="Q116" s="1">
        <v>101.0</v>
      </c>
    </row>
    <row r="117">
      <c r="A117" s="1">
        <f t="shared" si="1"/>
        <v>115</v>
      </c>
      <c r="B117" s="1" t="s">
        <v>1694</v>
      </c>
      <c r="C117" s="1" t="s">
        <v>1065</v>
      </c>
      <c r="D117" s="1" t="s">
        <v>31</v>
      </c>
      <c r="E117" s="15">
        <f t="shared" si="2"/>
        <v>335.5</v>
      </c>
      <c r="F117" s="16">
        <f t="shared" si="3"/>
        <v>4.473333333</v>
      </c>
      <c r="G117" s="1">
        <v>75.0</v>
      </c>
      <c r="H117" s="1">
        <v>23.0</v>
      </c>
      <c r="I117" s="1">
        <v>38.0</v>
      </c>
      <c r="J117" s="1">
        <v>61.0</v>
      </c>
      <c r="K117" s="1">
        <v>181.0</v>
      </c>
      <c r="L117" s="1">
        <v>9.0</v>
      </c>
      <c r="M117" s="1">
        <v>8.0</v>
      </c>
      <c r="N117" s="1">
        <v>0.0</v>
      </c>
      <c r="O117" s="1">
        <v>0.0</v>
      </c>
      <c r="P117" s="1">
        <v>56.0</v>
      </c>
      <c r="Q117" s="1">
        <v>27.0</v>
      </c>
    </row>
    <row r="118">
      <c r="A118" s="1">
        <f t="shared" si="1"/>
        <v>116</v>
      </c>
      <c r="B118" s="1" t="s">
        <v>1534</v>
      </c>
      <c r="C118" s="1" t="s">
        <v>1042</v>
      </c>
      <c r="D118" s="1" t="s">
        <v>28</v>
      </c>
      <c r="E118" s="15">
        <f t="shared" si="2"/>
        <v>334.5</v>
      </c>
      <c r="F118" s="16">
        <f t="shared" si="3"/>
        <v>4.12962963</v>
      </c>
      <c r="G118" s="1">
        <v>81.0</v>
      </c>
      <c r="H118" s="1">
        <v>24.0</v>
      </c>
      <c r="I118" s="1">
        <v>17.0</v>
      </c>
      <c r="J118" s="1">
        <v>41.0</v>
      </c>
      <c r="K118" s="1">
        <v>124.0</v>
      </c>
      <c r="L118" s="1">
        <v>2.0</v>
      </c>
      <c r="M118" s="1">
        <v>1.0</v>
      </c>
      <c r="N118" s="1">
        <v>1.0</v>
      </c>
      <c r="O118" s="1">
        <v>0.0</v>
      </c>
      <c r="P118" s="1">
        <v>318.0</v>
      </c>
      <c r="Q118" s="1">
        <v>64.0</v>
      </c>
    </row>
    <row r="119">
      <c r="A119" s="1">
        <f t="shared" si="1"/>
        <v>117</v>
      </c>
      <c r="B119" s="1" t="s">
        <v>1033</v>
      </c>
      <c r="C119" s="1" t="s">
        <v>1034</v>
      </c>
      <c r="D119" s="1" t="s">
        <v>36</v>
      </c>
      <c r="E119" s="15">
        <f t="shared" si="2"/>
        <v>334</v>
      </c>
      <c r="F119" s="16">
        <f t="shared" si="3"/>
        <v>7.106382979</v>
      </c>
      <c r="G119" s="1">
        <v>47.0</v>
      </c>
      <c r="H119" s="1">
        <v>25.0</v>
      </c>
      <c r="I119" s="1">
        <v>44.0</v>
      </c>
      <c r="J119" s="1">
        <v>69.0</v>
      </c>
      <c r="K119" s="1">
        <v>156.0</v>
      </c>
      <c r="L119" s="1">
        <v>9.0</v>
      </c>
      <c r="M119" s="1">
        <v>21.0</v>
      </c>
      <c r="N119" s="1">
        <v>0.0</v>
      </c>
      <c r="O119" s="1">
        <v>0.0</v>
      </c>
      <c r="P119" s="1">
        <v>32.0</v>
      </c>
      <c r="Q119" s="1">
        <v>7.0</v>
      </c>
    </row>
    <row r="120">
      <c r="A120" s="1">
        <f t="shared" si="1"/>
        <v>118</v>
      </c>
      <c r="B120" s="1" t="s">
        <v>1225</v>
      </c>
      <c r="C120" s="1" t="s">
        <v>1085</v>
      </c>
      <c r="D120" s="1" t="s">
        <v>31</v>
      </c>
      <c r="E120" s="15">
        <f t="shared" si="2"/>
        <v>332.5</v>
      </c>
      <c r="F120" s="16">
        <f t="shared" si="3"/>
        <v>4.104938272</v>
      </c>
      <c r="G120" s="1">
        <v>81.0</v>
      </c>
      <c r="H120" s="1">
        <v>24.0</v>
      </c>
      <c r="I120" s="1">
        <v>25.0</v>
      </c>
      <c r="J120" s="1">
        <v>49.0</v>
      </c>
      <c r="K120" s="1">
        <v>218.0</v>
      </c>
      <c r="L120" s="1">
        <v>3.0</v>
      </c>
      <c r="M120" s="1">
        <v>10.0</v>
      </c>
      <c r="N120" s="1">
        <v>0.0</v>
      </c>
      <c r="O120" s="1">
        <v>0.0</v>
      </c>
      <c r="P120" s="1">
        <v>96.0</v>
      </c>
      <c r="Q120" s="1">
        <v>33.0</v>
      </c>
    </row>
    <row r="121">
      <c r="A121" s="1">
        <f t="shared" si="1"/>
        <v>118</v>
      </c>
      <c r="B121" s="1" t="s">
        <v>1220</v>
      </c>
      <c r="C121" s="1" t="s">
        <v>1106</v>
      </c>
      <c r="D121" s="1" t="s">
        <v>28</v>
      </c>
      <c r="E121" s="15">
        <f t="shared" si="2"/>
        <v>332.5</v>
      </c>
      <c r="F121" s="16">
        <f t="shared" si="3"/>
        <v>4.104938272</v>
      </c>
      <c r="G121" s="1">
        <v>81.0</v>
      </c>
      <c r="H121" s="1">
        <v>26.0</v>
      </c>
      <c r="I121" s="1">
        <v>34.0</v>
      </c>
      <c r="J121" s="1">
        <v>60.0</v>
      </c>
      <c r="K121" s="1">
        <v>111.0</v>
      </c>
      <c r="L121" s="1">
        <v>4.0</v>
      </c>
      <c r="M121" s="1">
        <v>5.0</v>
      </c>
      <c r="N121" s="1">
        <v>1.0</v>
      </c>
      <c r="O121" s="1">
        <v>1.0</v>
      </c>
      <c r="P121" s="1">
        <v>160.0</v>
      </c>
      <c r="Q121" s="1">
        <v>28.0</v>
      </c>
    </row>
    <row r="122">
      <c r="A122" s="1">
        <f t="shared" si="1"/>
        <v>120</v>
      </c>
      <c r="B122" s="1" t="s">
        <v>1347</v>
      </c>
      <c r="C122" s="1" t="s">
        <v>1034</v>
      </c>
      <c r="D122" s="1" t="s">
        <v>31</v>
      </c>
      <c r="E122" s="15">
        <f t="shared" si="2"/>
        <v>331.5</v>
      </c>
      <c r="F122" s="16">
        <f t="shared" si="3"/>
        <v>4.042682927</v>
      </c>
      <c r="G122" s="1">
        <v>82.0</v>
      </c>
      <c r="H122" s="1">
        <v>25.0</v>
      </c>
      <c r="I122" s="1">
        <v>34.0</v>
      </c>
      <c r="J122" s="1">
        <v>59.0</v>
      </c>
      <c r="K122" s="1">
        <v>164.0</v>
      </c>
      <c r="L122" s="1">
        <v>6.0</v>
      </c>
      <c r="M122" s="1">
        <v>8.0</v>
      </c>
      <c r="N122" s="1">
        <v>0.0</v>
      </c>
      <c r="O122" s="1">
        <v>0.0</v>
      </c>
      <c r="P122" s="1">
        <v>88.0</v>
      </c>
      <c r="Q122" s="1">
        <v>26.0</v>
      </c>
    </row>
    <row r="123">
      <c r="A123" s="1">
        <f t="shared" si="1"/>
        <v>121</v>
      </c>
      <c r="B123" s="1" t="s">
        <v>1520</v>
      </c>
      <c r="C123" s="1" t="s">
        <v>1054</v>
      </c>
      <c r="D123" s="1" t="s">
        <v>5</v>
      </c>
      <c r="E123" s="15">
        <f t="shared" si="2"/>
        <v>329.4</v>
      </c>
      <c r="F123" s="16">
        <f t="shared" si="3"/>
        <v>5.778947368</v>
      </c>
      <c r="G123" s="1">
        <v>57.0</v>
      </c>
      <c r="K123" s="12"/>
      <c r="N123" s="12"/>
      <c r="R123" s="1">
        <v>28.0</v>
      </c>
      <c r="S123" s="1">
        <v>159.0</v>
      </c>
      <c r="T123" s="12">
        <v>1573.0</v>
      </c>
      <c r="U123" s="1">
        <v>4.0</v>
      </c>
    </row>
    <row r="124">
      <c r="A124" s="1">
        <f t="shared" si="1"/>
        <v>122</v>
      </c>
      <c r="B124" s="1" t="s">
        <v>1302</v>
      </c>
      <c r="C124" s="1" t="s">
        <v>1080</v>
      </c>
      <c r="D124" s="1" t="s">
        <v>31</v>
      </c>
      <c r="E124" s="15">
        <f t="shared" si="2"/>
        <v>329</v>
      </c>
      <c r="F124" s="16">
        <f t="shared" si="3"/>
        <v>4.164556962</v>
      </c>
      <c r="G124" s="1">
        <v>79.0</v>
      </c>
      <c r="H124" s="1">
        <v>21.0</v>
      </c>
      <c r="I124" s="1">
        <v>43.0</v>
      </c>
      <c r="J124" s="1">
        <v>64.0</v>
      </c>
      <c r="K124" s="1">
        <v>125.0</v>
      </c>
      <c r="L124" s="1">
        <v>6.0</v>
      </c>
      <c r="M124" s="1">
        <v>8.0</v>
      </c>
      <c r="N124" s="1">
        <v>1.0</v>
      </c>
      <c r="O124" s="1">
        <v>1.0</v>
      </c>
      <c r="P124" s="1">
        <v>68.0</v>
      </c>
      <c r="Q124" s="1">
        <v>44.0</v>
      </c>
    </row>
    <row r="125">
      <c r="A125" s="1">
        <f t="shared" si="1"/>
        <v>123</v>
      </c>
      <c r="B125" s="1" t="s">
        <v>1144</v>
      </c>
      <c r="C125" s="1" t="s">
        <v>1076</v>
      </c>
      <c r="D125" s="1" t="s">
        <v>31</v>
      </c>
      <c r="E125" s="15">
        <f t="shared" si="2"/>
        <v>328.5</v>
      </c>
      <c r="F125" s="16">
        <f t="shared" si="3"/>
        <v>4.692857143</v>
      </c>
      <c r="G125" s="1">
        <v>70.0</v>
      </c>
      <c r="H125" s="1">
        <v>21.0</v>
      </c>
      <c r="I125" s="1">
        <v>39.0</v>
      </c>
      <c r="J125" s="1">
        <v>60.0</v>
      </c>
      <c r="K125" s="1">
        <v>153.0</v>
      </c>
      <c r="L125" s="1">
        <v>4.0</v>
      </c>
      <c r="M125" s="1">
        <v>8.0</v>
      </c>
      <c r="N125" s="1">
        <v>0.0</v>
      </c>
      <c r="O125" s="1">
        <v>2.0</v>
      </c>
      <c r="P125" s="1">
        <v>50.0</v>
      </c>
      <c r="Q125" s="1">
        <v>48.0</v>
      </c>
    </row>
    <row r="126">
      <c r="A126" s="1">
        <f t="shared" si="1"/>
        <v>124</v>
      </c>
      <c r="B126" s="1" t="s">
        <v>1089</v>
      </c>
      <c r="C126" s="1" t="s">
        <v>1046</v>
      </c>
      <c r="D126" s="1" t="s">
        <v>66</v>
      </c>
      <c r="E126" s="15">
        <f t="shared" si="2"/>
        <v>327.75</v>
      </c>
      <c r="F126" s="16">
        <f t="shared" si="3"/>
        <v>4.3125</v>
      </c>
      <c r="G126" s="1">
        <v>76.0</v>
      </c>
      <c r="H126" s="1">
        <v>8.0</v>
      </c>
      <c r="I126" s="1">
        <v>60.0</v>
      </c>
      <c r="J126" s="1">
        <v>68.0</v>
      </c>
      <c r="K126" s="1">
        <v>150.0</v>
      </c>
      <c r="L126" s="1">
        <v>0.0</v>
      </c>
      <c r="M126" s="1">
        <v>31.0</v>
      </c>
      <c r="N126" s="1">
        <v>0.0</v>
      </c>
      <c r="O126" s="1">
        <v>2.0</v>
      </c>
      <c r="P126" s="1">
        <v>19.0</v>
      </c>
      <c r="Q126" s="1">
        <v>56.0</v>
      </c>
    </row>
    <row r="127">
      <c r="A127" s="1">
        <f t="shared" si="1"/>
        <v>125</v>
      </c>
      <c r="B127" s="1" t="s">
        <v>1071</v>
      </c>
      <c r="C127" s="1" t="s">
        <v>1036</v>
      </c>
      <c r="D127" s="1" t="s">
        <v>66</v>
      </c>
      <c r="E127" s="15">
        <f t="shared" si="2"/>
        <v>327.5</v>
      </c>
      <c r="F127" s="16">
        <f t="shared" si="3"/>
        <v>4.043209877</v>
      </c>
      <c r="G127" s="1">
        <v>81.0</v>
      </c>
      <c r="H127" s="1">
        <v>12.0</v>
      </c>
      <c r="I127" s="1">
        <v>31.0</v>
      </c>
      <c r="J127" s="1">
        <v>43.0</v>
      </c>
      <c r="K127" s="1">
        <v>205.0</v>
      </c>
      <c r="L127" s="1">
        <v>2.0</v>
      </c>
      <c r="M127" s="1">
        <v>5.0</v>
      </c>
      <c r="N127" s="1">
        <v>0.0</v>
      </c>
      <c r="O127" s="1">
        <v>1.0</v>
      </c>
      <c r="P127" s="1">
        <v>80.0</v>
      </c>
      <c r="Q127" s="1">
        <v>112.0</v>
      </c>
    </row>
    <row r="128">
      <c r="A128" s="1">
        <f t="shared" si="1"/>
        <v>126</v>
      </c>
      <c r="B128" s="1" t="s">
        <v>1090</v>
      </c>
      <c r="C128" s="1" t="s">
        <v>1091</v>
      </c>
      <c r="D128" s="1" t="s">
        <v>31</v>
      </c>
      <c r="E128" s="15">
        <f t="shared" si="2"/>
        <v>327</v>
      </c>
      <c r="F128" s="16">
        <f t="shared" si="3"/>
        <v>4.139240506</v>
      </c>
      <c r="G128" s="1">
        <v>79.0</v>
      </c>
      <c r="H128" s="1">
        <v>16.0</v>
      </c>
      <c r="I128" s="1">
        <v>36.0</v>
      </c>
      <c r="J128" s="1">
        <v>52.0</v>
      </c>
      <c r="K128" s="1">
        <v>220.0</v>
      </c>
      <c r="L128" s="1">
        <v>3.0</v>
      </c>
      <c r="M128" s="1">
        <v>7.0</v>
      </c>
      <c r="N128" s="1">
        <v>0.0</v>
      </c>
      <c r="O128" s="1">
        <v>0.0</v>
      </c>
      <c r="P128" s="1">
        <v>80.0</v>
      </c>
      <c r="Q128" s="1">
        <v>34.0</v>
      </c>
    </row>
    <row r="129">
      <c r="A129" s="1">
        <f t="shared" si="1"/>
        <v>127</v>
      </c>
      <c r="B129" s="1" t="s">
        <v>1155</v>
      </c>
      <c r="C129" s="1" t="s">
        <v>1156</v>
      </c>
      <c r="D129" s="1" t="s">
        <v>66</v>
      </c>
      <c r="E129" s="15">
        <f t="shared" si="2"/>
        <v>326.25</v>
      </c>
      <c r="F129" s="16">
        <f t="shared" si="3"/>
        <v>4.797794118</v>
      </c>
      <c r="G129" s="1">
        <v>68.0</v>
      </c>
      <c r="H129" s="1">
        <v>11.0</v>
      </c>
      <c r="I129" s="1">
        <v>37.0</v>
      </c>
      <c r="J129" s="1">
        <v>48.0</v>
      </c>
      <c r="K129" s="1">
        <v>216.0</v>
      </c>
      <c r="L129" s="1">
        <v>4.0</v>
      </c>
      <c r="M129" s="1">
        <v>10.0</v>
      </c>
      <c r="N129" s="1">
        <v>0.0</v>
      </c>
      <c r="O129" s="1">
        <v>1.0</v>
      </c>
      <c r="P129" s="1">
        <v>33.0</v>
      </c>
      <c r="Q129" s="1">
        <v>95.0</v>
      </c>
    </row>
    <row r="130">
      <c r="A130" s="1">
        <f t="shared" si="1"/>
        <v>128</v>
      </c>
      <c r="B130" s="1" t="s">
        <v>1193</v>
      </c>
      <c r="C130" s="1" t="s">
        <v>1030</v>
      </c>
      <c r="D130" s="1" t="s">
        <v>66</v>
      </c>
      <c r="E130" s="15">
        <f t="shared" si="2"/>
        <v>325.5</v>
      </c>
      <c r="F130" s="16">
        <f t="shared" si="3"/>
        <v>4.931818182</v>
      </c>
      <c r="G130" s="1">
        <v>66.0</v>
      </c>
      <c r="H130" s="1">
        <v>13.0</v>
      </c>
      <c r="I130" s="1">
        <v>44.0</v>
      </c>
      <c r="J130" s="1">
        <v>57.0</v>
      </c>
      <c r="K130" s="1">
        <v>158.0</v>
      </c>
      <c r="L130" s="1">
        <v>2.0</v>
      </c>
      <c r="M130" s="1">
        <v>10.0</v>
      </c>
      <c r="N130" s="1">
        <v>0.0</v>
      </c>
      <c r="O130" s="1">
        <v>0.0</v>
      </c>
      <c r="P130" s="1">
        <v>54.0</v>
      </c>
      <c r="Q130" s="1">
        <v>85.0</v>
      </c>
    </row>
    <row r="131">
      <c r="A131" s="1">
        <f t="shared" si="1"/>
        <v>128</v>
      </c>
      <c r="B131" s="1" t="s">
        <v>1250</v>
      </c>
      <c r="C131" s="1" t="s">
        <v>1106</v>
      </c>
      <c r="D131" s="1" t="s">
        <v>36</v>
      </c>
      <c r="E131" s="15">
        <f t="shared" si="2"/>
        <v>325.5</v>
      </c>
      <c r="F131" s="16">
        <f t="shared" si="3"/>
        <v>4.858208955</v>
      </c>
      <c r="G131" s="1">
        <v>67.0</v>
      </c>
      <c r="H131" s="1">
        <v>27.0</v>
      </c>
      <c r="I131" s="1">
        <v>30.0</v>
      </c>
      <c r="J131" s="1">
        <v>57.0</v>
      </c>
      <c r="K131" s="1">
        <v>177.0</v>
      </c>
      <c r="L131" s="1">
        <v>11.0</v>
      </c>
      <c r="M131" s="1">
        <v>15.0</v>
      </c>
      <c r="N131" s="1">
        <v>0.0</v>
      </c>
      <c r="O131" s="1">
        <v>0.0</v>
      </c>
      <c r="P131" s="1">
        <v>80.0</v>
      </c>
      <c r="Q131" s="1">
        <v>11.0</v>
      </c>
    </row>
    <row r="132">
      <c r="A132" s="1">
        <f t="shared" si="1"/>
        <v>128</v>
      </c>
      <c r="B132" s="1" t="s">
        <v>1391</v>
      </c>
      <c r="C132" s="1" t="s">
        <v>1091</v>
      </c>
      <c r="D132" s="1" t="s">
        <v>36</v>
      </c>
      <c r="E132" s="15">
        <f t="shared" si="2"/>
        <v>325.5</v>
      </c>
      <c r="F132" s="16">
        <f t="shared" si="3"/>
        <v>4.45890411</v>
      </c>
      <c r="G132" s="1">
        <v>73.0</v>
      </c>
      <c r="H132" s="1">
        <v>23.0</v>
      </c>
      <c r="I132" s="1">
        <v>27.0</v>
      </c>
      <c r="J132" s="1">
        <v>50.0</v>
      </c>
      <c r="K132" s="1">
        <v>215.0</v>
      </c>
      <c r="L132" s="1">
        <v>2.0</v>
      </c>
      <c r="M132" s="1">
        <v>3.0</v>
      </c>
      <c r="N132" s="1">
        <v>3.0</v>
      </c>
      <c r="O132" s="1">
        <v>0.0</v>
      </c>
      <c r="P132" s="1">
        <v>20.0</v>
      </c>
      <c r="Q132" s="1">
        <v>45.0</v>
      </c>
    </row>
    <row r="133">
      <c r="A133" s="1">
        <f t="shared" si="1"/>
        <v>131</v>
      </c>
      <c r="B133" s="1" t="s">
        <v>1134</v>
      </c>
      <c r="C133" s="1" t="s">
        <v>1120</v>
      </c>
      <c r="D133" s="1" t="s">
        <v>36</v>
      </c>
      <c r="E133" s="15">
        <f t="shared" si="2"/>
        <v>325</v>
      </c>
      <c r="F133" s="16">
        <f t="shared" si="3"/>
        <v>3.963414634</v>
      </c>
      <c r="G133" s="1">
        <v>82.0</v>
      </c>
      <c r="H133" s="1">
        <v>23.0</v>
      </c>
      <c r="I133" s="1">
        <v>34.0</v>
      </c>
      <c r="J133" s="1">
        <v>57.0</v>
      </c>
      <c r="K133" s="1">
        <v>184.0</v>
      </c>
      <c r="L133" s="1">
        <v>5.0</v>
      </c>
      <c r="M133" s="1">
        <v>13.0</v>
      </c>
      <c r="N133" s="1">
        <v>0.0</v>
      </c>
      <c r="O133" s="1">
        <v>0.0</v>
      </c>
      <c r="P133" s="1">
        <v>62.0</v>
      </c>
      <c r="Q133" s="1">
        <v>24.0</v>
      </c>
    </row>
    <row r="134">
      <c r="A134" s="1">
        <f t="shared" si="1"/>
        <v>132</v>
      </c>
      <c r="B134" s="1" t="s">
        <v>1154</v>
      </c>
      <c r="C134" s="1" t="s">
        <v>1085</v>
      </c>
      <c r="D134" s="1" t="s">
        <v>31</v>
      </c>
      <c r="E134" s="15">
        <f t="shared" si="2"/>
        <v>323.75</v>
      </c>
      <c r="F134" s="16">
        <f t="shared" si="3"/>
        <v>3.948170732</v>
      </c>
      <c r="G134" s="1">
        <v>82.0</v>
      </c>
      <c r="H134" s="1">
        <v>18.0</v>
      </c>
      <c r="I134" s="1">
        <v>28.0</v>
      </c>
      <c r="J134" s="1">
        <v>46.0</v>
      </c>
      <c r="K134" s="1">
        <v>182.0</v>
      </c>
      <c r="L134" s="1">
        <v>3.0</v>
      </c>
      <c r="M134" s="1">
        <v>8.0</v>
      </c>
      <c r="N134" s="1">
        <v>1.0</v>
      </c>
      <c r="O134" s="1">
        <v>0.0</v>
      </c>
      <c r="P134" s="1">
        <v>143.0</v>
      </c>
      <c r="Q134" s="1">
        <v>60.0</v>
      </c>
    </row>
    <row r="135">
      <c r="A135" s="1">
        <f t="shared" si="1"/>
        <v>133</v>
      </c>
      <c r="B135" s="1" t="s">
        <v>1207</v>
      </c>
      <c r="C135" s="1" t="s">
        <v>1030</v>
      </c>
      <c r="D135" s="1" t="s">
        <v>28</v>
      </c>
      <c r="E135" s="15">
        <f t="shared" si="2"/>
        <v>323.25</v>
      </c>
      <c r="F135" s="16">
        <f t="shared" si="3"/>
        <v>5.213709677</v>
      </c>
      <c r="G135" s="1">
        <v>62.0</v>
      </c>
      <c r="H135" s="1">
        <v>25.0</v>
      </c>
      <c r="I135" s="1">
        <v>27.0</v>
      </c>
      <c r="J135" s="1">
        <v>52.0</v>
      </c>
      <c r="K135" s="1">
        <v>180.0</v>
      </c>
      <c r="L135" s="1">
        <v>5.0</v>
      </c>
      <c r="M135" s="1">
        <v>4.0</v>
      </c>
      <c r="N135" s="1">
        <v>2.0</v>
      </c>
      <c r="O135" s="1">
        <v>0.0</v>
      </c>
      <c r="P135" s="1">
        <v>89.0</v>
      </c>
      <c r="Q135" s="1">
        <v>27.0</v>
      </c>
    </row>
    <row r="136">
      <c r="A136" s="1">
        <f t="shared" si="1"/>
        <v>134</v>
      </c>
      <c r="B136" s="1" t="s">
        <v>1596</v>
      </c>
      <c r="C136" s="1" t="s">
        <v>1116</v>
      </c>
      <c r="D136" s="1" t="s">
        <v>36</v>
      </c>
      <c r="E136" s="15">
        <f t="shared" si="2"/>
        <v>323</v>
      </c>
      <c r="F136" s="16">
        <f t="shared" si="3"/>
        <v>4.969230769</v>
      </c>
      <c r="G136" s="1">
        <v>65.0</v>
      </c>
      <c r="H136" s="1">
        <v>17.0</v>
      </c>
      <c r="I136" s="1">
        <v>43.0</v>
      </c>
      <c r="J136" s="1">
        <v>60.0</v>
      </c>
      <c r="K136" s="1">
        <v>167.0</v>
      </c>
      <c r="L136" s="1">
        <v>3.0</v>
      </c>
      <c r="M136" s="1">
        <v>17.0</v>
      </c>
      <c r="N136" s="1">
        <v>0.0</v>
      </c>
      <c r="O136" s="1">
        <v>0.0</v>
      </c>
      <c r="P136" s="1">
        <v>62.0</v>
      </c>
      <c r="Q136" s="1">
        <v>37.0</v>
      </c>
    </row>
    <row r="137">
      <c r="A137" s="1">
        <f t="shared" si="1"/>
        <v>135</v>
      </c>
      <c r="B137" s="1" t="s">
        <v>1170</v>
      </c>
      <c r="C137" s="1" t="s">
        <v>1052</v>
      </c>
      <c r="D137" s="1" t="s">
        <v>36</v>
      </c>
      <c r="E137" s="15">
        <f t="shared" si="2"/>
        <v>322.75</v>
      </c>
      <c r="F137" s="16">
        <f t="shared" si="3"/>
        <v>5.379166667</v>
      </c>
      <c r="G137" s="1">
        <v>60.0</v>
      </c>
      <c r="H137" s="1">
        <v>24.0</v>
      </c>
      <c r="I137" s="1">
        <v>34.0</v>
      </c>
      <c r="J137" s="1">
        <v>58.0</v>
      </c>
      <c r="K137" s="1">
        <v>180.0</v>
      </c>
      <c r="L137" s="1">
        <v>9.0</v>
      </c>
      <c r="M137" s="1">
        <v>12.0</v>
      </c>
      <c r="N137" s="1">
        <v>0.0</v>
      </c>
      <c r="O137" s="1">
        <v>0.0</v>
      </c>
      <c r="P137" s="1">
        <v>43.0</v>
      </c>
      <c r="Q137" s="1">
        <v>24.0</v>
      </c>
    </row>
    <row r="138">
      <c r="A138" s="1">
        <f t="shared" si="1"/>
        <v>135</v>
      </c>
      <c r="B138" s="1" t="s">
        <v>1145</v>
      </c>
      <c r="C138" s="1" t="s">
        <v>1146</v>
      </c>
      <c r="D138" s="1" t="s">
        <v>31</v>
      </c>
      <c r="E138" s="15">
        <f t="shared" si="2"/>
        <v>322.75</v>
      </c>
      <c r="F138" s="16">
        <f t="shared" si="3"/>
        <v>4.361486486</v>
      </c>
      <c r="G138" s="1">
        <v>74.0</v>
      </c>
      <c r="H138" s="1">
        <v>27.0</v>
      </c>
      <c r="I138" s="1">
        <v>23.0</v>
      </c>
      <c r="J138" s="1">
        <v>50.0</v>
      </c>
      <c r="K138" s="1">
        <v>199.0</v>
      </c>
      <c r="L138" s="1">
        <v>8.0</v>
      </c>
      <c r="M138" s="1">
        <v>9.0</v>
      </c>
      <c r="N138" s="1">
        <v>1.0</v>
      </c>
      <c r="O138" s="1">
        <v>0.0</v>
      </c>
      <c r="P138" s="1">
        <v>65.0</v>
      </c>
      <c r="Q138" s="1">
        <v>29.0</v>
      </c>
    </row>
    <row r="139">
      <c r="A139" s="1">
        <f t="shared" si="1"/>
        <v>137</v>
      </c>
      <c r="B139" s="1" t="s">
        <v>1561</v>
      </c>
      <c r="C139" s="1" t="s">
        <v>1042</v>
      </c>
      <c r="D139" s="1" t="s">
        <v>31</v>
      </c>
      <c r="E139" s="15">
        <f t="shared" si="2"/>
        <v>322.5</v>
      </c>
      <c r="F139" s="16">
        <f t="shared" si="3"/>
        <v>4.082278481</v>
      </c>
      <c r="G139" s="1">
        <v>79.0</v>
      </c>
      <c r="H139" s="1">
        <v>26.0</v>
      </c>
      <c r="I139" s="1">
        <v>37.0</v>
      </c>
      <c r="J139" s="1">
        <v>63.0</v>
      </c>
      <c r="K139" s="1">
        <v>118.0</v>
      </c>
      <c r="L139" s="1">
        <v>11.0</v>
      </c>
      <c r="M139" s="1">
        <v>13.0</v>
      </c>
      <c r="N139" s="1">
        <v>0.0</v>
      </c>
      <c r="O139" s="1">
        <v>0.0</v>
      </c>
      <c r="P139" s="1">
        <v>72.0</v>
      </c>
      <c r="Q139" s="1">
        <v>35.0</v>
      </c>
    </row>
    <row r="140">
      <c r="A140" s="1">
        <f t="shared" si="1"/>
        <v>138</v>
      </c>
      <c r="B140" s="1" t="s">
        <v>1237</v>
      </c>
      <c r="C140" s="1" t="s">
        <v>1111</v>
      </c>
      <c r="D140" s="1" t="s">
        <v>66</v>
      </c>
      <c r="E140" s="15">
        <f t="shared" si="2"/>
        <v>322</v>
      </c>
      <c r="F140" s="16">
        <f t="shared" si="3"/>
        <v>3.926829268</v>
      </c>
      <c r="G140" s="1">
        <v>82.0</v>
      </c>
      <c r="H140" s="1">
        <v>14.0</v>
      </c>
      <c r="I140" s="1">
        <v>37.0</v>
      </c>
      <c r="J140" s="1">
        <v>51.0</v>
      </c>
      <c r="K140" s="1">
        <v>151.0</v>
      </c>
      <c r="L140" s="1">
        <v>2.0</v>
      </c>
      <c r="M140" s="1">
        <v>17.0</v>
      </c>
      <c r="N140" s="1">
        <v>0.0</v>
      </c>
      <c r="O140" s="1">
        <v>0.0</v>
      </c>
      <c r="P140" s="1">
        <v>60.0</v>
      </c>
      <c r="Q140" s="1">
        <v>115.0</v>
      </c>
    </row>
    <row r="141">
      <c r="A141" s="1">
        <f t="shared" si="1"/>
        <v>139</v>
      </c>
      <c r="B141" s="1" t="s">
        <v>1310</v>
      </c>
      <c r="C141" s="1" t="s">
        <v>1048</v>
      </c>
      <c r="D141" s="1" t="s">
        <v>28</v>
      </c>
      <c r="E141" s="15">
        <f t="shared" si="2"/>
        <v>321.5</v>
      </c>
      <c r="F141" s="16">
        <f t="shared" si="3"/>
        <v>4.344594595</v>
      </c>
      <c r="G141" s="1">
        <v>74.0</v>
      </c>
      <c r="H141" s="1">
        <v>31.0</v>
      </c>
      <c r="I141" s="1">
        <v>27.0</v>
      </c>
      <c r="J141" s="1">
        <v>58.0</v>
      </c>
      <c r="K141" s="1">
        <v>167.0</v>
      </c>
      <c r="L141" s="1">
        <v>9.0</v>
      </c>
      <c r="M141" s="1">
        <v>12.0</v>
      </c>
      <c r="N141" s="1">
        <v>0.0</v>
      </c>
      <c r="O141" s="1">
        <v>0.0</v>
      </c>
      <c r="P141" s="1">
        <v>38.0</v>
      </c>
      <c r="Q141" s="1">
        <v>16.0</v>
      </c>
    </row>
    <row r="142">
      <c r="A142" s="1">
        <f t="shared" si="1"/>
        <v>140</v>
      </c>
      <c r="B142" s="1" t="s">
        <v>1669</v>
      </c>
      <c r="C142" s="1" t="s">
        <v>1030</v>
      </c>
      <c r="D142" s="1" t="s">
        <v>28</v>
      </c>
      <c r="E142" s="15">
        <f t="shared" si="2"/>
        <v>319.75</v>
      </c>
      <c r="F142" s="16">
        <f t="shared" si="3"/>
        <v>3.996875</v>
      </c>
      <c r="G142" s="1">
        <v>80.0</v>
      </c>
      <c r="H142" s="1">
        <v>22.0</v>
      </c>
      <c r="I142" s="1">
        <v>39.0</v>
      </c>
      <c r="J142" s="1">
        <v>61.0</v>
      </c>
      <c r="K142" s="1">
        <v>149.0</v>
      </c>
      <c r="L142" s="1">
        <v>4.0</v>
      </c>
      <c r="M142" s="1">
        <v>7.0</v>
      </c>
      <c r="N142" s="1">
        <v>0.0</v>
      </c>
      <c r="O142" s="1">
        <v>0.0</v>
      </c>
      <c r="P142" s="1">
        <v>49.0</v>
      </c>
      <c r="Q142" s="1">
        <v>34.0</v>
      </c>
    </row>
    <row r="143">
      <c r="A143" s="1">
        <f t="shared" si="1"/>
        <v>140</v>
      </c>
      <c r="B143" s="1" t="s">
        <v>1411</v>
      </c>
      <c r="C143" s="1" t="s">
        <v>1040</v>
      </c>
      <c r="D143" s="1" t="s">
        <v>31</v>
      </c>
      <c r="E143" s="15">
        <f t="shared" si="2"/>
        <v>319.75</v>
      </c>
      <c r="F143" s="16">
        <f t="shared" si="3"/>
        <v>4.440972222</v>
      </c>
      <c r="G143" s="1">
        <v>72.0</v>
      </c>
      <c r="H143" s="1">
        <v>21.0</v>
      </c>
      <c r="I143" s="1">
        <v>32.0</v>
      </c>
      <c r="J143" s="1">
        <v>53.0</v>
      </c>
      <c r="K143" s="1">
        <v>183.0</v>
      </c>
      <c r="L143" s="1">
        <v>3.0</v>
      </c>
      <c r="M143" s="1">
        <v>7.0</v>
      </c>
      <c r="N143" s="1">
        <v>2.0</v>
      </c>
      <c r="O143" s="1">
        <v>1.0</v>
      </c>
      <c r="P143" s="1">
        <v>45.0</v>
      </c>
      <c r="Q143" s="1">
        <v>41.0</v>
      </c>
    </row>
    <row r="144">
      <c r="A144" s="1">
        <f t="shared" si="1"/>
        <v>142</v>
      </c>
      <c r="B144" s="1" t="s">
        <v>1716</v>
      </c>
      <c r="C144" s="1" t="s">
        <v>1078</v>
      </c>
      <c r="D144" s="1" t="s">
        <v>28</v>
      </c>
      <c r="E144" s="15">
        <f t="shared" si="2"/>
        <v>318.75</v>
      </c>
      <c r="F144" s="16">
        <f t="shared" si="3"/>
        <v>4.829545455</v>
      </c>
      <c r="G144" s="1">
        <v>66.0</v>
      </c>
      <c r="H144" s="1">
        <v>20.0</v>
      </c>
      <c r="I144" s="1">
        <v>29.0</v>
      </c>
      <c r="J144" s="1">
        <v>49.0</v>
      </c>
      <c r="K144" s="1">
        <v>227.0</v>
      </c>
      <c r="L144" s="1">
        <v>4.0</v>
      </c>
      <c r="M144" s="1">
        <v>4.0</v>
      </c>
      <c r="N144" s="1">
        <v>0.0</v>
      </c>
      <c r="O144" s="1">
        <v>0.0</v>
      </c>
      <c r="P144" s="1">
        <v>23.0</v>
      </c>
      <c r="Q144" s="1">
        <v>45.0</v>
      </c>
    </row>
    <row r="145">
      <c r="A145" s="1">
        <f t="shared" si="1"/>
        <v>143</v>
      </c>
      <c r="B145" s="1" t="s">
        <v>1277</v>
      </c>
      <c r="C145" s="1" t="s">
        <v>1052</v>
      </c>
      <c r="D145" s="1" t="s">
        <v>31</v>
      </c>
      <c r="E145" s="15">
        <f t="shared" si="2"/>
        <v>316.25</v>
      </c>
      <c r="F145" s="16">
        <f t="shared" si="3"/>
        <v>3.856707317</v>
      </c>
      <c r="G145" s="1">
        <v>82.0</v>
      </c>
      <c r="H145" s="1">
        <v>19.0</v>
      </c>
      <c r="I145" s="1">
        <v>24.0</v>
      </c>
      <c r="J145" s="1">
        <v>43.0</v>
      </c>
      <c r="K145" s="1">
        <v>243.0</v>
      </c>
      <c r="L145" s="1">
        <v>7.0</v>
      </c>
      <c r="M145" s="1">
        <v>1.0</v>
      </c>
      <c r="N145" s="1">
        <v>0.0</v>
      </c>
      <c r="O145" s="1">
        <v>0.0</v>
      </c>
      <c r="P145" s="1">
        <v>89.0</v>
      </c>
      <c r="Q145" s="1">
        <v>30.0</v>
      </c>
    </row>
    <row r="146">
      <c r="A146" s="1">
        <f t="shared" si="1"/>
        <v>144</v>
      </c>
      <c r="B146" s="1" t="s">
        <v>1118</v>
      </c>
      <c r="C146" s="1" t="s">
        <v>1078</v>
      </c>
      <c r="D146" s="1" t="s">
        <v>28</v>
      </c>
      <c r="E146" s="15">
        <f t="shared" si="2"/>
        <v>315.75</v>
      </c>
      <c r="F146" s="16">
        <f t="shared" si="3"/>
        <v>3.898148148</v>
      </c>
      <c r="G146" s="1">
        <v>81.0</v>
      </c>
      <c r="H146" s="1">
        <v>17.0</v>
      </c>
      <c r="I146" s="1">
        <v>31.0</v>
      </c>
      <c r="J146" s="1">
        <v>48.0</v>
      </c>
      <c r="K146" s="1">
        <v>202.0</v>
      </c>
      <c r="L146" s="1">
        <v>1.0</v>
      </c>
      <c r="M146" s="1">
        <v>1.0</v>
      </c>
      <c r="N146" s="1">
        <v>5.0</v>
      </c>
      <c r="O146" s="1">
        <v>1.0</v>
      </c>
      <c r="P146" s="1">
        <v>69.0</v>
      </c>
      <c r="Q146" s="1">
        <v>32.0</v>
      </c>
    </row>
    <row r="147">
      <c r="A147" s="1">
        <f t="shared" si="1"/>
        <v>145</v>
      </c>
      <c r="B147" s="1" t="s">
        <v>1928</v>
      </c>
      <c r="C147" s="1" t="s">
        <v>1032</v>
      </c>
      <c r="D147" s="1" t="s">
        <v>5</v>
      </c>
      <c r="E147" s="15">
        <f t="shared" si="2"/>
        <v>315.6</v>
      </c>
      <c r="F147" s="16">
        <f t="shared" si="3"/>
        <v>6.440816327</v>
      </c>
      <c r="G147" s="1">
        <v>49.0</v>
      </c>
      <c r="K147" s="12"/>
      <c r="N147" s="12"/>
      <c r="R147" s="1">
        <v>31.0</v>
      </c>
      <c r="S147" s="1">
        <v>123.0</v>
      </c>
      <c r="T147" s="12">
        <v>1307.0</v>
      </c>
      <c r="U147" s="1">
        <v>5.0</v>
      </c>
    </row>
    <row r="148">
      <c r="A148" s="1">
        <f t="shared" si="1"/>
        <v>146</v>
      </c>
      <c r="B148" s="1" t="s">
        <v>1140</v>
      </c>
      <c r="C148" s="1" t="s">
        <v>1106</v>
      </c>
      <c r="D148" s="1" t="s">
        <v>31</v>
      </c>
      <c r="E148" s="15">
        <f t="shared" si="2"/>
        <v>315.5</v>
      </c>
      <c r="F148" s="16">
        <f t="shared" si="3"/>
        <v>4.044871795</v>
      </c>
      <c r="G148" s="1">
        <v>78.0</v>
      </c>
      <c r="H148" s="1">
        <v>21.0</v>
      </c>
      <c r="I148" s="1">
        <v>37.0</v>
      </c>
      <c r="J148" s="1">
        <v>58.0</v>
      </c>
      <c r="K148" s="1">
        <v>168.0</v>
      </c>
      <c r="L148" s="1">
        <v>9.0</v>
      </c>
      <c r="M148" s="1">
        <v>7.0</v>
      </c>
      <c r="N148" s="1">
        <v>0.0</v>
      </c>
      <c r="O148" s="1">
        <v>1.0</v>
      </c>
      <c r="P148" s="1">
        <v>20.0</v>
      </c>
      <c r="Q148" s="1">
        <v>38.0</v>
      </c>
    </row>
    <row r="149">
      <c r="A149" s="1">
        <f t="shared" si="1"/>
        <v>147</v>
      </c>
      <c r="B149" s="1" t="s">
        <v>1569</v>
      </c>
      <c r="C149" s="1" t="s">
        <v>1052</v>
      </c>
      <c r="D149" s="1" t="s">
        <v>31</v>
      </c>
      <c r="E149" s="15">
        <f t="shared" si="2"/>
        <v>315.25</v>
      </c>
      <c r="F149" s="16">
        <f t="shared" si="3"/>
        <v>4.148026316</v>
      </c>
      <c r="G149" s="1">
        <v>76.0</v>
      </c>
      <c r="H149" s="1">
        <v>19.0</v>
      </c>
      <c r="I149" s="1">
        <v>26.0</v>
      </c>
      <c r="J149" s="1">
        <v>45.0</v>
      </c>
      <c r="K149" s="1">
        <v>200.0</v>
      </c>
      <c r="L149" s="1">
        <v>3.0</v>
      </c>
      <c r="M149" s="1">
        <v>3.0</v>
      </c>
      <c r="N149" s="1">
        <v>1.0</v>
      </c>
      <c r="O149" s="1">
        <v>0.0</v>
      </c>
      <c r="P149" s="1">
        <v>99.0</v>
      </c>
      <c r="Q149" s="1">
        <v>50.0</v>
      </c>
    </row>
    <row r="150">
      <c r="A150" s="1">
        <f t="shared" si="1"/>
        <v>148</v>
      </c>
      <c r="B150" s="1" t="s">
        <v>1234</v>
      </c>
      <c r="C150" s="1" t="s">
        <v>1054</v>
      </c>
      <c r="D150" s="1" t="s">
        <v>5</v>
      </c>
      <c r="E150" s="15">
        <f t="shared" si="2"/>
        <v>313.8</v>
      </c>
      <c r="F150" s="16">
        <f t="shared" si="3"/>
        <v>6.404081633</v>
      </c>
      <c r="G150" s="1">
        <v>49.0</v>
      </c>
      <c r="K150" s="12"/>
      <c r="N150" s="12"/>
      <c r="R150" s="1">
        <v>32.0</v>
      </c>
      <c r="S150" s="1">
        <v>132.0</v>
      </c>
      <c r="T150" s="12">
        <v>1356.0</v>
      </c>
      <c r="U150" s="1">
        <v>3.0</v>
      </c>
    </row>
    <row r="151">
      <c r="A151" s="1">
        <f t="shared" si="1"/>
        <v>149</v>
      </c>
      <c r="B151" s="1" t="s">
        <v>1195</v>
      </c>
      <c r="C151" s="1" t="s">
        <v>1069</v>
      </c>
      <c r="D151" s="1" t="s">
        <v>66</v>
      </c>
      <c r="E151" s="15">
        <f t="shared" si="2"/>
        <v>313.25</v>
      </c>
      <c r="F151" s="16">
        <f t="shared" si="3"/>
        <v>3.867283951</v>
      </c>
      <c r="G151" s="1">
        <v>81.0</v>
      </c>
      <c r="H151" s="1">
        <v>10.0</v>
      </c>
      <c r="I151" s="1">
        <v>38.0</v>
      </c>
      <c r="J151" s="1">
        <v>48.0</v>
      </c>
      <c r="K151" s="1">
        <v>189.0</v>
      </c>
      <c r="L151" s="1">
        <v>1.0</v>
      </c>
      <c r="M151" s="1">
        <v>12.0</v>
      </c>
      <c r="N151" s="1">
        <v>0.0</v>
      </c>
      <c r="O151" s="1">
        <v>1.0</v>
      </c>
      <c r="P151" s="1">
        <v>63.0</v>
      </c>
      <c r="Q151" s="1">
        <v>84.0</v>
      </c>
    </row>
    <row r="152">
      <c r="A152" s="1">
        <f t="shared" si="1"/>
        <v>150</v>
      </c>
      <c r="B152" s="1" t="s">
        <v>1158</v>
      </c>
      <c r="C152" s="1" t="s">
        <v>1069</v>
      </c>
      <c r="D152" s="1" t="s">
        <v>36</v>
      </c>
      <c r="E152" s="15">
        <f t="shared" si="2"/>
        <v>312.75</v>
      </c>
      <c r="F152" s="16">
        <f t="shared" si="3"/>
        <v>4.226351351</v>
      </c>
      <c r="G152" s="1">
        <v>74.0</v>
      </c>
      <c r="H152" s="1">
        <v>20.0</v>
      </c>
      <c r="I152" s="1">
        <v>29.0</v>
      </c>
      <c r="J152" s="1">
        <v>49.0</v>
      </c>
      <c r="K152" s="1">
        <v>195.0</v>
      </c>
      <c r="L152" s="1">
        <v>8.0</v>
      </c>
      <c r="M152" s="1">
        <v>8.0</v>
      </c>
      <c r="N152" s="1">
        <v>2.0</v>
      </c>
      <c r="O152" s="1">
        <v>1.0</v>
      </c>
      <c r="P152" s="1">
        <v>81.0</v>
      </c>
      <c r="Q152" s="1">
        <v>24.0</v>
      </c>
    </row>
    <row r="153">
      <c r="A153" s="1">
        <f t="shared" si="1"/>
        <v>151</v>
      </c>
      <c r="B153" s="1" t="s">
        <v>1216</v>
      </c>
      <c r="C153" s="1" t="s">
        <v>1042</v>
      </c>
      <c r="D153" s="1" t="s">
        <v>31</v>
      </c>
      <c r="E153" s="15">
        <f t="shared" si="2"/>
        <v>312.5</v>
      </c>
      <c r="F153" s="16">
        <f t="shared" si="3"/>
        <v>3.90625</v>
      </c>
      <c r="G153" s="1">
        <v>80.0</v>
      </c>
      <c r="H153" s="1">
        <v>11.0</v>
      </c>
      <c r="I153" s="1">
        <v>53.0</v>
      </c>
      <c r="J153" s="1">
        <v>64.0</v>
      </c>
      <c r="K153" s="1">
        <v>117.0</v>
      </c>
      <c r="L153" s="1">
        <v>3.0</v>
      </c>
      <c r="M153" s="1">
        <v>25.0</v>
      </c>
      <c r="N153" s="1">
        <v>0.0</v>
      </c>
      <c r="O153" s="1">
        <v>0.0</v>
      </c>
      <c r="P153" s="1">
        <v>92.0</v>
      </c>
      <c r="Q153" s="1">
        <v>45.0</v>
      </c>
    </row>
    <row r="154">
      <c r="A154" s="1">
        <f t="shared" si="1"/>
        <v>152</v>
      </c>
      <c r="B154" s="1" t="s">
        <v>1211</v>
      </c>
      <c r="C154" s="1" t="s">
        <v>1069</v>
      </c>
      <c r="D154" s="1" t="s">
        <v>66</v>
      </c>
      <c r="E154" s="15">
        <f t="shared" si="2"/>
        <v>312.25</v>
      </c>
      <c r="F154" s="16">
        <f t="shared" si="3"/>
        <v>3.807926829</v>
      </c>
      <c r="G154" s="1">
        <v>82.0</v>
      </c>
      <c r="H154" s="1">
        <v>4.0</v>
      </c>
      <c r="I154" s="1">
        <v>46.0</v>
      </c>
      <c r="J154" s="1">
        <v>50.0</v>
      </c>
      <c r="K154" s="1">
        <v>152.0</v>
      </c>
      <c r="L154" s="1">
        <v>2.0</v>
      </c>
      <c r="M154" s="1">
        <v>17.0</v>
      </c>
      <c r="N154" s="1">
        <v>0.0</v>
      </c>
      <c r="O154" s="1">
        <v>1.0</v>
      </c>
      <c r="P154" s="1">
        <v>63.0</v>
      </c>
      <c r="Q154" s="1">
        <v>125.0</v>
      </c>
    </row>
    <row r="155">
      <c r="A155" s="1">
        <f t="shared" si="1"/>
        <v>153</v>
      </c>
      <c r="B155" s="1" t="s">
        <v>1226</v>
      </c>
      <c r="C155" s="1" t="s">
        <v>1046</v>
      </c>
      <c r="D155" s="1" t="s">
        <v>36</v>
      </c>
      <c r="E155" s="15">
        <f t="shared" si="2"/>
        <v>310</v>
      </c>
      <c r="F155" s="16">
        <f t="shared" si="3"/>
        <v>4.025974026</v>
      </c>
      <c r="G155" s="1">
        <v>77.0</v>
      </c>
      <c r="H155" s="1">
        <v>19.0</v>
      </c>
      <c r="I155" s="1">
        <v>33.0</v>
      </c>
      <c r="J155" s="1">
        <v>52.0</v>
      </c>
      <c r="K155" s="1">
        <v>203.0</v>
      </c>
      <c r="L155" s="1">
        <v>1.0</v>
      </c>
      <c r="M155" s="1">
        <v>2.0</v>
      </c>
      <c r="N155" s="1">
        <v>0.0</v>
      </c>
      <c r="O155" s="1">
        <v>0.0</v>
      </c>
      <c r="P155" s="1">
        <v>52.0</v>
      </c>
      <c r="Q155" s="1">
        <v>22.0</v>
      </c>
    </row>
    <row r="156">
      <c r="A156" s="1">
        <f t="shared" si="1"/>
        <v>154</v>
      </c>
      <c r="B156" s="1" t="s">
        <v>1791</v>
      </c>
      <c r="C156" s="1" t="s">
        <v>1156</v>
      </c>
      <c r="D156" s="1" t="s">
        <v>36</v>
      </c>
      <c r="E156" s="15">
        <f t="shared" si="2"/>
        <v>305.5</v>
      </c>
      <c r="F156" s="16">
        <f t="shared" si="3"/>
        <v>5.455357143</v>
      </c>
      <c r="G156" s="1">
        <v>56.0</v>
      </c>
      <c r="H156" s="1">
        <v>26.0</v>
      </c>
      <c r="I156" s="1">
        <v>30.0</v>
      </c>
      <c r="J156" s="1">
        <v>56.0</v>
      </c>
      <c r="K156" s="1">
        <v>167.0</v>
      </c>
      <c r="L156" s="1">
        <v>5.0</v>
      </c>
      <c r="M156" s="1">
        <v>9.0</v>
      </c>
      <c r="N156" s="1">
        <v>0.0</v>
      </c>
      <c r="O156" s="1">
        <v>0.0</v>
      </c>
      <c r="P156" s="1">
        <v>34.0</v>
      </c>
      <c r="Q156" s="1">
        <v>13.0</v>
      </c>
    </row>
    <row r="157">
      <c r="A157" s="1">
        <f t="shared" si="1"/>
        <v>155</v>
      </c>
      <c r="B157" s="1" t="s">
        <v>1101</v>
      </c>
      <c r="C157" s="1" t="s">
        <v>1048</v>
      </c>
      <c r="D157" s="1" t="s">
        <v>31</v>
      </c>
      <c r="E157" s="15">
        <f t="shared" si="2"/>
        <v>305</v>
      </c>
      <c r="F157" s="16">
        <f t="shared" si="3"/>
        <v>3.91025641</v>
      </c>
      <c r="G157" s="1">
        <v>78.0</v>
      </c>
      <c r="H157" s="1">
        <v>24.0</v>
      </c>
      <c r="I157" s="1">
        <v>31.0</v>
      </c>
      <c r="J157" s="1">
        <v>55.0</v>
      </c>
      <c r="K157" s="1">
        <v>167.0</v>
      </c>
      <c r="L157" s="1">
        <v>0.0</v>
      </c>
      <c r="M157" s="1">
        <v>3.0</v>
      </c>
      <c r="N157" s="1">
        <v>0.0</v>
      </c>
      <c r="O157" s="1">
        <v>0.0</v>
      </c>
      <c r="P157" s="1">
        <v>50.0</v>
      </c>
      <c r="Q157" s="1">
        <v>16.0</v>
      </c>
    </row>
    <row r="158">
      <c r="A158" s="1">
        <f t="shared" si="1"/>
        <v>155</v>
      </c>
      <c r="B158" s="1" t="s">
        <v>1121</v>
      </c>
      <c r="C158" s="1" t="s">
        <v>1116</v>
      </c>
      <c r="D158" s="1" t="s">
        <v>66</v>
      </c>
      <c r="E158" s="15">
        <f t="shared" si="2"/>
        <v>305</v>
      </c>
      <c r="F158" s="16">
        <f t="shared" si="3"/>
        <v>3.860759494</v>
      </c>
      <c r="G158" s="1">
        <v>79.0</v>
      </c>
      <c r="H158" s="1">
        <v>12.0</v>
      </c>
      <c r="I158" s="1">
        <v>25.0</v>
      </c>
      <c r="J158" s="1">
        <v>37.0</v>
      </c>
      <c r="K158" s="1">
        <v>173.0</v>
      </c>
      <c r="L158" s="1">
        <v>6.0</v>
      </c>
      <c r="M158" s="1">
        <v>9.0</v>
      </c>
      <c r="N158" s="1">
        <v>0.0</v>
      </c>
      <c r="O158" s="1">
        <v>0.0</v>
      </c>
      <c r="P158" s="1">
        <v>150.0</v>
      </c>
      <c r="Q158" s="1">
        <v>104.0</v>
      </c>
    </row>
    <row r="159">
      <c r="A159" s="1">
        <f t="shared" si="1"/>
        <v>157</v>
      </c>
      <c r="B159" s="1" t="s">
        <v>1447</v>
      </c>
      <c r="C159" s="1" t="s">
        <v>1076</v>
      </c>
      <c r="D159" s="1" t="s">
        <v>66</v>
      </c>
      <c r="E159" s="15">
        <f t="shared" si="2"/>
        <v>304.25</v>
      </c>
      <c r="F159" s="16">
        <f t="shared" si="3"/>
        <v>3.803125</v>
      </c>
      <c r="G159" s="1">
        <v>80.0</v>
      </c>
      <c r="H159" s="1">
        <v>11.0</v>
      </c>
      <c r="I159" s="1">
        <v>35.0</v>
      </c>
      <c r="J159" s="1">
        <v>46.0</v>
      </c>
      <c r="K159" s="1">
        <v>158.0</v>
      </c>
      <c r="L159" s="1">
        <v>5.0</v>
      </c>
      <c r="M159" s="1">
        <v>11.0</v>
      </c>
      <c r="N159" s="1">
        <v>0.0</v>
      </c>
      <c r="O159" s="1">
        <v>1.0</v>
      </c>
      <c r="P159" s="1">
        <v>91.0</v>
      </c>
      <c r="Q159" s="1">
        <v>92.0</v>
      </c>
    </row>
    <row r="160">
      <c r="A160" s="1">
        <f t="shared" si="1"/>
        <v>158</v>
      </c>
      <c r="B160" s="1" t="s">
        <v>1184</v>
      </c>
      <c r="C160" s="1" t="s">
        <v>1106</v>
      </c>
      <c r="D160" s="1" t="s">
        <v>31</v>
      </c>
      <c r="E160" s="15">
        <f t="shared" si="2"/>
        <v>303.75</v>
      </c>
      <c r="F160" s="16">
        <f t="shared" si="3"/>
        <v>4.899193548</v>
      </c>
      <c r="G160" s="1">
        <v>62.0</v>
      </c>
      <c r="H160" s="1">
        <v>24.0</v>
      </c>
      <c r="I160" s="1">
        <v>34.0</v>
      </c>
      <c r="J160" s="1">
        <v>58.0</v>
      </c>
      <c r="K160" s="1">
        <v>111.0</v>
      </c>
      <c r="L160" s="1">
        <v>7.0</v>
      </c>
      <c r="M160" s="1">
        <v>10.0</v>
      </c>
      <c r="N160" s="1">
        <v>0.0</v>
      </c>
      <c r="O160" s="1">
        <v>0.0</v>
      </c>
      <c r="P160" s="1">
        <v>119.0</v>
      </c>
      <c r="Q160" s="1">
        <v>17.0</v>
      </c>
    </row>
    <row r="161">
      <c r="A161" s="1">
        <f t="shared" si="1"/>
        <v>159</v>
      </c>
      <c r="B161" s="1" t="s">
        <v>1317</v>
      </c>
      <c r="C161" s="1" t="s">
        <v>1091</v>
      </c>
      <c r="D161" s="1" t="s">
        <v>66</v>
      </c>
      <c r="E161" s="15">
        <f t="shared" si="2"/>
        <v>300</v>
      </c>
      <c r="F161" s="16">
        <f t="shared" si="3"/>
        <v>3.797468354</v>
      </c>
      <c r="G161" s="1">
        <v>79.0</v>
      </c>
      <c r="H161" s="1">
        <v>9.0</v>
      </c>
      <c r="I161" s="1">
        <v>22.0</v>
      </c>
      <c r="J161" s="1">
        <v>31.0</v>
      </c>
      <c r="K161" s="1">
        <v>170.0</v>
      </c>
      <c r="L161" s="1">
        <v>1.0</v>
      </c>
      <c r="M161" s="1">
        <v>6.0</v>
      </c>
      <c r="N161" s="1">
        <v>0.0</v>
      </c>
      <c r="O161" s="1">
        <v>2.0</v>
      </c>
      <c r="P161" s="1">
        <v>74.0</v>
      </c>
      <c r="Q161" s="1">
        <v>172.0</v>
      </c>
    </row>
    <row r="162">
      <c r="A162" s="1">
        <f t="shared" si="1"/>
        <v>160</v>
      </c>
      <c r="B162" s="1" t="s">
        <v>1400</v>
      </c>
      <c r="C162" s="1" t="s">
        <v>1034</v>
      </c>
      <c r="D162" s="1" t="s">
        <v>28</v>
      </c>
      <c r="E162" s="15">
        <f t="shared" si="2"/>
        <v>299.25</v>
      </c>
      <c r="F162" s="16">
        <f t="shared" si="3"/>
        <v>3.886363636</v>
      </c>
      <c r="G162" s="1">
        <v>77.0</v>
      </c>
      <c r="H162" s="1">
        <v>18.0</v>
      </c>
      <c r="I162" s="1">
        <v>31.0</v>
      </c>
      <c r="J162" s="1">
        <v>49.0</v>
      </c>
      <c r="K162" s="1">
        <v>143.0</v>
      </c>
      <c r="L162" s="1">
        <v>1.0</v>
      </c>
      <c r="M162" s="1">
        <v>5.0</v>
      </c>
      <c r="N162" s="1">
        <v>0.0</v>
      </c>
      <c r="O162" s="1">
        <v>1.0</v>
      </c>
      <c r="P162" s="1">
        <v>123.0</v>
      </c>
      <c r="Q162" s="1">
        <v>42.0</v>
      </c>
    </row>
    <row r="163">
      <c r="A163" s="1">
        <f t="shared" si="1"/>
        <v>161</v>
      </c>
      <c r="B163" s="1" t="s">
        <v>1108</v>
      </c>
      <c r="C163" s="1" t="s">
        <v>1076</v>
      </c>
      <c r="D163" s="1" t="s">
        <v>31</v>
      </c>
      <c r="E163" s="15">
        <f t="shared" si="2"/>
        <v>298.5</v>
      </c>
      <c r="F163" s="16">
        <f t="shared" si="3"/>
        <v>6.091836735</v>
      </c>
      <c r="G163" s="1">
        <v>49.0</v>
      </c>
      <c r="H163" s="1">
        <v>26.0</v>
      </c>
      <c r="I163" s="1">
        <v>30.0</v>
      </c>
      <c r="J163" s="1">
        <v>56.0</v>
      </c>
      <c r="K163" s="1">
        <v>165.0</v>
      </c>
      <c r="L163" s="1">
        <v>6.0</v>
      </c>
      <c r="M163" s="1">
        <v>8.0</v>
      </c>
      <c r="N163" s="1">
        <v>0.0</v>
      </c>
      <c r="O163" s="1">
        <v>0.0</v>
      </c>
      <c r="P163" s="1">
        <v>6.0</v>
      </c>
      <c r="Q163" s="1">
        <v>15.0</v>
      </c>
    </row>
    <row r="164">
      <c r="A164" s="1">
        <f t="shared" si="1"/>
        <v>162</v>
      </c>
      <c r="B164" s="1" t="s">
        <v>1206</v>
      </c>
      <c r="C164" s="1" t="s">
        <v>1087</v>
      </c>
      <c r="D164" s="1" t="s">
        <v>31</v>
      </c>
      <c r="E164" s="15">
        <f t="shared" si="2"/>
        <v>298</v>
      </c>
      <c r="F164" s="16">
        <f t="shared" si="3"/>
        <v>3.921052632</v>
      </c>
      <c r="G164" s="1">
        <v>76.0</v>
      </c>
      <c r="H164" s="1">
        <v>28.0</v>
      </c>
      <c r="I164" s="1">
        <v>18.0</v>
      </c>
      <c r="J164" s="1">
        <v>46.0</v>
      </c>
      <c r="K164" s="1">
        <v>159.0</v>
      </c>
      <c r="L164" s="1">
        <v>9.0</v>
      </c>
      <c r="M164" s="1">
        <v>4.0</v>
      </c>
      <c r="N164" s="1">
        <v>0.0</v>
      </c>
      <c r="O164" s="1">
        <v>0.0</v>
      </c>
      <c r="P164" s="1">
        <v>94.0</v>
      </c>
      <c r="Q164" s="1">
        <v>30.0</v>
      </c>
    </row>
    <row r="165">
      <c r="A165" s="1">
        <f t="shared" si="1"/>
        <v>163</v>
      </c>
      <c r="B165" s="1" t="s">
        <v>1086</v>
      </c>
      <c r="C165" s="1" t="s">
        <v>1087</v>
      </c>
      <c r="D165" s="1" t="s">
        <v>31</v>
      </c>
      <c r="E165" s="15">
        <f t="shared" si="2"/>
        <v>297.5</v>
      </c>
      <c r="F165" s="16">
        <f t="shared" si="3"/>
        <v>4.075342466</v>
      </c>
      <c r="G165" s="1">
        <v>73.0</v>
      </c>
      <c r="H165" s="1">
        <v>15.0</v>
      </c>
      <c r="I165" s="1">
        <v>44.0</v>
      </c>
      <c r="J165" s="1">
        <v>59.0</v>
      </c>
      <c r="K165" s="1">
        <v>161.0</v>
      </c>
      <c r="L165" s="1">
        <v>1.0</v>
      </c>
      <c r="M165" s="1">
        <v>19.0</v>
      </c>
      <c r="N165" s="1">
        <v>0.0</v>
      </c>
      <c r="O165" s="1">
        <v>0.0</v>
      </c>
      <c r="P165" s="1">
        <v>36.0</v>
      </c>
      <c r="Q165" s="1">
        <v>17.0</v>
      </c>
    </row>
    <row r="166">
      <c r="A166" s="1">
        <f t="shared" si="1"/>
        <v>164</v>
      </c>
      <c r="B166" s="1" t="s">
        <v>1628</v>
      </c>
      <c r="C166" s="1" t="s">
        <v>1034</v>
      </c>
      <c r="D166" s="1" t="s">
        <v>66</v>
      </c>
      <c r="E166" s="15">
        <f t="shared" si="2"/>
        <v>297.25</v>
      </c>
      <c r="F166" s="16">
        <f t="shared" si="3"/>
        <v>3.810897436</v>
      </c>
      <c r="G166" s="1">
        <v>78.0</v>
      </c>
      <c r="H166" s="1">
        <v>7.0</v>
      </c>
      <c r="I166" s="1">
        <v>31.0</v>
      </c>
      <c r="J166" s="1">
        <v>38.0</v>
      </c>
      <c r="K166" s="1">
        <v>149.0</v>
      </c>
      <c r="L166" s="1">
        <v>1.0</v>
      </c>
      <c r="M166" s="1">
        <v>6.0</v>
      </c>
      <c r="N166" s="1">
        <v>0.0</v>
      </c>
      <c r="O166" s="1">
        <v>1.0</v>
      </c>
      <c r="P166" s="1">
        <v>139.0</v>
      </c>
      <c r="Q166" s="1">
        <v>123.0</v>
      </c>
    </row>
    <row r="167">
      <c r="A167" s="1">
        <f t="shared" si="1"/>
        <v>165</v>
      </c>
      <c r="B167" s="1" t="s">
        <v>1361</v>
      </c>
      <c r="C167" s="1" t="s">
        <v>1040</v>
      </c>
      <c r="D167" s="1" t="s">
        <v>31</v>
      </c>
      <c r="E167" s="15">
        <f t="shared" si="2"/>
        <v>295.75</v>
      </c>
      <c r="F167" s="16">
        <f t="shared" si="3"/>
        <v>3.996621622</v>
      </c>
      <c r="G167" s="1">
        <v>74.0</v>
      </c>
      <c r="H167" s="1">
        <v>21.0</v>
      </c>
      <c r="I167" s="1">
        <v>33.0</v>
      </c>
      <c r="J167" s="1">
        <v>54.0</v>
      </c>
      <c r="K167" s="1">
        <v>161.0</v>
      </c>
      <c r="L167" s="1">
        <v>5.0</v>
      </c>
      <c r="M167" s="1">
        <v>9.0</v>
      </c>
      <c r="N167" s="1">
        <v>1.0</v>
      </c>
      <c r="O167" s="1">
        <v>0.0</v>
      </c>
      <c r="P167" s="1">
        <v>41.0</v>
      </c>
      <c r="Q167" s="1">
        <v>19.0</v>
      </c>
    </row>
    <row r="168">
      <c r="A168" s="1">
        <f t="shared" si="1"/>
        <v>165</v>
      </c>
      <c r="B168" s="1" t="s">
        <v>1132</v>
      </c>
      <c r="C168" s="1" t="s">
        <v>1069</v>
      </c>
      <c r="D168" s="1" t="s">
        <v>31</v>
      </c>
      <c r="E168" s="15">
        <f t="shared" si="2"/>
        <v>295.75</v>
      </c>
      <c r="F168" s="16">
        <f t="shared" si="3"/>
        <v>3.651234568</v>
      </c>
      <c r="G168" s="1">
        <v>81.0</v>
      </c>
      <c r="H168" s="1">
        <v>16.0</v>
      </c>
      <c r="I168" s="1">
        <v>17.0</v>
      </c>
      <c r="J168" s="1">
        <v>33.0</v>
      </c>
      <c r="K168" s="1">
        <v>212.0</v>
      </c>
      <c r="L168" s="1">
        <v>0.0</v>
      </c>
      <c r="M168" s="1">
        <v>0.0</v>
      </c>
      <c r="N168" s="1">
        <v>1.0</v>
      </c>
      <c r="O168" s="1">
        <v>1.0</v>
      </c>
      <c r="P168" s="1">
        <v>163.0</v>
      </c>
      <c r="Q168" s="1">
        <v>44.0</v>
      </c>
    </row>
    <row r="169">
      <c r="A169" s="1">
        <f t="shared" si="1"/>
        <v>167</v>
      </c>
      <c r="B169" s="1" t="s">
        <v>1244</v>
      </c>
      <c r="C169" s="1" t="s">
        <v>1156</v>
      </c>
      <c r="D169" s="1" t="s">
        <v>28</v>
      </c>
      <c r="E169" s="15">
        <f t="shared" si="2"/>
        <v>294.5</v>
      </c>
      <c r="F169" s="16">
        <f t="shared" si="3"/>
        <v>4.991525424</v>
      </c>
      <c r="G169" s="1">
        <v>59.0</v>
      </c>
      <c r="H169" s="1">
        <v>23.0</v>
      </c>
      <c r="I169" s="1">
        <v>21.0</v>
      </c>
      <c r="J169" s="1">
        <v>44.0</v>
      </c>
      <c r="K169" s="1">
        <v>160.0</v>
      </c>
      <c r="L169" s="1">
        <v>8.0</v>
      </c>
      <c r="M169" s="1">
        <v>2.0</v>
      </c>
      <c r="N169" s="1">
        <v>0.0</v>
      </c>
      <c r="O169" s="1">
        <v>0.0</v>
      </c>
      <c r="P169" s="1">
        <v>80.0</v>
      </c>
      <c r="Q169" s="1">
        <v>56.0</v>
      </c>
    </row>
    <row r="170">
      <c r="A170" s="1">
        <f t="shared" si="1"/>
        <v>168</v>
      </c>
      <c r="B170" s="1" t="s">
        <v>1107</v>
      </c>
      <c r="C170" s="1" t="s">
        <v>1046</v>
      </c>
      <c r="D170" s="1" t="s">
        <v>36</v>
      </c>
      <c r="E170" s="15">
        <f t="shared" si="2"/>
        <v>293.75</v>
      </c>
      <c r="F170" s="16">
        <f t="shared" si="3"/>
        <v>4.137323944</v>
      </c>
      <c r="G170" s="1">
        <v>71.0</v>
      </c>
      <c r="H170" s="1">
        <v>23.0</v>
      </c>
      <c r="I170" s="1">
        <v>23.0</v>
      </c>
      <c r="J170" s="1">
        <v>46.0</v>
      </c>
      <c r="K170" s="1">
        <v>195.0</v>
      </c>
      <c r="L170" s="1">
        <v>11.0</v>
      </c>
      <c r="M170" s="1">
        <v>6.0</v>
      </c>
      <c r="N170" s="1">
        <v>0.0</v>
      </c>
      <c r="O170" s="1">
        <v>1.0</v>
      </c>
      <c r="P170" s="1">
        <v>35.0</v>
      </c>
      <c r="Q170" s="1">
        <v>26.0</v>
      </c>
    </row>
    <row r="171">
      <c r="A171" s="1">
        <f t="shared" si="1"/>
        <v>169</v>
      </c>
      <c r="B171" s="1" t="s">
        <v>1284</v>
      </c>
      <c r="C171" s="1" t="s">
        <v>1052</v>
      </c>
      <c r="D171" s="1" t="s">
        <v>31</v>
      </c>
      <c r="E171" s="15">
        <f t="shared" si="2"/>
        <v>291.75</v>
      </c>
      <c r="F171" s="16">
        <f t="shared" si="3"/>
        <v>4.167857143</v>
      </c>
      <c r="G171" s="1">
        <v>70.0</v>
      </c>
      <c r="H171" s="1">
        <v>20.0</v>
      </c>
      <c r="I171" s="1">
        <v>21.0</v>
      </c>
      <c r="J171" s="1">
        <v>41.0</v>
      </c>
      <c r="K171" s="1">
        <v>184.0</v>
      </c>
      <c r="L171" s="1">
        <v>5.0</v>
      </c>
      <c r="M171" s="1">
        <v>5.0</v>
      </c>
      <c r="N171" s="1">
        <v>0.0</v>
      </c>
      <c r="O171" s="1">
        <v>0.0</v>
      </c>
      <c r="P171" s="1">
        <v>99.0</v>
      </c>
      <c r="Q171" s="1">
        <v>44.0</v>
      </c>
    </row>
    <row r="172">
      <c r="A172" s="1">
        <f t="shared" si="1"/>
        <v>170</v>
      </c>
      <c r="B172" s="1" t="s">
        <v>1273</v>
      </c>
      <c r="C172" s="1" t="s">
        <v>1073</v>
      </c>
      <c r="D172" s="1" t="s">
        <v>66</v>
      </c>
      <c r="E172" s="15">
        <f t="shared" si="2"/>
        <v>291.5</v>
      </c>
      <c r="F172" s="16">
        <f t="shared" si="3"/>
        <v>3.689873418</v>
      </c>
      <c r="G172" s="1">
        <v>79.0</v>
      </c>
      <c r="H172" s="1">
        <v>4.0</v>
      </c>
      <c r="I172" s="1">
        <v>38.0</v>
      </c>
      <c r="J172" s="1">
        <v>42.0</v>
      </c>
      <c r="K172" s="1">
        <v>165.0</v>
      </c>
      <c r="L172" s="1">
        <v>1.0</v>
      </c>
      <c r="M172" s="1">
        <v>6.0</v>
      </c>
      <c r="N172" s="1">
        <v>0.0</v>
      </c>
      <c r="O172" s="1">
        <v>2.0</v>
      </c>
      <c r="P172" s="1">
        <v>50.0</v>
      </c>
      <c r="Q172" s="1">
        <v>121.0</v>
      </c>
    </row>
    <row r="173">
      <c r="A173" s="1">
        <f t="shared" si="1"/>
        <v>171</v>
      </c>
      <c r="B173" s="1" t="s">
        <v>1203</v>
      </c>
      <c r="C173" s="1" t="s">
        <v>1111</v>
      </c>
      <c r="D173" s="1" t="s">
        <v>36</v>
      </c>
      <c r="E173" s="15">
        <f t="shared" si="2"/>
        <v>290.75</v>
      </c>
      <c r="F173" s="16">
        <f t="shared" si="3"/>
        <v>4.615079365</v>
      </c>
      <c r="G173" s="1">
        <v>63.0</v>
      </c>
      <c r="H173" s="1">
        <v>23.0</v>
      </c>
      <c r="I173" s="1">
        <v>36.0</v>
      </c>
      <c r="J173" s="1">
        <v>59.0</v>
      </c>
      <c r="K173" s="1">
        <v>123.0</v>
      </c>
      <c r="L173" s="1">
        <v>4.0</v>
      </c>
      <c r="M173" s="1">
        <v>4.0</v>
      </c>
      <c r="N173" s="1">
        <v>0.0</v>
      </c>
      <c r="O173" s="1">
        <v>0.0</v>
      </c>
      <c r="P173" s="1">
        <v>15.0</v>
      </c>
      <c r="Q173" s="1">
        <v>28.0</v>
      </c>
    </row>
    <row r="174">
      <c r="A174" s="1">
        <f t="shared" si="1"/>
        <v>171</v>
      </c>
      <c r="B174" s="1" t="s">
        <v>1143</v>
      </c>
      <c r="C174" s="1" t="s">
        <v>1156</v>
      </c>
      <c r="D174" s="1" t="s">
        <v>36</v>
      </c>
      <c r="E174" s="15">
        <f t="shared" si="2"/>
        <v>290.75</v>
      </c>
      <c r="F174" s="16">
        <f t="shared" si="3"/>
        <v>3.545731707</v>
      </c>
      <c r="G174" s="1">
        <v>82.0</v>
      </c>
      <c r="H174" s="1">
        <v>18.0</v>
      </c>
      <c r="I174" s="1">
        <v>35.0</v>
      </c>
      <c r="J174" s="1">
        <v>53.0</v>
      </c>
      <c r="K174" s="1">
        <v>122.0</v>
      </c>
      <c r="L174" s="1">
        <v>4.0</v>
      </c>
      <c r="M174" s="1">
        <v>6.0</v>
      </c>
      <c r="N174" s="1">
        <v>4.0</v>
      </c>
      <c r="O174" s="1">
        <v>0.0</v>
      </c>
      <c r="P174" s="1">
        <v>41.0</v>
      </c>
      <c r="Q174" s="1">
        <v>51.0</v>
      </c>
    </row>
    <row r="175">
      <c r="A175" s="1">
        <f t="shared" si="1"/>
        <v>173</v>
      </c>
      <c r="B175" s="1" t="s">
        <v>1495</v>
      </c>
      <c r="C175" s="1" t="s">
        <v>1120</v>
      </c>
      <c r="D175" s="1" t="s">
        <v>5</v>
      </c>
      <c r="E175" s="15">
        <f t="shared" si="2"/>
        <v>290.4</v>
      </c>
      <c r="F175" s="16">
        <f t="shared" si="3"/>
        <v>4.922033898</v>
      </c>
      <c r="G175" s="1">
        <v>59.0</v>
      </c>
      <c r="K175" s="12"/>
      <c r="N175" s="12"/>
      <c r="R175" s="1">
        <v>20.0</v>
      </c>
      <c r="S175" s="1">
        <v>178.0</v>
      </c>
      <c r="T175" s="12">
        <v>1618.0</v>
      </c>
      <c r="U175" s="1">
        <v>4.0</v>
      </c>
    </row>
    <row r="176">
      <c r="A176" s="1">
        <f t="shared" si="1"/>
        <v>174</v>
      </c>
      <c r="B176" s="1" t="s">
        <v>1468</v>
      </c>
      <c r="C176" s="1" t="s">
        <v>1054</v>
      </c>
      <c r="D176" s="1" t="s">
        <v>28</v>
      </c>
      <c r="E176" s="15">
        <f t="shared" si="2"/>
        <v>290</v>
      </c>
      <c r="F176" s="16">
        <f t="shared" si="3"/>
        <v>3.918918919</v>
      </c>
      <c r="G176" s="1">
        <v>74.0</v>
      </c>
      <c r="H176" s="1">
        <v>23.0</v>
      </c>
      <c r="I176" s="1">
        <v>19.0</v>
      </c>
      <c r="J176" s="1">
        <v>42.0</v>
      </c>
      <c r="K176" s="1">
        <v>98.0</v>
      </c>
      <c r="L176" s="1">
        <v>5.0</v>
      </c>
      <c r="M176" s="1">
        <v>2.0</v>
      </c>
      <c r="N176" s="1">
        <v>0.0</v>
      </c>
      <c r="O176" s="1">
        <v>0.0</v>
      </c>
      <c r="P176" s="1">
        <v>238.0</v>
      </c>
      <c r="Q176" s="1">
        <v>42.0</v>
      </c>
    </row>
    <row r="177">
      <c r="A177" s="1">
        <f t="shared" si="1"/>
        <v>175</v>
      </c>
      <c r="B177" s="1" t="s">
        <v>2159</v>
      </c>
      <c r="C177" s="1" t="s">
        <v>1156</v>
      </c>
      <c r="D177" s="1" t="s">
        <v>28</v>
      </c>
      <c r="E177" s="15">
        <f t="shared" si="2"/>
        <v>289.25</v>
      </c>
      <c r="F177" s="16">
        <f t="shared" si="3"/>
        <v>3.661392405</v>
      </c>
      <c r="G177" s="1">
        <v>79.0</v>
      </c>
      <c r="H177" s="1">
        <v>6.0</v>
      </c>
      <c r="I177" s="1">
        <v>56.0</v>
      </c>
      <c r="J177" s="1">
        <v>62.0</v>
      </c>
      <c r="K177" s="1">
        <v>147.0</v>
      </c>
      <c r="L177" s="1">
        <v>2.0</v>
      </c>
      <c r="M177" s="1">
        <v>23.0</v>
      </c>
      <c r="N177" s="1">
        <v>0.0</v>
      </c>
      <c r="O177" s="1">
        <v>0.0</v>
      </c>
      <c r="P177" s="1">
        <v>27.0</v>
      </c>
      <c r="Q177" s="1">
        <v>28.0</v>
      </c>
    </row>
    <row r="178">
      <c r="A178" s="1">
        <f t="shared" si="1"/>
        <v>176</v>
      </c>
      <c r="B178" s="1" t="s">
        <v>1638</v>
      </c>
      <c r="C178" s="1" t="s">
        <v>1044</v>
      </c>
      <c r="D178" s="1" t="s">
        <v>5</v>
      </c>
      <c r="E178" s="15">
        <f t="shared" si="2"/>
        <v>288.3</v>
      </c>
      <c r="F178" s="16">
        <f t="shared" si="3"/>
        <v>6.267391304</v>
      </c>
      <c r="G178" s="1">
        <v>46.0</v>
      </c>
      <c r="K178" s="12"/>
      <c r="N178" s="12"/>
      <c r="R178" s="1">
        <v>22.0</v>
      </c>
      <c r="S178" s="1">
        <v>121.0</v>
      </c>
      <c r="T178" s="12">
        <v>1336.0</v>
      </c>
      <c r="U178" s="1">
        <v>1.0</v>
      </c>
    </row>
    <row r="179">
      <c r="A179" s="1">
        <f t="shared" si="1"/>
        <v>177</v>
      </c>
      <c r="B179" s="1" t="s">
        <v>1282</v>
      </c>
      <c r="C179" s="1" t="s">
        <v>1032</v>
      </c>
      <c r="D179" s="1" t="s">
        <v>31</v>
      </c>
      <c r="E179" s="15">
        <f t="shared" si="2"/>
        <v>288.25</v>
      </c>
      <c r="F179" s="16">
        <f t="shared" si="3"/>
        <v>3.515243902</v>
      </c>
      <c r="G179" s="1">
        <v>82.0</v>
      </c>
      <c r="H179" s="1">
        <v>13.0</v>
      </c>
      <c r="I179" s="1">
        <v>38.0</v>
      </c>
      <c r="J179" s="1">
        <v>51.0</v>
      </c>
      <c r="K179" s="1">
        <v>117.0</v>
      </c>
      <c r="L179" s="1">
        <v>0.0</v>
      </c>
      <c r="M179" s="1">
        <v>1.0</v>
      </c>
      <c r="N179" s="1">
        <v>0.0</v>
      </c>
      <c r="O179" s="1">
        <v>3.0</v>
      </c>
      <c r="P179" s="1">
        <v>75.0</v>
      </c>
      <c r="Q179" s="1">
        <v>65.0</v>
      </c>
    </row>
    <row r="180">
      <c r="A180" s="1">
        <f t="shared" si="1"/>
        <v>178</v>
      </c>
      <c r="B180" s="1" t="s">
        <v>1231</v>
      </c>
      <c r="C180" s="1" t="s">
        <v>1085</v>
      </c>
      <c r="D180" s="1" t="s">
        <v>5</v>
      </c>
      <c r="E180" s="15">
        <f t="shared" si="2"/>
        <v>287.1</v>
      </c>
      <c r="F180" s="16">
        <f t="shared" si="3"/>
        <v>5.98125</v>
      </c>
      <c r="G180" s="1">
        <v>48.0</v>
      </c>
      <c r="K180" s="12"/>
      <c r="N180" s="12"/>
      <c r="R180" s="1">
        <v>30.0</v>
      </c>
      <c r="S180" s="1">
        <v>114.0</v>
      </c>
      <c r="T180" s="12">
        <v>1217.0</v>
      </c>
      <c r="U180" s="1">
        <v>1.0</v>
      </c>
    </row>
    <row r="181">
      <c r="A181" s="1">
        <f t="shared" si="1"/>
        <v>179</v>
      </c>
      <c r="B181" s="1" t="s">
        <v>1429</v>
      </c>
      <c r="C181" s="1" t="s">
        <v>1078</v>
      </c>
      <c r="D181" s="1" t="s">
        <v>31</v>
      </c>
      <c r="E181" s="15">
        <f t="shared" si="2"/>
        <v>286.5</v>
      </c>
      <c r="F181" s="16">
        <f t="shared" si="3"/>
        <v>3.626582278</v>
      </c>
      <c r="G181" s="1">
        <v>79.0</v>
      </c>
      <c r="H181" s="1">
        <v>17.0</v>
      </c>
      <c r="I181" s="1">
        <v>20.0</v>
      </c>
      <c r="J181" s="1">
        <v>37.0</v>
      </c>
      <c r="K181" s="1">
        <v>215.0</v>
      </c>
      <c r="L181" s="1">
        <v>3.0</v>
      </c>
      <c r="M181" s="1">
        <v>3.0</v>
      </c>
      <c r="N181" s="1">
        <v>1.0</v>
      </c>
      <c r="O181" s="1">
        <v>1.0</v>
      </c>
      <c r="P181" s="1">
        <v>48.0</v>
      </c>
      <c r="Q181" s="1">
        <v>53.0</v>
      </c>
    </row>
    <row r="182">
      <c r="A182" s="1">
        <f t="shared" si="1"/>
        <v>180</v>
      </c>
      <c r="B182" s="1" t="s">
        <v>1255</v>
      </c>
      <c r="C182" s="1" t="s">
        <v>1034</v>
      </c>
      <c r="D182" s="1" t="s">
        <v>28</v>
      </c>
      <c r="E182" s="15">
        <f t="shared" si="2"/>
        <v>285.75</v>
      </c>
      <c r="F182" s="16">
        <f t="shared" si="3"/>
        <v>3.617088608</v>
      </c>
      <c r="G182" s="1">
        <v>79.0</v>
      </c>
      <c r="H182" s="1">
        <v>22.0</v>
      </c>
      <c r="I182" s="1">
        <v>17.0</v>
      </c>
      <c r="J182" s="1">
        <v>39.0</v>
      </c>
      <c r="K182" s="1">
        <v>159.0</v>
      </c>
      <c r="L182" s="1">
        <v>1.0</v>
      </c>
      <c r="M182" s="1">
        <v>4.0</v>
      </c>
      <c r="N182" s="1">
        <v>0.0</v>
      </c>
      <c r="O182" s="1">
        <v>0.0</v>
      </c>
      <c r="P182" s="1">
        <v>153.0</v>
      </c>
      <c r="Q182" s="1">
        <v>36.0</v>
      </c>
    </row>
    <row r="183">
      <c r="A183" s="1">
        <f t="shared" si="1"/>
        <v>181</v>
      </c>
      <c r="B183" s="1" t="s">
        <v>1651</v>
      </c>
      <c r="C183" s="1" t="s">
        <v>1032</v>
      </c>
      <c r="D183" s="1" t="s">
        <v>66</v>
      </c>
      <c r="E183" s="15">
        <f t="shared" si="2"/>
        <v>284.75</v>
      </c>
      <c r="F183" s="16">
        <f t="shared" si="3"/>
        <v>3.796666667</v>
      </c>
      <c r="G183" s="1">
        <v>75.0</v>
      </c>
      <c r="H183" s="1">
        <v>8.0</v>
      </c>
      <c r="I183" s="1">
        <v>27.0</v>
      </c>
      <c r="J183" s="1">
        <v>35.0</v>
      </c>
      <c r="K183" s="1">
        <v>151.0</v>
      </c>
      <c r="L183" s="1">
        <v>0.0</v>
      </c>
      <c r="M183" s="1">
        <v>12.0</v>
      </c>
      <c r="N183" s="1">
        <v>2.0</v>
      </c>
      <c r="O183" s="1">
        <v>0.0</v>
      </c>
      <c r="P183" s="1">
        <v>75.0</v>
      </c>
      <c r="Q183" s="1">
        <v>139.0</v>
      </c>
    </row>
    <row r="184">
      <c r="A184" s="1">
        <f t="shared" si="1"/>
        <v>182</v>
      </c>
      <c r="B184" s="1" t="s">
        <v>1496</v>
      </c>
      <c r="C184" s="1" t="s">
        <v>1065</v>
      </c>
      <c r="D184" s="1" t="s">
        <v>66</v>
      </c>
      <c r="E184" s="15">
        <f t="shared" si="2"/>
        <v>284.25</v>
      </c>
      <c r="F184" s="16">
        <f t="shared" si="3"/>
        <v>3.466463415</v>
      </c>
      <c r="G184" s="1">
        <v>82.0</v>
      </c>
      <c r="H184" s="1">
        <v>8.0</v>
      </c>
      <c r="I184" s="1">
        <v>27.0</v>
      </c>
      <c r="J184" s="1">
        <v>35.0</v>
      </c>
      <c r="K184" s="1">
        <v>163.0</v>
      </c>
      <c r="L184" s="1">
        <v>1.0</v>
      </c>
      <c r="M184" s="1">
        <v>13.0</v>
      </c>
      <c r="N184" s="1">
        <v>0.0</v>
      </c>
      <c r="O184" s="1">
        <v>0.0</v>
      </c>
      <c r="P184" s="1">
        <v>73.0</v>
      </c>
      <c r="Q184" s="1">
        <v>135.0</v>
      </c>
    </row>
    <row r="185">
      <c r="A185" s="1">
        <f t="shared" si="1"/>
        <v>182</v>
      </c>
      <c r="B185" s="1" t="s">
        <v>1262</v>
      </c>
      <c r="C185" s="1" t="s">
        <v>1087</v>
      </c>
      <c r="D185" s="1" t="s">
        <v>31</v>
      </c>
      <c r="E185" s="15">
        <f t="shared" si="2"/>
        <v>284.25</v>
      </c>
      <c r="F185" s="16">
        <f t="shared" si="3"/>
        <v>3.691558442</v>
      </c>
      <c r="G185" s="1">
        <v>77.0</v>
      </c>
      <c r="H185" s="1">
        <v>18.0</v>
      </c>
      <c r="I185" s="1">
        <v>21.0</v>
      </c>
      <c r="J185" s="1">
        <v>39.0</v>
      </c>
      <c r="K185" s="1">
        <v>126.0</v>
      </c>
      <c r="L185" s="1">
        <v>4.0</v>
      </c>
      <c r="M185" s="1">
        <v>3.0</v>
      </c>
      <c r="N185" s="1">
        <v>1.0</v>
      </c>
      <c r="O185" s="1">
        <v>3.0</v>
      </c>
      <c r="P185" s="1">
        <v>171.0</v>
      </c>
      <c r="Q185" s="1">
        <v>53.0</v>
      </c>
    </row>
    <row r="186">
      <c r="A186" s="1">
        <f t="shared" si="1"/>
        <v>184</v>
      </c>
      <c r="B186" s="1" t="s">
        <v>1532</v>
      </c>
      <c r="C186" s="1" t="s">
        <v>1065</v>
      </c>
      <c r="D186" s="1" t="s">
        <v>5</v>
      </c>
      <c r="E186" s="15">
        <f t="shared" si="2"/>
        <v>284.1</v>
      </c>
      <c r="F186" s="16">
        <f t="shared" si="3"/>
        <v>5.073214286</v>
      </c>
      <c r="G186" s="1">
        <v>56.0</v>
      </c>
      <c r="K186" s="12"/>
      <c r="N186" s="12"/>
      <c r="R186" s="1">
        <v>18.0</v>
      </c>
      <c r="S186" s="1">
        <v>172.0</v>
      </c>
      <c r="T186" s="12">
        <v>1617.0</v>
      </c>
      <c r="U186" s="1">
        <v>1.0</v>
      </c>
    </row>
    <row r="187">
      <c r="A187" s="1">
        <f t="shared" si="1"/>
        <v>185</v>
      </c>
      <c r="B187" s="1" t="s">
        <v>1204</v>
      </c>
      <c r="C187" s="1" t="s">
        <v>1106</v>
      </c>
      <c r="D187" s="1" t="s">
        <v>66</v>
      </c>
      <c r="E187" s="15">
        <f t="shared" si="2"/>
        <v>284</v>
      </c>
      <c r="F187" s="16">
        <f t="shared" si="3"/>
        <v>3.55</v>
      </c>
      <c r="G187" s="1">
        <v>80.0</v>
      </c>
      <c r="H187" s="1">
        <v>6.0</v>
      </c>
      <c r="I187" s="1">
        <v>29.0</v>
      </c>
      <c r="J187" s="1">
        <v>35.0</v>
      </c>
      <c r="K187" s="1">
        <v>135.0</v>
      </c>
      <c r="L187" s="1">
        <v>0.0</v>
      </c>
      <c r="M187" s="1">
        <v>1.0</v>
      </c>
      <c r="N187" s="1">
        <v>0.0</v>
      </c>
      <c r="O187" s="1">
        <v>0.0</v>
      </c>
      <c r="P187" s="1">
        <v>72.0</v>
      </c>
      <c r="Q187" s="1">
        <v>169.0</v>
      </c>
    </row>
    <row r="188">
      <c r="A188" s="1">
        <f t="shared" si="1"/>
        <v>186</v>
      </c>
      <c r="B188" s="1" t="s">
        <v>1232</v>
      </c>
      <c r="C188" s="1" t="s">
        <v>1038</v>
      </c>
      <c r="D188" s="1" t="s">
        <v>28</v>
      </c>
      <c r="E188" s="15">
        <f t="shared" si="2"/>
        <v>283.5</v>
      </c>
      <c r="F188" s="16">
        <f t="shared" si="3"/>
        <v>3.681818182</v>
      </c>
      <c r="G188" s="1">
        <v>77.0</v>
      </c>
      <c r="H188" s="1">
        <v>25.0</v>
      </c>
      <c r="I188" s="1">
        <v>17.0</v>
      </c>
      <c r="J188" s="1">
        <v>42.0</v>
      </c>
      <c r="K188" s="1">
        <v>184.0</v>
      </c>
      <c r="L188" s="1">
        <v>3.0</v>
      </c>
      <c r="M188" s="1">
        <v>1.0</v>
      </c>
      <c r="N188" s="1">
        <v>0.0</v>
      </c>
      <c r="O188" s="1">
        <v>0.0</v>
      </c>
      <c r="P188" s="1">
        <v>62.0</v>
      </c>
      <c r="Q188" s="1">
        <v>25.0</v>
      </c>
    </row>
    <row r="189">
      <c r="A189" s="1">
        <f t="shared" si="1"/>
        <v>187</v>
      </c>
      <c r="B189" s="1" t="s">
        <v>1770</v>
      </c>
      <c r="C189" s="1" t="s">
        <v>1073</v>
      </c>
      <c r="D189" s="1" t="s">
        <v>66</v>
      </c>
      <c r="E189" s="15">
        <f t="shared" si="2"/>
        <v>283.25</v>
      </c>
      <c r="F189" s="16">
        <f t="shared" si="3"/>
        <v>4.42578125</v>
      </c>
      <c r="G189" s="1">
        <v>64.0</v>
      </c>
      <c r="H189" s="1">
        <v>10.0</v>
      </c>
      <c r="I189" s="1">
        <v>41.0</v>
      </c>
      <c r="J189" s="1">
        <v>51.0</v>
      </c>
      <c r="K189" s="1">
        <v>151.0</v>
      </c>
      <c r="L189" s="1">
        <v>2.0</v>
      </c>
      <c r="M189" s="1">
        <v>18.0</v>
      </c>
      <c r="N189" s="1">
        <v>0.0</v>
      </c>
      <c r="O189" s="1">
        <v>0.0</v>
      </c>
      <c r="P189" s="1">
        <v>41.0</v>
      </c>
      <c r="Q189" s="1">
        <v>59.0</v>
      </c>
    </row>
    <row r="190">
      <c r="A190" s="1">
        <f t="shared" si="1"/>
        <v>188</v>
      </c>
      <c r="B190" s="1" t="s">
        <v>1336</v>
      </c>
      <c r="C190" s="1" t="s">
        <v>1106</v>
      </c>
      <c r="D190" s="1" t="s">
        <v>28</v>
      </c>
      <c r="E190" s="15">
        <f t="shared" si="2"/>
        <v>283</v>
      </c>
      <c r="F190" s="16">
        <f t="shared" si="3"/>
        <v>3.628205128</v>
      </c>
      <c r="G190" s="1">
        <v>78.0</v>
      </c>
      <c r="H190" s="1">
        <v>24.0</v>
      </c>
      <c r="I190" s="1">
        <v>25.0</v>
      </c>
      <c r="J190" s="1">
        <v>49.0</v>
      </c>
      <c r="K190" s="1">
        <v>158.0</v>
      </c>
      <c r="L190" s="1">
        <v>8.0</v>
      </c>
      <c r="M190" s="1">
        <v>5.0</v>
      </c>
      <c r="N190" s="1">
        <v>1.0</v>
      </c>
      <c r="O190" s="1">
        <v>2.0</v>
      </c>
      <c r="P190" s="1">
        <v>20.0</v>
      </c>
      <c r="Q190" s="1">
        <v>20.0</v>
      </c>
    </row>
    <row r="191">
      <c r="A191" s="1">
        <f t="shared" si="1"/>
        <v>189</v>
      </c>
      <c r="B191" s="1" t="s">
        <v>1194</v>
      </c>
      <c r="C191" s="1" t="s">
        <v>1073</v>
      </c>
      <c r="D191" s="1" t="s">
        <v>66</v>
      </c>
      <c r="E191" s="15">
        <f t="shared" si="2"/>
        <v>282.75</v>
      </c>
      <c r="F191" s="16">
        <f t="shared" si="3"/>
        <v>3.448170732</v>
      </c>
      <c r="G191" s="1">
        <v>82.0</v>
      </c>
      <c r="H191" s="1">
        <v>9.0</v>
      </c>
      <c r="I191" s="1">
        <v>30.0</v>
      </c>
      <c r="J191" s="1">
        <v>39.0</v>
      </c>
      <c r="K191" s="1">
        <v>184.0</v>
      </c>
      <c r="L191" s="1">
        <v>0.0</v>
      </c>
      <c r="M191" s="1">
        <v>0.0</v>
      </c>
      <c r="N191" s="1">
        <v>0.0</v>
      </c>
      <c r="O191" s="1">
        <v>0.0</v>
      </c>
      <c r="P191" s="1">
        <v>95.0</v>
      </c>
      <c r="Q191" s="1">
        <v>73.0</v>
      </c>
    </row>
    <row r="192">
      <c r="A192" s="1">
        <f t="shared" si="1"/>
        <v>190</v>
      </c>
      <c r="B192" s="1" t="s">
        <v>1167</v>
      </c>
      <c r="C192" s="1" t="s">
        <v>1076</v>
      </c>
      <c r="D192" s="1" t="s">
        <v>28</v>
      </c>
      <c r="E192" s="15">
        <f t="shared" si="2"/>
        <v>282.5</v>
      </c>
      <c r="F192" s="16">
        <f t="shared" si="3"/>
        <v>3.717105263</v>
      </c>
      <c r="G192" s="1">
        <v>76.0</v>
      </c>
      <c r="H192" s="1">
        <v>24.0</v>
      </c>
      <c r="I192" s="1">
        <v>22.0</v>
      </c>
      <c r="J192" s="1">
        <v>46.0</v>
      </c>
      <c r="K192" s="1">
        <v>168.0</v>
      </c>
      <c r="L192" s="1">
        <v>2.0</v>
      </c>
      <c r="M192" s="1">
        <v>1.0</v>
      </c>
      <c r="N192" s="1">
        <v>2.0</v>
      </c>
      <c r="O192" s="1">
        <v>0.0</v>
      </c>
      <c r="P192" s="1">
        <v>30.0</v>
      </c>
      <c r="Q192" s="1">
        <v>26.0</v>
      </c>
    </row>
    <row r="193">
      <c r="A193" s="1">
        <f t="shared" si="1"/>
        <v>191</v>
      </c>
      <c r="B193" s="1" t="s">
        <v>1252</v>
      </c>
      <c r="C193" s="1" t="s">
        <v>1034</v>
      </c>
      <c r="D193" s="1" t="s">
        <v>31</v>
      </c>
      <c r="E193" s="15">
        <f t="shared" si="2"/>
        <v>281.75</v>
      </c>
      <c r="F193" s="16">
        <f t="shared" si="3"/>
        <v>3.707236842</v>
      </c>
      <c r="G193" s="1">
        <v>76.0</v>
      </c>
      <c r="H193" s="1">
        <v>17.0</v>
      </c>
      <c r="I193" s="1">
        <v>26.0</v>
      </c>
      <c r="J193" s="1">
        <v>43.0</v>
      </c>
      <c r="K193" s="1">
        <v>146.0</v>
      </c>
      <c r="L193" s="1">
        <v>3.0</v>
      </c>
      <c r="M193" s="1">
        <v>5.0</v>
      </c>
      <c r="N193" s="1">
        <v>1.0</v>
      </c>
      <c r="O193" s="1">
        <v>0.0</v>
      </c>
      <c r="P193" s="1">
        <v>75.0</v>
      </c>
      <c r="Q193" s="1">
        <v>67.0</v>
      </c>
    </row>
    <row r="194">
      <c r="A194" s="1">
        <f t="shared" si="1"/>
        <v>191</v>
      </c>
      <c r="B194" s="1" t="s">
        <v>1491</v>
      </c>
      <c r="C194" s="1" t="s">
        <v>1067</v>
      </c>
      <c r="D194" s="1" t="s">
        <v>36</v>
      </c>
      <c r="E194" s="15">
        <f t="shared" si="2"/>
        <v>281.75</v>
      </c>
      <c r="F194" s="16">
        <f t="shared" si="3"/>
        <v>3.807432432</v>
      </c>
      <c r="G194" s="1">
        <v>74.0</v>
      </c>
      <c r="H194" s="1">
        <v>21.0</v>
      </c>
      <c r="I194" s="1">
        <v>24.0</v>
      </c>
      <c r="J194" s="1">
        <v>45.0</v>
      </c>
      <c r="K194" s="1">
        <v>174.0</v>
      </c>
      <c r="L194" s="1">
        <v>8.0</v>
      </c>
      <c r="M194" s="1">
        <v>6.0</v>
      </c>
      <c r="N194" s="1">
        <v>2.0</v>
      </c>
      <c r="O194" s="1">
        <v>0.0</v>
      </c>
      <c r="P194" s="1">
        <v>59.0</v>
      </c>
      <c r="Q194" s="1">
        <v>19.0</v>
      </c>
    </row>
    <row r="195">
      <c r="A195" s="1">
        <f t="shared" si="1"/>
        <v>191</v>
      </c>
      <c r="B195" s="1" t="s">
        <v>1276</v>
      </c>
      <c r="C195" s="1" t="s">
        <v>1146</v>
      </c>
      <c r="D195" s="1" t="s">
        <v>28</v>
      </c>
      <c r="E195" s="15">
        <f t="shared" si="2"/>
        <v>281.75</v>
      </c>
      <c r="F195" s="16">
        <f t="shared" si="3"/>
        <v>3.807432432</v>
      </c>
      <c r="G195" s="1">
        <v>74.0</v>
      </c>
      <c r="H195" s="1">
        <v>21.0</v>
      </c>
      <c r="I195" s="1">
        <v>27.0</v>
      </c>
      <c r="J195" s="1">
        <v>48.0</v>
      </c>
      <c r="K195" s="1">
        <v>127.0</v>
      </c>
      <c r="L195" s="1">
        <v>3.0</v>
      </c>
      <c r="M195" s="1">
        <v>4.0</v>
      </c>
      <c r="N195" s="1">
        <v>1.0</v>
      </c>
      <c r="O195" s="1">
        <v>3.0</v>
      </c>
      <c r="P195" s="1">
        <v>77.0</v>
      </c>
      <c r="Q195" s="1">
        <v>31.0</v>
      </c>
    </row>
    <row r="196">
      <c r="A196" s="1">
        <f t="shared" si="1"/>
        <v>194</v>
      </c>
      <c r="B196" s="1" t="s">
        <v>1153</v>
      </c>
      <c r="C196" s="1" t="s">
        <v>1036</v>
      </c>
      <c r="D196" s="1" t="s">
        <v>28</v>
      </c>
      <c r="E196" s="15">
        <f t="shared" si="2"/>
        <v>281</v>
      </c>
      <c r="F196" s="16">
        <f t="shared" si="3"/>
        <v>4.46031746</v>
      </c>
      <c r="G196" s="1">
        <v>63.0</v>
      </c>
      <c r="H196" s="1">
        <v>11.0</v>
      </c>
      <c r="I196" s="1">
        <v>39.0</v>
      </c>
      <c r="J196" s="1">
        <v>50.0</v>
      </c>
      <c r="K196" s="1">
        <v>154.0</v>
      </c>
      <c r="L196" s="1">
        <v>1.0</v>
      </c>
      <c r="M196" s="1">
        <v>22.0</v>
      </c>
      <c r="N196" s="1">
        <v>3.0</v>
      </c>
      <c r="O196" s="1">
        <v>2.0</v>
      </c>
      <c r="P196" s="1">
        <v>42.0</v>
      </c>
      <c r="Q196" s="1">
        <v>34.0</v>
      </c>
    </row>
    <row r="197">
      <c r="A197" s="1">
        <f t="shared" si="1"/>
        <v>195</v>
      </c>
      <c r="B197" s="1" t="s">
        <v>1299</v>
      </c>
      <c r="C197" s="1" t="s">
        <v>1038</v>
      </c>
      <c r="D197" s="1" t="s">
        <v>31</v>
      </c>
      <c r="E197" s="15">
        <f t="shared" si="2"/>
        <v>279.75</v>
      </c>
      <c r="F197" s="16">
        <f t="shared" si="3"/>
        <v>3.586538462</v>
      </c>
      <c r="G197" s="1">
        <v>78.0</v>
      </c>
      <c r="H197" s="1">
        <v>18.0</v>
      </c>
      <c r="I197" s="1">
        <v>26.0</v>
      </c>
      <c r="J197" s="1">
        <v>44.0</v>
      </c>
      <c r="K197" s="1">
        <v>141.0</v>
      </c>
      <c r="L197" s="1">
        <v>2.0</v>
      </c>
      <c r="M197" s="1">
        <v>2.0</v>
      </c>
      <c r="N197" s="1">
        <v>0.0</v>
      </c>
      <c r="O197" s="1">
        <v>0.0</v>
      </c>
      <c r="P197" s="1">
        <v>129.0</v>
      </c>
      <c r="Q197" s="1">
        <v>36.0</v>
      </c>
    </row>
    <row r="198">
      <c r="A198" s="1">
        <f t="shared" si="1"/>
        <v>196</v>
      </c>
      <c r="B198" s="1" t="s">
        <v>1285</v>
      </c>
      <c r="C198" s="1" t="s">
        <v>1073</v>
      </c>
      <c r="D198" s="1" t="s">
        <v>36</v>
      </c>
      <c r="E198" s="15">
        <f t="shared" si="2"/>
        <v>278.25</v>
      </c>
      <c r="F198" s="16">
        <f t="shared" si="3"/>
        <v>3.71</v>
      </c>
      <c r="G198" s="1">
        <v>75.0</v>
      </c>
      <c r="H198" s="1">
        <v>24.0</v>
      </c>
      <c r="I198" s="1">
        <v>20.0</v>
      </c>
      <c r="J198" s="1">
        <v>44.0</v>
      </c>
      <c r="K198" s="1">
        <v>144.0</v>
      </c>
      <c r="L198" s="1">
        <v>4.0</v>
      </c>
      <c r="M198" s="1">
        <v>1.0</v>
      </c>
      <c r="N198" s="1">
        <v>0.0</v>
      </c>
      <c r="O198" s="1">
        <v>0.0</v>
      </c>
      <c r="P198" s="1">
        <v>119.0</v>
      </c>
      <c r="Q198" s="1">
        <v>17.0</v>
      </c>
    </row>
    <row r="199">
      <c r="A199" s="1">
        <f t="shared" si="1"/>
        <v>197</v>
      </c>
      <c r="B199" s="1" t="s">
        <v>1305</v>
      </c>
      <c r="C199" s="1" t="s">
        <v>1146</v>
      </c>
      <c r="D199" s="1" t="s">
        <v>36</v>
      </c>
      <c r="E199" s="15">
        <f t="shared" si="2"/>
        <v>277.5</v>
      </c>
      <c r="F199" s="16">
        <f t="shared" si="3"/>
        <v>3.512658228</v>
      </c>
      <c r="G199" s="1">
        <v>79.0</v>
      </c>
      <c r="H199" s="1">
        <v>21.0</v>
      </c>
      <c r="I199" s="1">
        <v>23.0</v>
      </c>
      <c r="J199" s="1">
        <v>44.0</v>
      </c>
      <c r="K199" s="1">
        <v>164.0</v>
      </c>
      <c r="L199" s="1">
        <v>4.0</v>
      </c>
      <c r="M199" s="1">
        <v>5.0</v>
      </c>
      <c r="N199" s="1">
        <v>0.0</v>
      </c>
      <c r="O199" s="1">
        <v>0.0</v>
      </c>
      <c r="P199" s="1">
        <v>48.0</v>
      </c>
      <c r="Q199" s="1">
        <v>40.0</v>
      </c>
    </row>
    <row r="200">
      <c r="A200" s="1">
        <f t="shared" si="1"/>
        <v>198</v>
      </c>
      <c r="B200" s="1" t="s">
        <v>1601</v>
      </c>
      <c r="C200" s="1" t="s">
        <v>1080</v>
      </c>
      <c r="D200" s="1" t="s">
        <v>36</v>
      </c>
      <c r="E200" s="15">
        <f t="shared" si="2"/>
        <v>276.25</v>
      </c>
      <c r="F200" s="16">
        <f t="shared" si="3"/>
        <v>3.541666667</v>
      </c>
      <c r="G200" s="1">
        <v>78.0</v>
      </c>
      <c r="H200" s="1">
        <v>20.0</v>
      </c>
      <c r="I200" s="1">
        <v>23.0</v>
      </c>
      <c r="J200" s="1">
        <v>43.0</v>
      </c>
      <c r="K200" s="1">
        <v>177.0</v>
      </c>
      <c r="L200" s="1">
        <v>5.0</v>
      </c>
      <c r="M200" s="1">
        <v>3.0</v>
      </c>
      <c r="N200" s="1">
        <v>0.0</v>
      </c>
      <c r="O200" s="1">
        <v>0.0</v>
      </c>
      <c r="P200" s="1">
        <v>65.0</v>
      </c>
      <c r="Q200" s="1">
        <v>25.0</v>
      </c>
    </row>
    <row r="201">
      <c r="A201" s="1">
        <f t="shared" si="1"/>
        <v>199</v>
      </c>
      <c r="B201" s="1" t="s">
        <v>1398</v>
      </c>
      <c r="C201" s="1" t="s">
        <v>1044</v>
      </c>
      <c r="D201" s="1" t="s">
        <v>66</v>
      </c>
      <c r="E201" s="15">
        <f t="shared" si="2"/>
        <v>275.75</v>
      </c>
      <c r="F201" s="16">
        <f t="shared" si="3"/>
        <v>4.673728814</v>
      </c>
      <c r="G201" s="1">
        <v>59.0</v>
      </c>
      <c r="H201" s="1">
        <v>7.0</v>
      </c>
      <c r="I201" s="1">
        <v>31.0</v>
      </c>
      <c r="J201" s="1">
        <v>38.0</v>
      </c>
      <c r="K201" s="1">
        <v>173.0</v>
      </c>
      <c r="L201" s="1">
        <v>1.0</v>
      </c>
      <c r="M201" s="1">
        <v>12.0</v>
      </c>
      <c r="N201" s="1">
        <v>0.0</v>
      </c>
      <c r="O201" s="1">
        <v>0.0</v>
      </c>
      <c r="P201" s="1">
        <v>73.0</v>
      </c>
      <c r="Q201" s="1">
        <v>93.0</v>
      </c>
    </row>
    <row r="202">
      <c r="A202" s="1">
        <f t="shared" si="1"/>
        <v>200</v>
      </c>
      <c r="B202" s="1" t="s">
        <v>1350</v>
      </c>
      <c r="C202" s="1" t="s">
        <v>1073</v>
      </c>
      <c r="D202" s="1" t="s">
        <v>31</v>
      </c>
      <c r="E202" s="15">
        <f t="shared" si="2"/>
        <v>274</v>
      </c>
      <c r="F202" s="16">
        <f t="shared" si="3"/>
        <v>3.512820513</v>
      </c>
      <c r="G202" s="1">
        <v>78.0</v>
      </c>
      <c r="H202" s="1">
        <v>17.0</v>
      </c>
      <c r="I202" s="1">
        <v>19.0</v>
      </c>
      <c r="J202" s="1">
        <v>36.0</v>
      </c>
      <c r="K202" s="1">
        <v>146.0</v>
      </c>
      <c r="L202" s="1">
        <v>1.0</v>
      </c>
      <c r="M202" s="1">
        <v>1.0</v>
      </c>
      <c r="N202" s="1">
        <v>0.0</v>
      </c>
      <c r="O202" s="1">
        <v>0.0</v>
      </c>
      <c r="P202" s="1">
        <v>212.0</v>
      </c>
      <c r="Q202" s="1">
        <v>29.0</v>
      </c>
    </row>
    <row r="203">
      <c r="A203" s="1">
        <f t="shared" si="1"/>
        <v>201</v>
      </c>
      <c r="B203" s="1" t="s">
        <v>1857</v>
      </c>
      <c r="C203" s="1" t="s">
        <v>1085</v>
      </c>
      <c r="D203" s="1" t="s">
        <v>66</v>
      </c>
      <c r="E203" s="15">
        <f t="shared" si="2"/>
        <v>272.25</v>
      </c>
      <c r="F203" s="16">
        <f t="shared" si="3"/>
        <v>3.679054054</v>
      </c>
      <c r="G203" s="1">
        <v>74.0</v>
      </c>
      <c r="H203" s="1">
        <v>6.0</v>
      </c>
      <c r="I203" s="1">
        <v>41.0</v>
      </c>
      <c r="J203" s="1">
        <v>47.0</v>
      </c>
      <c r="K203" s="1">
        <v>139.0</v>
      </c>
      <c r="L203" s="1">
        <v>1.0</v>
      </c>
      <c r="M203" s="1">
        <v>19.0</v>
      </c>
      <c r="N203" s="1">
        <v>0.0</v>
      </c>
      <c r="O203" s="1">
        <v>0.0</v>
      </c>
      <c r="P203" s="1">
        <v>57.0</v>
      </c>
      <c r="Q203" s="1">
        <v>77.0</v>
      </c>
    </row>
    <row r="204">
      <c r="A204" s="1">
        <f t="shared" si="1"/>
        <v>202</v>
      </c>
      <c r="B204" s="1" t="s">
        <v>1734</v>
      </c>
      <c r="C204" s="1" t="s">
        <v>1106</v>
      </c>
      <c r="D204" s="1" t="s">
        <v>5</v>
      </c>
      <c r="E204" s="15">
        <f t="shared" si="2"/>
        <v>271.8</v>
      </c>
      <c r="F204" s="16">
        <f t="shared" si="3"/>
        <v>6.795</v>
      </c>
      <c r="G204" s="1">
        <v>40.0</v>
      </c>
      <c r="K204" s="12"/>
      <c r="N204" s="12"/>
      <c r="R204" s="1">
        <v>25.0</v>
      </c>
      <c r="S204" s="1">
        <v>100.0</v>
      </c>
      <c r="T204" s="12">
        <v>1136.0</v>
      </c>
      <c r="U204" s="1">
        <v>2.0</v>
      </c>
    </row>
    <row r="205">
      <c r="A205" s="1">
        <f t="shared" si="1"/>
        <v>203</v>
      </c>
      <c r="B205" s="1" t="s">
        <v>1133</v>
      </c>
      <c r="C205" s="1" t="s">
        <v>1036</v>
      </c>
      <c r="D205" s="1" t="s">
        <v>28</v>
      </c>
      <c r="E205" s="15">
        <f t="shared" si="2"/>
        <v>271.25</v>
      </c>
      <c r="F205" s="16">
        <f t="shared" si="3"/>
        <v>6.308139535</v>
      </c>
      <c r="G205" s="1">
        <v>43.0</v>
      </c>
      <c r="H205" s="1">
        <v>22.0</v>
      </c>
      <c r="I205" s="1">
        <v>17.0</v>
      </c>
      <c r="J205" s="1">
        <v>39.0</v>
      </c>
      <c r="K205" s="1">
        <v>152.0</v>
      </c>
      <c r="L205" s="1">
        <v>3.0</v>
      </c>
      <c r="M205" s="1">
        <v>1.0</v>
      </c>
      <c r="N205" s="1">
        <v>2.0</v>
      </c>
      <c r="O205" s="1">
        <v>1.0</v>
      </c>
      <c r="P205" s="1">
        <v>135.0</v>
      </c>
      <c r="Q205" s="1">
        <v>11.0</v>
      </c>
    </row>
    <row r="206">
      <c r="A206" s="1">
        <f t="shared" si="1"/>
        <v>204</v>
      </c>
      <c r="B206" s="1" t="s">
        <v>1259</v>
      </c>
      <c r="C206" s="1" t="s">
        <v>1069</v>
      </c>
      <c r="D206" s="1" t="s">
        <v>31</v>
      </c>
      <c r="E206" s="15">
        <f t="shared" si="2"/>
        <v>271</v>
      </c>
      <c r="F206" s="16">
        <f t="shared" si="3"/>
        <v>3.304878049</v>
      </c>
      <c r="G206" s="1">
        <v>82.0</v>
      </c>
      <c r="H206" s="1">
        <v>12.0</v>
      </c>
      <c r="I206" s="1">
        <v>27.0</v>
      </c>
      <c r="J206" s="1">
        <v>39.0</v>
      </c>
      <c r="K206" s="1">
        <v>214.0</v>
      </c>
      <c r="L206" s="1">
        <v>0.0</v>
      </c>
      <c r="M206" s="1">
        <v>7.0</v>
      </c>
      <c r="N206" s="1">
        <v>0.0</v>
      </c>
      <c r="O206" s="1">
        <v>0.0</v>
      </c>
      <c r="P206" s="1">
        <v>62.0</v>
      </c>
      <c r="Q206" s="1">
        <v>27.0</v>
      </c>
    </row>
    <row r="207">
      <c r="A207" s="1">
        <f t="shared" si="1"/>
        <v>204</v>
      </c>
      <c r="B207" s="1" t="s">
        <v>1704</v>
      </c>
      <c r="C207" s="1" t="s">
        <v>1067</v>
      </c>
      <c r="D207" s="1" t="s">
        <v>28</v>
      </c>
      <c r="E207" s="15">
        <f t="shared" si="2"/>
        <v>271</v>
      </c>
      <c r="F207" s="16">
        <f t="shared" si="3"/>
        <v>3.763888889</v>
      </c>
      <c r="G207" s="1">
        <v>72.0</v>
      </c>
      <c r="H207" s="1">
        <v>20.0</v>
      </c>
      <c r="I207" s="1">
        <v>29.0</v>
      </c>
      <c r="J207" s="1">
        <v>49.0</v>
      </c>
      <c r="K207" s="1">
        <v>164.0</v>
      </c>
      <c r="L207" s="1">
        <v>7.0</v>
      </c>
      <c r="M207" s="1">
        <v>5.0</v>
      </c>
      <c r="N207" s="1">
        <v>0.0</v>
      </c>
      <c r="O207" s="1">
        <v>1.0</v>
      </c>
      <c r="P207" s="1">
        <v>10.0</v>
      </c>
      <c r="Q207" s="1">
        <v>15.0</v>
      </c>
    </row>
    <row r="208">
      <c r="A208" s="1">
        <f t="shared" si="1"/>
        <v>206</v>
      </c>
      <c r="B208" s="1" t="s">
        <v>1691</v>
      </c>
      <c r="C208" s="1" t="s">
        <v>1076</v>
      </c>
      <c r="D208" s="1" t="s">
        <v>66</v>
      </c>
      <c r="E208" s="15">
        <f t="shared" si="2"/>
        <v>269.75</v>
      </c>
      <c r="F208" s="16">
        <f t="shared" si="3"/>
        <v>4.350806452</v>
      </c>
      <c r="G208" s="1">
        <v>62.0</v>
      </c>
      <c r="H208" s="1">
        <v>9.0</v>
      </c>
      <c r="I208" s="1">
        <v>21.0</v>
      </c>
      <c r="J208" s="1">
        <v>30.0</v>
      </c>
      <c r="K208" s="1">
        <v>197.0</v>
      </c>
      <c r="L208" s="1">
        <v>2.0</v>
      </c>
      <c r="M208" s="1">
        <v>6.0</v>
      </c>
      <c r="N208" s="1">
        <v>0.0</v>
      </c>
      <c r="O208" s="1">
        <v>0.0</v>
      </c>
      <c r="P208" s="1">
        <v>87.0</v>
      </c>
      <c r="Q208" s="1">
        <v>92.0</v>
      </c>
    </row>
    <row r="209">
      <c r="A209" s="1">
        <f t="shared" si="1"/>
        <v>206</v>
      </c>
      <c r="B209" s="1" t="s">
        <v>1575</v>
      </c>
      <c r="C209" s="1" t="s">
        <v>1030</v>
      </c>
      <c r="D209" s="1" t="s">
        <v>66</v>
      </c>
      <c r="E209" s="15">
        <f t="shared" si="2"/>
        <v>269.75</v>
      </c>
      <c r="F209" s="16">
        <f t="shared" si="3"/>
        <v>3.503246753</v>
      </c>
      <c r="G209" s="1">
        <v>77.0</v>
      </c>
      <c r="H209" s="1">
        <v>8.0</v>
      </c>
      <c r="I209" s="1">
        <v>17.0</v>
      </c>
      <c r="J209" s="1">
        <v>25.0</v>
      </c>
      <c r="K209" s="1">
        <v>139.0</v>
      </c>
      <c r="L209" s="1">
        <v>0.0</v>
      </c>
      <c r="M209" s="1">
        <v>1.0</v>
      </c>
      <c r="N209" s="1">
        <v>1.0</v>
      </c>
      <c r="O209" s="1">
        <v>1.0</v>
      </c>
      <c r="P209" s="1">
        <v>165.0</v>
      </c>
      <c r="Q209" s="1">
        <v>136.0</v>
      </c>
    </row>
    <row r="210">
      <c r="A210" s="1">
        <f t="shared" si="1"/>
        <v>206</v>
      </c>
      <c r="B210" s="1" t="s">
        <v>1122</v>
      </c>
      <c r="C210" s="1" t="s">
        <v>1034</v>
      </c>
      <c r="D210" s="1" t="s">
        <v>28</v>
      </c>
      <c r="E210" s="15">
        <f t="shared" si="2"/>
        <v>269.75</v>
      </c>
      <c r="F210" s="16">
        <f t="shared" si="3"/>
        <v>3.503246753</v>
      </c>
      <c r="G210" s="1">
        <v>77.0</v>
      </c>
      <c r="H210" s="1">
        <v>25.0</v>
      </c>
      <c r="I210" s="1">
        <v>19.0</v>
      </c>
      <c r="J210" s="1">
        <v>44.0</v>
      </c>
      <c r="K210" s="1">
        <v>125.0</v>
      </c>
      <c r="L210" s="1">
        <v>4.0</v>
      </c>
      <c r="M210" s="1">
        <v>2.0</v>
      </c>
      <c r="N210" s="1">
        <v>1.0</v>
      </c>
      <c r="O210" s="1">
        <v>2.0</v>
      </c>
      <c r="P210" s="1">
        <v>63.0</v>
      </c>
      <c r="Q210" s="1">
        <v>32.0</v>
      </c>
    </row>
    <row r="211">
      <c r="A211" s="1">
        <f t="shared" si="1"/>
        <v>209</v>
      </c>
      <c r="B211" s="1" t="s">
        <v>1311</v>
      </c>
      <c r="C211" s="1" t="s">
        <v>1048</v>
      </c>
      <c r="D211" s="1" t="s">
        <v>66</v>
      </c>
      <c r="E211" s="15">
        <f t="shared" si="2"/>
        <v>269.25</v>
      </c>
      <c r="F211" s="16">
        <f t="shared" si="3"/>
        <v>3.638513514</v>
      </c>
      <c r="G211" s="1">
        <v>74.0</v>
      </c>
      <c r="H211" s="1">
        <v>9.0</v>
      </c>
      <c r="I211" s="1">
        <v>17.0</v>
      </c>
      <c r="J211" s="1">
        <v>26.0</v>
      </c>
      <c r="K211" s="1">
        <v>143.0</v>
      </c>
      <c r="L211" s="1">
        <v>2.0</v>
      </c>
      <c r="M211" s="1">
        <v>1.0</v>
      </c>
      <c r="N211" s="1">
        <v>0.0</v>
      </c>
      <c r="O211" s="1">
        <v>1.0</v>
      </c>
      <c r="P211" s="1">
        <v>157.0</v>
      </c>
      <c r="Q211" s="1">
        <v>130.0</v>
      </c>
    </row>
    <row r="212">
      <c r="A212" s="1">
        <f t="shared" si="1"/>
        <v>210</v>
      </c>
      <c r="B212" s="1" t="s">
        <v>1320</v>
      </c>
      <c r="C212" s="1" t="s">
        <v>1065</v>
      </c>
      <c r="D212" s="1" t="s">
        <v>66</v>
      </c>
      <c r="E212" s="15">
        <f t="shared" si="2"/>
        <v>268.75</v>
      </c>
      <c r="F212" s="16">
        <f t="shared" si="3"/>
        <v>3.536184211</v>
      </c>
      <c r="G212" s="1">
        <v>76.0</v>
      </c>
      <c r="H212" s="1">
        <v>9.0</v>
      </c>
      <c r="I212" s="1">
        <v>33.0</v>
      </c>
      <c r="J212" s="1">
        <v>42.0</v>
      </c>
      <c r="K212" s="1">
        <v>124.0</v>
      </c>
      <c r="L212" s="1">
        <v>6.0</v>
      </c>
      <c r="M212" s="1">
        <v>12.0</v>
      </c>
      <c r="N212" s="1">
        <v>0.0</v>
      </c>
      <c r="O212" s="1">
        <v>0.0</v>
      </c>
      <c r="P212" s="1">
        <v>37.0</v>
      </c>
      <c r="Q212" s="1">
        <v>116.0</v>
      </c>
    </row>
    <row r="213">
      <c r="A213" s="1">
        <f t="shared" si="1"/>
        <v>211</v>
      </c>
      <c r="B213" s="1" t="s">
        <v>1217</v>
      </c>
      <c r="C213" s="1" t="s">
        <v>1116</v>
      </c>
      <c r="D213" s="1" t="s">
        <v>66</v>
      </c>
      <c r="E213" s="15">
        <f t="shared" si="2"/>
        <v>268.25</v>
      </c>
      <c r="F213" s="16">
        <f t="shared" si="3"/>
        <v>3.483766234</v>
      </c>
      <c r="G213" s="1">
        <v>77.0</v>
      </c>
      <c r="H213" s="1">
        <v>3.0</v>
      </c>
      <c r="I213" s="1">
        <v>31.0</v>
      </c>
      <c r="J213" s="1">
        <v>34.0</v>
      </c>
      <c r="K213" s="1">
        <v>140.0</v>
      </c>
      <c r="L213" s="1">
        <v>1.0</v>
      </c>
      <c r="M213" s="1">
        <v>11.0</v>
      </c>
      <c r="N213" s="1">
        <v>0.0</v>
      </c>
      <c r="O213" s="1">
        <v>0.0</v>
      </c>
      <c r="P213" s="1">
        <v>185.0</v>
      </c>
      <c r="Q213" s="1">
        <v>91.0</v>
      </c>
    </row>
    <row r="214">
      <c r="A214" s="1">
        <f t="shared" si="1"/>
        <v>212</v>
      </c>
      <c r="B214" s="1" t="s">
        <v>2089</v>
      </c>
      <c r="C214" s="1" t="s">
        <v>1111</v>
      </c>
      <c r="D214" s="1" t="s">
        <v>36</v>
      </c>
      <c r="E214" s="15">
        <f t="shared" si="2"/>
        <v>267.5</v>
      </c>
      <c r="F214" s="16">
        <f t="shared" si="3"/>
        <v>3.262195122</v>
      </c>
      <c r="G214" s="1">
        <v>82.0</v>
      </c>
      <c r="H214" s="1">
        <v>8.0</v>
      </c>
      <c r="I214" s="1">
        <v>44.0</v>
      </c>
      <c r="J214" s="1">
        <v>52.0</v>
      </c>
      <c r="K214" s="1">
        <v>175.0</v>
      </c>
      <c r="L214" s="1">
        <v>2.0</v>
      </c>
      <c r="M214" s="1">
        <v>12.0</v>
      </c>
      <c r="N214" s="1">
        <v>0.0</v>
      </c>
      <c r="O214" s="1">
        <v>0.0</v>
      </c>
      <c r="P214" s="1">
        <v>6.0</v>
      </c>
      <c r="Q214" s="1">
        <v>21.0</v>
      </c>
    </row>
    <row r="215">
      <c r="A215" s="1">
        <f t="shared" si="1"/>
        <v>213</v>
      </c>
      <c r="B215" s="1" t="s">
        <v>1096</v>
      </c>
      <c r="C215" s="1" t="s">
        <v>1097</v>
      </c>
      <c r="D215" s="1" t="s">
        <v>36</v>
      </c>
      <c r="E215" s="15">
        <f t="shared" si="2"/>
        <v>265.5</v>
      </c>
      <c r="F215" s="16">
        <f t="shared" si="3"/>
        <v>3.962686567</v>
      </c>
      <c r="G215" s="1">
        <v>67.0</v>
      </c>
      <c r="H215" s="1">
        <v>23.0</v>
      </c>
      <c r="I215" s="1">
        <v>20.0</v>
      </c>
      <c r="J215" s="1">
        <v>43.0</v>
      </c>
      <c r="K215" s="1">
        <v>188.0</v>
      </c>
      <c r="L215" s="1">
        <v>5.0</v>
      </c>
      <c r="M215" s="1">
        <v>8.0</v>
      </c>
      <c r="N215" s="1">
        <v>0.0</v>
      </c>
      <c r="O215" s="1">
        <v>0.0</v>
      </c>
      <c r="P215" s="1">
        <v>18.0</v>
      </c>
      <c r="Q215" s="1">
        <v>7.0</v>
      </c>
    </row>
    <row r="216">
      <c r="A216" s="1">
        <f t="shared" si="1"/>
        <v>214</v>
      </c>
      <c r="B216" s="1" t="s">
        <v>1395</v>
      </c>
      <c r="C216" s="1" t="s">
        <v>1082</v>
      </c>
      <c r="D216" s="1" t="s">
        <v>66</v>
      </c>
      <c r="E216" s="15">
        <f t="shared" si="2"/>
        <v>264.5</v>
      </c>
      <c r="F216" s="16">
        <f t="shared" si="3"/>
        <v>3.480263158</v>
      </c>
      <c r="G216" s="1">
        <v>76.0</v>
      </c>
      <c r="H216" s="1">
        <v>12.0</v>
      </c>
      <c r="I216" s="1">
        <v>23.0</v>
      </c>
      <c r="J216" s="1">
        <v>35.0</v>
      </c>
      <c r="K216" s="1">
        <v>127.0</v>
      </c>
      <c r="L216" s="1">
        <v>2.0</v>
      </c>
      <c r="M216" s="1">
        <v>2.0</v>
      </c>
      <c r="N216" s="1">
        <v>0.0</v>
      </c>
      <c r="O216" s="1">
        <v>0.0</v>
      </c>
      <c r="P216" s="1">
        <v>124.0</v>
      </c>
      <c r="Q216" s="1">
        <v>94.0</v>
      </c>
    </row>
    <row r="217">
      <c r="A217" s="1">
        <f t="shared" si="1"/>
        <v>215</v>
      </c>
      <c r="B217" s="1" t="s">
        <v>1394</v>
      </c>
      <c r="C217" s="1" t="s">
        <v>1091</v>
      </c>
      <c r="D217" s="1" t="s">
        <v>28</v>
      </c>
      <c r="E217" s="15">
        <f t="shared" si="2"/>
        <v>264</v>
      </c>
      <c r="F217" s="16">
        <f t="shared" si="3"/>
        <v>3.219512195</v>
      </c>
      <c r="G217" s="1">
        <v>82.0</v>
      </c>
      <c r="H217" s="1">
        <v>24.0</v>
      </c>
      <c r="I217" s="1">
        <v>14.0</v>
      </c>
      <c r="J217" s="1">
        <v>38.0</v>
      </c>
      <c r="K217" s="1">
        <v>186.0</v>
      </c>
      <c r="L217" s="1">
        <v>9.0</v>
      </c>
      <c r="M217" s="1">
        <v>0.0</v>
      </c>
      <c r="N217" s="1">
        <v>0.0</v>
      </c>
      <c r="O217" s="1">
        <v>0.0</v>
      </c>
      <c r="P217" s="1">
        <v>34.0</v>
      </c>
      <c r="Q217" s="1">
        <v>25.0</v>
      </c>
    </row>
    <row r="218">
      <c r="A218" s="1">
        <f t="shared" si="1"/>
        <v>215</v>
      </c>
      <c r="B218" s="1" t="s">
        <v>1137</v>
      </c>
      <c r="C218" s="1" t="s">
        <v>1038</v>
      </c>
      <c r="D218" s="1" t="s">
        <v>31</v>
      </c>
      <c r="E218" s="15">
        <f t="shared" si="2"/>
        <v>264</v>
      </c>
      <c r="F218" s="16">
        <f t="shared" si="3"/>
        <v>3.219512195</v>
      </c>
      <c r="G218" s="1">
        <v>82.0</v>
      </c>
      <c r="H218" s="1">
        <v>16.0</v>
      </c>
      <c r="I218" s="1">
        <v>28.0</v>
      </c>
      <c r="J218" s="1">
        <v>44.0</v>
      </c>
      <c r="K218" s="1">
        <v>131.0</v>
      </c>
      <c r="L218" s="1">
        <v>3.0</v>
      </c>
      <c r="M218" s="1">
        <v>6.0</v>
      </c>
      <c r="N218" s="1">
        <v>0.0</v>
      </c>
      <c r="O218" s="1">
        <v>1.0</v>
      </c>
      <c r="P218" s="1">
        <v>84.0</v>
      </c>
      <c r="Q218" s="1">
        <v>39.0</v>
      </c>
    </row>
    <row r="219">
      <c r="A219" s="1">
        <f t="shared" si="1"/>
        <v>215</v>
      </c>
      <c r="B219" s="1" t="s">
        <v>1444</v>
      </c>
      <c r="C219" s="1" t="s">
        <v>1030</v>
      </c>
      <c r="D219" s="1" t="s">
        <v>28</v>
      </c>
      <c r="E219" s="15">
        <f t="shared" si="2"/>
        <v>264</v>
      </c>
      <c r="F219" s="16">
        <f t="shared" si="3"/>
        <v>3.567567568</v>
      </c>
      <c r="G219" s="1">
        <v>74.0</v>
      </c>
      <c r="H219" s="1">
        <v>19.0</v>
      </c>
      <c r="I219" s="1">
        <v>19.0</v>
      </c>
      <c r="J219" s="1">
        <v>38.0</v>
      </c>
      <c r="K219" s="1">
        <v>155.0</v>
      </c>
      <c r="L219" s="1">
        <v>2.0</v>
      </c>
      <c r="M219" s="1">
        <v>1.0</v>
      </c>
      <c r="N219" s="1">
        <v>2.0</v>
      </c>
      <c r="O219" s="1">
        <v>0.0</v>
      </c>
      <c r="P219" s="1">
        <v>82.0</v>
      </c>
      <c r="Q219" s="1">
        <v>39.0</v>
      </c>
    </row>
    <row r="220">
      <c r="A220" s="1">
        <f t="shared" si="1"/>
        <v>215</v>
      </c>
      <c r="B220" s="1" t="s">
        <v>1337</v>
      </c>
      <c r="C220" s="1" t="s">
        <v>1048</v>
      </c>
      <c r="D220" s="1" t="s">
        <v>31</v>
      </c>
      <c r="E220" s="15">
        <f t="shared" si="2"/>
        <v>264</v>
      </c>
      <c r="F220" s="16">
        <f t="shared" si="3"/>
        <v>4.061538462</v>
      </c>
      <c r="G220" s="1">
        <v>65.0</v>
      </c>
      <c r="H220" s="1">
        <v>18.0</v>
      </c>
      <c r="I220" s="1">
        <v>26.0</v>
      </c>
      <c r="J220" s="1">
        <v>44.0</v>
      </c>
      <c r="K220" s="1">
        <v>125.0</v>
      </c>
      <c r="L220" s="1">
        <v>1.0</v>
      </c>
      <c r="M220" s="1">
        <v>3.0</v>
      </c>
      <c r="N220" s="1">
        <v>1.0</v>
      </c>
      <c r="O220" s="1">
        <v>3.0</v>
      </c>
      <c r="P220" s="1">
        <v>26.0</v>
      </c>
      <c r="Q220" s="1">
        <v>56.0</v>
      </c>
    </row>
    <row r="221">
      <c r="A221" s="1">
        <f t="shared" si="1"/>
        <v>219</v>
      </c>
      <c r="B221" s="1" t="s">
        <v>1545</v>
      </c>
      <c r="C221" s="1" t="s">
        <v>1038</v>
      </c>
      <c r="D221" s="1" t="s">
        <v>36</v>
      </c>
      <c r="E221" s="15">
        <f t="shared" si="2"/>
        <v>263.25</v>
      </c>
      <c r="F221" s="16">
        <f t="shared" si="3"/>
        <v>3.557432432</v>
      </c>
      <c r="G221" s="1">
        <v>74.0</v>
      </c>
      <c r="H221" s="1">
        <v>16.0</v>
      </c>
      <c r="I221" s="1">
        <v>20.0</v>
      </c>
      <c r="J221" s="1">
        <v>36.0</v>
      </c>
      <c r="K221" s="1">
        <v>187.0</v>
      </c>
      <c r="L221" s="1">
        <v>0.0</v>
      </c>
      <c r="M221" s="1">
        <v>4.0</v>
      </c>
      <c r="N221" s="1">
        <v>0.0</v>
      </c>
      <c r="O221" s="1">
        <v>0.0</v>
      </c>
      <c r="P221" s="1">
        <v>95.0</v>
      </c>
      <c r="Q221" s="1">
        <v>28.0</v>
      </c>
    </row>
    <row r="222">
      <c r="A222" s="1">
        <f t="shared" si="1"/>
        <v>220</v>
      </c>
      <c r="B222" s="1" t="s">
        <v>1633</v>
      </c>
      <c r="C222" s="1" t="s">
        <v>1175</v>
      </c>
      <c r="D222" s="1" t="s">
        <v>5</v>
      </c>
      <c r="E222" s="15">
        <f t="shared" si="2"/>
        <v>262.8</v>
      </c>
      <c r="F222" s="16">
        <f t="shared" si="3"/>
        <v>5.475</v>
      </c>
      <c r="G222" s="1">
        <v>48.0</v>
      </c>
      <c r="K222" s="12"/>
      <c r="N222" s="12"/>
      <c r="R222" s="1">
        <v>19.0</v>
      </c>
      <c r="S222" s="1">
        <v>129.0</v>
      </c>
      <c r="T222" s="12">
        <v>1321.0</v>
      </c>
      <c r="U222" s="1">
        <v>1.0</v>
      </c>
    </row>
    <row r="223">
      <c r="A223" s="1">
        <f t="shared" si="1"/>
        <v>221</v>
      </c>
      <c r="B223" s="1" t="s">
        <v>1186</v>
      </c>
      <c r="C223" s="1" t="s">
        <v>1111</v>
      </c>
      <c r="D223" s="1" t="s">
        <v>28</v>
      </c>
      <c r="E223" s="15">
        <f t="shared" si="2"/>
        <v>262.75</v>
      </c>
      <c r="F223" s="16">
        <f t="shared" si="3"/>
        <v>4.042307692</v>
      </c>
      <c r="G223" s="1">
        <v>65.0</v>
      </c>
      <c r="H223" s="1">
        <v>20.0</v>
      </c>
      <c r="I223" s="1">
        <v>14.0</v>
      </c>
      <c r="J223" s="1">
        <v>34.0</v>
      </c>
      <c r="K223" s="1">
        <v>131.0</v>
      </c>
      <c r="L223" s="1">
        <v>3.0</v>
      </c>
      <c r="M223" s="1">
        <v>4.0</v>
      </c>
      <c r="N223" s="1">
        <v>1.0</v>
      </c>
      <c r="O223" s="1">
        <v>0.0</v>
      </c>
      <c r="P223" s="1">
        <v>181.0</v>
      </c>
      <c r="Q223" s="1">
        <v>36.0</v>
      </c>
    </row>
    <row r="224">
      <c r="A224" s="1">
        <f t="shared" si="1"/>
        <v>222</v>
      </c>
      <c r="B224" s="1" t="s">
        <v>1417</v>
      </c>
      <c r="C224" s="1" t="s">
        <v>1156</v>
      </c>
      <c r="D224" s="1" t="s">
        <v>66</v>
      </c>
      <c r="E224" s="15">
        <f t="shared" si="2"/>
        <v>262.5</v>
      </c>
      <c r="F224" s="16">
        <f t="shared" si="3"/>
        <v>3.28125</v>
      </c>
      <c r="G224" s="1">
        <v>80.0</v>
      </c>
      <c r="H224" s="1">
        <v>5.0</v>
      </c>
      <c r="I224" s="1">
        <v>28.0</v>
      </c>
      <c r="J224" s="1">
        <v>33.0</v>
      </c>
      <c r="K224" s="1">
        <v>108.0</v>
      </c>
      <c r="L224" s="1">
        <v>0.0</v>
      </c>
      <c r="M224" s="1">
        <v>0.0</v>
      </c>
      <c r="N224" s="1">
        <v>0.0</v>
      </c>
      <c r="O224" s="1">
        <v>1.0</v>
      </c>
      <c r="P224" s="1">
        <v>124.0</v>
      </c>
      <c r="Q224" s="1">
        <v>138.0</v>
      </c>
    </row>
    <row r="225">
      <c r="A225" s="1">
        <f t="shared" si="1"/>
        <v>223</v>
      </c>
      <c r="B225" s="1" t="s">
        <v>1312</v>
      </c>
      <c r="C225" s="1" t="s">
        <v>1146</v>
      </c>
      <c r="D225" s="1" t="s">
        <v>66</v>
      </c>
      <c r="E225" s="15">
        <f t="shared" si="2"/>
        <v>262.25</v>
      </c>
      <c r="F225" s="16">
        <f t="shared" si="3"/>
        <v>3.198170732</v>
      </c>
      <c r="G225" s="1">
        <v>82.0</v>
      </c>
      <c r="H225" s="1">
        <v>8.0</v>
      </c>
      <c r="I225" s="1">
        <v>17.0</v>
      </c>
      <c r="J225" s="1">
        <v>25.0</v>
      </c>
      <c r="K225" s="1">
        <v>119.0</v>
      </c>
      <c r="L225" s="1">
        <v>0.0</v>
      </c>
      <c r="M225" s="1">
        <v>1.0</v>
      </c>
      <c r="N225" s="1">
        <v>0.0</v>
      </c>
      <c r="O225" s="1">
        <v>0.0</v>
      </c>
      <c r="P225" s="1">
        <v>183.0</v>
      </c>
      <c r="Q225" s="1">
        <v>140.0</v>
      </c>
    </row>
    <row r="226">
      <c r="A226" s="1">
        <f t="shared" si="1"/>
        <v>224</v>
      </c>
      <c r="B226" s="1" t="s">
        <v>1209</v>
      </c>
      <c r="C226" s="1" t="s">
        <v>1048</v>
      </c>
      <c r="D226" s="1" t="s">
        <v>28</v>
      </c>
      <c r="E226" s="15">
        <f t="shared" si="2"/>
        <v>261.5</v>
      </c>
      <c r="F226" s="16">
        <f t="shared" si="3"/>
        <v>4.842592593</v>
      </c>
      <c r="G226" s="1">
        <v>54.0</v>
      </c>
      <c r="H226" s="1">
        <v>18.0</v>
      </c>
      <c r="I226" s="1">
        <v>29.0</v>
      </c>
      <c r="J226" s="1">
        <v>47.0</v>
      </c>
      <c r="K226" s="1">
        <v>121.0</v>
      </c>
      <c r="L226" s="1">
        <v>1.0</v>
      </c>
      <c r="M226" s="1">
        <v>1.0</v>
      </c>
      <c r="N226" s="1">
        <v>0.0</v>
      </c>
      <c r="O226" s="1">
        <v>0.0</v>
      </c>
      <c r="P226" s="1">
        <v>114.0</v>
      </c>
      <c r="Q226" s="1">
        <v>9.0</v>
      </c>
    </row>
    <row r="227">
      <c r="A227" s="1">
        <f t="shared" si="1"/>
        <v>224</v>
      </c>
      <c r="B227" s="1" t="s">
        <v>1224</v>
      </c>
      <c r="C227" s="1" t="s">
        <v>1034</v>
      </c>
      <c r="D227" s="1" t="s">
        <v>28</v>
      </c>
      <c r="E227" s="15">
        <f t="shared" si="2"/>
        <v>261.5</v>
      </c>
      <c r="F227" s="16">
        <f t="shared" si="3"/>
        <v>3.26875</v>
      </c>
      <c r="G227" s="1">
        <v>80.0</v>
      </c>
      <c r="H227" s="1">
        <v>16.0</v>
      </c>
      <c r="I227" s="1">
        <v>16.0</v>
      </c>
      <c r="J227" s="1">
        <v>32.0</v>
      </c>
      <c r="K227" s="1">
        <v>166.0</v>
      </c>
      <c r="L227" s="1">
        <v>2.0</v>
      </c>
      <c r="M227" s="1">
        <v>0.0</v>
      </c>
      <c r="N227" s="1">
        <v>1.0</v>
      </c>
      <c r="O227" s="1">
        <v>1.0</v>
      </c>
      <c r="P227" s="1">
        <v>106.0</v>
      </c>
      <c r="Q227" s="1">
        <v>56.0</v>
      </c>
    </row>
    <row r="228">
      <c r="A228" s="1">
        <f t="shared" si="1"/>
        <v>226</v>
      </c>
      <c r="B228" s="1" t="s">
        <v>1485</v>
      </c>
      <c r="C228" s="1" t="s">
        <v>1156</v>
      </c>
      <c r="D228" s="1" t="s">
        <v>36</v>
      </c>
      <c r="E228" s="15">
        <f t="shared" si="2"/>
        <v>261</v>
      </c>
      <c r="F228" s="16">
        <f t="shared" si="3"/>
        <v>3.222222222</v>
      </c>
      <c r="G228" s="1">
        <v>81.0</v>
      </c>
      <c r="H228" s="1">
        <v>22.0</v>
      </c>
      <c r="I228" s="1">
        <v>23.0</v>
      </c>
      <c r="J228" s="1">
        <v>45.0</v>
      </c>
      <c r="K228" s="1">
        <v>131.0</v>
      </c>
      <c r="L228" s="1">
        <v>4.0</v>
      </c>
      <c r="M228" s="1">
        <v>3.0</v>
      </c>
      <c r="N228" s="1">
        <v>0.0</v>
      </c>
      <c r="O228" s="1">
        <v>0.0</v>
      </c>
      <c r="P228" s="1">
        <v>60.0</v>
      </c>
      <c r="Q228" s="1">
        <v>25.0</v>
      </c>
    </row>
    <row r="229">
      <c r="A229" s="1">
        <f t="shared" si="1"/>
        <v>227</v>
      </c>
      <c r="B229" s="1" t="s">
        <v>1677</v>
      </c>
      <c r="C229" s="1" t="s">
        <v>1036</v>
      </c>
      <c r="D229" s="1" t="s">
        <v>28</v>
      </c>
      <c r="E229" s="15">
        <f t="shared" si="2"/>
        <v>260.5</v>
      </c>
      <c r="F229" s="16">
        <f t="shared" si="3"/>
        <v>3.216049383</v>
      </c>
      <c r="G229" s="1">
        <v>81.0</v>
      </c>
      <c r="H229" s="1">
        <v>20.0</v>
      </c>
      <c r="I229" s="1">
        <v>21.0</v>
      </c>
      <c r="J229" s="1">
        <v>41.0</v>
      </c>
      <c r="K229" s="1">
        <v>114.0</v>
      </c>
      <c r="L229" s="1">
        <v>3.0</v>
      </c>
      <c r="M229" s="1">
        <v>3.0</v>
      </c>
      <c r="N229" s="1">
        <v>1.0</v>
      </c>
      <c r="O229" s="1">
        <v>1.0</v>
      </c>
      <c r="P229" s="1">
        <v>114.0</v>
      </c>
      <c r="Q229" s="1">
        <v>36.0</v>
      </c>
    </row>
    <row r="230">
      <c r="A230" s="1">
        <f t="shared" si="1"/>
        <v>228</v>
      </c>
      <c r="B230" s="1" t="s">
        <v>1159</v>
      </c>
      <c r="C230" s="1" t="s">
        <v>1172</v>
      </c>
      <c r="D230" s="1" t="s">
        <v>31</v>
      </c>
      <c r="E230" s="15">
        <f t="shared" si="2"/>
        <v>259.25</v>
      </c>
      <c r="F230" s="16">
        <f t="shared" si="3"/>
        <v>3.757246377</v>
      </c>
      <c r="G230" s="1">
        <v>69.0</v>
      </c>
      <c r="H230" s="1">
        <v>22.0</v>
      </c>
      <c r="I230" s="1">
        <v>26.0</v>
      </c>
      <c r="J230" s="1">
        <v>48.0</v>
      </c>
      <c r="K230" s="1">
        <v>126.0</v>
      </c>
      <c r="L230" s="1">
        <v>5.0</v>
      </c>
      <c r="M230" s="1">
        <v>11.0</v>
      </c>
      <c r="N230" s="1">
        <v>0.0</v>
      </c>
      <c r="O230" s="1">
        <v>0.0</v>
      </c>
      <c r="P230" s="1">
        <v>11.0</v>
      </c>
      <c r="Q230" s="1">
        <v>33.0</v>
      </c>
    </row>
    <row r="231">
      <c r="A231" s="1">
        <f t="shared" si="1"/>
        <v>229</v>
      </c>
      <c r="B231" s="1" t="s">
        <v>1490</v>
      </c>
      <c r="C231" s="1" t="s">
        <v>1156</v>
      </c>
      <c r="D231" s="1" t="s">
        <v>31</v>
      </c>
      <c r="E231" s="15">
        <f t="shared" si="2"/>
        <v>259</v>
      </c>
      <c r="F231" s="16">
        <f t="shared" si="3"/>
        <v>3.363636364</v>
      </c>
      <c r="G231" s="1">
        <v>77.0</v>
      </c>
      <c r="H231" s="1">
        <v>14.0</v>
      </c>
      <c r="I231" s="1">
        <v>16.0</v>
      </c>
      <c r="J231" s="1">
        <v>30.0</v>
      </c>
      <c r="K231" s="1">
        <v>121.0</v>
      </c>
      <c r="L231" s="1">
        <v>0.0</v>
      </c>
      <c r="M231" s="1">
        <v>1.0</v>
      </c>
      <c r="N231" s="1">
        <v>0.0</v>
      </c>
      <c r="O231" s="1">
        <v>1.0</v>
      </c>
      <c r="P231" s="1">
        <v>240.0</v>
      </c>
      <c r="Q231" s="1">
        <v>51.0</v>
      </c>
    </row>
    <row r="232">
      <c r="A232" s="1">
        <f t="shared" si="1"/>
        <v>230</v>
      </c>
      <c r="B232" s="1" t="s">
        <v>2282</v>
      </c>
      <c r="C232" s="1" t="s">
        <v>1036</v>
      </c>
      <c r="D232" s="1" t="s">
        <v>5</v>
      </c>
      <c r="E232" s="15">
        <f t="shared" si="2"/>
        <v>258.3</v>
      </c>
      <c r="F232" s="16">
        <f t="shared" si="3"/>
        <v>5.74</v>
      </c>
      <c r="G232" s="1">
        <v>45.0</v>
      </c>
      <c r="K232" s="12"/>
      <c r="N232" s="12"/>
      <c r="R232" s="1">
        <v>27.0</v>
      </c>
      <c r="S232" s="1">
        <v>136.0</v>
      </c>
      <c r="T232" s="12">
        <v>1261.0</v>
      </c>
      <c r="U232" s="1">
        <v>1.0</v>
      </c>
    </row>
    <row r="233">
      <c r="A233" s="1">
        <f t="shared" si="1"/>
        <v>231</v>
      </c>
      <c r="B233" s="1" t="s">
        <v>2104</v>
      </c>
      <c r="C233" s="1" t="s">
        <v>1116</v>
      </c>
      <c r="D233" s="1" t="s">
        <v>31</v>
      </c>
      <c r="E233" s="15">
        <f t="shared" si="2"/>
        <v>257.25</v>
      </c>
      <c r="F233" s="16">
        <f t="shared" si="3"/>
        <v>3.623239437</v>
      </c>
      <c r="G233" s="1">
        <v>71.0</v>
      </c>
      <c r="H233" s="1">
        <v>21.0</v>
      </c>
      <c r="I233" s="1">
        <v>24.0</v>
      </c>
      <c r="J233" s="1">
        <v>45.0</v>
      </c>
      <c r="K233" s="1">
        <v>141.0</v>
      </c>
      <c r="L233" s="1">
        <v>4.0</v>
      </c>
      <c r="M233" s="1">
        <v>4.0</v>
      </c>
      <c r="N233" s="1">
        <v>0.0</v>
      </c>
      <c r="O233" s="1">
        <v>0.0</v>
      </c>
      <c r="P233" s="1">
        <v>27.0</v>
      </c>
      <c r="Q233" s="1">
        <v>27.0</v>
      </c>
    </row>
    <row r="234">
      <c r="A234" s="1">
        <f t="shared" si="1"/>
        <v>231</v>
      </c>
      <c r="B234" s="1" t="s">
        <v>1584</v>
      </c>
      <c r="C234" s="1" t="s">
        <v>1034</v>
      </c>
      <c r="D234" s="1" t="s">
        <v>36</v>
      </c>
      <c r="E234" s="15">
        <f t="shared" si="2"/>
        <v>257.25</v>
      </c>
      <c r="F234" s="16">
        <f t="shared" si="3"/>
        <v>3.137195122</v>
      </c>
      <c r="G234" s="1">
        <v>82.0</v>
      </c>
      <c r="H234" s="1">
        <v>19.0</v>
      </c>
      <c r="I234" s="1">
        <v>21.0</v>
      </c>
      <c r="J234" s="1">
        <v>40.0</v>
      </c>
      <c r="K234" s="1">
        <v>153.0</v>
      </c>
      <c r="L234" s="1">
        <v>6.0</v>
      </c>
      <c r="M234" s="1">
        <v>2.0</v>
      </c>
      <c r="N234" s="1">
        <v>0.0</v>
      </c>
      <c r="O234" s="1">
        <v>0.0</v>
      </c>
      <c r="P234" s="1">
        <v>73.0</v>
      </c>
      <c r="Q234" s="1">
        <v>28.0</v>
      </c>
    </row>
    <row r="235">
      <c r="A235" s="1">
        <f t="shared" si="1"/>
        <v>233</v>
      </c>
      <c r="B235" s="1" t="s">
        <v>1334</v>
      </c>
      <c r="C235" s="1" t="s">
        <v>1085</v>
      </c>
      <c r="D235" s="1" t="s">
        <v>66</v>
      </c>
      <c r="E235" s="15">
        <f t="shared" si="2"/>
        <v>256.75</v>
      </c>
      <c r="F235" s="16">
        <f t="shared" si="3"/>
        <v>3.378289474</v>
      </c>
      <c r="G235" s="1">
        <v>76.0</v>
      </c>
      <c r="H235" s="1">
        <v>4.0</v>
      </c>
      <c r="I235" s="1">
        <v>21.0</v>
      </c>
      <c r="J235" s="1">
        <v>25.0</v>
      </c>
      <c r="K235" s="1">
        <v>136.0</v>
      </c>
      <c r="L235" s="1">
        <v>0.0</v>
      </c>
      <c r="M235" s="1">
        <v>3.0</v>
      </c>
      <c r="N235" s="1">
        <v>1.0</v>
      </c>
      <c r="O235" s="1">
        <v>2.0</v>
      </c>
      <c r="P235" s="1">
        <v>111.0</v>
      </c>
      <c r="Q235" s="1">
        <v>148.0</v>
      </c>
    </row>
    <row r="236">
      <c r="A236" s="1">
        <f t="shared" si="1"/>
        <v>234</v>
      </c>
      <c r="B236" s="1" t="s">
        <v>1297</v>
      </c>
      <c r="C236" s="1" t="s">
        <v>1082</v>
      </c>
      <c r="D236" s="1" t="s">
        <v>36</v>
      </c>
      <c r="E236" s="15">
        <f t="shared" si="2"/>
        <v>256.5</v>
      </c>
      <c r="F236" s="16">
        <f t="shared" si="3"/>
        <v>3.375</v>
      </c>
      <c r="G236" s="1">
        <v>76.0</v>
      </c>
      <c r="H236" s="1">
        <v>14.0</v>
      </c>
      <c r="I236" s="1">
        <v>12.0</v>
      </c>
      <c r="J236" s="1">
        <v>26.0</v>
      </c>
      <c r="K236" s="1">
        <v>124.0</v>
      </c>
      <c r="L236" s="1">
        <v>0.0</v>
      </c>
      <c r="M236" s="1">
        <v>0.0</v>
      </c>
      <c r="N236" s="1">
        <v>0.0</v>
      </c>
      <c r="O236" s="1">
        <v>1.0</v>
      </c>
      <c r="P236" s="1">
        <v>250.0</v>
      </c>
      <c r="Q236" s="1">
        <v>62.0</v>
      </c>
    </row>
    <row r="237">
      <c r="A237" s="1">
        <f t="shared" si="1"/>
        <v>234</v>
      </c>
      <c r="B237" s="1" t="s">
        <v>1389</v>
      </c>
      <c r="C237" s="1" t="s">
        <v>1076</v>
      </c>
      <c r="D237" s="1" t="s">
        <v>31</v>
      </c>
      <c r="E237" s="15">
        <f t="shared" si="2"/>
        <v>256.5</v>
      </c>
      <c r="F237" s="16">
        <f t="shared" si="3"/>
        <v>3.12804878</v>
      </c>
      <c r="G237" s="1">
        <v>82.0</v>
      </c>
      <c r="H237" s="1">
        <v>17.0</v>
      </c>
      <c r="I237" s="1">
        <v>25.0</v>
      </c>
      <c r="J237" s="1">
        <v>42.0</v>
      </c>
      <c r="K237" s="1">
        <v>154.0</v>
      </c>
      <c r="L237" s="1">
        <v>2.0</v>
      </c>
      <c r="M237" s="1">
        <v>3.0</v>
      </c>
      <c r="N237" s="1">
        <v>1.0</v>
      </c>
      <c r="O237" s="1">
        <v>1.0</v>
      </c>
      <c r="P237" s="1">
        <v>26.0</v>
      </c>
      <c r="Q237" s="1">
        <v>35.0</v>
      </c>
    </row>
    <row r="238">
      <c r="A238" s="1">
        <f t="shared" si="1"/>
        <v>234</v>
      </c>
      <c r="B238" s="1" t="s">
        <v>1618</v>
      </c>
      <c r="C238" s="1" t="s">
        <v>1054</v>
      </c>
      <c r="D238" s="1" t="s">
        <v>31</v>
      </c>
      <c r="E238" s="15">
        <f t="shared" si="2"/>
        <v>256.5</v>
      </c>
      <c r="F238" s="16">
        <f t="shared" si="3"/>
        <v>3.375</v>
      </c>
      <c r="G238" s="1">
        <v>76.0</v>
      </c>
      <c r="H238" s="1">
        <v>14.0</v>
      </c>
      <c r="I238" s="1">
        <v>30.0</v>
      </c>
      <c r="J238" s="1">
        <v>44.0</v>
      </c>
      <c r="K238" s="1">
        <v>132.0</v>
      </c>
      <c r="L238" s="1">
        <v>1.0</v>
      </c>
      <c r="M238" s="1">
        <v>2.0</v>
      </c>
      <c r="N238" s="1">
        <v>0.0</v>
      </c>
      <c r="O238" s="1">
        <v>2.0</v>
      </c>
      <c r="P238" s="1">
        <v>48.0</v>
      </c>
      <c r="Q238" s="1">
        <v>43.0</v>
      </c>
    </row>
    <row r="239">
      <c r="A239" s="1">
        <f t="shared" si="1"/>
        <v>237</v>
      </c>
      <c r="B239" s="1" t="s">
        <v>1397</v>
      </c>
      <c r="C239" s="1" t="s">
        <v>1097</v>
      </c>
      <c r="D239" s="1" t="s">
        <v>36</v>
      </c>
      <c r="E239" s="15">
        <f t="shared" si="2"/>
        <v>255.75</v>
      </c>
      <c r="F239" s="16">
        <f t="shared" si="3"/>
        <v>3.706521739</v>
      </c>
      <c r="G239" s="1">
        <v>69.0</v>
      </c>
      <c r="H239" s="1">
        <v>19.0</v>
      </c>
      <c r="I239" s="1">
        <v>13.0</v>
      </c>
      <c r="J239" s="1">
        <v>32.0</v>
      </c>
      <c r="K239" s="1">
        <v>151.0</v>
      </c>
      <c r="L239" s="1">
        <v>2.0</v>
      </c>
      <c r="M239" s="1">
        <v>1.0</v>
      </c>
      <c r="N239" s="1">
        <v>0.0</v>
      </c>
      <c r="O239" s="1">
        <v>0.0</v>
      </c>
      <c r="P239" s="1">
        <v>153.0</v>
      </c>
      <c r="Q239" s="1">
        <v>35.0</v>
      </c>
    </row>
    <row r="240">
      <c r="A240" s="1">
        <f t="shared" si="1"/>
        <v>238</v>
      </c>
      <c r="B240" s="1" t="s">
        <v>1706</v>
      </c>
      <c r="C240" s="1" t="s">
        <v>1082</v>
      </c>
      <c r="D240" s="1" t="s">
        <v>28</v>
      </c>
      <c r="E240" s="15">
        <f t="shared" si="2"/>
        <v>255.25</v>
      </c>
      <c r="F240" s="16">
        <f t="shared" si="3"/>
        <v>3.595070423</v>
      </c>
      <c r="G240" s="1">
        <v>71.0</v>
      </c>
      <c r="H240" s="1">
        <v>19.0</v>
      </c>
      <c r="I240" s="1">
        <v>24.0</v>
      </c>
      <c r="J240" s="1">
        <v>43.0</v>
      </c>
      <c r="K240" s="1">
        <v>129.0</v>
      </c>
      <c r="L240" s="1">
        <v>2.0</v>
      </c>
      <c r="M240" s="1">
        <v>4.0</v>
      </c>
      <c r="N240" s="1">
        <v>0.0</v>
      </c>
      <c r="O240" s="1">
        <v>0.0</v>
      </c>
      <c r="P240" s="1">
        <v>45.0</v>
      </c>
      <c r="Q240" s="1">
        <v>44.0</v>
      </c>
    </row>
    <row r="241">
      <c r="A241" s="1">
        <f t="shared" si="1"/>
        <v>239</v>
      </c>
      <c r="B241" s="1" t="s">
        <v>1183</v>
      </c>
      <c r="C241" s="1" t="s">
        <v>1065</v>
      </c>
      <c r="D241" s="1" t="s">
        <v>31</v>
      </c>
      <c r="E241" s="15">
        <f t="shared" si="2"/>
        <v>254</v>
      </c>
      <c r="F241" s="16">
        <f t="shared" si="3"/>
        <v>4.379310345</v>
      </c>
      <c r="G241" s="1">
        <v>58.0</v>
      </c>
      <c r="H241" s="1">
        <v>19.0</v>
      </c>
      <c r="I241" s="1">
        <v>23.0</v>
      </c>
      <c r="J241" s="1">
        <v>42.0</v>
      </c>
      <c r="K241" s="1">
        <v>141.0</v>
      </c>
      <c r="L241" s="1">
        <v>6.0</v>
      </c>
      <c r="M241" s="1">
        <v>5.0</v>
      </c>
      <c r="N241" s="1">
        <v>0.0</v>
      </c>
      <c r="O241" s="1">
        <v>0.0</v>
      </c>
      <c r="P241" s="1">
        <v>22.0</v>
      </c>
      <c r="Q241" s="1">
        <v>47.0</v>
      </c>
    </row>
    <row r="242">
      <c r="A242" s="1">
        <f t="shared" si="1"/>
        <v>240</v>
      </c>
      <c r="B242" s="1" t="s">
        <v>1686</v>
      </c>
      <c r="C242" s="1" t="s">
        <v>1036</v>
      </c>
      <c r="D242" s="1" t="s">
        <v>66</v>
      </c>
      <c r="E242" s="15">
        <f t="shared" si="2"/>
        <v>253.25</v>
      </c>
      <c r="F242" s="16">
        <f t="shared" si="3"/>
        <v>3.469178082</v>
      </c>
      <c r="G242" s="1">
        <v>73.0</v>
      </c>
      <c r="H242" s="1">
        <v>7.0</v>
      </c>
      <c r="I242" s="1">
        <v>34.0</v>
      </c>
      <c r="J242" s="1">
        <v>41.0</v>
      </c>
      <c r="K242" s="1">
        <v>149.0</v>
      </c>
      <c r="L242" s="1">
        <v>3.0</v>
      </c>
      <c r="M242" s="1">
        <v>18.0</v>
      </c>
      <c r="N242" s="1">
        <v>0.0</v>
      </c>
      <c r="O242" s="1">
        <v>1.0</v>
      </c>
      <c r="P242" s="1">
        <v>27.0</v>
      </c>
      <c r="Q242" s="1">
        <v>73.0</v>
      </c>
    </row>
    <row r="243">
      <c r="A243" s="1">
        <f t="shared" si="1"/>
        <v>240</v>
      </c>
      <c r="B243" s="1" t="s">
        <v>2283</v>
      </c>
      <c r="C243" s="1" t="s">
        <v>1044</v>
      </c>
      <c r="D243" s="1" t="s">
        <v>28</v>
      </c>
      <c r="E243" s="15">
        <f t="shared" si="2"/>
        <v>253.25</v>
      </c>
      <c r="F243" s="16">
        <f t="shared" si="3"/>
        <v>3.205696203</v>
      </c>
      <c r="G243" s="1">
        <v>79.0</v>
      </c>
      <c r="H243" s="1">
        <v>18.0</v>
      </c>
      <c r="I243" s="1">
        <v>14.0</v>
      </c>
      <c r="J243" s="1">
        <v>32.0</v>
      </c>
      <c r="K243" s="1">
        <v>162.0</v>
      </c>
      <c r="L243" s="1">
        <v>0.0</v>
      </c>
      <c r="M243" s="1">
        <v>0.0</v>
      </c>
      <c r="N243" s="1">
        <v>5.0</v>
      </c>
      <c r="O243" s="1">
        <v>1.0</v>
      </c>
      <c r="P243" s="1">
        <v>101.0</v>
      </c>
      <c r="Q243" s="1">
        <v>24.0</v>
      </c>
    </row>
    <row r="244">
      <c r="A244" s="1">
        <f t="shared" si="1"/>
        <v>242</v>
      </c>
      <c r="B244" s="1" t="s">
        <v>1236</v>
      </c>
      <c r="C244" s="1" t="s">
        <v>1048</v>
      </c>
      <c r="D244" s="1" t="s">
        <v>66</v>
      </c>
      <c r="E244" s="15">
        <f t="shared" si="2"/>
        <v>252.75</v>
      </c>
      <c r="F244" s="16">
        <f t="shared" si="3"/>
        <v>3.559859155</v>
      </c>
      <c r="G244" s="1">
        <v>71.0</v>
      </c>
      <c r="H244" s="1">
        <v>10.0</v>
      </c>
      <c r="I244" s="1">
        <v>27.0</v>
      </c>
      <c r="J244" s="1">
        <v>37.0</v>
      </c>
      <c r="K244" s="1">
        <v>145.0</v>
      </c>
      <c r="L244" s="1">
        <v>0.0</v>
      </c>
      <c r="M244" s="1">
        <v>0.0</v>
      </c>
      <c r="N244" s="1">
        <v>0.0</v>
      </c>
      <c r="O244" s="1">
        <v>0.0</v>
      </c>
      <c r="P244" s="1">
        <v>45.0</v>
      </c>
      <c r="Q244" s="1">
        <v>86.0</v>
      </c>
    </row>
    <row r="245">
      <c r="A245" s="1">
        <f t="shared" si="1"/>
        <v>243</v>
      </c>
      <c r="B245" s="1" t="s">
        <v>1304</v>
      </c>
      <c r="C245" s="1" t="s">
        <v>1048</v>
      </c>
      <c r="D245" s="1" t="s">
        <v>66</v>
      </c>
      <c r="E245" s="15">
        <f t="shared" si="2"/>
        <v>252.5</v>
      </c>
      <c r="F245" s="16">
        <f t="shared" si="3"/>
        <v>3.117283951</v>
      </c>
      <c r="G245" s="1">
        <v>81.0</v>
      </c>
      <c r="H245" s="1">
        <v>11.0</v>
      </c>
      <c r="I245" s="1">
        <v>26.0</v>
      </c>
      <c r="J245" s="1">
        <v>37.0</v>
      </c>
      <c r="K245" s="1">
        <v>153.0</v>
      </c>
      <c r="L245" s="1">
        <v>1.0</v>
      </c>
      <c r="M245" s="1">
        <v>7.0</v>
      </c>
      <c r="N245" s="1">
        <v>0.0</v>
      </c>
      <c r="O245" s="1">
        <v>0.0</v>
      </c>
      <c r="P245" s="1">
        <v>64.0</v>
      </c>
      <c r="Q245" s="1">
        <v>65.0</v>
      </c>
    </row>
    <row r="246">
      <c r="A246" s="1">
        <f t="shared" si="1"/>
        <v>243</v>
      </c>
      <c r="B246" s="1" t="s">
        <v>1201</v>
      </c>
      <c r="C246" s="1" t="s">
        <v>1085</v>
      </c>
      <c r="D246" s="1" t="s">
        <v>66</v>
      </c>
      <c r="E246" s="15">
        <f t="shared" si="2"/>
        <v>252.5</v>
      </c>
      <c r="F246" s="16">
        <f t="shared" si="3"/>
        <v>3.607142857</v>
      </c>
      <c r="G246" s="1">
        <v>70.0</v>
      </c>
      <c r="H246" s="1">
        <v>5.0</v>
      </c>
      <c r="I246" s="1">
        <v>31.0</v>
      </c>
      <c r="J246" s="1">
        <v>36.0</v>
      </c>
      <c r="K246" s="1">
        <v>156.0</v>
      </c>
      <c r="L246" s="1">
        <v>3.0</v>
      </c>
      <c r="M246" s="1">
        <v>8.0</v>
      </c>
      <c r="N246" s="1">
        <v>0.0</v>
      </c>
      <c r="O246" s="1">
        <v>0.0</v>
      </c>
      <c r="P246" s="1">
        <v>52.0</v>
      </c>
      <c r="Q246" s="1">
        <v>92.0</v>
      </c>
    </row>
    <row r="247">
      <c r="A247" s="1">
        <f t="shared" si="1"/>
        <v>245</v>
      </c>
      <c r="B247" s="1" t="s">
        <v>1348</v>
      </c>
      <c r="C247" s="1" t="s">
        <v>1080</v>
      </c>
      <c r="D247" s="1" t="s">
        <v>31</v>
      </c>
      <c r="E247" s="15">
        <f t="shared" si="2"/>
        <v>252.25</v>
      </c>
      <c r="F247" s="16">
        <f t="shared" si="3"/>
        <v>3.233974359</v>
      </c>
      <c r="G247" s="1">
        <v>78.0</v>
      </c>
      <c r="H247" s="1">
        <v>15.0</v>
      </c>
      <c r="I247" s="1">
        <v>24.0</v>
      </c>
      <c r="J247" s="1">
        <v>39.0</v>
      </c>
      <c r="K247" s="1">
        <v>145.0</v>
      </c>
      <c r="L247" s="1">
        <v>2.0</v>
      </c>
      <c r="M247" s="1">
        <v>3.0</v>
      </c>
      <c r="N247" s="1">
        <v>0.0</v>
      </c>
      <c r="O247" s="1">
        <v>1.0</v>
      </c>
      <c r="P247" s="1">
        <v>85.0</v>
      </c>
      <c r="Q247" s="1">
        <v>34.0</v>
      </c>
    </row>
    <row r="248">
      <c r="A248" s="1">
        <f t="shared" si="1"/>
        <v>245</v>
      </c>
      <c r="B248" s="1" t="s">
        <v>1270</v>
      </c>
      <c r="C248" s="1" t="s">
        <v>1106</v>
      </c>
      <c r="D248" s="1" t="s">
        <v>66</v>
      </c>
      <c r="E248" s="15">
        <f t="shared" si="2"/>
        <v>252.25</v>
      </c>
      <c r="F248" s="16">
        <f t="shared" si="3"/>
        <v>3.94140625</v>
      </c>
      <c r="G248" s="1">
        <v>64.0</v>
      </c>
      <c r="H248" s="1">
        <v>9.0</v>
      </c>
      <c r="I248" s="1">
        <v>34.0</v>
      </c>
      <c r="J248" s="1">
        <v>43.0</v>
      </c>
      <c r="K248" s="1">
        <v>119.0</v>
      </c>
      <c r="L248" s="1">
        <v>3.0</v>
      </c>
      <c r="M248" s="1">
        <v>16.0</v>
      </c>
      <c r="N248" s="1">
        <v>1.0</v>
      </c>
      <c r="O248" s="1">
        <v>0.0</v>
      </c>
      <c r="P248" s="1">
        <v>53.0</v>
      </c>
      <c r="Q248" s="1">
        <v>70.0</v>
      </c>
    </row>
    <row r="249">
      <c r="A249" s="1">
        <f t="shared" si="1"/>
        <v>245</v>
      </c>
      <c r="B249" s="1" t="s">
        <v>1300</v>
      </c>
      <c r="C249" s="1" t="s">
        <v>1048</v>
      </c>
      <c r="D249" s="1" t="s">
        <v>66</v>
      </c>
      <c r="E249" s="15">
        <f t="shared" si="2"/>
        <v>252.25</v>
      </c>
      <c r="F249" s="16">
        <f t="shared" si="3"/>
        <v>3.275974026</v>
      </c>
      <c r="G249" s="1">
        <v>77.0</v>
      </c>
      <c r="H249" s="1">
        <v>3.0</v>
      </c>
      <c r="I249" s="1">
        <v>13.0</v>
      </c>
      <c r="J249" s="1">
        <v>16.0</v>
      </c>
      <c r="K249" s="1">
        <v>100.0</v>
      </c>
      <c r="L249" s="1">
        <v>0.0</v>
      </c>
      <c r="M249" s="1">
        <v>0.0</v>
      </c>
      <c r="N249" s="1">
        <v>1.0</v>
      </c>
      <c r="O249" s="1">
        <v>0.0</v>
      </c>
      <c r="P249" s="1">
        <v>355.0</v>
      </c>
      <c r="Q249" s="1">
        <v>118.0</v>
      </c>
    </row>
    <row r="250">
      <c r="A250" s="1">
        <f t="shared" si="1"/>
        <v>248</v>
      </c>
      <c r="B250" s="1" t="s">
        <v>1191</v>
      </c>
      <c r="C250" s="1" t="s">
        <v>1091</v>
      </c>
      <c r="D250" s="1" t="s">
        <v>66</v>
      </c>
      <c r="E250" s="15">
        <f t="shared" si="2"/>
        <v>252</v>
      </c>
      <c r="F250" s="16">
        <f t="shared" si="3"/>
        <v>3.15</v>
      </c>
      <c r="G250" s="1">
        <v>80.0</v>
      </c>
      <c r="H250" s="1">
        <v>7.0</v>
      </c>
      <c r="I250" s="1">
        <v>24.0</v>
      </c>
      <c r="J250" s="1">
        <v>31.0</v>
      </c>
      <c r="K250" s="1">
        <v>123.0</v>
      </c>
      <c r="L250" s="1">
        <v>0.0</v>
      </c>
      <c r="M250" s="1">
        <v>0.0</v>
      </c>
      <c r="N250" s="1">
        <v>0.0</v>
      </c>
      <c r="O250" s="1">
        <v>0.0</v>
      </c>
      <c r="P250" s="1">
        <v>64.0</v>
      </c>
      <c r="Q250" s="1">
        <v>142.0</v>
      </c>
    </row>
    <row r="251">
      <c r="A251" s="1">
        <f t="shared" si="1"/>
        <v>248</v>
      </c>
      <c r="B251" s="1" t="s">
        <v>1340</v>
      </c>
      <c r="C251" s="1" t="s">
        <v>1038</v>
      </c>
      <c r="D251" s="1" t="s">
        <v>5</v>
      </c>
      <c r="E251" s="15">
        <f t="shared" si="2"/>
        <v>252</v>
      </c>
      <c r="F251" s="16">
        <f t="shared" si="3"/>
        <v>6.146341463</v>
      </c>
      <c r="G251" s="1">
        <v>41.0</v>
      </c>
      <c r="K251" s="12"/>
      <c r="N251" s="12"/>
      <c r="R251" s="1">
        <v>26.0</v>
      </c>
      <c r="S251" s="1">
        <v>95.0</v>
      </c>
      <c r="T251" s="12">
        <v>1045.0</v>
      </c>
      <c r="U251" s="1">
        <v>1.0</v>
      </c>
    </row>
    <row r="252">
      <c r="A252" s="1">
        <f t="shared" si="1"/>
        <v>250</v>
      </c>
      <c r="B252" s="1" t="s">
        <v>1539</v>
      </c>
      <c r="C252" s="1" t="s">
        <v>1078</v>
      </c>
      <c r="D252" s="1" t="s">
        <v>5</v>
      </c>
      <c r="E252" s="15">
        <f t="shared" si="2"/>
        <v>251.4</v>
      </c>
      <c r="F252" s="16">
        <f t="shared" si="3"/>
        <v>5.465217391</v>
      </c>
      <c r="G252" s="1">
        <v>46.0</v>
      </c>
      <c r="K252" s="12"/>
      <c r="N252" s="12"/>
      <c r="R252" s="1">
        <v>23.0</v>
      </c>
      <c r="S252" s="1">
        <v>116.0</v>
      </c>
      <c r="T252" s="12">
        <v>1168.0</v>
      </c>
      <c r="U252" s="1">
        <v>2.0</v>
      </c>
    </row>
    <row r="253">
      <c r="A253" s="1">
        <f t="shared" si="1"/>
        <v>251</v>
      </c>
      <c r="B253" s="1" t="s">
        <v>1359</v>
      </c>
      <c r="C253" s="1" t="s">
        <v>1097</v>
      </c>
      <c r="D253" s="1" t="s">
        <v>66</v>
      </c>
      <c r="E253" s="15">
        <f t="shared" si="2"/>
        <v>247.5</v>
      </c>
      <c r="F253" s="16">
        <f t="shared" si="3"/>
        <v>3.639705882</v>
      </c>
      <c r="G253" s="1">
        <v>68.0</v>
      </c>
      <c r="H253" s="1">
        <v>6.0</v>
      </c>
      <c r="I253" s="1">
        <v>21.0</v>
      </c>
      <c r="J253" s="1">
        <v>27.0</v>
      </c>
      <c r="K253" s="1">
        <v>124.0</v>
      </c>
      <c r="L253" s="1">
        <v>0.0</v>
      </c>
      <c r="M253" s="1">
        <v>3.0</v>
      </c>
      <c r="N253" s="1">
        <v>0.0</v>
      </c>
      <c r="O253" s="1">
        <v>1.0</v>
      </c>
      <c r="P253" s="1">
        <v>140.0</v>
      </c>
      <c r="Q253" s="1">
        <v>117.0</v>
      </c>
    </row>
    <row r="254">
      <c r="A254" s="1">
        <f t="shared" si="1"/>
        <v>252</v>
      </c>
      <c r="B254" s="1" t="s">
        <v>1343</v>
      </c>
      <c r="C254" s="1" t="s">
        <v>1080</v>
      </c>
      <c r="D254" s="1" t="s">
        <v>36</v>
      </c>
      <c r="E254" s="15">
        <f t="shared" si="2"/>
        <v>246.25</v>
      </c>
      <c r="F254" s="16">
        <f t="shared" si="3"/>
        <v>4.397321429</v>
      </c>
      <c r="G254" s="1">
        <v>56.0</v>
      </c>
      <c r="H254" s="1">
        <v>16.0</v>
      </c>
      <c r="I254" s="1">
        <v>22.0</v>
      </c>
      <c r="J254" s="1">
        <v>38.0</v>
      </c>
      <c r="K254" s="1">
        <v>150.0</v>
      </c>
      <c r="L254" s="1">
        <v>3.0</v>
      </c>
      <c r="M254" s="1">
        <v>4.0</v>
      </c>
      <c r="N254" s="1">
        <v>2.0</v>
      </c>
      <c r="O254" s="1">
        <v>2.0</v>
      </c>
      <c r="P254" s="1">
        <v>55.0</v>
      </c>
      <c r="Q254" s="1">
        <v>23.0</v>
      </c>
    </row>
    <row r="255">
      <c r="A255" s="1">
        <f t="shared" si="1"/>
        <v>253</v>
      </c>
      <c r="B255" s="1" t="s">
        <v>1229</v>
      </c>
      <c r="C255" s="1" t="s">
        <v>1120</v>
      </c>
      <c r="D255" s="1" t="s">
        <v>66</v>
      </c>
      <c r="E255" s="15">
        <f t="shared" si="2"/>
        <v>246</v>
      </c>
      <c r="F255" s="16">
        <f t="shared" si="3"/>
        <v>3.153846154</v>
      </c>
      <c r="G255" s="1">
        <v>78.0</v>
      </c>
      <c r="H255" s="1">
        <v>5.0</v>
      </c>
      <c r="I255" s="1">
        <v>33.0</v>
      </c>
      <c r="J255" s="1">
        <v>38.0</v>
      </c>
      <c r="K255" s="1">
        <v>133.0</v>
      </c>
      <c r="L255" s="1">
        <v>2.0</v>
      </c>
      <c r="M255" s="1">
        <v>5.0</v>
      </c>
      <c r="N255" s="1">
        <v>0.0</v>
      </c>
      <c r="O255" s="1">
        <v>0.0</v>
      </c>
      <c r="P255" s="1">
        <v>70.0</v>
      </c>
      <c r="Q255" s="1">
        <v>81.0</v>
      </c>
    </row>
    <row r="256">
      <c r="A256" s="1">
        <f t="shared" si="1"/>
        <v>254</v>
      </c>
      <c r="B256" s="1" t="s">
        <v>1168</v>
      </c>
      <c r="C256" s="1" t="s">
        <v>1073</v>
      </c>
      <c r="D256" s="1" t="s">
        <v>31</v>
      </c>
      <c r="E256" s="15">
        <f t="shared" si="2"/>
        <v>245.75</v>
      </c>
      <c r="F256" s="16">
        <f t="shared" si="3"/>
        <v>3.150641026</v>
      </c>
      <c r="G256" s="1">
        <v>78.0</v>
      </c>
      <c r="H256" s="1">
        <v>14.0</v>
      </c>
      <c r="I256" s="1">
        <v>26.0</v>
      </c>
      <c r="J256" s="1">
        <v>40.0</v>
      </c>
      <c r="K256" s="1">
        <v>159.0</v>
      </c>
      <c r="L256" s="1">
        <v>2.0</v>
      </c>
      <c r="M256" s="1">
        <v>2.0</v>
      </c>
      <c r="N256" s="1">
        <v>1.0</v>
      </c>
      <c r="O256" s="1">
        <v>0.0</v>
      </c>
      <c r="P256" s="1">
        <v>55.0</v>
      </c>
      <c r="Q256" s="1">
        <v>19.0</v>
      </c>
    </row>
    <row r="257">
      <c r="A257" s="1">
        <f t="shared" si="1"/>
        <v>255</v>
      </c>
      <c r="B257" s="1" t="s">
        <v>1831</v>
      </c>
      <c r="C257" s="1" t="s">
        <v>1054</v>
      </c>
      <c r="D257" s="1" t="s">
        <v>66</v>
      </c>
      <c r="E257" s="15">
        <f t="shared" si="2"/>
        <v>245.5</v>
      </c>
      <c r="F257" s="16">
        <f t="shared" si="3"/>
        <v>3.776923077</v>
      </c>
      <c r="G257" s="1">
        <v>65.0</v>
      </c>
      <c r="H257" s="1">
        <v>10.0</v>
      </c>
      <c r="I257" s="1">
        <v>30.0</v>
      </c>
      <c r="J257" s="1">
        <v>40.0</v>
      </c>
      <c r="K257" s="1">
        <v>116.0</v>
      </c>
      <c r="L257" s="1">
        <v>0.0</v>
      </c>
      <c r="M257" s="1">
        <v>14.0</v>
      </c>
      <c r="N257" s="1">
        <v>0.0</v>
      </c>
      <c r="O257" s="1">
        <v>0.0</v>
      </c>
      <c r="P257" s="1">
        <v>44.0</v>
      </c>
      <c r="Q257" s="1">
        <v>83.0</v>
      </c>
    </row>
    <row r="258">
      <c r="A258" s="1">
        <f t="shared" si="1"/>
        <v>256</v>
      </c>
      <c r="B258" s="1" t="s">
        <v>1109</v>
      </c>
      <c r="C258" s="1" t="s">
        <v>1052</v>
      </c>
      <c r="D258" s="1" t="s">
        <v>66</v>
      </c>
      <c r="E258" s="15">
        <f t="shared" si="2"/>
        <v>244.25</v>
      </c>
      <c r="F258" s="16">
        <f t="shared" si="3"/>
        <v>3.300675676</v>
      </c>
      <c r="G258" s="1">
        <v>74.0</v>
      </c>
      <c r="H258" s="1">
        <v>11.0</v>
      </c>
      <c r="I258" s="1">
        <v>20.0</v>
      </c>
      <c r="J258" s="1">
        <v>31.0</v>
      </c>
      <c r="K258" s="1">
        <v>140.0</v>
      </c>
      <c r="L258" s="1">
        <v>0.0</v>
      </c>
      <c r="M258" s="1">
        <v>2.0</v>
      </c>
      <c r="N258" s="1">
        <v>0.0</v>
      </c>
      <c r="O258" s="1">
        <v>0.0</v>
      </c>
      <c r="P258" s="1">
        <v>97.0</v>
      </c>
      <c r="Q258" s="1">
        <v>81.0</v>
      </c>
    </row>
    <row r="259">
      <c r="A259" s="1">
        <f t="shared" si="1"/>
        <v>256</v>
      </c>
      <c r="B259" s="1" t="s">
        <v>1354</v>
      </c>
      <c r="C259" s="1" t="s">
        <v>1046</v>
      </c>
      <c r="D259" s="1" t="s">
        <v>66</v>
      </c>
      <c r="E259" s="15">
        <f t="shared" si="2"/>
        <v>244.25</v>
      </c>
      <c r="F259" s="16">
        <f t="shared" si="3"/>
        <v>3.091772152</v>
      </c>
      <c r="G259" s="1">
        <v>79.0</v>
      </c>
      <c r="H259" s="1">
        <v>5.0</v>
      </c>
      <c r="I259" s="1">
        <v>24.0</v>
      </c>
      <c r="J259" s="1">
        <v>29.0</v>
      </c>
      <c r="K259" s="1">
        <v>168.0</v>
      </c>
      <c r="L259" s="1">
        <v>3.0</v>
      </c>
      <c r="M259" s="1">
        <v>7.0</v>
      </c>
      <c r="N259" s="1">
        <v>0.0</v>
      </c>
      <c r="O259" s="1">
        <v>0.0</v>
      </c>
      <c r="P259" s="1">
        <v>105.0</v>
      </c>
      <c r="Q259" s="1">
        <v>79.0</v>
      </c>
    </row>
    <row r="260">
      <c r="A260" s="1">
        <f t="shared" si="1"/>
        <v>256</v>
      </c>
      <c r="B260" s="1" t="s">
        <v>1190</v>
      </c>
      <c r="C260" s="1" t="s">
        <v>1042</v>
      </c>
      <c r="D260" s="1" t="s">
        <v>66</v>
      </c>
      <c r="E260" s="15">
        <f t="shared" si="2"/>
        <v>244.25</v>
      </c>
      <c r="F260" s="16">
        <f t="shared" si="3"/>
        <v>3.213815789</v>
      </c>
      <c r="G260" s="1">
        <v>76.0</v>
      </c>
      <c r="H260" s="1">
        <v>6.0</v>
      </c>
      <c r="I260" s="1">
        <v>25.0</v>
      </c>
      <c r="J260" s="1">
        <v>31.0</v>
      </c>
      <c r="K260" s="1">
        <v>145.0</v>
      </c>
      <c r="L260" s="1">
        <v>0.0</v>
      </c>
      <c r="M260" s="1">
        <v>4.0</v>
      </c>
      <c r="N260" s="1">
        <v>0.0</v>
      </c>
      <c r="O260" s="1">
        <v>1.0</v>
      </c>
      <c r="P260" s="1">
        <v>79.0</v>
      </c>
      <c r="Q260" s="1">
        <v>96.0</v>
      </c>
    </row>
    <row r="261">
      <c r="A261" s="1">
        <f t="shared" si="1"/>
        <v>259</v>
      </c>
      <c r="B261" s="1" t="s">
        <v>1659</v>
      </c>
      <c r="C261" s="1" t="s">
        <v>1046</v>
      </c>
      <c r="D261" s="1" t="s">
        <v>28</v>
      </c>
      <c r="E261" s="15">
        <f t="shared" si="2"/>
        <v>244</v>
      </c>
      <c r="F261" s="16">
        <f t="shared" si="3"/>
        <v>3.588235294</v>
      </c>
      <c r="G261" s="1">
        <v>68.0</v>
      </c>
      <c r="H261" s="1">
        <v>14.0</v>
      </c>
      <c r="I261" s="1">
        <v>20.0</v>
      </c>
      <c r="J261" s="1">
        <v>34.0</v>
      </c>
      <c r="K261" s="1">
        <v>159.0</v>
      </c>
      <c r="L261" s="1">
        <v>1.0</v>
      </c>
      <c r="M261" s="1">
        <v>2.0</v>
      </c>
      <c r="N261" s="1">
        <v>0.0</v>
      </c>
      <c r="O261" s="1">
        <v>0.0</v>
      </c>
      <c r="P261" s="1">
        <v>84.0</v>
      </c>
      <c r="Q261" s="1">
        <v>41.0</v>
      </c>
    </row>
    <row r="262">
      <c r="A262" s="1">
        <f t="shared" si="1"/>
        <v>259</v>
      </c>
      <c r="B262" s="1" t="s">
        <v>1742</v>
      </c>
      <c r="C262" s="1" t="s">
        <v>1087</v>
      </c>
      <c r="D262" s="1" t="s">
        <v>28</v>
      </c>
      <c r="E262" s="15">
        <f t="shared" si="2"/>
        <v>244</v>
      </c>
      <c r="F262" s="16">
        <f t="shared" si="3"/>
        <v>2.975609756</v>
      </c>
      <c r="G262" s="1">
        <v>82.0</v>
      </c>
      <c r="H262" s="1">
        <v>15.0</v>
      </c>
      <c r="I262" s="1">
        <v>20.0</v>
      </c>
      <c r="J262" s="1">
        <v>35.0</v>
      </c>
      <c r="K262" s="1">
        <v>138.0</v>
      </c>
      <c r="L262" s="1">
        <v>2.0</v>
      </c>
      <c r="M262" s="1">
        <v>5.0</v>
      </c>
      <c r="N262" s="1">
        <v>2.0</v>
      </c>
      <c r="O262" s="1">
        <v>0.0</v>
      </c>
      <c r="P262" s="1">
        <v>60.0</v>
      </c>
      <c r="Q262" s="1">
        <v>57.0</v>
      </c>
    </row>
    <row r="263">
      <c r="A263" s="1">
        <f t="shared" si="1"/>
        <v>259</v>
      </c>
      <c r="B263" s="1" t="s">
        <v>1514</v>
      </c>
      <c r="C263" s="1" t="s">
        <v>1040</v>
      </c>
      <c r="D263" s="1" t="s">
        <v>28</v>
      </c>
      <c r="E263" s="15">
        <f t="shared" si="2"/>
        <v>244</v>
      </c>
      <c r="F263" s="16">
        <f t="shared" si="3"/>
        <v>3.088607595</v>
      </c>
      <c r="G263" s="1">
        <v>79.0</v>
      </c>
      <c r="H263" s="1">
        <v>13.0</v>
      </c>
      <c r="I263" s="1">
        <v>20.0</v>
      </c>
      <c r="J263" s="1">
        <v>33.0</v>
      </c>
      <c r="K263" s="1">
        <v>116.0</v>
      </c>
      <c r="L263" s="1">
        <v>0.0</v>
      </c>
      <c r="M263" s="1">
        <v>0.0</v>
      </c>
      <c r="N263" s="1">
        <v>1.0</v>
      </c>
      <c r="O263" s="1">
        <v>3.0</v>
      </c>
      <c r="P263" s="1">
        <v>130.0</v>
      </c>
      <c r="Q263" s="1">
        <v>54.0</v>
      </c>
    </row>
    <row r="264">
      <c r="A264" s="1">
        <f t="shared" si="1"/>
        <v>262</v>
      </c>
      <c r="B264" s="1" t="s">
        <v>2284</v>
      </c>
      <c r="C264" s="1" t="s">
        <v>1080</v>
      </c>
      <c r="D264" s="1" t="s">
        <v>5</v>
      </c>
      <c r="E264" s="15">
        <f t="shared" si="2"/>
        <v>242.4</v>
      </c>
      <c r="F264" s="16">
        <f t="shared" si="3"/>
        <v>5.509090909</v>
      </c>
      <c r="G264" s="1">
        <v>44.0</v>
      </c>
      <c r="K264" s="12"/>
      <c r="N264" s="12"/>
      <c r="R264" s="1">
        <v>23.0</v>
      </c>
      <c r="S264" s="1">
        <v>120.0</v>
      </c>
      <c r="T264" s="12">
        <v>1168.0</v>
      </c>
      <c r="U264" s="1">
        <v>1.0</v>
      </c>
    </row>
    <row r="265">
      <c r="A265" s="1">
        <f t="shared" si="1"/>
        <v>263</v>
      </c>
      <c r="B265" s="1" t="s">
        <v>1129</v>
      </c>
      <c r="C265" s="1" t="s">
        <v>1044</v>
      </c>
      <c r="D265" s="1" t="s">
        <v>36</v>
      </c>
      <c r="E265" s="15">
        <f t="shared" si="2"/>
        <v>242.25</v>
      </c>
      <c r="F265" s="16">
        <f t="shared" si="3"/>
        <v>5.266304348</v>
      </c>
      <c r="G265" s="1">
        <v>46.0</v>
      </c>
      <c r="H265" s="1">
        <v>17.0</v>
      </c>
      <c r="I265" s="1">
        <v>27.0</v>
      </c>
      <c r="J265" s="1">
        <v>44.0</v>
      </c>
      <c r="K265" s="1">
        <v>110.0</v>
      </c>
      <c r="L265" s="1">
        <v>3.0</v>
      </c>
      <c r="M265" s="1">
        <v>11.0</v>
      </c>
      <c r="N265" s="1">
        <v>0.0</v>
      </c>
      <c r="O265" s="1">
        <v>0.0</v>
      </c>
      <c r="P265" s="1">
        <v>89.0</v>
      </c>
      <c r="Q265" s="1">
        <v>15.0</v>
      </c>
    </row>
    <row r="266">
      <c r="A266" s="1">
        <f t="shared" si="1"/>
        <v>264</v>
      </c>
      <c r="B266" s="1" t="s">
        <v>1483</v>
      </c>
      <c r="C266" s="1" t="s">
        <v>1120</v>
      </c>
      <c r="D266" s="1" t="s">
        <v>28</v>
      </c>
      <c r="E266" s="15">
        <f t="shared" si="2"/>
        <v>240</v>
      </c>
      <c r="F266" s="16">
        <f t="shared" si="3"/>
        <v>2.926829268</v>
      </c>
      <c r="G266" s="1">
        <v>82.0</v>
      </c>
      <c r="H266" s="1">
        <v>15.0</v>
      </c>
      <c r="I266" s="1">
        <v>21.0</v>
      </c>
      <c r="J266" s="1">
        <v>36.0</v>
      </c>
      <c r="K266" s="1">
        <v>166.0</v>
      </c>
      <c r="L266" s="1">
        <v>0.0</v>
      </c>
      <c r="M266" s="1">
        <v>3.0</v>
      </c>
      <c r="N266" s="1">
        <v>1.0</v>
      </c>
      <c r="O266" s="1">
        <v>0.0</v>
      </c>
      <c r="P266" s="1">
        <v>24.0</v>
      </c>
      <c r="Q266" s="1">
        <v>37.0</v>
      </c>
    </row>
    <row r="267">
      <c r="A267" s="1">
        <f t="shared" si="1"/>
        <v>265</v>
      </c>
      <c r="B267" s="1" t="s">
        <v>1506</v>
      </c>
      <c r="C267" s="1" t="s">
        <v>1076</v>
      </c>
      <c r="D267" s="1" t="s">
        <v>66</v>
      </c>
      <c r="E267" s="15">
        <f t="shared" si="2"/>
        <v>238.5</v>
      </c>
      <c r="F267" s="16">
        <f t="shared" si="3"/>
        <v>3.18</v>
      </c>
      <c r="G267" s="1">
        <v>75.0</v>
      </c>
      <c r="H267" s="1">
        <v>6.0</v>
      </c>
      <c r="I267" s="1">
        <v>22.0</v>
      </c>
      <c r="J267" s="1">
        <v>28.0</v>
      </c>
      <c r="K267" s="1">
        <v>111.0</v>
      </c>
      <c r="L267" s="1">
        <v>0.0</v>
      </c>
      <c r="M267" s="1">
        <v>0.0</v>
      </c>
      <c r="N267" s="1">
        <v>0.0</v>
      </c>
      <c r="O267" s="1">
        <v>0.0</v>
      </c>
      <c r="P267" s="1">
        <v>90.0</v>
      </c>
      <c r="Q267" s="1">
        <v>135.0</v>
      </c>
    </row>
    <row r="268">
      <c r="A268" s="1">
        <f t="shared" si="1"/>
        <v>265</v>
      </c>
      <c r="B268" s="1" t="s">
        <v>1280</v>
      </c>
      <c r="C268" s="1" t="s">
        <v>1038</v>
      </c>
      <c r="D268" s="1" t="s">
        <v>5</v>
      </c>
      <c r="E268" s="15">
        <f t="shared" si="2"/>
        <v>238.5</v>
      </c>
      <c r="F268" s="16">
        <f t="shared" si="3"/>
        <v>5.817073171</v>
      </c>
      <c r="G268" s="1">
        <v>41.0</v>
      </c>
      <c r="K268" s="12"/>
      <c r="N268" s="12"/>
      <c r="R268" s="1">
        <v>23.0</v>
      </c>
      <c r="S268" s="1">
        <v>96.0</v>
      </c>
      <c r="T268" s="12">
        <v>1015.0</v>
      </c>
      <c r="U268" s="1">
        <v>3.0</v>
      </c>
    </row>
    <row r="269">
      <c r="A269" s="1">
        <f t="shared" si="1"/>
        <v>267</v>
      </c>
      <c r="B269" s="1" t="s">
        <v>1408</v>
      </c>
      <c r="C269" s="1" t="s">
        <v>1036</v>
      </c>
      <c r="D269" s="1" t="s">
        <v>66</v>
      </c>
      <c r="E269" s="15">
        <f t="shared" si="2"/>
        <v>238.25</v>
      </c>
      <c r="F269" s="16">
        <f t="shared" si="3"/>
        <v>3.054487179</v>
      </c>
      <c r="G269" s="1">
        <v>78.0</v>
      </c>
      <c r="H269" s="1">
        <v>5.0</v>
      </c>
      <c r="I269" s="1">
        <v>23.0</v>
      </c>
      <c r="J269" s="1">
        <v>28.0</v>
      </c>
      <c r="K269" s="1">
        <v>102.0</v>
      </c>
      <c r="L269" s="1">
        <v>0.0</v>
      </c>
      <c r="M269" s="1">
        <v>0.0</v>
      </c>
      <c r="N269" s="1">
        <v>0.0</v>
      </c>
      <c r="O269" s="1">
        <v>3.0</v>
      </c>
      <c r="P269" s="1">
        <v>117.0</v>
      </c>
      <c r="Q269" s="1">
        <v>121.0</v>
      </c>
    </row>
    <row r="270">
      <c r="A270" s="1">
        <f t="shared" si="1"/>
        <v>268</v>
      </c>
      <c r="B270" s="1" t="s">
        <v>1288</v>
      </c>
      <c r="C270" s="1" t="s">
        <v>1156</v>
      </c>
      <c r="D270" s="1" t="s">
        <v>31</v>
      </c>
      <c r="E270" s="15">
        <f t="shared" si="2"/>
        <v>237</v>
      </c>
      <c r="F270" s="16">
        <f t="shared" si="3"/>
        <v>3</v>
      </c>
      <c r="G270" s="1">
        <v>79.0</v>
      </c>
      <c r="H270" s="1">
        <v>16.0</v>
      </c>
      <c r="I270" s="1">
        <v>15.0</v>
      </c>
      <c r="J270" s="1">
        <v>31.0</v>
      </c>
      <c r="K270" s="1">
        <v>148.0</v>
      </c>
      <c r="L270" s="1">
        <v>0.0</v>
      </c>
      <c r="M270" s="1">
        <v>2.0</v>
      </c>
      <c r="N270" s="1">
        <v>0.0</v>
      </c>
      <c r="O270" s="1">
        <v>0.0</v>
      </c>
      <c r="P270" s="1">
        <v>98.0</v>
      </c>
      <c r="Q270" s="1">
        <v>43.0</v>
      </c>
    </row>
    <row r="271">
      <c r="A271" s="1">
        <f t="shared" si="1"/>
        <v>268</v>
      </c>
      <c r="B271" s="1" t="s">
        <v>1281</v>
      </c>
      <c r="C271" s="1" t="s">
        <v>1172</v>
      </c>
      <c r="D271" s="1" t="s">
        <v>66</v>
      </c>
      <c r="E271" s="15">
        <f t="shared" si="2"/>
        <v>237</v>
      </c>
      <c r="F271" s="16">
        <f t="shared" si="3"/>
        <v>3.16</v>
      </c>
      <c r="G271" s="1">
        <v>75.0</v>
      </c>
      <c r="H271" s="1">
        <v>4.0</v>
      </c>
      <c r="I271" s="1">
        <v>18.0</v>
      </c>
      <c r="J271" s="1">
        <v>22.0</v>
      </c>
      <c r="K271" s="1">
        <v>80.0</v>
      </c>
      <c r="L271" s="1">
        <v>0.0</v>
      </c>
      <c r="M271" s="1">
        <v>0.0</v>
      </c>
      <c r="N271" s="1">
        <v>0.0</v>
      </c>
      <c r="O271" s="1">
        <v>0.0</v>
      </c>
      <c r="P271" s="1">
        <v>166.0</v>
      </c>
      <c r="Q271" s="1">
        <v>167.0</v>
      </c>
    </row>
    <row r="272">
      <c r="A272" s="1">
        <f t="shared" si="1"/>
        <v>270</v>
      </c>
      <c r="B272" s="1" t="s">
        <v>1826</v>
      </c>
      <c r="C272" s="1" t="s">
        <v>1036</v>
      </c>
      <c r="D272" s="1" t="s">
        <v>36</v>
      </c>
      <c r="E272" s="15">
        <f t="shared" si="2"/>
        <v>236.75</v>
      </c>
      <c r="F272" s="16">
        <f t="shared" si="3"/>
        <v>3.642307692</v>
      </c>
      <c r="G272" s="1">
        <v>65.0</v>
      </c>
      <c r="H272" s="1">
        <v>14.0</v>
      </c>
      <c r="I272" s="1">
        <v>22.0</v>
      </c>
      <c r="J272" s="1">
        <v>36.0</v>
      </c>
      <c r="K272" s="1">
        <v>160.0</v>
      </c>
      <c r="L272" s="1">
        <v>4.0</v>
      </c>
      <c r="M272" s="1">
        <v>3.0</v>
      </c>
      <c r="N272" s="1">
        <v>0.0</v>
      </c>
      <c r="O272" s="1">
        <v>0.0</v>
      </c>
      <c r="P272" s="1">
        <v>81.0</v>
      </c>
      <c r="Q272" s="1">
        <v>15.0</v>
      </c>
    </row>
    <row r="273">
      <c r="A273" s="1">
        <f t="shared" si="1"/>
        <v>271</v>
      </c>
      <c r="B273" s="1" t="s">
        <v>1550</v>
      </c>
      <c r="C273" s="1" t="s">
        <v>1111</v>
      </c>
      <c r="D273" s="1" t="s">
        <v>5</v>
      </c>
      <c r="E273" s="15">
        <f t="shared" si="2"/>
        <v>236.7</v>
      </c>
      <c r="F273" s="16">
        <f t="shared" si="3"/>
        <v>4.551923077</v>
      </c>
      <c r="G273" s="1">
        <v>52.0</v>
      </c>
      <c r="K273" s="12"/>
      <c r="N273" s="12"/>
      <c r="R273" s="1">
        <v>13.0</v>
      </c>
      <c r="S273" s="1">
        <v>170.0</v>
      </c>
      <c r="T273" s="12">
        <v>1499.0</v>
      </c>
      <c r="U273" s="1">
        <v>1.0</v>
      </c>
    </row>
    <row r="274">
      <c r="A274" s="1">
        <f t="shared" si="1"/>
        <v>272</v>
      </c>
      <c r="B274" s="1" t="s">
        <v>1619</v>
      </c>
      <c r="C274" s="1" t="s">
        <v>1172</v>
      </c>
      <c r="D274" s="1" t="s">
        <v>28</v>
      </c>
      <c r="E274" s="15">
        <f t="shared" si="2"/>
        <v>236.25</v>
      </c>
      <c r="F274" s="16">
        <f t="shared" si="3"/>
        <v>3.028846154</v>
      </c>
      <c r="G274" s="1">
        <v>78.0</v>
      </c>
      <c r="H274" s="1">
        <v>15.0</v>
      </c>
      <c r="I274" s="1">
        <v>17.0</v>
      </c>
      <c r="J274" s="1">
        <v>32.0</v>
      </c>
      <c r="K274" s="1">
        <v>161.0</v>
      </c>
      <c r="L274" s="1">
        <v>3.0</v>
      </c>
      <c r="M274" s="1">
        <v>6.0</v>
      </c>
      <c r="N274" s="1">
        <v>0.0</v>
      </c>
      <c r="O274" s="1">
        <v>0.0</v>
      </c>
      <c r="P274" s="1">
        <v>93.0</v>
      </c>
      <c r="Q274" s="1">
        <v>28.0</v>
      </c>
    </row>
    <row r="275">
      <c r="A275" s="1">
        <f t="shared" si="1"/>
        <v>272</v>
      </c>
      <c r="B275" s="1" t="s">
        <v>1441</v>
      </c>
      <c r="C275" s="1" t="s">
        <v>1082</v>
      </c>
      <c r="D275" s="1" t="s">
        <v>66</v>
      </c>
      <c r="E275" s="15">
        <f t="shared" si="2"/>
        <v>236.25</v>
      </c>
      <c r="F275" s="16">
        <f t="shared" si="3"/>
        <v>2.990506329</v>
      </c>
      <c r="G275" s="1">
        <v>79.0</v>
      </c>
      <c r="H275" s="1">
        <v>8.0</v>
      </c>
      <c r="I275" s="1">
        <v>9.0</v>
      </c>
      <c r="J275" s="1">
        <v>17.0</v>
      </c>
      <c r="K275" s="1">
        <v>96.0</v>
      </c>
      <c r="L275" s="1">
        <v>0.0</v>
      </c>
      <c r="M275" s="1">
        <v>0.0</v>
      </c>
      <c r="N275" s="1">
        <v>1.0</v>
      </c>
      <c r="O275" s="1">
        <v>1.0</v>
      </c>
      <c r="P275" s="1">
        <v>251.0</v>
      </c>
      <c r="Q275" s="1">
        <v>117.0</v>
      </c>
    </row>
    <row r="276">
      <c r="A276" s="1">
        <f t="shared" si="1"/>
        <v>274</v>
      </c>
      <c r="B276" s="1" t="s">
        <v>1309</v>
      </c>
      <c r="C276" s="1" t="s">
        <v>1146</v>
      </c>
      <c r="D276" s="1" t="s">
        <v>66</v>
      </c>
      <c r="E276" s="15">
        <f t="shared" si="2"/>
        <v>236</v>
      </c>
      <c r="F276" s="16">
        <f t="shared" si="3"/>
        <v>3.232876712</v>
      </c>
      <c r="G276" s="1">
        <v>73.0</v>
      </c>
      <c r="H276" s="1">
        <v>7.0</v>
      </c>
      <c r="I276" s="1">
        <v>28.0</v>
      </c>
      <c r="J276" s="1">
        <v>35.0</v>
      </c>
      <c r="K276" s="1">
        <v>121.0</v>
      </c>
      <c r="L276" s="1">
        <v>2.0</v>
      </c>
      <c r="M276" s="1">
        <v>9.0</v>
      </c>
      <c r="N276" s="1">
        <v>0.0</v>
      </c>
      <c r="O276" s="1">
        <v>0.0</v>
      </c>
      <c r="P276" s="1">
        <v>76.0</v>
      </c>
      <c r="Q276" s="1">
        <v>82.0</v>
      </c>
    </row>
    <row r="277">
      <c r="A277" s="1">
        <f t="shared" si="1"/>
        <v>274</v>
      </c>
      <c r="B277" s="1" t="s">
        <v>1386</v>
      </c>
      <c r="C277" s="1" t="s">
        <v>1054</v>
      </c>
      <c r="D277" s="1" t="s">
        <v>66</v>
      </c>
      <c r="E277" s="15">
        <f t="shared" si="2"/>
        <v>236</v>
      </c>
      <c r="F277" s="16">
        <f t="shared" si="3"/>
        <v>3.232876712</v>
      </c>
      <c r="G277" s="1">
        <v>73.0</v>
      </c>
      <c r="H277" s="1">
        <v>5.0</v>
      </c>
      <c r="I277" s="1">
        <v>25.0</v>
      </c>
      <c r="J277" s="1">
        <v>30.0</v>
      </c>
      <c r="K277" s="1">
        <v>126.0</v>
      </c>
      <c r="L277" s="1">
        <v>1.0</v>
      </c>
      <c r="M277" s="1">
        <v>6.0</v>
      </c>
      <c r="N277" s="1">
        <v>0.0</v>
      </c>
      <c r="O277" s="1">
        <v>1.0</v>
      </c>
      <c r="P277" s="1">
        <v>42.0</v>
      </c>
      <c r="Q277" s="1">
        <v>126.0</v>
      </c>
    </row>
    <row r="278">
      <c r="A278" s="1">
        <f t="shared" si="1"/>
        <v>274</v>
      </c>
      <c r="B278" s="1" t="s">
        <v>1138</v>
      </c>
      <c r="C278" s="1" t="s">
        <v>1067</v>
      </c>
      <c r="D278" s="1" t="s">
        <v>36</v>
      </c>
      <c r="E278" s="15">
        <f t="shared" si="2"/>
        <v>236</v>
      </c>
      <c r="F278" s="16">
        <f t="shared" si="3"/>
        <v>4.72</v>
      </c>
      <c r="G278" s="1">
        <v>50.0</v>
      </c>
      <c r="H278" s="1">
        <v>12.0</v>
      </c>
      <c r="I278" s="1">
        <v>26.0</v>
      </c>
      <c r="J278" s="1">
        <v>38.0</v>
      </c>
      <c r="K278" s="1">
        <v>139.0</v>
      </c>
      <c r="L278" s="1">
        <v>2.0</v>
      </c>
      <c r="M278" s="1">
        <v>6.0</v>
      </c>
      <c r="N278" s="1">
        <v>1.0</v>
      </c>
      <c r="O278" s="1">
        <v>0.0</v>
      </c>
      <c r="P278" s="1">
        <v>32.0</v>
      </c>
      <c r="Q278" s="1">
        <v>49.0</v>
      </c>
    </row>
    <row r="279">
      <c r="A279" s="1">
        <f t="shared" si="1"/>
        <v>277</v>
      </c>
      <c r="B279" s="1" t="s">
        <v>1314</v>
      </c>
      <c r="C279" s="1" t="s">
        <v>1120</v>
      </c>
      <c r="D279" s="1" t="s">
        <v>31</v>
      </c>
      <c r="E279" s="15">
        <f t="shared" si="2"/>
        <v>235.5</v>
      </c>
      <c r="F279" s="16">
        <f t="shared" si="3"/>
        <v>2.94375</v>
      </c>
      <c r="G279" s="1">
        <v>80.0</v>
      </c>
      <c r="H279" s="1">
        <v>15.0</v>
      </c>
      <c r="I279" s="1">
        <v>12.0</v>
      </c>
      <c r="J279" s="1">
        <v>27.0</v>
      </c>
      <c r="K279" s="1">
        <v>128.0</v>
      </c>
      <c r="L279" s="1">
        <v>0.0</v>
      </c>
      <c r="M279" s="1">
        <v>2.0</v>
      </c>
      <c r="N279" s="1">
        <v>0.0</v>
      </c>
      <c r="O279" s="1">
        <v>0.0</v>
      </c>
      <c r="P279" s="1">
        <v>142.0</v>
      </c>
      <c r="Q279" s="1">
        <v>65.0</v>
      </c>
    </row>
    <row r="280">
      <c r="A280" s="1">
        <f t="shared" si="1"/>
        <v>278</v>
      </c>
      <c r="B280" s="1" t="s">
        <v>1200</v>
      </c>
      <c r="C280" s="1" t="s">
        <v>1067</v>
      </c>
      <c r="D280" s="1" t="s">
        <v>31</v>
      </c>
      <c r="E280" s="15">
        <f t="shared" si="2"/>
        <v>235.25</v>
      </c>
      <c r="F280" s="16">
        <f t="shared" si="3"/>
        <v>2.977848101</v>
      </c>
      <c r="G280" s="1">
        <v>79.0</v>
      </c>
      <c r="H280" s="1">
        <v>13.0</v>
      </c>
      <c r="I280" s="1">
        <v>25.0</v>
      </c>
      <c r="J280" s="1">
        <v>38.0</v>
      </c>
      <c r="K280" s="1">
        <v>160.0</v>
      </c>
      <c r="L280" s="1">
        <v>2.0</v>
      </c>
      <c r="M280" s="1">
        <v>7.0</v>
      </c>
      <c r="N280" s="1">
        <v>0.0</v>
      </c>
      <c r="O280" s="1">
        <v>1.0</v>
      </c>
      <c r="P280" s="1">
        <v>35.0</v>
      </c>
      <c r="Q280" s="1">
        <v>22.0</v>
      </c>
    </row>
    <row r="281">
      <c r="A281" s="1">
        <f t="shared" si="1"/>
        <v>279</v>
      </c>
      <c r="B281" s="1" t="s">
        <v>1142</v>
      </c>
      <c r="C281" s="1" t="s">
        <v>1052</v>
      </c>
      <c r="D281" s="1" t="s">
        <v>31</v>
      </c>
      <c r="E281" s="15">
        <f t="shared" si="2"/>
        <v>234.75</v>
      </c>
      <c r="F281" s="16">
        <f t="shared" si="3"/>
        <v>5.725609756</v>
      </c>
      <c r="G281" s="1">
        <v>41.0</v>
      </c>
      <c r="H281" s="1">
        <v>20.0</v>
      </c>
      <c r="I281" s="1">
        <v>22.0</v>
      </c>
      <c r="J281" s="1">
        <v>42.0</v>
      </c>
      <c r="K281" s="1">
        <v>129.0</v>
      </c>
      <c r="L281" s="1">
        <v>9.0</v>
      </c>
      <c r="M281" s="1">
        <v>11.0</v>
      </c>
      <c r="N281" s="1">
        <v>0.0</v>
      </c>
      <c r="O281" s="1">
        <v>0.0</v>
      </c>
      <c r="P281" s="1">
        <v>21.0</v>
      </c>
      <c r="Q281" s="1">
        <v>18.0</v>
      </c>
    </row>
    <row r="282">
      <c r="A282" s="1">
        <f t="shared" si="1"/>
        <v>280</v>
      </c>
      <c r="B282" s="1" t="s">
        <v>1189</v>
      </c>
      <c r="C282" s="1" t="s">
        <v>1076</v>
      </c>
      <c r="D282" s="1" t="s">
        <v>31</v>
      </c>
      <c r="E282" s="15">
        <f t="shared" si="2"/>
        <v>233.5</v>
      </c>
      <c r="F282" s="16">
        <f t="shared" si="3"/>
        <v>3.335714286</v>
      </c>
      <c r="G282" s="1">
        <v>70.0</v>
      </c>
      <c r="H282" s="1">
        <v>15.0</v>
      </c>
      <c r="I282" s="1">
        <v>21.0</v>
      </c>
      <c r="J282" s="1">
        <v>36.0</v>
      </c>
      <c r="K282" s="1">
        <v>148.0</v>
      </c>
      <c r="L282" s="1">
        <v>4.0</v>
      </c>
      <c r="M282" s="1">
        <v>4.0</v>
      </c>
      <c r="N282" s="1">
        <v>0.0</v>
      </c>
      <c r="O282" s="1">
        <v>0.0</v>
      </c>
      <c r="P282" s="1">
        <v>80.0</v>
      </c>
      <c r="Q282" s="1">
        <v>18.0</v>
      </c>
    </row>
    <row r="283">
      <c r="A283" s="1">
        <f t="shared" si="1"/>
        <v>280</v>
      </c>
      <c r="B283" s="1" t="s">
        <v>1064</v>
      </c>
      <c r="C283" s="1" t="s">
        <v>1040</v>
      </c>
      <c r="D283" s="1" t="s">
        <v>28</v>
      </c>
      <c r="E283" s="15">
        <f t="shared" si="2"/>
        <v>233.5</v>
      </c>
      <c r="F283" s="16">
        <f t="shared" si="3"/>
        <v>3.288732394</v>
      </c>
      <c r="G283" s="1">
        <v>71.0</v>
      </c>
      <c r="H283" s="1">
        <v>18.0</v>
      </c>
      <c r="I283" s="1">
        <v>14.0</v>
      </c>
      <c r="J283" s="1">
        <v>32.0</v>
      </c>
      <c r="K283" s="1">
        <v>161.0</v>
      </c>
      <c r="L283" s="1">
        <v>1.0</v>
      </c>
      <c r="M283" s="1">
        <v>1.0</v>
      </c>
      <c r="N283" s="1">
        <v>0.0</v>
      </c>
      <c r="O283" s="1">
        <v>0.0</v>
      </c>
      <c r="P283" s="1">
        <v>68.0</v>
      </c>
      <c r="Q283" s="1">
        <v>26.0</v>
      </c>
    </row>
    <row r="284">
      <c r="A284" s="1">
        <f t="shared" si="1"/>
        <v>282</v>
      </c>
      <c r="B284" s="1" t="s">
        <v>1548</v>
      </c>
      <c r="C284" s="1" t="s">
        <v>1087</v>
      </c>
      <c r="D284" s="1" t="s">
        <v>66</v>
      </c>
      <c r="E284" s="15">
        <f t="shared" si="2"/>
        <v>233.25</v>
      </c>
      <c r="F284" s="16">
        <f t="shared" si="3"/>
        <v>2.990384615</v>
      </c>
      <c r="G284" s="1">
        <v>78.0</v>
      </c>
      <c r="H284" s="1">
        <v>3.0</v>
      </c>
      <c r="I284" s="1">
        <v>25.0</v>
      </c>
      <c r="J284" s="1">
        <v>28.0</v>
      </c>
      <c r="K284" s="1">
        <v>104.0</v>
      </c>
      <c r="L284" s="1">
        <v>0.0</v>
      </c>
      <c r="M284" s="1">
        <v>0.0</v>
      </c>
      <c r="N284" s="1">
        <v>0.0</v>
      </c>
      <c r="O284" s="1">
        <v>2.0</v>
      </c>
      <c r="P284" s="1">
        <v>99.0</v>
      </c>
      <c r="Q284" s="1">
        <v>128.0</v>
      </c>
    </row>
    <row r="285">
      <c r="A285" s="1">
        <f t="shared" si="1"/>
        <v>283</v>
      </c>
      <c r="B285" s="1" t="s">
        <v>1498</v>
      </c>
      <c r="C285" s="1" t="s">
        <v>1032</v>
      </c>
      <c r="D285" s="1" t="s">
        <v>28</v>
      </c>
      <c r="E285" s="15">
        <f t="shared" si="2"/>
        <v>233</v>
      </c>
      <c r="F285" s="16">
        <f t="shared" si="3"/>
        <v>2.987179487</v>
      </c>
      <c r="G285" s="1">
        <v>78.0</v>
      </c>
      <c r="H285" s="1">
        <v>15.0</v>
      </c>
      <c r="I285" s="1">
        <v>20.0</v>
      </c>
      <c r="J285" s="1">
        <v>35.0</v>
      </c>
      <c r="K285" s="1">
        <v>154.0</v>
      </c>
      <c r="L285" s="1">
        <v>1.0</v>
      </c>
      <c r="M285" s="1">
        <v>2.0</v>
      </c>
      <c r="N285" s="1">
        <v>2.0</v>
      </c>
      <c r="O285" s="1">
        <v>1.0</v>
      </c>
      <c r="P285" s="1">
        <v>66.0</v>
      </c>
      <c r="Q285" s="1">
        <v>12.0</v>
      </c>
    </row>
    <row r="286">
      <c r="A286" s="1">
        <f t="shared" si="1"/>
        <v>284</v>
      </c>
      <c r="B286" s="1" t="s">
        <v>1757</v>
      </c>
      <c r="C286" s="1" t="s">
        <v>1175</v>
      </c>
      <c r="D286" s="1" t="s">
        <v>31</v>
      </c>
      <c r="E286" s="15">
        <f t="shared" si="2"/>
        <v>232</v>
      </c>
      <c r="F286" s="16">
        <f t="shared" si="3"/>
        <v>2.9</v>
      </c>
      <c r="G286" s="1">
        <v>80.0</v>
      </c>
      <c r="H286" s="1">
        <v>16.0</v>
      </c>
      <c r="I286" s="1">
        <v>10.0</v>
      </c>
      <c r="J286" s="1">
        <v>26.0</v>
      </c>
      <c r="K286" s="1">
        <v>137.0</v>
      </c>
      <c r="L286" s="1">
        <v>3.0</v>
      </c>
      <c r="M286" s="1">
        <v>4.0</v>
      </c>
      <c r="N286" s="1">
        <v>1.0</v>
      </c>
      <c r="O286" s="1">
        <v>0.0</v>
      </c>
      <c r="P286" s="1">
        <v>34.0</v>
      </c>
      <c r="Q286" s="1">
        <v>102.0</v>
      </c>
    </row>
    <row r="287">
      <c r="A287" s="1">
        <f t="shared" si="1"/>
        <v>285</v>
      </c>
      <c r="B287" s="1" t="s">
        <v>1557</v>
      </c>
      <c r="C287" s="1" t="s">
        <v>1080</v>
      </c>
      <c r="D287" s="1" t="s">
        <v>28</v>
      </c>
      <c r="E287" s="15">
        <f t="shared" si="2"/>
        <v>231.5</v>
      </c>
      <c r="F287" s="16">
        <f t="shared" si="3"/>
        <v>5.935897436</v>
      </c>
      <c r="G287" s="1">
        <v>39.0</v>
      </c>
      <c r="H287" s="1">
        <v>19.0</v>
      </c>
      <c r="I287" s="1">
        <v>18.0</v>
      </c>
      <c r="J287" s="1">
        <v>37.0</v>
      </c>
      <c r="K287" s="1">
        <v>148.0</v>
      </c>
      <c r="L287" s="1">
        <v>4.0</v>
      </c>
      <c r="M287" s="1">
        <v>8.0</v>
      </c>
      <c r="N287" s="1">
        <v>0.0</v>
      </c>
      <c r="O287" s="1">
        <v>0.0</v>
      </c>
      <c r="P287" s="1">
        <v>30.0</v>
      </c>
      <c r="Q287" s="1">
        <v>21.0</v>
      </c>
    </row>
    <row r="288">
      <c r="A288" s="1">
        <f t="shared" si="1"/>
        <v>286</v>
      </c>
      <c r="B288" s="1" t="s">
        <v>1267</v>
      </c>
      <c r="C288" s="1" t="s">
        <v>1080</v>
      </c>
      <c r="D288" s="1" t="s">
        <v>66</v>
      </c>
      <c r="E288" s="15">
        <f t="shared" si="2"/>
        <v>231</v>
      </c>
      <c r="F288" s="16">
        <f t="shared" si="3"/>
        <v>3.347826087</v>
      </c>
      <c r="G288" s="1">
        <v>69.0</v>
      </c>
      <c r="H288" s="1">
        <v>3.0</v>
      </c>
      <c r="I288" s="1">
        <v>15.0</v>
      </c>
      <c r="J288" s="1">
        <v>18.0</v>
      </c>
      <c r="K288" s="1">
        <v>85.0</v>
      </c>
      <c r="L288" s="1">
        <v>0.0</v>
      </c>
      <c r="M288" s="1">
        <v>0.0</v>
      </c>
      <c r="N288" s="1">
        <v>0.0</v>
      </c>
      <c r="O288" s="1">
        <v>1.0</v>
      </c>
      <c r="P288" s="1">
        <v>154.0</v>
      </c>
      <c r="Q288" s="1">
        <v>179.0</v>
      </c>
    </row>
    <row r="289">
      <c r="A289" s="1">
        <f t="shared" si="1"/>
        <v>286</v>
      </c>
      <c r="B289" s="1" t="s">
        <v>1424</v>
      </c>
      <c r="C289" s="1" t="s">
        <v>1032</v>
      </c>
      <c r="D289" s="1" t="s">
        <v>36</v>
      </c>
      <c r="E289" s="15">
        <f t="shared" si="2"/>
        <v>231</v>
      </c>
      <c r="F289" s="16">
        <f t="shared" si="3"/>
        <v>4.358490566</v>
      </c>
      <c r="G289" s="1">
        <v>53.0</v>
      </c>
      <c r="H289" s="1">
        <v>21.0</v>
      </c>
      <c r="I289" s="1">
        <v>11.0</v>
      </c>
      <c r="J289" s="1">
        <v>32.0</v>
      </c>
      <c r="K289" s="1">
        <v>147.0</v>
      </c>
      <c r="L289" s="1">
        <v>4.0</v>
      </c>
      <c r="M289" s="1">
        <v>1.0</v>
      </c>
      <c r="N289" s="1">
        <v>4.0</v>
      </c>
      <c r="O289" s="1">
        <v>0.0</v>
      </c>
      <c r="P289" s="1">
        <v>52.0</v>
      </c>
      <c r="Q289" s="1">
        <v>18.0</v>
      </c>
    </row>
    <row r="290">
      <c r="A290" s="1">
        <f t="shared" si="1"/>
        <v>288</v>
      </c>
      <c r="B290" s="1" t="s">
        <v>1403</v>
      </c>
      <c r="C290" s="1" t="s">
        <v>1042</v>
      </c>
      <c r="D290" s="1" t="s">
        <v>31</v>
      </c>
      <c r="E290" s="15">
        <f t="shared" si="2"/>
        <v>229.75</v>
      </c>
      <c r="F290" s="16">
        <f t="shared" si="3"/>
        <v>2.871875</v>
      </c>
      <c r="G290" s="1">
        <v>80.0</v>
      </c>
      <c r="H290" s="1">
        <v>17.0</v>
      </c>
      <c r="I290" s="1">
        <v>7.0</v>
      </c>
      <c r="J290" s="1">
        <v>24.0</v>
      </c>
      <c r="K290" s="1">
        <v>136.0</v>
      </c>
      <c r="L290" s="1">
        <v>0.0</v>
      </c>
      <c r="M290" s="1">
        <v>0.0</v>
      </c>
      <c r="N290" s="1">
        <v>0.0</v>
      </c>
      <c r="O290" s="1">
        <v>0.0</v>
      </c>
      <c r="P290" s="1">
        <v>191.0</v>
      </c>
      <c r="Q290" s="1">
        <v>33.0</v>
      </c>
    </row>
    <row r="291">
      <c r="A291" s="1">
        <f t="shared" si="1"/>
        <v>288</v>
      </c>
      <c r="B291" s="1" t="s">
        <v>1333</v>
      </c>
      <c r="C291" s="1" t="s">
        <v>1046</v>
      </c>
      <c r="D291" s="1" t="s">
        <v>66</v>
      </c>
      <c r="E291" s="15">
        <f t="shared" si="2"/>
        <v>229.75</v>
      </c>
      <c r="F291" s="16">
        <f t="shared" si="3"/>
        <v>2.801829268</v>
      </c>
      <c r="G291" s="1">
        <v>82.0</v>
      </c>
      <c r="H291" s="1">
        <v>1.0</v>
      </c>
      <c r="I291" s="1">
        <v>17.0</v>
      </c>
      <c r="J291" s="1">
        <v>18.0</v>
      </c>
      <c r="K291" s="1">
        <v>128.0</v>
      </c>
      <c r="L291" s="1">
        <v>0.0</v>
      </c>
      <c r="M291" s="1">
        <v>1.0</v>
      </c>
      <c r="N291" s="1">
        <v>0.0</v>
      </c>
      <c r="O291" s="1">
        <v>0.0</v>
      </c>
      <c r="P291" s="1">
        <v>145.0</v>
      </c>
      <c r="Q291" s="1">
        <v>148.0</v>
      </c>
    </row>
    <row r="292">
      <c r="A292" s="1">
        <f t="shared" si="1"/>
        <v>288</v>
      </c>
      <c r="B292" s="1" t="s">
        <v>1462</v>
      </c>
      <c r="C292" s="1" t="s">
        <v>1042</v>
      </c>
      <c r="D292" s="1" t="s">
        <v>66</v>
      </c>
      <c r="E292" s="15">
        <f t="shared" si="2"/>
        <v>229.75</v>
      </c>
      <c r="F292" s="16">
        <f t="shared" si="3"/>
        <v>2.983766234</v>
      </c>
      <c r="G292" s="1">
        <v>77.0</v>
      </c>
      <c r="H292" s="1">
        <v>3.0</v>
      </c>
      <c r="I292" s="1">
        <v>27.0</v>
      </c>
      <c r="J292" s="1">
        <v>30.0</v>
      </c>
      <c r="K292" s="1">
        <v>95.0</v>
      </c>
      <c r="L292" s="1">
        <v>1.0</v>
      </c>
      <c r="M292" s="1">
        <v>3.0</v>
      </c>
      <c r="N292" s="1">
        <v>0.0</v>
      </c>
      <c r="O292" s="1">
        <v>1.0</v>
      </c>
      <c r="P292" s="1">
        <v>95.0</v>
      </c>
      <c r="Q292" s="1">
        <v>124.0</v>
      </c>
    </row>
    <row r="293">
      <c r="A293" s="1">
        <f t="shared" si="1"/>
        <v>288</v>
      </c>
      <c r="B293" s="1" t="s">
        <v>1779</v>
      </c>
      <c r="C293" s="1" t="s">
        <v>1069</v>
      </c>
      <c r="D293" s="1" t="s">
        <v>31</v>
      </c>
      <c r="E293" s="15">
        <f t="shared" si="2"/>
        <v>229.75</v>
      </c>
      <c r="F293" s="16">
        <f t="shared" si="3"/>
        <v>2.908227848</v>
      </c>
      <c r="G293" s="1">
        <v>79.0</v>
      </c>
      <c r="H293" s="1">
        <v>18.0</v>
      </c>
      <c r="I293" s="1">
        <v>14.0</v>
      </c>
      <c r="J293" s="1">
        <v>32.0</v>
      </c>
      <c r="K293" s="1">
        <v>143.0</v>
      </c>
      <c r="L293" s="1">
        <v>2.0</v>
      </c>
      <c r="M293" s="1">
        <v>1.0</v>
      </c>
      <c r="N293" s="1">
        <v>1.0</v>
      </c>
      <c r="O293" s="1">
        <v>2.0</v>
      </c>
      <c r="P293" s="1">
        <v>87.0</v>
      </c>
      <c r="Q293" s="1">
        <v>15.0</v>
      </c>
    </row>
    <row r="294">
      <c r="A294" s="1">
        <f t="shared" si="1"/>
        <v>292</v>
      </c>
      <c r="B294" s="1" t="s">
        <v>1432</v>
      </c>
      <c r="C294" s="1" t="s">
        <v>1042</v>
      </c>
      <c r="D294" s="1" t="s">
        <v>31</v>
      </c>
      <c r="E294" s="15">
        <f t="shared" si="2"/>
        <v>229.25</v>
      </c>
      <c r="F294" s="16">
        <f t="shared" si="3"/>
        <v>2.795731707</v>
      </c>
      <c r="G294" s="1">
        <v>82.0</v>
      </c>
      <c r="H294" s="1">
        <v>13.0</v>
      </c>
      <c r="I294" s="1">
        <v>9.0</v>
      </c>
      <c r="J294" s="1">
        <v>22.0</v>
      </c>
      <c r="K294" s="1">
        <v>125.0</v>
      </c>
      <c r="L294" s="1">
        <v>0.0</v>
      </c>
      <c r="M294" s="1">
        <v>2.0</v>
      </c>
      <c r="N294" s="1">
        <v>0.0</v>
      </c>
      <c r="O294" s="1">
        <v>0.0</v>
      </c>
      <c r="P294" s="1">
        <v>223.0</v>
      </c>
      <c r="Q294" s="1">
        <v>51.0</v>
      </c>
    </row>
    <row r="295">
      <c r="A295" s="1">
        <f t="shared" si="1"/>
        <v>292</v>
      </c>
      <c r="B295" s="1" t="s">
        <v>1269</v>
      </c>
      <c r="C295" s="1" t="s">
        <v>1116</v>
      </c>
      <c r="D295" s="1" t="s">
        <v>28</v>
      </c>
      <c r="E295" s="15">
        <f t="shared" si="2"/>
        <v>229.25</v>
      </c>
      <c r="F295" s="16">
        <f t="shared" si="3"/>
        <v>2.901898734</v>
      </c>
      <c r="G295" s="1">
        <v>79.0</v>
      </c>
      <c r="H295" s="1">
        <v>13.0</v>
      </c>
      <c r="I295" s="1">
        <v>8.0</v>
      </c>
      <c r="J295" s="1">
        <v>21.0</v>
      </c>
      <c r="K295" s="1">
        <v>115.0</v>
      </c>
      <c r="L295" s="1">
        <v>0.0</v>
      </c>
      <c r="M295" s="1">
        <v>2.0</v>
      </c>
      <c r="N295" s="1">
        <v>3.0</v>
      </c>
      <c r="O295" s="1">
        <v>2.0</v>
      </c>
      <c r="P295" s="1">
        <v>231.0</v>
      </c>
      <c r="Q295" s="1">
        <v>43.0</v>
      </c>
    </row>
    <row r="296">
      <c r="A296" s="1">
        <f t="shared" si="1"/>
        <v>294</v>
      </c>
      <c r="B296" s="1" t="s">
        <v>1431</v>
      </c>
      <c r="C296" s="1" t="s">
        <v>1069</v>
      </c>
      <c r="D296" s="1" t="s">
        <v>66</v>
      </c>
      <c r="E296" s="15">
        <f t="shared" si="2"/>
        <v>229</v>
      </c>
      <c r="F296" s="16">
        <f t="shared" si="3"/>
        <v>2.792682927</v>
      </c>
      <c r="G296" s="1">
        <v>82.0</v>
      </c>
      <c r="H296" s="1">
        <v>6.0</v>
      </c>
      <c r="I296" s="1">
        <v>22.0</v>
      </c>
      <c r="J296" s="1">
        <v>28.0</v>
      </c>
      <c r="K296" s="1">
        <v>88.0</v>
      </c>
      <c r="L296" s="1">
        <v>0.0</v>
      </c>
      <c r="M296" s="1">
        <v>0.0</v>
      </c>
      <c r="N296" s="1">
        <v>0.0</v>
      </c>
      <c r="O296" s="1">
        <v>0.0</v>
      </c>
      <c r="P296" s="1">
        <v>52.0</v>
      </c>
      <c r="Q296" s="1">
        <v>158.0</v>
      </c>
    </row>
    <row r="297">
      <c r="A297" s="1">
        <f t="shared" si="1"/>
        <v>294</v>
      </c>
      <c r="B297" s="1" t="s">
        <v>1228</v>
      </c>
      <c r="C297" s="1" t="s">
        <v>1078</v>
      </c>
      <c r="D297" s="1" t="s">
        <v>66</v>
      </c>
      <c r="E297" s="15">
        <f t="shared" si="2"/>
        <v>229</v>
      </c>
      <c r="F297" s="16">
        <f t="shared" si="3"/>
        <v>3.417910448</v>
      </c>
      <c r="G297" s="1">
        <v>67.0</v>
      </c>
      <c r="H297" s="1">
        <v>2.0</v>
      </c>
      <c r="I297" s="1">
        <v>19.0</v>
      </c>
      <c r="J297" s="1">
        <v>21.0</v>
      </c>
      <c r="K297" s="1">
        <v>153.0</v>
      </c>
      <c r="L297" s="1">
        <v>0.0</v>
      </c>
      <c r="M297" s="1">
        <v>2.0</v>
      </c>
      <c r="N297" s="1">
        <v>0.0</v>
      </c>
      <c r="O297" s="1">
        <v>2.0</v>
      </c>
      <c r="P297" s="1">
        <v>124.0</v>
      </c>
      <c r="Q297" s="1">
        <v>103.0</v>
      </c>
    </row>
    <row r="298">
      <c r="A298" s="1">
        <f t="shared" si="1"/>
        <v>296</v>
      </c>
      <c r="B298" s="1" t="s">
        <v>1114</v>
      </c>
      <c r="C298" s="1" t="s">
        <v>1073</v>
      </c>
      <c r="D298" s="1" t="s">
        <v>36</v>
      </c>
      <c r="E298" s="15">
        <f t="shared" si="2"/>
        <v>228.25</v>
      </c>
      <c r="F298" s="16">
        <f t="shared" si="3"/>
        <v>3.356617647</v>
      </c>
      <c r="G298" s="1">
        <v>68.0</v>
      </c>
      <c r="H298" s="1">
        <v>17.0</v>
      </c>
      <c r="I298" s="1">
        <v>23.0</v>
      </c>
      <c r="J298" s="1">
        <v>40.0</v>
      </c>
      <c r="K298" s="1">
        <v>110.0</v>
      </c>
      <c r="L298" s="1">
        <v>2.0</v>
      </c>
      <c r="M298" s="1">
        <v>4.0</v>
      </c>
      <c r="N298" s="1">
        <v>0.0</v>
      </c>
      <c r="O298" s="1">
        <v>0.0</v>
      </c>
      <c r="P298" s="1">
        <v>69.0</v>
      </c>
      <c r="Q298" s="1">
        <v>21.0</v>
      </c>
    </row>
    <row r="299">
      <c r="A299" s="1">
        <f t="shared" si="1"/>
        <v>297</v>
      </c>
      <c r="B299" s="1" t="s">
        <v>1345</v>
      </c>
      <c r="C299" s="1" t="s">
        <v>1052</v>
      </c>
      <c r="D299" s="1" t="s">
        <v>31</v>
      </c>
      <c r="E299" s="15">
        <f t="shared" si="2"/>
        <v>228</v>
      </c>
      <c r="F299" s="16">
        <f t="shared" si="3"/>
        <v>3</v>
      </c>
      <c r="G299" s="1">
        <v>76.0</v>
      </c>
      <c r="H299" s="1">
        <v>18.0</v>
      </c>
      <c r="I299" s="1">
        <v>15.0</v>
      </c>
      <c r="J299" s="1">
        <v>33.0</v>
      </c>
      <c r="K299" s="1">
        <v>138.0</v>
      </c>
      <c r="L299" s="1">
        <v>3.0</v>
      </c>
      <c r="M299" s="1">
        <v>1.0</v>
      </c>
      <c r="N299" s="1">
        <v>0.0</v>
      </c>
      <c r="O299" s="1">
        <v>0.0</v>
      </c>
      <c r="P299" s="1">
        <v>66.0</v>
      </c>
      <c r="Q299" s="1">
        <v>33.0</v>
      </c>
    </row>
    <row r="300">
      <c r="A300" s="1">
        <f t="shared" si="1"/>
        <v>298</v>
      </c>
      <c r="B300" s="1" t="s">
        <v>1553</v>
      </c>
      <c r="C300" s="1" t="s">
        <v>1073</v>
      </c>
      <c r="D300" s="1" t="s">
        <v>66</v>
      </c>
      <c r="E300" s="15">
        <f t="shared" si="2"/>
        <v>227.75</v>
      </c>
      <c r="F300" s="16">
        <f t="shared" si="3"/>
        <v>3.253571429</v>
      </c>
      <c r="G300" s="1">
        <v>70.0</v>
      </c>
      <c r="H300" s="1">
        <v>7.0</v>
      </c>
      <c r="I300" s="1">
        <v>21.0</v>
      </c>
      <c r="J300" s="1">
        <v>28.0</v>
      </c>
      <c r="K300" s="1">
        <v>148.0</v>
      </c>
      <c r="L300" s="1">
        <v>1.0</v>
      </c>
      <c r="M300" s="1">
        <v>2.0</v>
      </c>
      <c r="N300" s="1">
        <v>0.0</v>
      </c>
      <c r="O300" s="1">
        <v>0.0</v>
      </c>
      <c r="P300" s="1">
        <v>39.0</v>
      </c>
      <c r="Q300" s="1">
        <v>99.0</v>
      </c>
    </row>
    <row r="301">
      <c r="A301" s="1">
        <f t="shared" si="1"/>
        <v>298</v>
      </c>
      <c r="B301" s="1" t="s">
        <v>1148</v>
      </c>
      <c r="C301" s="1" t="s">
        <v>1087</v>
      </c>
      <c r="D301" s="1" t="s">
        <v>36</v>
      </c>
      <c r="E301" s="15">
        <f t="shared" si="2"/>
        <v>227.75</v>
      </c>
      <c r="F301" s="16">
        <f t="shared" si="3"/>
        <v>3.300724638</v>
      </c>
      <c r="G301" s="1">
        <v>69.0</v>
      </c>
      <c r="H301" s="1">
        <v>15.0</v>
      </c>
      <c r="I301" s="1">
        <v>18.0</v>
      </c>
      <c r="J301" s="1">
        <v>33.0</v>
      </c>
      <c r="K301" s="1">
        <v>156.0</v>
      </c>
      <c r="L301" s="1">
        <v>2.0</v>
      </c>
      <c r="M301" s="1">
        <v>4.0</v>
      </c>
      <c r="N301" s="1">
        <v>0.0</v>
      </c>
      <c r="O301" s="1">
        <v>0.0</v>
      </c>
      <c r="P301" s="1">
        <v>77.0</v>
      </c>
      <c r="Q301" s="1">
        <v>18.0</v>
      </c>
    </row>
    <row r="302">
      <c r="A302" s="1">
        <f t="shared" si="1"/>
        <v>300</v>
      </c>
      <c r="B302" s="1" t="s">
        <v>1626</v>
      </c>
      <c r="C302" s="1" t="s">
        <v>1091</v>
      </c>
      <c r="D302" s="1" t="s">
        <v>5</v>
      </c>
      <c r="E302" s="15">
        <f t="shared" si="2"/>
        <v>227.7</v>
      </c>
      <c r="F302" s="16">
        <f t="shared" si="3"/>
        <v>5.06</v>
      </c>
      <c r="G302" s="1">
        <v>45.0</v>
      </c>
      <c r="K302" s="12"/>
      <c r="N302" s="12"/>
      <c r="R302" s="1">
        <v>13.0</v>
      </c>
      <c r="S302" s="1">
        <v>137.0</v>
      </c>
      <c r="T302" s="12">
        <v>1304.0</v>
      </c>
      <c r="U302" s="1">
        <v>1.0</v>
      </c>
    </row>
    <row r="303">
      <c r="A303" s="1">
        <f t="shared" si="1"/>
        <v>301</v>
      </c>
      <c r="B303" s="1" t="s">
        <v>1192</v>
      </c>
      <c r="C303" s="1" t="s">
        <v>1042</v>
      </c>
      <c r="D303" s="1" t="s">
        <v>28</v>
      </c>
      <c r="E303" s="15">
        <f t="shared" si="2"/>
        <v>227.5</v>
      </c>
      <c r="F303" s="16">
        <f t="shared" si="3"/>
        <v>3.033333333</v>
      </c>
      <c r="G303" s="1">
        <v>75.0</v>
      </c>
      <c r="H303" s="1">
        <v>11.0</v>
      </c>
      <c r="I303" s="1">
        <v>12.0</v>
      </c>
      <c r="J303" s="1">
        <v>23.0</v>
      </c>
      <c r="K303" s="1">
        <v>151.0</v>
      </c>
      <c r="L303" s="1">
        <v>1.0</v>
      </c>
      <c r="M303" s="1">
        <v>5.0</v>
      </c>
      <c r="N303" s="1">
        <v>0.0</v>
      </c>
      <c r="O303" s="1">
        <v>0.0</v>
      </c>
      <c r="P303" s="1">
        <v>176.0</v>
      </c>
      <c r="Q303" s="1">
        <v>45.0</v>
      </c>
    </row>
    <row r="304">
      <c r="A304" s="1">
        <f t="shared" si="1"/>
        <v>302</v>
      </c>
      <c r="B304" s="1" t="s">
        <v>1213</v>
      </c>
      <c r="C304" s="1" t="s">
        <v>1091</v>
      </c>
      <c r="D304" s="1" t="s">
        <v>31</v>
      </c>
      <c r="E304" s="15">
        <f t="shared" si="2"/>
        <v>226.75</v>
      </c>
      <c r="F304" s="16">
        <f t="shared" si="3"/>
        <v>3.384328358</v>
      </c>
      <c r="G304" s="1">
        <v>67.0</v>
      </c>
      <c r="H304" s="1">
        <v>11.0</v>
      </c>
      <c r="I304" s="1">
        <v>19.0</v>
      </c>
      <c r="J304" s="1">
        <v>30.0</v>
      </c>
      <c r="K304" s="1">
        <v>110.0</v>
      </c>
      <c r="L304" s="1">
        <v>0.0</v>
      </c>
      <c r="M304" s="1">
        <v>1.0</v>
      </c>
      <c r="N304" s="1">
        <v>2.0</v>
      </c>
      <c r="O304" s="1">
        <v>0.0</v>
      </c>
      <c r="P304" s="1">
        <v>151.0</v>
      </c>
      <c r="Q304" s="1">
        <v>47.0</v>
      </c>
    </row>
    <row r="305">
      <c r="A305" s="1">
        <f t="shared" si="1"/>
        <v>303</v>
      </c>
      <c r="B305" s="1" t="s">
        <v>1205</v>
      </c>
      <c r="C305" s="1" t="s">
        <v>1091</v>
      </c>
      <c r="D305" s="1" t="s">
        <v>28</v>
      </c>
      <c r="E305" s="15">
        <f t="shared" si="2"/>
        <v>226.25</v>
      </c>
      <c r="F305" s="16">
        <f t="shared" si="3"/>
        <v>3.591269841</v>
      </c>
      <c r="G305" s="1">
        <v>63.0</v>
      </c>
      <c r="H305" s="1">
        <v>17.0</v>
      </c>
      <c r="I305" s="1">
        <v>17.0</v>
      </c>
      <c r="J305" s="1">
        <v>34.0</v>
      </c>
      <c r="K305" s="1">
        <v>119.0</v>
      </c>
      <c r="L305" s="1">
        <v>1.0</v>
      </c>
      <c r="M305" s="1">
        <v>2.0</v>
      </c>
      <c r="N305" s="1">
        <v>1.0</v>
      </c>
      <c r="O305" s="1">
        <v>0.0</v>
      </c>
      <c r="P305" s="1">
        <v>73.0</v>
      </c>
      <c r="Q305" s="1">
        <v>38.0</v>
      </c>
    </row>
    <row r="306">
      <c r="A306" s="1">
        <f t="shared" si="1"/>
        <v>304</v>
      </c>
      <c r="B306" s="1" t="s">
        <v>1235</v>
      </c>
      <c r="C306" s="1" t="s">
        <v>1078</v>
      </c>
      <c r="D306" s="1" t="s">
        <v>66</v>
      </c>
      <c r="E306" s="15">
        <f t="shared" si="2"/>
        <v>226</v>
      </c>
      <c r="F306" s="16">
        <f t="shared" si="3"/>
        <v>3.53125</v>
      </c>
      <c r="G306" s="1">
        <v>64.0</v>
      </c>
      <c r="H306" s="1">
        <v>3.0</v>
      </c>
      <c r="I306" s="1">
        <v>24.0</v>
      </c>
      <c r="J306" s="1">
        <v>27.0</v>
      </c>
      <c r="K306" s="1">
        <v>119.0</v>
      </c>
      <c r="L306" s="1">
        <v>2.0</v>
      </c>
      <c r="M306" s="1">
        <v>13.0</v>
      </c>
      <c r="N306" s="1">
        <v>0.0</v>
      </c>
      <c r="O306" s="1">
        <v>1.0</v>
      </c>
      <c r="P306" s="1">
        <v>74.0</v>
      </c>
      <c r="Q306" s="1">
        <v>121.0</v>
      </c>
    </row>
    <row r="307">
      <c r="A307" s="1">
        <f t="shared" si="1"/>
        <v>304</v>
      </c>
      <c r="B307" s="1" t="s">
        <v>1165</v>
      </c>
      <c r="C307" s="1" t="s">
        <v>1080</v>
      </c>
      <c r="D307" s="1" t="s">
        <v>31</v>
      </c>
      <c r="E307" s="15">
        <f t="shared" si="2"/>
        <v>226</v>
      </c>
      <c r="F307" s="16">
        <f t="shared" si="3"/>
        <v>3.373134328</v>
      </c>
      <c r="G307" s="1">
        <v>67.0</v>
      </c>
      <c r="H307" s="1">
        <v>12.0</v>
      </c>
      <c r="I307" s="1">
        <v>23.0</v>
      </c>
      <c r="J307" s="1">
        <v>35.0</v>
      </c>
      <c r="K307" s="1">
        <v>135.0</v>
      </c>
      <c r="L307" s="1">
        <v>1.0</v>
      </c>
      <c r="M307" s="1">
        <v>2.0</v>
      </c>
      <c r="N307" s="1">
        <v>2.0</v>
      </c>
      <c r="O307" s="1">
        <v>0.0</v>
      </c>
      <c r="P307" s="1">
        <v>42.0</v>
      </c>
      <c r="Q307" s="1">
        <v>42.0</v>
      </c>
    </row>
    <row r="308">
      <c r="A308" s="1">
        <f t="shared" si="1"/>
        <v>306</v>
      </c>
      <c r="B308" s="1" t="s">
        <v>1283</v>
      </c>
      <c r="C308" s="1" t="s">
        <v>1097</v>
      </c>
      <c r="D308" s="1" t="s">
        <v>66</v>
      </c>
      <c r="E308" s="15">
        <f t="shared" si="2"/>
        <v>225.75</v>
      </c>
      <c r="F308" s="16">
        <f t="shared" si="3"/>
        <v>2.857594937</v>
      </c>
      <c r="G308" s="1">
        <v>79.0</v>
      </c>
      <c r="H308" s="1">
        <v>3.0</v>
      </c>
      <c r="I308" s="1">
        <v>10.0</v>
      </c>
      <c r="J308" s="1">
        <v>13.0</v>
      </c>
      <c r="K308" s="1">
        <v>107.0</v>
      </c>
      <c r="L308" s="1">
        <v>0.0</v>
      </c>
      <c r="M308" s="1">
        <v>0.0</v>
      </c>
      <c r="N308" s="1">
        <v>0.0</v>
      </c>
      <c r="O308" s="1">
        <v>0.0</v>
      </c>
      <c r="P308" s="1">
        <v>227.0</v>
      </c>
      <c r="Q308" s="1">
        <v>144.0</v>
      </c>
    </row>
    <row r="309">
      <c r="A309" s="1">
        <f t="shared" si="1"/>
        <v>306</v>
      </c>
      <c r="B309" s="1" t="s">
        <v>1600</v>
      </c>
      <c r="C309" s="1" t="s">
        <v>1097</v>
      </c>
      <c r="D309" s="1" t="s">
        <v>28</v>
      </c>
      <c r="E309" s="15">
        <f t="shared" si="2"/>
        <v>225.75</v>
      </c>
      <c r="F309" s="16">
        <f t="shared" si="3"/>
        <v>3.369402985</v>
      </c>
      <c r="G309" s="1">
        <v>67.0</v>
      </c>
      <c r="H309" s="1">
        <v>15.0</v>
      </c>
      <c r="I309" s="1">
        <v>20.0</v>
      </c>
      <c r="J309" s="1">
        <v>35.0</v>
      </c>
      <c r="K309" s="1">
        <v>154.0</v>
      </c>
      <c r="L309" s="1">
        <v>4.0</v>
      </c>
      <c r="M309" s="1">
        <v>9.0</v>
      </c>
      <c r="N309" s="1">
        <v>0.0</v>
      </c>
      <c r="O309" s="1">
        <v>0.0</v>
      </c>
      <c r="P309" s="1">
        <v>27.0</v>
      </c>
      <c r="Q309" s="1">
        <v>29.0</v>
      </c>
    </row>
    <row r="310">
      <c r="A310" s="1">
        <f t="shared" si="1"/>
        <v>308</v>
      </c>
      <c r="B310" s="1" t="s">
        <v>1740</v>
      </c>
      <c r="C310" s="1" t="s">
        <v>1069</v>
      </c>
      <c r="D310" s="1" t="s">
        <v>66</v>
      </c>
      <c r="E310" s="15">
        <f t="shared" si="2"/>
        <v>225</v>
      </c>
      <c r="F310" s="16">
        <f t="shared" si="3"/>
        <v>3.082191781</v>
      </c>
      <c r="G310" s="1">
        <v>73.0</v>
      </c>
      <c r="H310" s="1">
        <v>9.0</v>
      </c>
      <c r="I310" s="1">
        <v>22.0</v>
      </c>
      <c r="J310" s="1">
        <v>31.0</v>
      </c>
      <c r="K310" s="1">
        <v>138.0</v>
      </c>
      <c r="L310" s="1">
        <v>1.0</v>
      </c>
      <c r="M310" s="1">
        <v>2.0</v>
      </c>
      <c r="N310" s="1">
        <v>0.0</v>
      </c>
      <c r="O310" s="1">
        <v>0.0</v>
      </c>
      <c r="P310" s="1">
        <v>40.0</v>
      </c>
      <c r="Q310" s="1">
        <v>79.0</v>
      </c>
    </row>
    <row r="311">
      <c r="A311" s="1">
        <f t="shared" si="1"/>
        <v>308</v>
      </c>
      <c r="B311" s="1" t="s">
        <v>1454</v>
      </c>
      <c r="C311" s="1" t="s">
        <v>1038</v>
      </c>
      <c r="D311" s="1" t="s">
        <v>66</v>
      </c>
      <c r="E311" s="15">
        <f t="shared" si="2"/>
        <v>225</v>
      </c>
      <c r="F311" s="16">
        <f t="shared" si="3"/>
        <v>3.169014085</v>
      </c>
      <c r="G311" s="1">
        <v>71.0</v>
      </c>
      <c r="H311" s="1">
        <v>5.0</v>
      </c>
      <c r="I311" s="1">
        <v>22.0</v>
      </c>
      <c r="J311" s="1">
        <v>27.0</v>
      </c>
      <c r="K311" s="1">
        <v>142.0</v>
      </c>
      <c r="L311" s="1">
        <v>1.0</v>
      </c>
      <c r="M311" s="1">
        <v>4.0</v>
      </c>
      <c r="N311" s="1">
        <v>0.0</v>
      </c>
      <c r="O311" s="1">
        <v>1.0</v>
      </c>
      <c r="P311" s="1">
        <v>70.0</v>
      </c>
      <c r="Q311" s="1">
        <v>92.0</v>
      </c>
    </row>
    <row r="312">
      <c r="A312" s="1">
        <f t="shared" si="1"/>
        <v>310</v>
      </c>
      <c r="B312" s="1" t="s">
        <v>1598</v>
      </c>
      <c r="C312" s="1" t="s">
        <v>1116</v>
      </c>
      <c r="D312" s="1" t="s">
        <v>66</v>
      </c>
      <c r="E312" s="15">
        <f t="shared" si="2"/>
        <v>223.75</v>
      </c>
      <c r="F312" s="16">
        <f t="shared" si="3"/>
        <v>2.905844156</v>
      </c>
      <c r="G312" s="1">
        <v>77.0</v>
      </c>
      <c r="H312" s="1">
        <v>4.0</v>
      </c>
      <c r="I312" s="1">
        <v>28.0</v>
      </c>
      <c r="J312" s="1">
        <v>32.0</v>
      </c>
      <c r="K312" s="1">
        <v>117.0</v>
      </c>
      <c r="L312" s="1">
        <v>1.0</v>
      </c>
      <c r="M312" s="1">
        <v>10.0</v>
      </c>
      <c r="N312" s="1">
        <v>0.0</v>
      </c>
      <c r="O312" s="1">
        <v>1.0</v>
      </c>
      <c r="P312" s="1">
        <v>37.0</v>
      </c>
      <c r="Q312" s="1">
        <v>104.0</v>
      </c>
    </row>
    <row r="313">
      <c r="A313" s="1">
        <f t="shared" si="1"/>
        <v>311</v>
      </c>
      <c r="B313" s="1" t="s">
        <v>1381</v>
      </c>
      <c r="C313" s="1" t="s">
        <v>1146</v>
      </c>
      <c r="D313" s="1" t="s">
        <v>31</v>
      </c>
      <c r="E313" s="15">
        <f t="shared" si="2"/>
        <v>222.5</v>
      </c>
      <c r="F313" s="16">
        <f t="shared" si="3"/>
        <v>3.006756757</v>
      </c>
      <c r="G313" s="1">
        <v>74.0</v>
      </c>
      <c r="H313" s="1">
        <v>16.0</v>
      </c>
      <c r="I313" s="1">
        <v>15.0</v>
      </c>
      <c r="J313" s="1">
        <v>31.0</v>
      </c>
      <c r="K313" s="1">
        <v>159.0</v>
      </c>
      <c r="L313" s="1">
        <v>1.0</v>
      </c>
      <c r="M313" s="1">
        <v>0.0</v>
      </c>
      <c r="N313" s="1">
        <v>0.0</v>
      </c>
      <c r="O313" s="1">
        <v>0.0</v>
      </c>
      <c r="P313" s="1">
        <v>70.0</v>
      </c>
      <c r="Q313" s="1">
        <v>17.0</v>
      </c>
    </row>
    <row r="314">
      <c r="A314" s="1">
        <f t="shared" si="1"/>
        <v>311</v>
      </c>
      <c r="B314" s="1" t="s">
        <v>2145</v>
      </c>
      <c r="C314" s="1" t="s">
        <v>1048</v>
      </c>
      <c r="D314" s="1" t="s">
        <v>36</v>
      </c>
      <c r="E314" s="15">
        <f t="shared" si="2"/>
        <v>222.5</v>
      </c>
      <c r="F314" s="16">
        <f t="shared" si="3"/>
        <v>3.423076923</v>
      </c>
      <c r="G314" s="1">
        <v>65.0</v>
      </c>
      <c r="H314" s="1">
        <v>11.0</v>
      </c>
      <c r="I314" s="1">
        <v>17.0</v>
      </c>
      <c r="J314" s="1">
        <v>28.0</v>
      </c>
      <c r="K314" s="1">
        <v>165.0</v>
      </c>
      <c r="L314" s="1">
        <v>3.0</v>
      </c>
      <c r="M314" s="1">
        <v>4.0</v>
      </c>
      <c r="N314" s="1">
        <v>0.0</v>
      </c>
      <c r="O314" s="1">
        <v>0.0</v>
      </c>
      <c r="P314" s="1">
        <v>112.0</v>
      </c>
      <c r="Q314" s="1">
        <v>23.0</v>
      </c>
    </row>
    <row r="315">
      <c r="A315" s="1">
        <f t="shared" si="1"/>
        <v>311</v>
      </c>
      <c r="B315" s="1" t="s">
        <v>1661</v>
      </c>
      <c r="C315" s="1" t="s">
        <v>1044</v>
      </c>
      <c r="D315" s="1" t="s">
        <v>36</v>
      </c>
      <c r="E315" s="15">
        <f t="shared" si="2"/>
        <v>222.5</v>
      </c>
      <c r="F315" s="16">
        <f t="shared" si="3"/>
        <v>3.4765625</v>
      </c>
      <c r="G315" s="1">
        <v>64.0</v>
      </c>
      <c r="H315" s="1">
        <v>10.0</v>
      </c>
      <c r="I315" s="1">
        <v>29.0</v>
      </c>
      <c r="J315" s="1">
        <v>39.0</v>
      </c>
      <c r="K315" s="1">
        <v>121.0</v>
      </c>
      <c r="L315" s="1">
        <v>0.0</v>
      </c>
      <c r="M315" s="1">
        <v>9.0</v>
      </c>
      <c r="N315" s="1">
        <v>1.0</v>
      </c>
      <c r="O315" s="1">
        <v>3.0</v>
      </c>
      <c r="P315" s="1">
        <v>14.0</v>
      </c>
      <c r="Q315" s="1">
        <v>37.0</v>
      </c>
    </row>
    <row r="316">
      <c r="A316" s="1">
        <f t="shared" si="1"/>
        <v>314</v>
      </c>
      <c r="B316" s="1" t="s">
        <v>1367</v>
      </c>
      <c r="C316" s="1" t="s">
        <v>1044</v>
      </c>
      <c r="D316" s="1" t="s">
        <v>66</v>
      </c>
      <c r="E316" s="15">
        <f t="shared" si="2"/>
        <v>221.75</v>
      </c>
      <c r="F316" s="16">
        <f t="shared" si="3"/>
        <v>2.737654321</v>
      </c>
      <c r="G316" s="1">
        <v>81.0</v>
      </c>
      <c r="H316" s="1">
        <v>6.0</v>
      </c>
      <c r="I316" s="1">
        <v>16.0</v>
      </c>
      <c r="J316" s="1">
        <v>22.0</v>
      </c>
      <c r="K316" s="1">
        <v>92.0</v>
      </c>
      <c r="L316" s="1">
        <v>0.0</v>
      </c>
      <c r="M316" s="1">
        <v>0.0</v>
      </c>
      <c r="N316" s="1">
        <v>0.0</v>
      </c>
      <c r="O316" s="1">
        <v>0.0</v>
      </c>
      <c r="P316" s="1">
        <v>155.0</v>
      </c>
      <c r="Q316" s="1">
        <v>124.0</v>
      </c>
    </row>
    <row r="317">
      <c r="A317" s="1">
        <f t="shared" si="1"/>
        <v>315</v>
      </c>
      <c r="B317" s="1" t="s">
        <v>1609</v>
      </c>
      <c r="C317" s="1" t="s">
        <v>1082</v>
      </c>
      <c r="D317" s="1" t="s">
        <v>5</v>
      </c>
      <c r="E317" s="15">
        <f t="shared" si="2"/>
        <v>221.7</v>
      </c>
      <c r="F317" s="16">
        <f t="shared" si="3"/>
        <v>5.278571429</v>
      </c>
      <c r="G317" s="1">
        <v>42.0</v>
      </c>
      <c r="K317" s="12"/>
      <c r="N317" s="12"/>
      <c r="R317" s="1">
        <v>20.0</v>
      </c>
      <c r="S317" s="1">
        <v>103.0</v>
      </c>
      <c r="T317" s="12">
        <v>1014.0</v>
      </c>
      <c r="U317" s="1">
        <v>4.0</v>
      </c>
    </row>
    <row r="318">
      <c r="A318" s="1">
        <f t="shared" si="1"/>
        <v>316</v>
      </c>
      <c r="B318" s="1" t="s">
        <v>1472</v>
      </c>
      <c r="C318" s="1" t="s">
        <v>1085</v>
      </c>
      <c r="D318" s="1" t="s">
        <v>66</v>
      </c>
      <c r="E318" s="15">
        <f t="shared" si="2"/>
        <v>221</v>
      </c>
      <c r="F318" s="16">
        <f t="shared" si="3"/>
        <v>2.695121951</v>
      </c>
      <c r="G318" s="1">
        <v>82.0</v>
      </c>
      <c r="H318" s="1">
        <v>7.0</v>
      </c>
      <c r="I318" s="1">
        <v>25.0</v>
      </c>
      <c r="J318" s="1">
        <v>32.0</v>
      </c>
      <c r="K318" s="1">
        <v>118.0</v>
      </c>
      <c r="L318" s="1">
        <v>4.0</v>
      </c>
      <c r="M318" s="1">
        <v>9.0</v>
      </c>
      <c r="N318" s="1">
        <v>0.0</v>
      </c>
      <c r="O318" s="1">
        <v>0.0</v>
      </c>
      <c r="P318" s="1">
        <v>46.0</v>
      </c>
      <c r="Q318" s="1">
        <v>88.0</v>
      </c>
    </row>
    <row r="319">
      <c r="A319" s="1">
        <f t="shared" si="1"/>
        <v>317</v>
      </c>
      <c r="B319" s="1" t="s">
        <v>1427</v>
      </c>
      <c r="C319" s="1" t="s">
        <v>1054</v>
      </c>
      <c r="D319" s="1" t="s">
        <v>66</v>
      </c>
      <c r="E319" s="15">
        <f t="shared" si="2"/>
        <v>220</v>
      </c>
      <c r="F319" s="16">
        <f t="shared" si="3"/>
        <v>3.859649123</v>
      </c>
      <c r="G319" s="1">
        <v>57.0</v>
      </c>
      <c r="H319" s="1">
        <v>7.0</v>
      </c>
      <c r="I319" s="1">
        <v>20.0</v>
      </c>
      <c r="J319" s="1">
        <v>27.0</v>
      </c>
      <c r="K319" s="1">
        <v>116.0</v>
      </c>
      <c r="L319" s="1">
        <v>1.0</v>
      </c>
      <c r="M319" s="1">
        <v>4.0</v>
      </c>
      <c r="N319" s="1">
        <v>0.0</v>
      </c>
      <c r="O319" s="1">
        <v>0.0</v>
      </c>
      <c r="P319" s="1">
        <v>114.0</v>
      </c>
      <c r="Q319" s="1">
        <v>84.0</v>
      </c>
    </row>
    <row r="320">
      <c r="A320" s="1">
        <f t="shared" si="1"/>
        <v>317</v>
      </c>
      <c r="B320" s="1" t="s">
        <v>1404</v>
      </c>
      <c r="C320" s="1" t="s">
        <v>1087</v>
      </c>
      <c r="D320" s="1" t="s">
        <v>66</v>
      </c>
      <c r="E320" s="15">
        <f t="shared" si="2"/>
        <v>220</v>
      </c>
      <c r="F320" s="16">
        <f t="shared" si="3"/>
        <v>3.928571429</v>
      </c>
      <c r="G320" s="1">
        <v>56.0</v>
      </c>
      <c r="H320" s="1">
        <v>5.0</v>
      </c>
      <c r="I320" s="1">
        <v>16.0</v>
      </c>
      <c r="J320" s="1">
        <v>21.0</v>
      </c>
      <c r="K320" s="1">
        <v>122.0</v>
      </c>
      <c r="L320" s="1">
        <v>2.0</v>
      </c>
      <c r="M320" s="1">
        <v>4.0</v>
      </c>
      <c r="N320" s="1">
        <v>0.0</v>
      </c>
      <c r="O320" s="1">
        <v>1.0</v>
      </c>
      <c r="P320" s="1">
        <v>86.0</v>
      </c>
      <c r="Q320" s="1">
        <v>130.0</v>
      </c>
    </row>
    <row r="321">
      <c r="A321" s="1">
        <f t="shared" si="1"/>
        <v>319</v>
      </c>
      <c r="B321" s="1" t="s">
        <v>1838</v>
      </c>
      <c r="C321" s="1" t="s">
        <v>1111</v>
      </c>
      <c r="D321" s="1" t="s">
        <v>31</v>
      </c>
      <c r="E321" s="15">
        <f t="shared" si="2"/>
        <v>219.75</v>
      </c>
      <c r="F321" s="16">
        <f t="shared" si="3"/>
        <v>2.969594595</v>
      </c>
      <c r="G321" s="1">
        <v>74.0</v>
      </c>
      <c r="H321" s="1">
        <v>17.0</v>
      </c>
      <c r="I321" s="1">
        <v>18.0</v>
      </c>
      <c r="J321" s="1">
        <v>35.0</v>
      </c>
      <c r="K321" s="1">
        <v>88.0</v>
      </c>
      <c r="L321" s="1">
        <v>2.0</v>
      </c>
      <c r="M321" s="1">
        <v>2.0</v>
      </c>
      <c r="N321" s="1">
        <v>0.0</v>
      </c>
      <c r="O321" s="1">
        <v>0.0</v>
      </c>
      <c r="P321" s="1">
        <v>71.0</v>
      </c>
      <c r="Q321" s="1">
        <v>55.0</v>
      </c>
    </row>
    <row r="322">
      <c r="A322" s="1">
        <f t="shared" si="1"/>
        <v>320</v>
      </c>
      <c r="B322" s="1" t="s">
        <v>1751</v>
      </c>
      <c r="C322" s="1" t="s">
        <v>1091</v>
      </c>
      <c r="D322" s="1" t="s">
        <v>66</v>
      </c>
      <c r="E322" s="15">
        <f t="shared" si="2"/>
        <v>219.5</v>
      </c>
      <c r="F322" s="16">
        <f t="shared" si="3"/>
        <v>3.325757576</v>
      </c>
      <c r="G322" s="1">
        <v>66.0</v>
      </c>
      <c r="H322" s="1">
        <v>2.0</v>
      </c>
      <c r="I322" s="1">
        <v>14.0</v>
      </c>
      <c r="J322" s="1">
        <v>16.0</v>
      </c>
      <c r="K322" s="1">
        <v>97.0</v>
      </c>
      <c r="L322" s="1">
        <v>0.0</v>
      </c>
      <c r="M322" s="1">
        <v>1.0</v>
      </c>
      <c r="N322" s="1">
        <v>0.0</v>
      </c>
      <c r="O322" s="1">
        <v>0.0</v>
      </c>
      <c r="P322" s="1">
        <v>230.0</v>
      </c>
      <c r="Q322" s="1">
        <v>125.0</v>
      </c>
    </row>
    <row r="323">
      <c r="A323" s="1">
        <f t="shared" si="1"/>
        <v>321</v>
      </c>
      <c r="B323" s="1" t="s">
        <v>1384</v>
      </c>
      <c r="C323" s="1" t="s">
        <v>1034</v>
      </c>
      <c r="D323" s="1" t="s">
        <v>66</v>
      </c>
      <c r="E323" s="15">
        <f t="shared" si="2"/>
        <v>219</v>
      </c>
      <c r="F323" s="16">
        <f t="shared" si="3"/>
        <v>3.084507042</v>
      </c>
      <c r="G323" s="1">
        <v>71.0</v>
      </c>
      <c r="H323" s="1">
        <v>4.0</v>
      </c>
      <c r="I323" s="1">
        <v>22.0</v>
      </c>
      <c r="J323" s="1">
        <v>26.0</v>
      </c>
      <c r="K323" s="1">
        <v>85.0</v>
      </c>
      <c r="L323" s="1">
        <v>0.0</v>
      </c>
      <c r="M323" s="1">
        <v>1.0</v>
      </c>
      <c r="N323" s="1">
        <v>0.0</v>
      </c>
      <c r="O323" s="1">
        <v>0.0</v>
      </c>
      <c r="P323" s="1">
        <v>96.0</v>
      </c>
      <c r="Q323" s="1">
        <v>137.0</v>
      </c>
    </row>
    <row r="324">
      <c r="A324" s="1">
        <f t="shared" si="1"/>
        <v>322</v>
      </c>
      <c r="B324" s="1" t="s">
        <v>1597</v>
      </c>
      <c r="C324" s="1" t="s">
        <v>1073</v>
      </c>
      <c r="D324" s="1" t="s">
        <v>36</v>
      </c>
      <c r="E324" s="15">
        <f t="shared" si="2"/>
        <v>218.75</v>
      </c>
      <c r="F324" s="16">
        <f t="shared" si="3"/>
        <v>2.667682927</v>
      </c>
      <c r="G324" s="1">
        <v>82.0</v>
      </c>
      <c r="H324" s="1">
        <v>14.0</v>
      </c>
      <c r="I324" s="1">
        <v>20.0</v>
      </c>
      <c r="J324" s="1">
        <v>34.0</v>
      </c>
      <c r="K324" s="1">
        <v>97.0</v>
      </c>
      <c r="L324" s="1">
        <v>1.0</v>
      </c>
      <c r="M324" s="1">
        <v>1.0</v>
      </c>
      <c r="N324" s="1">
        <v>0.0</v>
      </c>
      <c r="O324" s="1">
        <v>1.0</v>
      </c>
      <c r="P324" s="1">
        <v>109.0</v>
      </c>
      <c r="Q324" s="1">
        <v>36.0</v>
      </c>
    </row>
    <row r="325">
      <c r="A325" s="1">
        <f t="shared" si="1"/>
        <v>323</v>
      </c>
      <c r="B325" s="1" t="s">
        <v>2285</v>
      </c>
      <c r="C325" s="1" t="s">
        <v>1570</v>
      </c>
      <c r="D325" s="1" t="s">
        <v>31</v>
      </c>
      <c r="E325" s="15">
        <f t="shared" si="2"/>
        <v>217.75</v>
      </c>
      <c r="F325" s="16">
        <f t="shared" si="3"/>
        <v>3.888392857</v>
      </c>
      <c r="G325" s="1">
        <v>56.0</v>
      </c>
      <c r="H325" s="1">
        <v>3.0</v>
      </c>
      <c r="I325" s="1">
        <v>34.0</v>
      </c>
      <c r="J325" s="1">
        <v>37.0</v>
      </c>
      <c r="K325" s="1">
        <v>104.0</v>
      </c>
      <c r="L325" s="1">
        <v>2.0</v>
      </c>
      <c r="M325" s="1">
        <v>9.0</v>
      </c>
      <c r="N325" s="1">
        <v>0.0</v>
      </c>
      <c r="O325" s="1">
        <v>0.0</v>
      </c>
      <c r="P325" s="1">
        <v>89.0</v>
      </c>
      <c r="Q325" s="1">
        <v>56.0</v>
      </c>
    </row>
    <row r="326">
      <c r="A326" s="1">
        <f t="shared" si="1"/>
        <v>324</v>
      </c>
      <c r="B326" s="1" t="s">
        <v>1591</v>
      </c>
      <c r="C326" s="1" t="s">
        <v>1087</v>
      </c>
      <c r="D326" s="1" t="s">
        <v>28</v>
      </c>
      <c r="E326" s="15">
        <f t="shared" si="2"/>
        <v>216.75</v>
      </c>
      <c r="F326" s="16">
        <f t="shared" si="3"/>
        <v>2.89</v>
      </c>
      <c r="G326" s="1">
        <v>75.0</v>
      </c>
      <c r="H326" s="1">
        <v>12.0</v>
      </c>
      <c r="I326" s="1">
        <v>22.0</v>
      </c>
      <c r="J326" s="1">
        <v>34.0</v>
      </c>
      <c r="K326" s="1">
        <v>154.0</v>
      </c>
      <c r="L326" s="1">
        <v>5.0</v>
      </c>
      <c r="M326" s="1">
        <v>6.0</v>
      </c>
      <c r="N326" s="1">
        <v>0.0</v>
      </c>
      <c r="O326" s="1">
        <v>0.0</v>
      </c>
      <c r="P326" s="1">
        <v>39.0</v>
      </c>
      <c r="Q326" s="1">
        <v>20.0</v>
      </c>
    </row>
    <row r="327">
      <c r="A327" s="1">
        <f t="shared" si="1"/>
        <v>325</v>
      </c>
      <c r="B327" s="1" t="s">
        <v>1718</v>
      </c>
      <c r="C327" s="1" t="s">
        <v>1065</v>
      </c>
      <c r="D327" s="1" t="s">
        <v>66</v>
      </c>
      <c r="E327" s="15">
        <f t="shared" si="2"/>
        <v>216.5</v>
      </c>
      <c r="F327" s="16">
        <f t="shared" si="3"/>
        <v>2.672839506</v>
      </c>
      <c r="G327" s="1">
        <v>81.0</v>
      </c>
      <c r="H327" s="1">
        <v>4.0</v>
      </c>
      <c r="I327" s="1">
        <v>28.0</v>
      </c>
      <c r="J327" s="1">
        <v>32.0</v>
      </c>
      <c r="K327" s="1">
        <v>137.0</v>
      </c>
      <c r="L327" s="1">
        <v>0.0</v>
      </c>
      <c r="M327" s="1">
        <v>12.0</v>
      </c>
      <c r="N327" s="1">
        <v>0.0</v>
      </c>
      <c r="O327" s="1">
        <v>0.0</v>
      </c>
      <c r="P327" s="1">
        <v>40.0</v>
      </c>
      <c r="Q327" s="1">
        <v>72.0</v>
      </c>
    </row>
    <row r="328">
      <c r="A328" s="1">
        <f t="shared" si="1"/>
        <v>325</v>
      </c>
      <c r="B328" s="1" t="s">
        <v>1163</v>
      </c>
      <c r="C328" s="1" t="s">
        <v>1040</v>
      </c>
      <c r="D328" s="1" t="s">
        <v>28</v>
      </c>
      <c r="E328" s="15">
        <f t="shared" si="2"/>
        <v>216.5</v>
      </c>
      <c r="F328" s="16">
        <f t="shared" si="3"/>
        <v>2.740506329</v>
      </c>
      <c r="G328" s="1">
        <v>79.0</v>
      </c>
      <c r="H328" s="1">
        <v>19.0</v>
      </c>
      <c r="I328" s="1">
        <v>12.0</v>
      </c>
      <c r="J328" s="1">
        <v>31.0</v>
      </c>
      <c r="K328" s="1">
        <v>110.0</v>
      </c>
      <c r="L328" s="1">
        <v>0.0</v>
      </c>
      <c r="M328" s="1">
        <v>2.0</v>
      </c>
      <c r="N328" s="1">
        <v>0.0</v>
      </c>
      <c r="O328" s="1">
        <v>0.0</v>
      </c>
      <c r="P328" s="1">
        <v>108.0</v>
      </c>
      <c r="Q328" s="1">
        <v>26.0</v>
      </c>
    </row>
    <row r="329">
      <c r="A329" s="1">
        <f t="shared" si="1"/>
        <v>327</v>
      </c>
      <c r="B329" s="1" t="s">
        <v>1652</v>
      </c>
      <c r="C329" s="1" t="s">
        <v>1156</v>
      </c>
      <c r="D329" s="1" t="s">
        <v>66</v>
      </c>
      <c r="E329" s="15">
        <f t="shared" si="2"/>
        <v>216.25</v>
      </c>
      <c r="F329" s="16">
        <f t="shared" si="3"/>
        <v>2.637195122</v>
      </c>
      <c r="G329" s="1">
        <v>82.0</v>
      </c>
      <c r="H329" s="1">
        <v>2.0</v>
      </c>
      <c r="I329" s="1">
        <v>13.0</v>
      </c>
      <c r="J329" s="1">
        <v>15.0</v>
      </c>
      <c r="K329" s="1">
        <v>72.0</v>
      </c>
      <c r="L329" s="1">
        <v>0.0</v>
      </c>
      <c r="M329" s="1">
        <v>0.0</v>
      </c>
      <c r="N329" s="1">
        <v>0.0</v>
      </c>
      <c r="O329" s="1">
        <v>0.0</v>
      </c>
      <c r="P329" s="1">
        <v>191.0</v>
      </c>
      <c r="Q329" s="1">
        <v>169.0</v>
      </c>
    </row>
    <row r="330">
      <c r="A330" s="1">
        <f t="shared" si="1"/>
        <v>327</v>
      </c>
      <c r="B330" s="1" t="s">
        <v>1714</v>
      </c>
      <c r="C330" s="1" t="s">
        <v>1175</v>
      </c>
      <c r="D330" s="1" t="s">
        <v>36</v>
      </c>
      <c r="E330" s="15">
        <f t="shared" si="2"/>
        <v>216.25</v>
      </c>
      <c r="F330" s="16">
        <f t="shared" si="3"/>
        <v>3.089285714</v>
      </c>
      <c r="G330" s="1">
        <v>70.0</v>
      </c>
      <c r="H330" s="1">
        <v>10.0</v>
      </c>
      <c r="I330" s="1">
        <v>29.0</v>
      </c>
      <c r="J330" s="1">
        <v>39.0</v>
      </c>
      <c r="K330" s="1">
        <v>103.0</v>
      </c>
      <c r="L330" s="1">
        <v>2.0</v>
      </c>
      <c r="M330" s="1">
        <v>6.0</v>
      </c>
      <c r="N330" s="1">
        <v>0.0</v>
      </c>
      <c r="O330" s="1">
        <v>0.0</v>
      </c>
      <c r="P330" s="1">
        <v>53.0</v>
      </c>
      <c r="Q330" s="1">
        <v>39.0</v>
      </c>
    </row>
    <row r="331">
      <c r="A331" s="1">
        <f t="shared" si="1"/>
        <v>329</v>
      </c>
      <c r="B331" s="1" t="s">
        <v>1396</v>
      </c>
      <c r="C331" s="1" t="s">
        <v>1080</v>
      </c>
      <c r="D331" s="1" t="s">
        <v>36</v>
      </c>
      <c r="E331" s="15">
        <f t="shared" si="2"/>
        <v>216</v>
      </c>
      <c r="F331" s="16">
        <f t="shared" si="3"/>
        <v>2.805194805</v>
      </c>
      <c r="G331" s="1">
        <v>77.0</v>
      </c>
      <c r="H331" s="1">
        <v>7.0</v>
      </c>
      <c r="I331" s="1">
        <v>17.0</v>
      </c>
      <c r="J331" s="1">
        <v>24.0</v>
      </c>
      <c r="K331" s="1">
        <v>94.0</v>
      </c>
      <c r="L331" s="1">
        <v>1.0</v>
      </c>
      <c r="M331" s="1">
        <v>0.0</v>
      </c>
      <c r="N331" s="1">
        <v>1.0</v>
      </c>
      <c r="O331" s="1">
        <v>0.0</v>
      </c>
      <c r="P331" s="1">
        <v>246.0</v>
      </c>
      <c r="Q331" s="1">
        <v>46.0</v>
      </c>
    </row>
    <row r="332">
      <c r="A332" s="1">
        <f t="shared" si="1"/>
        <v>330</v>
      </c>
      <c r="B332" s="1" t="s">
        <v>1526</v>
      </c>
      <c r="C332" s="1" t="s">
        <v>1046</v>
      </c>
      <c r="D332" s="1" t="s">
        <v>66</v>
      </c>
      <c r="E332" s="15">
        <f t="shared" si="2"/>
        <v>215.75</v>
      </c>
      <c r="F332" s="16">
        <f t="shared" si="3"/>
        <v>3.268939394</v>
      </c>
      <c r="G332" s="1">
        <v>66.0</v>
      </c>
      <c r="H332" s="1">
        <v>5.0</v>
      </c>
      <c r="I332" s="1">
        <v>12.0</v>
      </c>
      <c r="J332" s="1">
        <v>17.0</v>
      </c>
      <c r="K332" s="1">
        <v>78.0</v>
      </c>
      <c r="L332" s="1">
        <v>0.0</v>
      </c>
      <c r="M332" s="1">
        <v>0.0</v>
      </c>
      <c r="N332" s="1">
        <v>1.0</v>
      </c>
      <c r="O332" s="1">
        <v>0.0</v>
      </c>
      <c r="P332" s="1">
        <v>273.0</v>
      </c>
      <c r="Q332" s="1">
        <v>96.0</v>
      </c>
    </row>
    <row r="333">
      <c r="A333" s="1">
        <f t="shared" si="1"/>
        <v>331</v>
      </c>
      <c r="B333" s="1" t="s">
        <v>2101</v>
      </c>
      <c r="C333" s="1" t="s">
        <v>1087</v>
      </c>
      <c r="D333" s="1" t="s">
        <v>28</v>
      </c>
      <c r="E333" s="15">
        <f t="shared" si="2"/>
        <v>214.25</v>
      </c>
      <c r="F333" s="16">
        <f t="shared" si="3"/>
        <v>2.89527027</v>
      </c>
      <c r="G333" s="1">
        <v>74.0</v>
      </c>
      <c r="H333" s="1">
        <v>14.0</v>
      </c>
      <c r="I333" s="1">
        <v>30.0</v>
      </c>
      <c r="J333" s="1">
        <v>44.0</v>
      </c>
      <c r="K333" s="1">
        <v>87.0</v>
      </c>
      <c r="L333" s="1">
        <v>2.0</v>
      </c>
      <c r="M333" s="1">
        <v>9.0</v>
      </c>
      <c r="N333" s="1">
        <v>0.0</v>
      </c>
      <c r="O333" s="1">
        <v>0.0</v>
      </c>
      <c r="P333" s="1">
        <v>19.0</v>
      </c>
      <c r="Q333" s="1">
        <v>26.0</v>
      </c>
    </row>
    <row r="334">
      <c r="A334" s="1">
        <f t="shared" si="1"/>
        <v>331</v>
      </c>
      <c r="B334" s="1" t="s">
        <v>1880</v>
      </c>
      <c r="C334" s="1" t="s">
        <v>1085</v>
      </c>
      <c r="D334" s="1" t="s">
        <v>36</v>
      </c>
      <c r="E334" s="15">
        <f t="shared" si="2"/>
        <v>214.25</v>
      </c>
      <c r="F334" s="16">
        <f t="shared" si="3"/>
        <v>2.934931507</v>
      </c>
      <c r="G334" s="1">
        <v>73.0</v>
      </c>
      <c r="H334" s="1">
        <v>11.0</v>
      </c>
      <c r="I334" s="1">
        <v>20.0</v>
      </c>
      <c r="J334" s="1">
        <v>31.0</v>
      </c>
      <c r="K334" s="1">
        <v>144.0</v>
      </c>
      <c r="L334" s="1">
        <v>4.0</v>
      </c>
      <c r="M334" s="1">
        <v>3.0</v>
      </c>
      <c r="N334" s="1">
        <v>0.0</v>
      </c>
      <c r="O334" s="1">
        <v>0.0</v>
      </c>
      <c r="P334" s="1">
        <v>67.0</v>
      </c>
      <c r="Q334" s="1">
        <v>32.0</v>
      </c>
    </row>
    <row r="335">
      <c r="A335" s="1">
        <f t="shared" si="1"/>
        <v>331</v>
      </c>
      <c r="B335" s="1" t="s">
        <v>1278</v>
      </c>
      <c r="C335" s="1" t="s">
        <v>1030</v>
      </c>
      <c r="D335" s="1" t="s">
        <v>31</v>
      </c>
      <c r="E335" s="15">
        <f t="shared" si="2"/>
        <v>214.25</v>
      </c>
      <c r="F335" s="16">
        <f t="shared" si="3"/>
        <v>3.060714286</v>
      </c>
      <c r="G335" s="1">
        <v>70.0</v>
      </c>
      <c r="H335" s="1">
        <v>18.0</v>
      </c>
      <c r="I335" s="1">
        <v>15.0</v>
      </c>
      <c r="J335" s="1">
        <v>33.0</v>
      </c>
      <c r="K335" s="1">
        <v>102.0</v>
      </c>
      <c r="L335" s="1">
        <v>4.0</v>
      </c>
      <c r="M335" s="1">
        <v>2.0</v>
      </c>
      <c r="N335" s="1">
        <v>1.0</v>
      </c>
      <c r="O335" s="1">
        <v>0.0</v>
      </c>
      <c r="P335" s="1">
        <v>31.0</v>
      </c>
      <c r="Q335" s="1">
        <v>55.0</v>
      </c>
    </row>
    <row r="336">
      <c r="A336" s="1">
        <f t="shared" si="1"/>
        <v>334</v>
      </c>
      <c r="B336" s="1" t="s">
        <v>1335</v>
      </c>
      <c r="C336" s="1" t="s">
        <v>1116</v>
      </c>
      <c r="D336" s="1" t="s">
        <v>66</v>
      </c>
      <c r="E336" s="15">
        <f t="shared" si="2"/>
        <v>214</v>
      </c>
      <c r="F336" s="16">
        <f t="shared" si="3"/>
        <v>2.708860759</v>
      </c>
      <c r="G336" s="1">
        <v>79.0</v>
      </c>
      <c r="H336" s="1">
        <v>3.0</v>
      </c>
      <c r="I336" s="1">
        <v>17.0</v>
      </c>
      <c r="J336" s="1">
        <v>20.0</v>
      </c>
      <c r="K336" s="1">
        <v>85.0</v>
      </c>
      <c r="L336" s="1">
        <v>0.0</v>
      </c>
      <c r="M336" s="1">
        <v>0.0</v>
      </c>
      <c r="N336" s="1">
        <v>0.0</v>
      </c>
      <c r="O336" s="1">
        <v>0.0</v>
      </c>
      <c r="P336" s="1">
        <v>212.0</v>
      </c>
      <c r="Q336" s="1">
        <v>108.0</v>
      </c>
    </row>
    <row r="337">
      <c r="A337" s="1">
        <f t="shared" si="1"/>
        <v>334</v>
      </c>
      <c r="B337" s="1" t="s">
        <v>1549</v>
      </c>
      <c r="C337" s="1" t="s">
        <v>1052</v>
      </c>
      <c r="D337" s="1" t="s">
        <v>36</v>
      </c>
      <c r="E337" s="15">
        <f t="shared" si="2"/>
        <v>214</v>
      </c>
      <c r="F337" s="16">
        <f t="shared" si="3"/>
        <v>2.708860759</v>
      </c>
      <c r="G337" s="1">
        <v>79.0</v>
      </c>
      <c r="H337" s="1">
        <v>11.0</v>
      </c>
      <c r="I337" s="1">
        <v>21.0</v>
      </c>
      <c r="J337" s="1">
        <v>32.0</v>
      </c>
      <c r="K337" s="1">
        <v>129.0</v>
      </c>
      <c r="L337" s="1">
        <v>0.0</v>
      </c>
      <c r="M337" s="1">
        <v>5.0</v>
      </c>
      <c r="N337" s="1">
        <v>0.0</v>
      </c>
      <c r="O337" s="1">
        <v>0.0</v>
      </c>
      <c r="P337" s="1">
        <v>110.0</v>
      </c>
      <c r="Q337" s="1">
        <v>19.0</v>
      </c>
    </row>
    <row r="338">
      <c r="A338" s="1">
        <f t="shared" si="1"/>
        <v>336</v>
      </c>
      <c r="B338" s="1" t="s">
        <v>2084</v>
      </c>
      <c r="C338" s="1" t="s">
        <v>1054</v>
      </c>
      <c r="D338" s="1" t="s">
        <v>28</v>
      </c>
      <c r="E338" s="15">
        <f t="shared" si="2"/>
        <v>213.75</v>
      </c>
      <c r="F338" s="16">
        <f t="shared" si="3"/>
        <v>4.54787234</v>
      </c>
      <c r="G338" s="1">
        <v>47.0</v>
      </c>
      <c r="H338" s="1">
        <v>15.0</v>
      </c>
      <c r="I338" s="1">
        <v>24.0</v>
      </c>
      <c r="J338" s="1">
        <v>39.0</v>
      </c>
      <c r="K338" s="1">
        <v>113.0</v>
      </c>
      <c r="L338" s="1">
        <v>3.0</v>
      </c>
      <c r="M338" s="1">
        <v>7.0</v>
      </c>
      <c r="N338" s="1">
        <v>0.0</v>
      </c>
      <c r="O338" s="1">
        <v>0.0</v>
      </c>
      <c r="P338" s="1">
        <v>23.0</v>
      </c>
      <c r="Q338" s="1">
        <v>24.0</v>
      </c>
    </row>
    <row r="339">
      <c r="A339" s="1">
        <f t="shared" si="1"/>
        <v>336</v>
      </c>
      <c r="B339" s="1" t="s">
        <v>2110</v>
      </c>
      <c r="C339" s="1" t="s">
        <v>1065</v>
      </c>
      <c r="D339" s="1" t="s">
        <v>31</v>
      </c>
      <c r="E339" s="15">
        <f t="shared" si="2"/>
        <v>213.75</v>
      </c>
      <c r="F339" s="16">
        <f t="shared" si="3"/>
        <v>3.01056338</v>
      </c>
      <c r="G339" s="1">
        <v>71.0</v>
      </c>
      <c r="H339" s="1">
        <v>15.0</v>
      </c>
      <c r="I339" s="1">
        <v>14.0</v>
      </c>
      <c r="J339" s="1">
        <v>29.0</v>
      </c>
      <c r="K339" s="1">
        <v>117.0</v>
      </c>
      <c r="L339" s="1">
        <v>2.0</v>
      </c>
      <c r="M339" s="1">
        <v>0.0</v>
      </c>
      <c r="N339" s="1">
        <v>1.0</v>
      </c>
      <c r="O339" s="1">
        <v>1.0</v>
      </c>
      <c r="P339" s="1">
        <v>69.0</v>
      </c>
      <c r="Q339" s="1">
        <v>49.0</v>
      </c>
    </row>
    <row r="340">
      <c r="A340" s="1">
        <f t="shared" si="1"/>
        <v>338</v>
      </c>
      <c r="B340" s="1" t="s">
        <v>1541</v>
      </c>
      <c r="C340" s="1" t="s">
        <v>1175</v>
      </c>
      <c r="D340" s="1" t="s">
        <v>31</v>
      </c>
      <c r="E340" s="15">
        <f t="shared" si="2"/>
        <v>213</v>
      </c>
      <c r="F340" s="16">
        <f t="shared" si="3"/>
        <v>3.380952381</v>
      </c>
      <c r="G340" s="1">
        <v>63.0</v>
      </c>
      <c r="H340" s="1">
        <v>8.0</v>
      </c>
      <c r="I340" s="1">
        <v>15.0</v>
      </c>
      <c r="J340" s="1">
        <v>23.0</v>
      </c>
      <c r="K340" s="1">
        <v>156.0</v>
      </c>
      <c r="L340" s="1">
        <v>0.0</v>
      </c>
      <c r="M340" s="1">
        <v>3.0</v>
      </c>
      <c r="N340" s="1">
        <v>0.0</v>
      </c>
      <c r="O340" s="1">
        <v>0.0</v>
      </c>
      <c r="P340" s="1">
        <v>118.0</v>
      </c>
      <c r="Q340" s="1">
        <v>49.0</v>
      </c>
    </row>
    <row r="341">
      <c r="A341" s="1">
        <f t="shared" si="1"/>
        <v>339</v>
      </c>
      <c r="B341" s="1" t="s">
        <v>1647</v>
      </c>
      <c r="C341" s="1" t="s">
        <v>1078</v>
      </c>
      <c r="D341" s="1" t="s">
        <v>36</v>
      </c>
      <c r="E341" s="15">
        <f t="shared" si="2"/>
        <v>212.75</v>
      </c>
      <c r="F341" s="16">
        <f t="shared" si="3"/>
        <v>2.659375</v>
      </c>
      <c r="G341" s="1">
        <v>80.0</v>
      </c>
      <c r="H341" s="1">
        <v>14.0</v>
      </c>
      <c r="I341" s="1">
        <v>13.0</v>
      </c>
      <c r="J341" s="1">
        <v>27.0</v>
      </c>
      <c r="K341" s="1">
        <v>194.0</v>
      </c>
      <c r="L341" s="1">
        <v>6.0</v>
      </c>
      <c r="M341" s="1">
        <v>3.0</v>
      </c>
      <c r="N341" s="1">
        <v>0.0</v>
      </c>
      <c r="O341" s="1">
        <v>0.0</v>
      </c>
      <c r="P341" s="1">
        <v>31.0</v>
      </c>
      <c r="Q341" s="1">
        <v>12.0</v>
      </c>
    </row>
    <row r="342">
      <c r="A342" s="1">
        <f t="shared" si="1"/>
        <v>340</v>
      </c>
      <c r="B342" s="1" t="s">
        <v>1351</v>
      </c>
      <c r="C342" s="1" t="s">
        <v>1082</v>
      </c>
      <c r="D342" s="1" t="s">
        <v>31</v>
      </c>
      <c r="E342" s="15">
        <f t="shared" si="2"/>
        <v>212.25</v>
      </c>
      <c r="F342" s="16">
        <f t="shared" si="3"/>
        <v>2.947916667</v>
      </c>
      <c r="G342" s="1">
        <v>72.0</v>
      </c>
      <c r="H342" s="1">
        <v>13.0</v>
      </c>
      <c r="I342" s="1">
        <v>18.0</v>
      </c>
      <c r="J342" s="1">
        <v>31.0</v>
      </c>
      <c r="K342" s="1">
        <v>116.0</v>
      </c>
      <c r="L342" s="1">
        <v>0.0</v>
      </c>
      <c r="M342" s="1">
        <v>2.0</v>
      </c>
      <c r="N342" s="1">
        <v>0.0</v>
      </c>
      <c r="O342" s="1">
        <v>0.0</v>
      </c>
      <c r="P342" s="1">
        <v>95.0</v>
      </c>
      <c r="Q342" s="1">
        <v>36.0</v>
      </c>
    </row>
    <row r="343">
      <c r="A343" s="1">
        <f t="shared" si="1"/>
        <v>341</v>
      </c>
      <c r="B343" s="1" t="s">
        <v>1585</v>
      </c>
      <c r="C343" s="1" t="s">
        <v>1076</v>
      </c>
      <c r="D343" s="1" t="s">
        <v>28</v>
      </c>
      <c r="E343" s="15">
        <f t="shared" si="2"/>
        <v>211.25</v>
      </c>
      <c r="F343" s="16">
        <f t="shared" si="3"/>
        <v>2.779605263</v>
      </c>
      <c r="G343" s="1">
        <v>76.0</v>
      </c>
      <c r="H343" s="1">
        <v>15.0</v>
      </c>
      <c r="I343" s="1">
        <v>15.0</v>
      </c>
      <c r="J343" s="1">
        <v>30.0</v>
      </c>
      <c r="K343" s="1">
        <v>132.0</v>
      </c>
      <c r="L343" s="1">
        <v>2.0</v>
      </c>
      <c r="M343" s="1">
        <v>3.0</v>
      </c>
      <c r="N343" s="1">
        <v>0.0</v>
      </c>
      <c r="O343" s="1">
        <v>0.0</v>
      </c>
      <c r="P343" s="1">
        <v>75.0</v>
      </c>
      <c r="Q343" s="1">
        <v>28.0</v>
      </c>
    </row>
    <row r="344">
      <c r="A344" s="1">
        <f t="shared" si="1"/>
        <v>342</v>
      </c>
      <c r="B344" s="1" t="s">
        <v>1452</v>
      </c>
      <c r="C344" s="1" t="s">
        <v>1097</v>
      </c>
      <c r="D344" s="1" t="s">
        <v>28</v>
      </c>
      <c r="E344" s="15">
        <f t="shared" si="2"/>
        <v>211</v>
      </c>
      <c r="F344" s="16">
        <f t="shared" si="3"/>
        <v>2.930555556</v>
      </c>
      <c r="G344" s="1">
        <v>72.0</v>
      </c>
      <c r="H344" s="1">
        <v>13.0</v>
      </c>
      <c r="I344" s="1">
        <v>16.0</v>
      </c>
      <c r="J344" s="1">
        <v>29.0</v>
      </c>
      <c r="K344" s="1">
        <v>124.0</v>
      </c>
      <c r="L344" s="1">
        <v>0.0</v>
      </c>
      <c r="M344" s="1">
        <v>0.0</v>
      </c>
      <c r="N344" s="1">
        <v>0.0</v>
      </c>
      <c r="O344" s="1">
        <v>1.0</v>
      </c>
      <c r="P344" s="1">
        <v>88.0</v>
      </c>
      <c r="Q344" s="1">
        <v>37.0</v>
      </c>
    </row>
    <row r="345">
      <c r="A345" s="1">
        <f t="shared" si="1"/>
        <v>343</v>
      </c>
      <c r="B345" s="1" t="s">
        <v>2092</v>
      </c>
      <c r="C345" s="1" t="s">
        <v>1172</v>
      </c>
      <c r="D345" s="1" t="s">
        <v>31</v>
      </c>
      <c r="E345" s="15">
        <f t="shared" si="2"/>
        <v>210.75</v>
      </c>
      <c r="F345" s="16">
        <f t="shared" si="3"/>
        <v>2.968309859</v>
      </c>
      <c r="G345" s="1">
        <v>71.0</v>
      </c>
      <c r="H345" s="1">
        <v>12.0</v>
      </c>
      <c r="I345" s="1">
        <v>25.0</v>
      </c>
      <c r="J345" s="1">
        <v>37.0</v>
      </c>
      <c r="K345" s="1">
        <v>125.0</v>
      </c>
      <c r="L345" s="1">
        <v>4.0</v>
      </c>
      <c r="M345" s="1">
        <v>3.0</v>
      </c>
      <c r="N345" s="1">
        <v>1.0</v>
      </c>
      <c r="O345" s="1">
        <v>0.0</v>
      </c>
      <c r="P345" s="1">
        <v>25.0</v>
      </c>
      <c r="Q345" s="1">
        <v>22.0</v>
      </c>
    </row>
    <row r="346">
      <c r="A346" s="1">
        <f t="shared" si="1"/>
        <v>343</v>
      </c>
      <c r="B346" s="1" t="s">
        <v>1438</v>
      </c>
      <c r="C346" s="1" t="s">
        <v>1146</v>
      </c>
      <c r="D346" s="1" t="s">
        <v>31</v>
      </c>
      <c r="E346" s="15">
        <f t="shared" si="2"/>
        <v>210.75</v>
      </c>
      <c r="F346" s="16">
        <f t="shared" si="3"/>
        <v>2.634375</v>
      </c>
      <c r="G346" s="1">
        <v>80.0</v>
      </c>
      <c r="H346" s="1">
        <v>11.0</v>
      </c>
      <c r="I346" s="1">
        <v>26.0</v>
      </c>
      <c r="J346" s="1">
        <v>37.0</v>
      </c>
      <c r="K346" s="1">
        <v>95.0</v>
      </c>
      <c r="L346" s="1">
        <v>2.0</v>
      </c>
      <c r="M346" s="1">
        <v>4.0</v>
      </c>
      <c r="N346" s="1">
        <v>0.0</v>
      </c>
      <c r="O346" s="1">
        <v>1.0</v>
      </c>
      <c r="P346" s="1">
        <v>47.0</v>
      </c>
      <c r="Q346" s="1">
        <v>44.0</v>
      </c>
    </row>
    <row r="347">
      <c r="A347" s="1">
        <f t="shared" si="1"/>
        <v>345</v>
      </c>
      <c r="B347" s="1" t="s">
        <v>1500</v>
      </c>
      <c r="C347" s="1" t="s">
        <v>1030</v>
      </c>
      <c r="D347" s="1" t="s">
        <v>31</v>
      </c>
      <c r="E347" s="15">
        <f t="shared" si="2"/>
        <v>210</v>
      </c>
      <c r="F347" s="16">
        <f t="shared" si="3"/>
        <v>2.592592593</v>
      </c>
      <c r="G347" s="1">
        <v>81.0</v>
      </c>
      <c r="H347" s="1">
        <v>8.0</v>
      </c>
      <c r="I347" s="1">
        <v>16.0</v>
      </c>
      <c r="J347" s="1">
        <v>24.0</v>
      </c>
      <c r="K347" s="1">
        <v>127.0</v>
      </c>
      <c r="L347" s="1">
        <v>0.0</v>
      </c>
      <c r="M347" s="1">
        <v>0.0</v>
      </c>
      <c r="N347" s="1">
        <v>1.0</v>
      </c>
      <c r="O347" s="1">
        <v>3.0</v>
      </c>
      <c r="P347" s="1">
        <v>100.0</v>
      </c>
      <c r="Q347" s="1">
        <v>59.0</v>
      </c>
    </row>
    <row r="348">
      <c r="A348" s="1">
        <f t="shared" si="1"/>
        <v>346</v>
      </c>
      <c r="B348" s="1" t="s">
        <v>1586</v>
      </c>
      <c r="C348" s="1" t="s">
        <v>1085</v>
      </c>
      <c r="D348" s="1" t="s">
        <v>5</v>
      </c>
      <c r="E348" s="15">
        <f t="shared" si="2"/>
        <v>209.4</v>
      </c>
      <c r="F348" s="16">
        <f t="shared" si="3"/>
        <v>5.659459459</v>
      </c>
      <c r="G348" s="1">
        <v>37.0</v>
      </c>
      <c r="K348" s="12"/>
      <c r="N348" s="12"/>
      <c r="R348" s="1">
        <v>13.0</v>
      </c>
      <c r="S348" s="1">
        <v>110.0</v>
      </c>
      <c r="T348" s="12">
        <v>1108.0</v>
      </c>
      <c r="U348" s="1">
        <v>1.0</v>
      </c>
    </row>
    <row r="349">
      <c r="A349" s="1">
        <f t="shared" si="1"/>
        <v>347</v>
      </c>
      <c r="B349" s="1" t="s">
        <v>2175</v>
      </c>
      <c r="C349" s="1" t="s">
        <v>1076</v>
      </c>
      <c r="D349" s="1" t="s">
        <v>28</v>
      </c>
      <c r="E349" s="15">
        <f t="shared" si="2"/>
        <v>208.5</v>
      </c>
      <c r="F349" s="16">
        <f t="shared" si="3"/>
        <v>2.936619718</v>
      </c>
      <c r="G349" s="1">
        <v>71.0</v>
      </c>
      <c r="H349" s="1">
        <v>13.0</v>
      </c>
      <c r="I349" s="1">
        <v>22.0</v>
      </c>
      <c r="J349" s="1">
        <v>35.0</v>
      </c>
      <c r="K349" s="1">
        <v>114.0</v>
      </c>
      <c r="L349" s="1">
        <v>1.0</v>
      </c>
      <c r="M349" s="1">
        <v>0.0</v>
      </c>
      <c r="N349" s="1">
        <v>0.0</v>
      </c>
      <c r="O349" s="1">
        <v>0.0</v>
      </c>
      <c r="P349" s="1">
        <v>64.0</v>
      </c>
      <c r="Q349" s="1">
        <v>22.0</v>
      </c>
    </row>
    <row r="350">
      <c r="A350" s="1">
        <f t="shared" si="1"/>
        <v>347</v>
      </c>
      <c r="B350" s="1" t="s">
        <v>1558</v>
      </c>
      <c r="C350" s="1" t="s">
        <v>1146</v>
      </c>
      <c r="D350" s="1" t="s">
        <v>5</v>
      </c>
      <c r="E350" s="15">
        <f t="shared" si="2"/>
        <v>208.5</v>
      </c>
      <c r="F350" s="16">
        <f t="shared" si="3"/>
        <v>3.790909091</v>
      </c>
      <c r="G350" s="1">
        <v>55.0</v>
      </c>
      <c r="K350" s="12"/>
      <c r="N350" s="12"/>
      <c r="R350" s="1">
        <v>18.0</v>
      </c>
      <c r="S350" s="1">
        <v>164.0</v>
      </c>
      <c r="T350" s="12">
        <v>1315.0</v>
      </c>
      <c r="U350" s="1">
        <v>2.0</v>
      </c>
    </row>
    <row r="351">
      <c r="A351" s="1">
        <f t="shared" si="1"/>
        <v>349</v>
      </c>
      <c r="B351" s="1" t="s">
        <v>1419</v>
      </c>
      <c r="C351" s="1" t="s">
        <v>1120</v>
      </c>
      <c r="D351" s="1" t="s">
        <v>28</v>
      </c>
      <c r="E351" s="15">
        <f t="shared" si="2"/>
        <v>208</v>
      </c>
      <c r="F351" s="16">
        <f t="shared" si="3"/>
        <v>3.714285714</v>
      </c>
      <c r="G351" s="1">
        <v>56.0</v>
      </c>
      <c r="H351" s="1">
        <v>17.0</v>
      </c>
      <c r="I351" s="1">
        <v>13.0</v>
      </c>
      <c r="J351" s="1">
        <v>30.0</v>
      </c>
      <c r="K351" s="1">
        <v>123.0</v>
      </c>
      <c r="L351" s="1">
        <v>6.0</v>
      </c>
      <c r="M351" s="1">
        <v>2.0</v>
      </c>
      <c r="N351" s="1">
        <v>0.0</v>
      </c>
      <c r="O351" s="1">
        <v>0.0</v>
      </c>
      <c r="P351" s="1">
        <v>86.0</v>
      </c>
      <c r="Q351" s="1">
        <v>19.0</v>
      </c>
    </row>
    <row r="352">
      <c r="A352" s="1">
        <f t="shared" si="1"/>
        <v>350</v>
      </c>
      <c r="B352" s="1" t="s">
        <v>1488</v>
      </c>
      <c r="C352" s="1" t="s">
        <v>1082</v>
      </c>
      <c r="D352" s="1" t="s">
        <v>5</v>
      </c>
      <c r="E352" s="15">
        <f t="shared" si="2"/>
        <v>207.3</v>
      </c>
      <c r="F352" s="16">
        <f t="shared" si="3"/>
        <v>4.711363636</v>
      </c>
      <c r="G352" s="1">
        <v>44.0</v>
      </c>
      <c r="K352" s="12"/>
      <c r="N352" s="12"/>
      <c r="R352" s="1">
        <v>23.0</v>
      </c>
      <c r="S352" s="1">
        <v>119.0</v>
      </c>
      <c r="T352" s="12">
        <v>1026.0</v>
      </c>
      <c r="U352" s="1">
        <v>3.0</v>
      </c>
    </row>
    <row r="353">
      <c r="A353" s="1">
        <f t="shared" si="1"/>
        <v>351</v>
      </c>
      <c r="B353" s="1" t="s">
        <v>1279</v>
      </c>
      <c r="C353" s="1" t="s">
        <v>1042</v>
      </c>
      <c r="D353" s="1" t="s">
        <v>36</v>
      </c>
      <c r="E353" s="15">
        <f t="shared" si="2"/>
        <v>207</v>
      </c>
      <c r="F353" s="16">
        <f t="shared" si="3"/>
        <v>2.620253165</v>
      </c>
      <c r="G353" s="1">
        <v>79.0</v>
      </c>
      <c r="H353" s="1">
        <v>7.0</v>
      </c>
      <c r="I353" s="1">
        <v>21.0</v>
      </c>
      <c r="J353" s="1">
        <v>28.0</v>
      </c>
      <c r="K353" s="1">
        <v>87.0</v>
      </c>
      <c r="L353" s="1">
        <v>1.0</v>
      </c>
      <c r="M353" s="1">
        <v>3.0</v>
      </c>
      <c r="N353" s="1">
        <v>0.0</v>
      </c>
      <c r="O353" s="1">
        <v>0.0</v>
      </c>
      <c r="P353" s="1">
        <v>188.0</v>
      </c>
      <c r="Q353" s="1">
        <v>44.0</v>
      </c>
    </row>
    <row r="354">
      <c r="A354" s="1">
        <f t="shared" si="1"/>
        <v>352</v>
      </c>
      <c r="B354" s="1" t="s">
        <v>1307</v>
      </c>
      <c r="C354" s="1" t="s">
        <v>1040</v>
      </c>
      <c r="D354" s="1" t="s">
        <v>66</v>
      </c>
      <c r="E354" s="15">
        <f t="shared" si="2"/>
        <v>206.75</v>
      </c>
      <c r="F354" s="16">
        <f t="shared" si="3"/>
        <v>2.521341463</v>
      </c>
      <c r="G354" s="1">
        <v>82.0</v>
      </c>
      <c r="H354" s="1">
        <v>7.0</v>
      </c>
      <c r="I354" s="1">
        <v>13.0</v>
      </c>
      <c r="J354" s="1">
        <v>20.0</v>
      </c>
      <c r="K354" s="1">
        <v>102.0</v>
      </c>
      <c r="L354" s="1">
        <v>1.0</v>
      </c>
      <c r="M354" s="1">
        <v>0.0</v>
      </c>
      <c r="N354" s="1">
        <v>0.0</v>
      </c>
      <c r="O354" s="1">
        <v>0.0</v>
      </c>
      <c r="P354" s="1">
        <v>151.0</v>
      </c>
      <c r="Q354" s="1">
        <v>95.0</v>
      </c>
    </row>
    <row r="355">
      <c r="A355" s="1">
        <f t="shared" si="1"/>
        <v>352</v>
      </c>
      <c r="B355" s="1" t="s">
        <v>1331</v>
      </c>
      <c r="C355" s="1" t="s">
        <v>1069</v>
      </c>
      <c r="D355" s="1" t="s">
        <v>66</v>
      </c>
      <c r="E355" s="15">
        <f t="shared" si="2"/>
        <v>206.75</v>
      </c>
      <c r="F355" s="16">
        <f t="shared" si="3"/>
        <v>2.650641026</v>
      </c>
      <c r="G355" s="1">
        <v>78.0</v>
      </c>
      <c r="H355" s="1">
        <v>6.0</v>
      </c>
      <c r="I355" s="1">
        <v>11.0</v>
      </c>
      <c r="J355" s="1">
        <v>17.0</v>
      </c>
      <c r="K355" s="1">
        <v>129.0</v>
      </c>
      <c r="L355" s="1">
        <v>0.0</v>
      </c>
      <c r="M355" s="1">
        <v>0.0</v>
      </c>
      <c r="N355" s="1">
        <v>0.0</v>
      </c>
      <c r="O355" s="1">
        <v>0.0</v>
      </c>
      <c r="P355" s="1">
        <v>145.0</v>
      </c>
      <c r="Q355" s="1">
        <v>92.0</v>
      </c>
    </row>
    <row r="356">
      <c r="A356" s="1">
        <f t="shared" si="1"/>
        <v>354</v>
      </c>
      <c r="B356" s="1" t="s">
        <v>1233</v>
      </c>
      <c r="C356" s="1" t="s">
        <v>1036</v>
      </c>
      <c r="D356" s="1" t="s">
        <v>28</v>
      </c>
      <c r="E356" s="15">
        <f t="shared" si="2"/>
        <v>206.25</v>
      </c>
      <c r="F356" s="16">
        <f t="shared" si="3"/>
        <v>2.515243902</v>
      </c>
      <c r="G356" s="1">
        <v>82.0</v>
      </c>
      <c r="H356" s="1">
        <v>12.0</v>
      </c>
      <c r="I356" s="1">
        <v>14.0</v>
      </c>
      <c r="J356" s="1">
        <v>26.0</v>
      </c>
      <c r="K356" s="1">
        <v>142.0</v>
      </c>
      <c r="L356" s="1">
        <v>2.0</v>
      </c>
      <c r="M356" s="1">
        <v>1.0</v>
      </c>
      <c r="N356" s="1">
        <v>0.0</v>
      </c>
      <c r="O356" s="1">
        <v>0.0</v>
      </c>
      <c r="P356" s="1">
        <v>127.0</v>
      </c>
      <c r="Q356" s="1">
        <v>15.0</v>
      </c>
    </row>
    <row r="357">
      <c r="A357" s="1">
        <f t="shared" si="1"/>
        <v>354</v>
      </c>
      <c r="B357" s="1" t="s">
        <v>1435</v>
      </c>
      <c r="C357" s="1" t="s">
        <v>1038</v>
      </c>
      <c r="D357" s="1" t="s">
        <v>66</v>
      </c>
      <c r="E357" s="15">
        <f t="shared" si="2"/>
        <v>206.25</v>
      </c>
      <c r="F357" s="16">
        <f t="shared" si="3"/>
        <v>2.610759494</v>
      </c>
      <c r="G357" s="1">
        <v>79.0</v>
      </c>
      <c r="H357" s="1">
        <v>6.0</v>
      </c>
      <c r="I357" s="1">
        <v>9.0</v>
      </c>
      <c r="J357" s="1">
        <v>15.0</v>
      </c>
      <c r="K357" s="1">
        <v>125.0</v>
      </c>
      <c r="L357" s="1">
        <v>0.0</v>
      </c>
      <c r="M357" s="1">
        <v>1.0</v>
      </c>
      <c r="N357" s="1">
        <v>1.0</v>
      </c>
      <c r="O357" s="1">
        <v>0.0</v>
      </c>
      <c r="P357" s="1">
        <v>143.0</v>
      </c>
      <c r="Q357" s="1">
        <v>104.0</v>
      </c>
    </row>
    <row r="358">
      <c r="A358" s="1">
        <f t="shared" si="1"/>
        <v>356</v>
      </c>
      <c r="B358" s="1" t="s">
        <v>1616</v>
      </c>
      <c r="C358" s="1" t="s">
        <v>1172</v>
      </c>
      <c r="D358" s="1" t="s">
        <v>66</v>
      </c>
      <c r="E358" s="15">
        <f t="shared" si="2"/>
        <v>206</v>
      </c>
      <c r="F358" s="16">
        <f t="shared" si="3"/>
        <v>2.985507246</v>
      </c>
      <c r="G358" s="1">
        <v>69.0</v>
      </c>
      <c r="H358" s="1">
        <v>4.0</v>
      </c>
      <c r="I358" s="1">
        <v>4.0</v>
      </c>
      <c r="J358" s="1">
        <v>8.0</v>
      </c>
      <c r="K358" s="1">
        <v>107.0</v>
      </c>
      <c r="L358" s="1">
        <v>0.0</v>
      </c>
      <c r="M358" s="1">
        <v>0.0</v>
      </c>
      <c r="N358" s="1">
        <v>0.0</v>
      </c>
      <c r="O358" s="1">
        <v>0.0</v>
      </c>
      <c r="P358" s="1">
        <v>146.0</v>
      </c>
      <c r="Q358" s="1">
        <v>172.0</v>
      </c>
    </row>
    <row r="359">
      <c r="A359" s="1">
        <f t="shared" si="1"/>
        <v>357</v>
      </c>
      <c r="B359" s="1" t="s">
        <v>1166</v>
      </c>
      <c r="C359" s="1" t="s">
        <v>1175</v>
      </c>
      <c r="D359" s="1" t="s">
        <v>66</v>
      </c>
      <c r="E359" s="15">
        <f t="shared" si="2"/>
        <v>205.5</v>
      </c>
      <c r="F359" s="16">
        <f t="shared" si="3"/>
        <v>4.11</v>
      </c>
      <c r="G359" s="1">
        <v>50.0</v>
      </c>
      <c r="H359" s="1">
        <v>10.0</v>
      </c>
      <c r="I359" s="1">
        <v>25.0</v>
      </c>
      <c r="J359" s="1">
        <v>35.0</v>
      </c>
      <c r="K359" s="1">
        <v>117.0</v>
      </c>
      <c r="L359" s="1">
        <v>0.0</v>
      </c>
      <c r="M359" s="1">
        <v>10.0</v>
      </c>
      <c r="N359" s="1">
        <v>0.0</v>
      </c>
      <c r="O359" s="1">
        <v>0.0</v>
      </c>
      <c r="P359" s="1">
        <v>18.0</v>
      </c>
      <c r="Q359" s="1">
        <v>45.0</v>
      </c>
    </row>
    <row r="360">
      <c r="A360" s="1">
        <f t="shared" si="1"/>
        <v>358</v>
      </c>
      <c r="B360" s="1" t="s">
        <v>1366</v>
      </c>
      <c r="C360" s="1" t="s">
        <v>1054</v>
      </c>
      <c r="D360" s="1" t="s">
        <v>28</v>
      </c>
      <c r="E360" s="15">
        <f t="shared" si="2"/>
        <v>205.25</v>
      </c>
      <c r="F360" s="16">
        <f t="shared" si="3"/>
        <v>3.310483871</v>
      </c>
      <c r="G360" s="1">
        <v>62.0</v>
      </c>
      <c r="H360" s="1">
        <v>10.0</v>
      </c>
      <c r="I360" s="1">
        <v>17.0</v>
      </c>
      <c r="J360" s="1">
        <v>27.0</v>
      </c>
      <c r="K360" s="1">
        <v>110.0</v>
      </c>
      <c r="L360" s="1">
        <v>1.0</v>
      </c>
      <c r="M360" s="1">
        <v>1.0</v>
      </c>
      <c r="N360" s="1">
        <v>0.0</v>
      </c>
      <c r="O360" s="1">
        <v>0.0</v>
      </c>
      <c r="P360" s="1">
        <v>155.0</v>
      </c>
      <c r="Q360" s="1">
        <v>31.0</v>
      </c>
    </row>
    <row r="361">
      <c r="A361" s="1">
        <f t="shared" si="1"/>
        <v>359</v>
      </c>
      <c r="B361" s="1" t="s">
        <v>1795</v>
      </c>
      <c r="C361" s="1" t="s">
        <v>1087</v>
      </c>
      <c r="D361" s="1" t="s">
        <v>36</v>
      </c>
      <c r="E361" s="15">
        <f t="shared" si="2"/>
        <v>204.75</v>
      </c>
      <c r="F361" s="16">
        <f t="shared" si="3"/>
        <v>2.804794521</v>
      </c>
      <c r="G361" s="1">
        <v>73.0</v>
      </c>
      <c r="H361" s="1">
        <v>13.0</v>
      </c>
      <c r="I361" s="1">
        <v>11.0</v>
      </c>
      <c r="J361" s="1">
        <v>24.0</v>
      </c>
      <c r="K361" s="1">
        <v>157.0</v>
      </c>
      <c r="L361" s="1">
        <v>5.0</v>
      </c>
      <c r="M361" s="1">
        <v>3.0</v>
      </c>
      <c r="N361" s="1">
        <v>0.0</v>
      </c>
      <c r="O361" s="1">
        <v>0.0</v>
      </c>
      <c r="P361" s="1">
        <v>101.0</v>
      </c>
      <c r="Q361" s="1">
        <v>19.0</v>
      </c>
    </row>
    <row r="362">
      <c r="A362" s="1">
        <f t="shared" si="1"/>
        <v>360</v>
      </c>
      <c r="B362" s="1" t="s">
        <v>2060</v>
      </c>
      <c r="C362" s="1" t="s">
        <v>1091</v>
      </c>
      <c r="D362" s="1" t="s">
        <v>28</v>
      </c>
      <c r="E362" s="15">
        <f t="shared" si="2"/>
        <v>204.25</v>
      </c>
      <c r="F362" s="16">
        <f t="shared" si="3"/>
        <v>2.585443038</v>
      </c>
      <c r="G362" s="1">
        <v>79.0</v>
      </c>
      <c r="H362" s="1">
        <v>12.0</v>
      </c>
      <c r="I362" s="1">
        <v>14.0</v>
      </c>
      <c r="J362" s="1">
        <v>26.0</v>
      </c>
      <c r="K362" s="1">
        <v>127.0</v>
      </c>
      <c r="L362" s="1">
        <v>0.0</v>
      </c>
      <c r="M362" s="1">
        <v>1.0</v>
      </c>
      <c r="N362" s="1">
        <v>0.0</v>
      </c>
      <c r="O362" s="1">
        <v>0.0</v>
      </c>
      <c r="P362" s="1">
        <v>83.0</v>
      </c>
      <c r="Q362" s="1">
        <v>48.0</v>
      </c>
    </row>
    <row r="363">
      <c r="A363" s="1">
        <f t="shared" si="1"/>
        <v>360</v>
      </c>
      <c r="B363" s="1" t="s">
        <v>1828</v>
      </c>
      <c r="C363" s="1" t="s">
        <v>1116</v>
      </c>
      <c r="D363" s="1" t="s">
        <v>28</v>
      </c>
      <c r="E363" s="15">
        <f t="shared" si="2"/>
        <v>204.25</v>
      </c>
      <c r="F363" s="16">
        <f t="shared" si="3"/>
        <v>2.553125</v>
      </c>
      <c r="G363" s="1">
        <v>80.0</v>
      </c>
      <c r="H363" s="1">
        <v>9.0</v>
      </c>
      <c r="I363" s="1">
        <v>12.0</v>
      </c>
      <c r="J363" s="1">
        <v>21.0</v>
      </c>
      <c r="K363" s="1">
        <v>104.0</v>
      </c>
      <c r="L363" s="1">
        <v>1.0</v>
      </c>
      <c r="M363" s="1">
        <v>2.0</v>
      </c>
      <c r="N363" s="1">
        <v>0.0</v>
      </c>
      <c r="O363" s="1">
        <v>0.0</v>
      </c>
      <c r="P363" s="1">
        <v>169.0</v>
      </c>
      <c r="Q363" s="1">
        <v>67.0</v>
      </c>
    </row>
    <row r="364">
      <c r="A364" s="1">
        <f t="shared" si="1"/>
        <v>362</v>
      </c>
      <c r="B364" s="1" t="s">
        <v>2204</v>
      </c>
      <c r="C364" s="1" t="s">
        <v>1111</v>
      </c>
      <c r="D364" s="1" t="s">
        <v>66</v>
      </c>
      <c r="E364" s="15">
        <f t="shared" si="2"/>
        <v>203.25</v>
      </c>
      <c r="F364" s="16">
        <f t="shared" si="3"/>
        <v>2.746621622</v>
      </c>
      <c r="G364" s="1">
        <v>74.0</v>
      </c>
      <c r="H364" s="1">
        <v>8.0</v>
      </c>
      <c r="I364" s="1">
        <v>15.0</v>
      </c>
      <c r="J364" s="1">
        <v>23.0</v>
      </c>
      <c r="K364" s="1">
        <v>95.0</v>
      </c>
      <c r="L364" s="1">
        <v>0.0</v>
      </c>
      <c r="M364" s="1">
        <v>0.0</v>
      </c>
      <c r="N364" s="1">
        <v>0.0</v>
      </c>
      <c r="O364" s="1">
        <v>0.0</v>
      </c>
      <c r="P364" s="1">
        <v>99.0</v>
      </c>
      <c r="Q364" s="1">
        <v>100.0</v>
      </c>
    </row>
    <row r="365">
      <c r="A365" s="1">
        <f t="shared" si="1"/>
        <v>363</v>
      </c>
      <c r="B365" s="1" t="s">
        <v>1463</v>
      </c>
      <c r="C365" s="1" t="s">
        <v>1030</v>
      </c>
      <c r="D365" s="1" t="s">
        <v>31</v>
      </c>
      <c r="E365" s="15">
        <f t="shared" si="2"/>
        <v>203</v>
      </c>
      <c r="F365" s="16">
        <f t="shared" si="3"/>
        <v>2.85915493</v>
      </c>
      <c r="G365" s="1">
        <v>71.0</v>
      </c>
      <c r="H365" s="1">
        <v>13.0</v>
      </c>
      <c r="I365" s="1">
        <v>20.0</v>
      </c>
      <c r="J365" s="1">
        <v>33.0</v>
      </c>
      <c r="K365" s="1">
        <v>113.0</v>
      </c>
      <c r="L365" s="1">
        <v>3.0</v>
      </c>
      <c r="M365" s="1">
        <v>3.0</v>
      </c>
      <c r="N365" s="1">
        <v>0.0</v>
      </c>
      <c r="O365" s="1">
        <v>0.0</v>
      </c>
      <c r="P365" s="1">
        <v>40.0</v>
      </c>
      <c r="Q365" s="1">
        <v>36.0</v>
      </c>
    </row>
    <row r="366">
      <c r="A366" s="1">
        <f t="shared" si="1"/>
        <v>364</v>
      </c>
      <c r="B366" s="1" t="s">
        <v>2286</v>
      </c>
      <c r="C366" s="1" t="s">
        <v>1570</v>
      </c>
      <c r="D366" s="1" t="s">
        <v>36</v>
      </c>
      <c r="E366" s="15">
        <f t="shared" si="2"/>
        <v>202.5</v>
      </c>
      <c r="F366" s="16">
        <f t="shared" si="3"/>
        <v>3.1640625</v>
      </c>
      <c r="G366" s="1">
        <v>64.0</v>
      </c>
      <c r="H366" s="1">
        <v>9.0</v>
      </c>
      <c r="I366" s="1">
        <v>19.0</v>
      </c>
      <c r="J366" s="1">
        <v>28.0</v>
      </c>
      <c r="K366" s="1">
        <v>146.0</v>
      </c>
      <c r="L366" s="1">
        <v>1.0</v>
      </c>
      <c r="M366" s="1">
        <v>2.0</v>
      </c>
      <c r="N366" s="1">
        <v>0.0</v>
      </c>
      <c r="O366" s="1">
        <v>0.0</v>
      </c>
      <c r="P366" s="1">
        <v>88.0</v>
      </c>
      <c r="Q366" s="1">
        <v>20.0</v>
      </c>
    </row>
    <row r="367">
      <c r="A367" s="1">
        <f t="shared" si="1"/>
        <v>365</v>
      </c>
      <c r="B367" s="1" t="s">
        <v>1531</v>
      </c>
      <c r="C367" s="1" t="s">
        <v>1080</v>
      </c>
      <c r="D367" s="1" t="s">
        <v>66</v>
      </c>
      <c r="E367" s="15">
        <f t="shared" si="2"/>
        <v>200</v>
      </c>
      <c r="F367" s="16">
        <f t="shared" si="3"/>
        <v>3.389830508</v>
      </c>
      <c r="G367" s="1">
        <v>59.0</v>
      </c>
      <c r="H367" s="1">
        <v>8.0</v>
      </c>
      <c r="I367" s="1">
        <v>11.0</v>
      </c>
      <c r="J367" s="1">
        <v>19.0</v>
      </c>
      <c r="K367" s="1">
        <v>94.0</v>
      </c>
      <c r="L367" s="1">
        <v>0.0</v>
      </c>
      <c r="M367" s="1">
        <v>0.0</v>
      </c>
      <c r="N367" s="1">
        <v>1.0</v>
      </c>
      <c r="O367" s="1">
        <v>0.0</v>
      </c>
      <c r="P367" s="1">
        <v>98.0</v>
      </c>
      <c r="Q367" s="1">
        <v>115.0</v>
      </c>
    </row>
    <row r="368">
      <c r="A368" s="1">
        <f t="shared" si="1"/>
        <v>366</v>
      </c>
      <c r="B368" s="1" t="s">
        <v>1339</v>
      </c>
      <c r="C368" s="1" t="s">
        <v>1044</v>
      </c>
      <c r="D368" s="1" t="s">
        <v>36</v>
      </c>
      <c r="E368" s="15">
        <f t="shared" si="2"/>
        <v>199</v>
      </c>
      <c r="F368" s="16">
        <f t="shared" si="3"/>
        <v>2.884057971</v>
      </c>
      <c r="G368" s="1">
        <v>69.0</v>
      </c>
      <c r="H368" s="1">
        <v>12.0</v>
      </c>
      <c r="I368" s="1">
        <v>18.0</v>
      </c>
      <c r="J368" s="1">
        <v>30.0</v>
      </c>
      <c r="K368" s="1">
        <v>86.0</v>
      </c>
      <c r="L368" s="1">
        <v>0.0</v>
      </c>
      <c r="M368" s="1">
        <v>0.0</v>
      </c>
      <c r="N368" s="1">
        <v>2.0</v>
      </c>
      <c r="O368" s="1">
        <v>2.0</v>
      </c>
      <c r="P368" s="1">
        <v>106.0</v>
      </c>
      <c r="Q368" s="1">
        <v>27.0</v>
      </c>
    </row>
    <row r="369">
      <c r="A369" s="1">
        <f t="shared" si="1"/>
        <v>367</v>
      </c>
      <c r="B369" s="1" t="s">
        <v>1180</v>
      </c>
      <c r="C369" s="1" t="s">
        <v>1106</v>
      </c>
      <c r="D369" s="1" t="s">
        <v>5</v>
      </c>
      <c r="E369" s="15">
        <f t="shared" si="2"/>
        <v>198.9</v>
      </c>
      <c r="F369" s="16">
        <f t="shared" si="3"/>
        <v>5.375675676</v>
      </c>
      <c r="G369" s="1">
        <v>37.0</v>
      </c>
      <c r="K369" s="12"/>
      <c r="N369" s="12"/>
      <c r="R369" s="1">
        <v>18.0</v>
      </c>
      <c r="S369" s="1">
        <v>112.0</v>
      </c>
      <c r="T369" s="12">
        <v>1023.0</v>
      </c>
      <c r="U369" s="1">
        <v>2.0</v>
      </c>
    </row>
    <row r="370">
      <c r="A370" s="1">
        <f t="shared" si="1"/>
        <v>368</v>
      </c>
      <c r="B370" s="1" t="s">
        <v>1753</v>
      </c>
      <c r="C370" s="1" t="s">
        <v>1120</v>
      </c>
      <c r="D370" s="1" t="s">
        <v>31</v>
      </c>
      <c r="E370" s="15">
        <f t="shared" si="2"/>
        <v>198.25</v>
      </c>
      <c r="F370" s="16">
        <f t="shared" si="3"/>
        <v>2.447530864</v>
      </c>
      <c r="G370" s="1">
        <v>81.0</v>
      </c>
      <c r="H370" s="1">
        <v>13.0</v>
      </c>
      <c r="I370" s="1">
        <v>18.0</v>
      </c>
      <c r="J370" s="1">
        <v>31.0</v>
      </c>
      <c r="K370" s="1">
        <v>132.0</v>
      </c>
      <c r="L370" s="1">
        <v>0.0</v>
      </c>
      <c r="M370" s="1">
        <v>1.0</v>
      </c>
      <c r="N370" s="1">
        <v>1.0</v>
      </c>
      <c r="O370" s="1">
        <v>0.0</v>
      </c>
      <c r="P370" s="1">
        <v>21.0</v>
      </c>
      <c r="Q370" s="1">
        <v>25.0</v>
      </c>
    </row>
    <row r="371">
      <c r="A371" s="1">
        <f t="shared" si="1"/>
        <v>369</v>
      </c>
      <c r="B371" s="1" t="s">
        <v>1589</v>
      </c>
      <c r="C371" s="1" t="s">
        <v>1085</v>
      </c>
      <c r="D371" s="1" t="s">
        <v>31</v>
      </c>
      <c r="E371" s="15">
        <f t="shared" si="2"/>
        <v>197.75</v>
      </c>
      <c r="F371" s="16">
        <f t="shared" si="3"/>
        <v>2.411585366</v>
      </c>
      <c r="G371" s="1">
        <v>82.0</v>
      </c>
      <c r="H371" s="1">
        <v>9.0</v>
      </c>
      <c r="I371" s="1">
        <v>7.0</v>
      </c>
      <c r="J371" s="1">
        <v>16.0</v>
      </c>
      <c r="K371" s="1">
        <v>116.0</v>
      </c>
      <c r="L371" s="1">
        <v>0.0</v>
      </c>
      <c r="M371" s="1">
        <v>0.0</v>
      </c>
      <c r="N371" s="1">
        <v>0.0</v>
      </c>
      <c r="O371" s="1">
        <v>2.0</v>
      </c>
      <c r="P371" s="1">
        <v>179.0</v>
      </c>
      <c r="Q371" s="1">
        <v>59.0</v>
      </c>
    </row>
    <row r="372">
      <c r="A372" s="1">
        <f t="shared" si="1"/>
        <v>370</v>
      </c>
      <c r="B372" s="1" t="s">
        <v>1720</v>
      </c>
      <c r="C372" s="1" t="s">
        <v>1065</v>
      </c>
      <c r="D372" s="1" t="s">
        <v>28</v>
      </c>
      <c r="E372" s="15">
        <f t="shared" si="2"/>
        <v>197.5</v>
      </c>
      <c r="F372" s="16">
        <f t="shared" si="3"/>
        <v>2.46875</v>
      </c>
      <c r="G372" s="1">
        <v>80.0</v>
      </c>
      <c r="H372" s="1">
        <v>16.0</v>
      </c>
      <c r="I372" s="1">
        <v>13.0</v>
      </c>
      <c r="J372" s="1">
        <v>29.0</v>
      </c>
      <c r="K372" s="1">
        <v>83.0</v>
      </c>
      <c r="L372" s="1">
        <v>0.0</v>
      </c>
      <c r="M372" s="1">
        <v>0.0</v>
      </c>
      <c r="N372" s="1">
        <v>4.0</v>
      </c>
      <c r="O372" s="1">
        <v>0.0</v>
      </c>
      <c r="P372" s="1">
        <v>38.0</v>
      </c>
      <c r="Q372" s="1">
        <v>55.0</v>
      </c>
    </row>
    <row r="373">
      <c r="A373" s="1">
        <f t="shared" si="1"/>
        <v>371</v>
      </c>
      <c r="B373" s="1" t="s">
        <v>1379</v>
      </c>
      <c r="C373" s="1" t="s">
        <v>1085</v>
      </c>
      <c r="D373" s="1" t="s">
        <v>31</v>
      </c>
      <c r="E373" s="15">
        <f t="shared" si="2"/>
        <v>196.5</v>
      </c>
      <c r="F373" s="16">
        <f t="shared" si="3"/>
        <v>2.62</v>
      </c>
      <c r="G373" s="1">
        <v>75.0</v>
      </c>
      <c r="H373" s="1">
        <v>16.0</v>
      </c>
      <c r="I373" s="1">
        <v>14.0</v>
      </c>
      <c r="J373" s="1">
        <v>30.0</v>
      </c>
      <c r="K373" s="1">
        <v>91.0</v>
      </c>
      <c r="L373" s="1">
        <v>0.0</v>
      </c>
      <c r="M373" s="1">
        <v>1.0</v>
      </c>
      <c r="N373" s="1">
        <v>1.0</v>
      </c>
      <c r="O373" s="1">
        <v>0.0</v>
      </c>
      <c r="P373" s="1">
        <v>62.0</v>
      </c>
      <c r="Q373" s="1">
        <v>39.0</v>
      </c>
    </row>
    <row r="374">
      <c r="A374" s="1">
        <f t="shared" si="1"/>
        <v>371</v>
      </c>
      <c r="B374" s="1" t="s">
        <v>1724</v>
      </c>
      <c r="C374" s="1" t="s">
        <v>1146</v>
      </c>
      <c r="D374" s="1" t="s">
        <v>66</v>
      </c>
      <c r="E374" s="15">
        <f t="shared" si="2"/>
        <v>196.5</v>
      </c>
      <c r="F374" s="16">
        <f t="shared" si="3"/>
        <v>3.0703125</v>
      </c>
      <c r="G374" s="1">
        <v>64.0</v>
      </c>
      <c r="H374" s="1">
        <v>10.0</v>
      </c>
      <c r="I374" s="1">
        <v>11.0</v>
      </c>
      <c r="J374" s="1">
        <v>21.0</v>
      </c>
      <c r="K374" s="1">
        <v>97.0</v>
      </c>
      <c r="L374" s="1">
        <v>0.0</v>
      </c>
      <c r="M374" s="1">
        <v>2.0</v>
      </c>
      <c r="N374" s="1">
        <v>1.0</v>
      </c>
      <c r="O374" s="1">
        <v>1.0</v>
      </c>
      <c r="P374" s="1">
        <v>118.0</v>
      </c>
      <c r="Q374" s="1">
        <v>73.0</v>
      </c>
    </row>
    <row r="375">
      <c r="A375" s="1">
        <f t="shared" si="1"/>
        <v>373</v>
      </c>
      <c r="B375" s="1" t="s">
        <v>1328</v>
      </c>
      <c r="C375" s="1" t="s">
        <v>1073</v>
      </c>
      <c r="D375" s="1" t="s">
        <v>31</v>
      </c>
      <c r="E375" s="15">
        <f t="shared" si="2"/>
        <v>196</v>
      </c>
      <c r="F375" s="16">
        <f t="shared" si="3"/>
        <v>2.722222222</v>
      </c>
      <c r="G375" s="1">
        <v>72.0</v>
      </c>
      <c r="H375" s="1">
        <v>11.0</v>
      </c>
      <c r="I375" s="1">
        <v>28.0</v>
      </c>
      <c r="J375" s="1">
        <v>39.0</v>
      </c>
      <c r="K375" s="1">
        <v>104.0</v>
      </c>
      <c r="L375" s="1">
        <v>0.0</v>
      </c>
      <c r="M375" s="1">
        <v>4.0</v>
      </c>
      <c r="N375" s="1">
        <v>0.0</v>
      </c>
      <c r="O375" s="1">
        <v>0.0</v>
      </c>
      <c r="P375" s="1">
        <v>24.0</v>
      </c>
      <c r="Q375" s="1">
        <v>9.0</v>
      </c>
    </row>
    <row r="376">
      <c r="A376" s="1">
        <f t="shared" si="1"/>
        <v>373</v>
      </c>
      <c r="B376" s="1" t="s">
        <v>1465</v>
      </c>
      <c r="C376" s="1" t="s">
        <v>1054</v>
      </c>
      <c r="D376" s="1" t="s">
        <v>66</v>
      </c>
      <c r="E376" s="15">
        <f t="shared" si="2"/>
        <v>196</v>
      </c>
      <c r="F376" s="16">
        <f t="shared" si="3"/>
        <v>2.45</v>
      </c>
      <c r="G376" s="1">
        <v>80.0</v>
      </c>
      <c r="H376" s="1">
        <v>7.0</v>
      </c>
      <c r="I376" s="1">
        <v>17.0</v>
      </c>
      <c r="J376" s="1">
        <v>24.0</v>
      </c>
      <c r="K376" s="1">
        <v>74.0</v>
      </c>
      <c r="L376" s="1">
        <v>0.0</v>
      </c>
      <c r="M376" s="1">
        <v>0.0</v>
      </c>
      <c r="N376" s="1">
        <v>0.0</v>
      </c>
      <c r="O376" s="1">
        <v>0.0</v>
      </c>
      <c r="P376" s="1">
        <v>100.0</v>
      </c>
      <c r="Q376" s="1">
        <v>103.0</v>
      </c>
    </row>
    <row r="377">
      <c r="A377" s="1">
        <f t="shared" si="1"/>
        <v>373</v>
      </c>
      <c r="B377" s="1" t="s">
        <v>1459</v>
      </c>
      <c r="C377" s="1" t="s">
        <v>1085</v>
      </c>
      <c r="D377" s="1" t="s">
        <v>66</v>
      </c>
      <c r="E377" s="15">
        <f t="shared" si="2"/>
        <v>196</v>
      </c>
      <c r="F377" s="16">
        <f t="shared" si="3"/>
        <v>2.45</v>
      </c>
      <c r="G377" s="1">
        <v>80.0</v>
      </c>
      <c r="H377" s="1">
        <v>4.0</v>
      </c>
      <c r="I377" s="1">
        <v>8.0</v>
      </c>
      <c r="J377" s="1">
        <v>12.0</v>
      </c>
      <c r="K377" s="1">
        <v>68.0</v>
      </c>
      <c r="L377" s="1">
        <v>0.0</v>
      </c>
      <c r="M377" s="1">
        <v>0.0</v>
      </c>
      <c r="N377" s="1">
        <v>0.0</v>
      </c>
      <c r="O377" s="1">
        <v>1.0</v>
      </c>
      <c r="P377" s="1">
        <v>248.0</v>
      </c>
      <c r="Q377" s="1">
        <v>112.0</v>
      </c>
    </row>
    <row r="378">
      <c r="A378" s="1">
        <f t="shared" si="1"/>
        <v>376</v>
      </c>
      <c r="B378" s="1" t="s">
        <v>1801</v>
      </c>
      <c r="C378" s="1" t="s">
        <v>1032</v>
      </c>
      <c r="D378" s="1" t="s">
        <v>66</v>
      </c>
      <c r="E378" s="15">
        <f t="shared" si="2"/>
        <v>195.75</v>
      </c>
      <c r="F378" s="16">
        <f t="shared" si="3"/>
        <v>2.836956522</v>
      </c>
      <c r="G378" s="1">
        <v>69.0</v>
      </c>
      <c r="H378" s="1">
        <v>3.0</v>
      </c>
      <c r="I378" s="1">
        <v>20.0</v>
      </c>
      <c r="J378" s="1">
        <v>23.0</v>
      </c>
      <c r="K378" s="1">
        <v>64.0</v>
      </c>
      <c r="L378" s="1">
        <v>0.0</v>
      </c>
      <c r="M378" s="1">
        <v>0.0</v>
      </c>
      <c r="N378" s="1">
        <v>1.0</v>
      </c>
      <c r="O378" s="1">
        <v>2.0</v>
      </c>
      <c r="P378" s="1">
        <v>129.0</v>
      </c>
      <c r="Q378" s="1">
        <v>104.0</v>
      </c>
    </row>
    <row r="379">
      <c r="A379" s="1">
        <f t="shared" si="1"/>
        <v>377</v>
      </c>
      <c r="B379" s="1" t="s">
        <v>1568</v>
      </c>
      <c r="C379" s="1" t="s">
        <v>1052</v>
      </c>
      <c r="D379" s="1" t="s">
        <v>66</v>
      </c>
      <c r="E379" s="15">
        <f t="shared" si="2"/>
        <v>195.5</v>
      </c>
      <c r="F379" s="16">
        <f t="shared" si="3"/>
        <v>2.572368421</v>
      </c>
      <c r="G379" s="1">
        <v>76.0</v>
      </c>
      <c r="H379" s="1">
        <v>3.0</v>
      </c>
      <c r="I379" s="1">
        <v>15.0</v>
      </c>
      <c r="J379" s="1">
        <v>18.0</v>
      </c>
      <c r="K379" s="1">
        <v>91.0</v>
      </c>
      <c r="L379" s="1">
        <v>0.0</v>
      </c>
      <c r="M379" s="1">
        <v>0.0</v>
      </c>
      <c r="N379" s="1">
        <v>0.0</v>
      </c>
      <c r="O379" s="1">
        <v>0.0</v>
      </c>
      <c r="P379" s="1">
        <v>88.0</v>
      </c>
      <c r="Q379" s="1">
        <v>139.0</v>
      </c>
    </row>
    <row r="380">
      <c r="A380" s="1">
        <f t="shared" si="1"/>
        <v>378</v>
      </c>
      <c r="B380" s="1" t="s">
        <v>1484</v>
      </c>
      <c r="C380" s="1" t="s">
        <v>1120</v>
      </c>
      <c r="D380" s="1" t="s">
        <v>36</v>
      </c>
      <c r="E380" s="15">
        <f t="shared" si="2"/>
        <v>195.25</v>
      </c>
      <c r="F380" s="16">
        <f t="shared" si="3"/>
        <v>2.638513514</v>
      </c>
      <c r="G380" s="1">
        <v>74.0</v>
      </c>
      <c r="H380" s="1">
        <v>10.0</v>
      </c>
      <c r="I380" s="1">
        <v>14.0</v>
      </c>
      <c r="J380" s="1">
        <v>24.0</v>
      </c>
      <c r="K380" s="1">
        <v>154.0</v>
      </c>
      <c r="L380" s="1">
        <v>4.0</v>
      </c>
      <c r="M380" s="1">
        <v>4.0</v>
      </c>
      <c r="N380" s="1">
        <v>0.0</v>
      </c>
      <c r="O380" s="1">
        <v>0.0</v>
      </c>
      <c r="P380" s="1">
        <v>57.0</v>
      </c>
      <c r="Q380" s="1">
        <v>34.0</v>
      </c>
    </row>
    <row r="381">
      <c r="A381" s="1">
        <f t="shared" si="1"/>
        <v>378</v>
      </c>
      <c r="B381" s="1" t="s">
        <v>1479</v>
      </c>
      <c r="C381" s="1" t="s">
        <v>1082</v>
      </c>
      <c r="D381" s="1" t="s">
        <v>31</v>
      </c>
      <c r="E381" s="15">
        <f t="shared" si="2"/>
        <v>195.25</v>
      </c>
      <c r="F381" s="16">
        <f t="shared" si="3"/>
        <v>3.05078125</v>
      </c>
      <c r="G381" s="1">
        <v>64.0</v>
      </c>
      <c r="H381" s="1">
        <v>10.0</v>
      </c>
      <c r="I381" s="1">
        <v>14.0</v>
      </c>
      <c r="J381" s="1">
        <v>24.0</v>
      </c>
      <c r="K381" s="1">
        <v>90.0</v>
      </c>
      <c r="L381" s="1">
        <v>0.0</v>
      </c>
      <c r="M381" s="1">
        <v>1.0</v>
      </c>
      <c r="N381" s="1">
        <v>1.0</v>
      </c>
      <c r="O381" s="1">
        <v>0.0</v>
      </c>
      <c r="P381" s="1">
        <v>139.0</v>
      </c>
      <c r="Q381" s="1">
        <v>53.0</v>
      </c>
    </row>
    <row r="382">
      <c r="A382" s="1">
        <f t="shared" si="1"/>
        <v>380</v>
      </c>
      <c r="B382" s="1" t="s">
        <v>1754</v>
      </c>
      <c r="C382" s="1" t="s">
        <v>1054</v>
      </c>
      <c r="D382" s="1" t="s">
        <v>66</v>
      </c>
      <c r="E382" s="15">
        <f t="shared" si="2"/>
        <v>195</v>
      </c>
      <c r="F382" s="16">
        <f t="shared" si="3"/>
        <v>2.708333333</v>
      </c>
      <c r="G382" s="1">
        <v>72.0</v>
      </c>
      <c r="H382" s="1">
        <v>2.0</v>
      </c>
      <c r="I382" s="1">
        <v>28.0</v>
      </c>
      <c r="J382" s="1">
        <v>30.0</v>
      </c>
      <c r="K382" s="1">
        <v>80.0</v>
      </c>
      <c r="L382" s="1">
        <v>0.0</v>
      </c>
      <c r="M382" s="1">
        <v>4.0</v>
      </c>
      <c r="N382" s="1">
        <v>0.0</v>
      </c>
      <c r="O382" s="1">
        <v>0.0</v>
      </c>
      <c r="P382" s="1">
        <v>56.0</v>
      </c>
      <c r="Q382" s="1">
        <v>96.0</v>
      </c>
    </row>
    <row r="383">
      <c r="A383" s="1">
        <f t="shared" si="1"/>
        <v>381</v>
      </c>
      <c r="B383" s="1" t="s">
        <v>1421</v>
      </c>
      <c r="C383" s="1" t="s">
        <v>1069</v>
      </c>
      <c r="D383" s="1" t="s">
        <v>66</v>
      </c>
      <c r="E383" s="15">
        <f t="shared" si="2"/>
        <v>194.75</v>
      </c>
      <c r="F383" s="16">
        <f t="shared" si="3"/>
        <v>2.631756757</v>
      </c>
      <c r="G383" s="1">
        <v>74.0</v>
      </c>
      <c r="H383" s="1">
        <v>4.0</v>
      </c>
      <c r="I383" s="1">
        <v>18.0</v>
      </c>
      <c r="J383" s="1">
        <v>22.0</v>
      </c>
      <c r="K383" s="1">
        <v>106.0</v>
      </c>
      <c r="L383" s="1">
        <v>0.0</v>
      </c>
      <c r="M383" s="1">
        <v>0.0</v>
      </c>
      <c r="N383" s="1">
        <v>0.0</v>
      </c>
      <c r="O383" s="1">
        <v>0.0</v>
      </c>
      <c r="P383" s="1">
        <v>181.0</v>
      </c>
      <c r="Q383" s="1">
        <v>49.0</v>
      </c>
    </row>
    <row r="384">
      <c r="A384" s="1">
        <f t="shared" si="1"/>
        <v>381</v>
      </c>
      <c r="B384" s="1" t="s">
        <v>2287</v>
      </c>
      <c r="C384" s="1" t="s">
        <v>1076</v>
      </c>
      <c r="D384" s="1" t="s">
        <v>66</v>
      </c>
      <c r="E384" s="15">
        <f t="shared" si="2"/>
        <v>194.75</v>
      </c>
      <c r="F384" s="16">
        <f t="shared" si="3"/>
        <v>2.529220779</v>
      </c>
      <c r="G384" s="1">
        <v>77.0</v>
      </c>
      <c r="H384" s="1">
        <v>5.0</v>
      </c>
      <c r="I384" s="1">
        <v>17.0</v>
      </c>
      <c r="J384" s="1">
        <v>22.0</v>
      </c>
      <c r="K384" s="1">
        <v>114.0</v>
      </c>
      <c r="L384" s="1">
        <v>0.0</v>
      </c>
      <c r="M384" s="1">
        <v>0.0</v>
      </c>
      <c r="N384" s="1">
        <v>0.0</v>
      </c>
      <c r="O384" s="1">
        <v>1.0</v>
      </c>
      <c r="P384" s="1">
        <v>69.0</v>
      </c>
      <c r="Q384" s="1">
        <v>90.0</v>
      </c>
    </row>
    <row r="385">
      <c r="A385" s="1">
        <f t="shared" si="1"/>
        <v>383</v>
      </c>
      <c r="B385" s="1" t="s">
        <v>1176</v>
      </c>
      <c r="C385" s="1" t="s">
        <v>1078</v>
      </c>
      <c r="D385" s="1" t="s">
        <v>66</v>
      </c>
      <c r="E385" s="15">
        <f t="shared" si="2"/>
        <v>194.5</v>
      </c>
      <c r="F385" s="16">
        <f t="shared" si="3"/>
        <v>4.987179487</v>
      </c>
      <c r="G385" s="1">
        <v>39.0</v>
      </c>
      <c r="H385" s="1">
        <v>7.0</v>
      </c>
      <c r="I385" s="1">
        <v>24.0</v>
      </c>
      <c r="J385" s="1">
        <v>31.0</v>
      </c>
      <c r="K385" s="1">
        <v>99.0</v>
      </c>
      <c r="L385" s="1">
        <v>4.0</v>
      </c>
      <c r="M385" s="1">
        <v>9.0</v>
      </c>
      <c r="N385" s="1">
        <v>0.0</v>
      </c>
      <c r="O385" s="1">
        <v>0.0</v>
      </c>
      <c r="P385" s="1">
        <v>60.0</v>
      </c>
      <c r="Q385" s="1">
        <v>53.0</v>
      </c>
    </row>
    <row r="386">
      <c r="A386" s="1">
        <f t="shared" si="1"/>
        <v>384</v>
      </c>
      <c r="B386" s="1" t="s">
        <v>1671</v>
      </c>
      <c r="C386" s="1" t="s">
        <v>1042</v>
      </c>
      <c r="D386" s="1" t="s">
        <v>31</v>
      </c>
      <c r="E386" s="15">
        <f t="shared" si="2"/>
        <v>194.25</v>
      </c>
      <c r="F386" s="16">
        <f t="shared" si="3"/>
        <v>2.555921053</v>
      </c>
      <c r="G386" s="1">
        <v>76.0</v>
      </c>
      <c r="H386" s="1">
        <v>11.0</v>
      </c>
      <c r="I386" s="1">
        <v>21.0</v>
      </c>
      <c r="J386" s="1">
        <v>32.0</v>
      </c>
      <c r="K386" s="1">
        <v>111.0</v>
      </c>
      <c r="L386" s="1">
        <v>3.0</v>
      </c>
      <c r="M386" s="1">
        <v>6.0</v>
      </c>
      <c r="N386" s="1">
        <v>0.0</v>
      </c>
      <c r="O386" s="1">
        <v>0.0</v>
      </c>
      <c r="P386" s="1">
        <v>49.0</v>
      </c>
      <c r="Q386" s="1">
        <v>28.0</v>
      </c>
    </row>
    <row r="387">
      <c r="A387" s="1">
        <f t="shared" si="1"/>
        <v>384</v>
      </c>
      <c r="B387" s="1" t="s">
        <v>1554</v>
      </c>
      <c r="C387" s="1" t="s">
        <v>1082</v>
      </c>
      <c r="D387" s="1" t="s">
        <v>66</v>
      </c>
      <c r="E387" s="15">
        <f t="shared" si="2"/>
        <v>194.25</v>
      </c>
      <c r="F387" s="16">
        <f t="shared" si="3"/>
        <v>2.555921053</v>
      </c>
      <c r="G387" s="1">
        <v>76.0</v>
      </c>
      <c r="H387" s="1">
        <v>5.0</v>
      </c>
      <c r="I387" s="1">
        <v>16.0</v>
      </c>
      <c r="J387" s="1">
        <v>21.0</v>
      </c>
      <c r="K387" s="1">
        <v>88.0</v>
      </c>
      <c r="L387" s="1">
        <v>0.0</v>
      </c>
      <c r="M387" s="1">
        <v>0.0</v>
      </c>
      <c r="N387" s="1">
        <v>0.0</v>
      </c>
      <c r="O387" s="1">
        <v>0.0</v>
      </c>
      <c r="P387" s="1">
        <v>135.0</v>
      </c>
      <c r="Q387" s="1">
        <v>92.0</v>
      </c>
    </row>
    <row r="388">
      <c r="A388" s="1">
        <f t="shared" si="1"/>
        <v>384</v>
      </c>
      <c r="B388" s="1" t="s">
        <v>1453</v>
      </c>
      <c r="C388" s="1" t="s">
        <v>1032</v>
      </c>
      <c r="D388" s="1" t="s">
        <v>66</v>
      </c>
      <c r="E388" s="15">
        <f t="shared" si="2"/>
        <v>194.25</v>
      </c>
      <c r="F388" s="16">
        <f t="shared" si="3"/>
        <v>2.368902439</v>
      </c>
      <c r="G388" s="1">
        <v>82.0</v>
      </c>
      <c r="H388" s="1">
        <v>4.0</v>
      </c>
      <c r="I388" s="1">
        <v>24.0</v>
      </c>
      <c r="J388" s="1">
        <v>28.0</v>
      </c>
      <c r="K388" s="1">
        <v>68.0</v>
      </c>
      <c r="L388" s="1">
        <v>0.0</v>
      </c>
      <c r="M388" s="1">
        <v>1.0</v>
      </c>
      <c r="N388" s="1">
        <v>0.0</v>
      </c>
      <c r="O388" s="1">
        <v>2.0</v>
      </c>
      <c r="P388" s="1">
        <v>53.0</v>
      </c>
      <c r="Q388" s="1">
        <v>106.0</v>
      </c>
    </row>
    <row r="389">
      <c r="A389" s="1">
        <f t="shared" si="1"/>
        <v>387</v>
      </c>
      <c r="B389" s="1" t="s">
        <v>1663</v>
      </c>
      <c r="C389" s="1" t="s">
        <v>1034</v>
      </c>
      <c r="D389" s="1" t="s">
        <v>28</v>
      </c>
      <c r="E389" s="15">
        <f t="shared" si="2"/>
        <v>194</v>
      </c>
      <c r="F389" s="16">
        <f t="shared" si="3"/>
        <v>2.395061728</v>
      </c>
      <c r="G389" s="1">
        <v>81.0</v>
      </c>
      <c r="H389" s="1">
        <v>11.0</v>
      </c>
      <c r="I389" s="1">
        <v>16.0</v>
      </c>
      <c r="J389" s="1">
        <v>27.0</v>
      </c>
      <c r="K389" s="1">
        <v>102.0</v>
      </c>
      <c r="L389" s="1">
        <v>3.0</v>
      </c>
      <c r="M389" s="1">
        <v>3.0</v>
      </c>
      <c r="N389" s="1">
        <v>0.0</v>
      </c>
      <c r="O389" s="1">
        <v>0.0</v>
      </c>
      <c r="P389" s="1">
        <v>160.0</v>
      </c>
      <c r="Q389" s="1">
        <v>11.0</v>
      </c>
    </row>
    <row r="390">
      <c r="A390" s="1">
        <f t="shared" si="1"/>
        <v>387</v>
      </c>
      <c r="B390" s="1" t="s">
        <v>2288</v>
      </c>
      <c r="C390" s="1" t="s">
        <v>1046</v>
      </c>
      <c r="D390" s="1" t="s">
        <v>36</v>
      </c>
      <c r="E390" s="15">
        <f t="shared" si="2"/>
        <v>194</v>
      </c>
      <c r="F390" s="16">
        <f t="shared" si="3"/>
        <v>2.455696203</v>
      </c>
      <c r="G390" s="1">
        <v>79.0</v>
      </c>
      <c r="H390" s="1">
        <v>14.0</v>
      </c>
      <c r="I390" s="1">
        <v>12.0</v>
      </c>
      <c r="J390" s="1">
        <v>26.0</v>
      </c>
      <c r="K390" s="1">
        <v>115.0</v>
      </c>
      <c r="L390" s="1">
        <v>2.0</v>
      </c>
      <c r="M390" s="1">
        <v>1.0</v>
      </c>
      <c r="N390" s="1">
        <v>0.0</v>
      </c>
      <c r="O390" s="1">
        <v>0.0</v>
      </c>
      <c r="P390" s="1">
        <v>84.0</v>
      </c>
      <c r="Q390" s="1">
        <v>33.0</v>
      </c>
    </row>
    <row r="391">
      <c r="A391" s="1">
        <f t="shared" si="1"/>
        <v>389</v>
      </c>
      <c r="B391" s="1" t="s">
        <v>1799</v>
      </c>
      <c r="C391" s="1" t="s">
        <v>1044</v>
      </c>
      <c r="D391" s="1" t="s">
        <v>28</v>
      </c>
      <c r="E391" s="15">
        <f t="shared" si="2"/>
        <v>193.75</v>
      </c>
      <c r="F391" s="16">
        <f t="shared" si="3"/>
        <v>2.891791045</v>
      </c>
      <c r="G391" s="1">
        <v>67.0</v>
      </c>
      <c r="H391" s="1">
        <v>10.0</v>
      </c>
      <c r="I391" s="1">
        <v>6.0</v>
      </c>
      <c r="J391" s="1">
        <v>16.0</v>
      </c>
      <c r="K391" s="1">
        <v>88.0</v>
      </c>
      <c r="L391" s="1">
        <v>0.0</v>
      </c>
      <c r="M391" s="1">
        <v>0.0</v>
      </c>
      <c r="N391" s="1">
        <v>1.0</v>
      </c>
      <c r="O391" s="1">
        <v>0.0</v>
      </c>
      <c r="P391" s="1">
        <v>213.0</v>
      </c>
      <c r="Q391" s="1">
        <v>63.0</v>
      </c>
    </row>
    <row r="392">
      <c r="A392" s="1">
        <f t="shared" si="1"/>
        <v>390</v>
      </c>
      <c r="B392" s="1" t="s">
        <v>1781</v>
      </c>
      <c r="C392" s="1" t="s">
        <v>1097</v>
      </c>
      <c r="D392" s="1" t="s">
        <v>28</v>
      </c>
      <c r="E392" s="15">
        <f t="shared" si="2"/>
        <v>193</v>
      </c>
      <c r="F392" s="16">
        <f t="shared" si="3"/>
        <v>3.446428571</v>
      </c>
      <c r="G392" s="1">
        <v>56.0</v>
      </c>
      <c r="H392" s="1">
        <v>11.0</v>
      </c>
      <c r="I392" s="1">
        <v>22.0</v>
      </c>
      <c r="J392" s="1">
        <v>33.0</v>
      </c>
      <c r="K392" s="1">
        <v>87.0</v>
      </c>
      <c r="L392" s="1">
        <v>1.0</v>
      </c>
      <c r="M392" s="1">
        <v>4.0</v>
      </c>
      <c r="N392" s="1">
        <v>0.0</v>
      </c>
      <c r="O392" s="1">
        <v>0.0</v>
      </c>
      <c r="P392" s="1">
        <v>32.0</v>
      </c>
      <c r="Q392" s="1">
        <v>52.0</v>
      </c>
    </row>
    <row r="393">
      <c r="A393" s="1">
        <f t="shared" si="1"/>
        <v>390</v>
      </c>
      <c r="B393" s="1" t="s">
        <v>1625</v>
      </c>
      <c r="C393" s="1" t="s">
        <v>1076</v>
      </c>
      <c r="D393" s="1" t="s">
        <v>36</v>
      </c>
      <c r="E393" s="15">
        <f t="shared" si="2"/>
        <v>193</v>
      </c>
      <c r="F393" s="16">
        <f t="shared" si="3"/>
        <v>2.680555556</v>
      </c>
      <c r="G393" s="1">
        <v>72.0</v>
      </c>
      <c r="H393" s="1">
        <v>12.0</v>
      </c>
      <c r="I393" s="1">
        <v>6.0</v>
      </c>
      <c r="J393" s="1">
        <v>18.0</v>
      </c>
      <c r="K393" s="1">
        <v>97.0</v>
      </c>
      <c r="L393" s="1">
        <v>3.0</v>
      </c>
      <c r="M393" s="1">
        <v>1.0</v>
      </c>
      <c r="N393" s="1">
        <v>0.0</v>
      </c>
      <c r="O393" s="1">
        <v>0.0</v>
      </c>
      <c r="P393" s="1">
        <v>210.0</v>
      </c>
      <c r="Q393" s="1">
        <v>40.0</v>
      </c>
    </row>
    <row r="394">
      <c r="A394" s="1">
        <f t="shared" si="1"/>
        <v>392</v>
      </c>
      <c r="B394" s="1" t="s">
        <v>1527</v>
      </c>
      <c r="C394" s="1" t="s">
        <v>1030</v>
      </c>
      <c r="D394" s="1" t="s">
        <v>66</v>
      </c>
      <c r="E394" s="15">
        <f t="shared" si="2"/>
        <v>192.25</v>
      </c>
      <c r="F394" s="16">
        <f t="shared" si="3"/>
        <v>2.869402985</v>
      </c>
      <c r="G394" s="1">
        <v>67.0</v>
      </c>
      <c r="H394" s="1">
        <v>5.0</v>
      </c>
      <c r="I394" s="1">
        <v>23.0</v>
      </c>
      <c r="J394" s="1">
        <v>28.0</v>
      </c>
      <c r="K394" s="1">
        <v>79.0</v>
      </c>
      <c r="L394" s="1">
        <v>0.0</v>
      </c>
      <c r="M394" s="1">
        <v>7.0</v>
      </c>
      <c r="N394" s="1">
        <v>0.0</v>
      </c>
      <c r="O394" s="1">
        <v>0.0</v>
      </c>
      <c r="P394" s="1">
        <v>65.0</v>
      </c>
      <c r="Q394" s="1">
        <v>90.0</v>
      </c>
    </row>
    <row r="395">
      <c r="A395" s="1">
        <f t="shared" si="1"/>
        <v>393</v>
      </c>
      <c r="B395" s="1" t="s">
        <v>1567</v>
      </c>
      <c r="C395" s="1" t="s">
        <v>1175</v>
      </c>
      <c r="D395" s="1" t="s">
        <v>5</v>
      </c>
      <c r="E395" s="15">
        <f t="shared" si="2"/>
        <v>191.4</v>
      </c>
      <c r="F395" s="16">
        <f t="shared" si="3"/>
        <v>5.172972973</v>
      </c>
      <c r="G395" s="1">
        <v>37.0</v>
      </c>
      <c r="N395" s="12"/>
      <c r="R395" s="1">
        <v>14.0</v>
      </c>
      <c r="S395" s="1">
        <v>93.0</v>
      </c>
      <c r="T395" s="12">
        <v>963.0</v>
      </c>
      <c r="U395" s="1">
        <v>0.0</v>
      </c>
    </row>
    <row r="396">
      <c r="A396" s="1">
        <f t="shared" si="1"/>
        <v>394</v>
      </c>
      <c r="B396" s="1" t="s">
        <v>1094</v>
      </c>
      <c r="C396" s="1" t="s">
        <v>1080</v>
      </c>
      <c r="D396" s="1" t="s">
        <v>31</v>
      </c>
      <c r="E396" s="15">
        <f t="shared" si="2"/>
        <v>191.25</v>
      </c>
      <c r="F396" s="16">
        <f t="shared" si="3"/>
        <v>5.625</v>
      </c>
      <c r="G396" s="1">
        <v>34.0</v>
      </c>
      <c r="H396" s="1">
        <v>14.0</v>
      </c>
      <c r="I396" s="1">
        <v>11.0</v>
      </c>
      <c r="J396" s="1">
        <v>25.0</v>
      </c>
      <c r="K396" s="1">
        <v>133.0</v>
      </c>
      <c r="L396" s="1">
        <v>3.0</v>
      </c>
      <c r="M396" s="1">
        <v>5.0</v>
      </c>
      <c r="N396" s="1">
        <v>0.0</v>
      </c>
      <c r="O396" s="1">
        <v>0.0</v>
      </c>
      <c r="P396" s="1">
        <v>45.0</v>
      </c>
      <c r="Q396" s="1">
        <v>35.0</v>
      </c>
    </row>
    <row r="397">
      <c r="A397" s="1">
        <f t="shared" si="1"/>
        <v>395</v>
      </c>
      <c r="B397" s="1" t="s">
        <v>1375</v>
      </c>
      <c r="C397" s="1" t="s">
        <v>1146</v>
      </c>
      <c r="D397" s="1" t="s">
        <v>66</v>
      </c>
      <c r="E397" s="15">
        <f t="shared" si="2"/>
        <v>190.5</v>
      </c>
      <c r="F397" s="16">
        <f t="shared" si="3"/>
        <v>2.645833333</v>
      </c>
      <c r="G397" s="1">
        <v>72.0</v>
      </c>
      <c r="H397" s="1">
        <v>1.0</v>
      </c>
      <c r="I397" s="1">
        <v>16.0</v>
      </c>
      <c r="J397" s="1">
        <v>17.0</v>
      </c>
      <c r="K397" s="1">
        <v>95.0</v>
      </c>
      <c r="L397" s="1">
        <v>0.0</v>
      </c>
      <c r="M397" s="1">
        <v>0.0</v>
      </c>
      <c r="N397" s="1">
        <v>0.0</v>
      </c>
      <c r="O397" s="1">
        <v>1.0</v>
      </c>
      <c r="P397" s="1">
        <v>182.0</v>
      </c>
      <c r="Q397" s="1">
        <v>86.0</v>
      </c>
    </row>
    <row r="398">
      <c r="A398" s="1">
        <f t="shared" si="1"/>
        <v>396</v>
      </c>
      <c r="B398" s="1" t="s">
        <v>1497</v>
      </c>
      <c r="C398" s="1" t="s">
        <v>1040</v>
      </c>
      <c r="D398" s="1" t="s">
        <v>66</v>
      </c>
      <c r="E398" s="15">
        <f t="shared" si="2"/>
        <v>190.25</v>
      </c>
      <c r="F398" s="16">
        <f t="shared" si="3"/>
        <v>2.439102564</v>
      </c>
      <c r="G398" s="1">
        <v>78.0</v>
      </c>
      <c r="H398" s="1">
        <v>4.0</v>
      </c>
      <c r="I398" s="1">
        <v>11.0</v>
      </c>
      <c r="J398" s="1">
        <v>15.0</v>
      </c>
      <c r="K398" s="1">
        <v>73.0</v>
      </c>
      <c r="L398" s="1">
        <v>0.0</v>
      </c>
      <c r="M398" s="1">
        <v>0.0</v>
      </c>
      <c r="N398" s="1">
        <v>0.0</v>
      </c>
      <c r="O398" s="1">
        <v>0.0</v>
      </c>
      <c r="P398" s="1">
        <v>129.0</v>
      </c>
      <c r="Q398" s="1">
        <v>141.0</v>
      </c>
    </row>
    <row r="399">
      <c r="A399" s="1">
        <f t="shared" si="1"/>
        <v>396</v>
      </c>
      <c r="B399" s="1" t="s">
        <v>1622</v>
      </c>
      <c r="C399" s="1" t="s">
        <v>1042</v>
      </c>
      <c r="D399" s="1" t="s">
        <v>66</v>
      </c>
      <c r="E399" s="15">
        <f t="shared" si="2"/>
        <v>190.25</v>
      </c>
      <c r="F399" s="16">
        <f t="shared" si="3"/>
        <v>2.882575758</v>
      </c>
      <c r="G399" s="1">
        <v>66.0</v>
      </c>
      <c r="H399" s="1">
        <v>3.0</v>
      </c>
      <c r="I399" s="1">
        <v>21.0</v>
      </c>
      <c r="J399" s="1">
        <v>24.0</v>
      </c>
      <c r="K399" s="1">
        <v>88.0</v>
      </c>
      <c r="L399" s="1">
        <v>0.0</v>
      </c>
      <c r="M399" s="1">
        <v>0.0</v>
      </c>
      <c r="N399" s="1">
        <v>0.0</v>
      </c>
      <c r="O399" s="1">
        <v>0.0</v>
      </c>
      <c r="P399" s="1">
        <v>69.0</v>
      </c>
      <c r="Q399" s="1">
        <v>105.0</v>
      </c>
    </row>
    <row r="400">
      <c r="A400" s="1">
        <f t="shared" si="1"/>
        <v>398</v>
      </c>
      <c r="B400" s="1" t="s">
        <v>1178</v>
      </c>
      <c r="C400" s="1" t="s">
        <v>1111</v>
      </c>
      <c r="D400" s="1" t="s">
        <v>66</v>
      </c>
      <c r="E400" s="15">
        <f t="shared" si="2"/>
        <v>189.75</v>
      </c>
      <c r="F400" s="16">
        <f t="shared" si="3"/>
        <v>4.037234043</v>
      </c>
      <c r="G400" s="1">
        <v>47.0</v>
      </c>
      <c r="H400" s="1">
        <v>7.0</v>
      </c>
      <c r="I400" s="1">
        <v>14.0</v>
      </c>
      <c r="J400" s="1">
        <v>21.0</v>
      </c>
      <c r="K400" s="1">
        <v>141.0</v>
      </c>
      <c r="L400" s="1">
        <v>1.0</v>
      </c>
      <c r="M400" s="1">
        <v>0.0</v>
      </c>
      <c r="N400" s="1">
        <v>0.0</v>
      </c>
      <c r="O400" s="1">
        <v>0.0</v>
      </c>
      <c r="P400" s="1">
        <v>51.0</v>
      </c>
      <c r="Q400" s="1">
        <v>66.0</v>
      </c>
    </row>
    <row r="401">
      <c r="A401" s="1">
        <f t="shared" si="1"/>
        <v>399</v>
      </c>
      <c r="B401" s="1" t="s">
        <v>1946</v>
      </c>
      <c r="C401" s="1" t="s">
        <v>1069</v>
      </c>
      <c r="D401" s="1" t="s">
        <v>28</v>
      </c>
      <c r="E401" s="15">
        <f t="shared" si="2"/>
        <v>188.75</v>
      </c>
      <c r="F401" s="16">
        <f t="shared" si="3"/>
        <v>2.301829268</v>
      </c>
      <c r="G401" s="1">
        <v>82.0</v>
      </c>
      <c r="H401" s="1">
        <v>10.0</v>
      </c>
      <c r="I401" s="1">
        <v>11.0</v>
      </c>
      <c r="J401" s="1">
        <v>21.0</v>
      </c>
      <c r="K401" s="1">
        <v>95.0</v>
      </c>
      <c r="L401" s="1">
        <v>2.0</v>
      </c>
      <c r="M401" s="1">
        <v>1.0</v>
      </c>
      <c r="N401" s="1">
        <v>0.0</v>
      </c>
      <c r="O401" s="1">
        <v>0.0</v>
      </c>
      <c r="P401" s="1">
        <v>209.0</v>
      </c>
      <c r="Q401" s="1">
        <v>22.0</v>
      </c>
    </row>
    <row r="402">
      <c r="A402" s="1">
        <f t="shared" si="1"/>
        <v>400</v>
      </c>
      <c r="B402" s="1" t="s">
        <v>1650</v>
      </c>
      <c r="C402" s="1" t="s">
        <v>1038</v>
      </c>
      <c r="D402" s="1" t="s">
        <v>66</v>
      </c>
      <c r="E402" s="15">
        <f t="shared" si="2"/>
        <v>188.5</v>
      </c>
      <c r="F402" s="16">
        <f t="shared" si="3"/>
        <v>2.582191781</v>
      </c>
      <c r="G402" s="1">
        <v>73.0</v>
      </c>
      <c r="H402" s="1">
        <v>4.0</v>
      </c>
      <c r="I402" s="1">
        <v>20.0</v>
      </c>
      <c r="J402" s="1">
        <v>24.0</v>
      </c>
      <c r="K402" s="1">
        <v>118.0</v>
      </c>
      <c r="L402" s="1">
        <v>0.0</v>
      </c>
      <c r="M402" s="1">
        <v>5.0</v>
      </c>
      <c r="N402" s="1">
        <v>0.0</v>
      </c>
      <c r="O402" s="1">
        <v>0.0</v>
      </c>
      <c r="P402" s="1">
        <v>40.0</v>
      </c>
      <c r="Q402" s="1">
        <v>83.0</v>
      </c>
    </row>
    <row r="403">
      <c r="A403" s="1">
        <f t="shared" si="1"/>
        <v>401</v>
      </c>
      <c r="B403" s="1" t="s">
        <v>1941</v>
      </c>
      <c r="C403" s="1" t="s">
        <v>1097</v>
      </c>
      <c r="D403" s="1" t="s">
        <v>31</v>
      </c>
      <c r="E403" s="15">
        <f t="shared" si="2"/>
        <v>188.25</v>
      </c>
      <c r="F403" s="16">
        <f t="shared" si="3"/>
        <v>2.852272727</v>
      </c>
      <c r="G403" s="1">
        <v>66.0</v>
      </c>
      <c r="H403" s="1">
        <v>15.0</v>
      </c>
      <c r="I403" s="1">
        <v>22.0</v>
      </c>
      <c r="J403" s="1">
        <v>37.0</v>
      </c>
      <c r="K403" s="1">
        <v>65.0</v>
      </c>
      <c r="L403" s="1">
        <v>0.0</v>
      </c>
      <c r="M403" s="1">
        <v>1.0</v>
      </c>
      <c r="N403" s="1">
        <v>1.0</v>
      </c>
      <c r="O403" s="1">
        <v>0.0</v>
      </c>
      <c r="P403" s="1">
        <v>25.0</v>
      </c>
      <c r="Q403" s="1">
        <v>28.0</v>
      </c>
    </row>
    <row r="404">
      <c r="A404" s="1">
        <f t="shared" si="1"/>
        <v>401</v>
      </c>
      <c r="B404" s="1" t="s">
        <v>1673</v>
      </c>
      <c r="C404" s="1" t="s">
        <v>1054</v>
      </c>
      <c r="D404" s="1" t="s">
        <v>28</v>
      </c>
      <c r="E404" s="15">
        <f t="shared" si="2"/>
        <v>188.25</v>
      </c>
      <c r="F404" s="16">
        <f t="shared" si="3"/>
        <v>2.324074074</v>
      </c>
      <c r="G404" s="1">
        <v>81.0</v>
      </c>
      <c r="H404" s="1">
        <v>8.0</v>
      </c>
      <c r="I404" s="1">
        <v>5.0</v>
      </c>
      <c r="J404" s="1">
        <v>13.0</v>
      </c>
      <c r="K404" s="1">
        <v>90.0</v>
      </c>
      <c r="L404" s="1">
        <v>0.0</v>
      </c>
      <c r="M404" s="1">
        <v>0.0</v>
      </c>
      <c r="N404" s="1">
        <v>1.0</v>
      </c>
      <c r="O404" s="1">
        <v>0.0</v>
      </c>
      <c r="P404" s="1">
        <v>263.0</v>
      </c>
      <c r="Q404" s="1">
        <v>49.0</v>
      </c>
    </row>
    <row r="405">
      <c r="A405" s="1">
        <f t="shared" si="1"/>
        <v>401</v>
      </c>
      <c r="B405" s="1" t="s">
        <v>1373</v>
      </c>
      <c r="C405" s="1" t="s">
        <v>1048</v>
      </c>
      <c r="D405" s="1" t="s">
        <v>28</v>
      </c>
      <c r="E405" s="15">
        <f t="shared" si="2"/>
        <v>188.25</v>
      </c>
      <c r="F405" s="16">
        <f t="shared" si="3"/>
        <v>2.413461538</v>
      </c>
      <c r="G405" s="1">
        <v>78.0</v>
      </c>
      <c r="H405" s="1">
        <v>9.0</v>
      </c>
      <c r="I405" s="1">
        <v>17.0</v>
      </c>
      <c r="J405" s="1">
        <v>26.0</v>
      </c>
      <c r="K405" s="1">
        <v>84.0</v>
      </c>
      <c r="L405" s="1">
        <v>0.0</v>
      </c>
      <c r="M405" s="1">
        <v>1.0</v>
      </c>
      <c r="N405" s="1">
        <v>2.0</v>
      </c>
      <c r="O405" s="1">
        <v>1.0</v>
      </c>
      <c r="P405" s="1">
        <v>103.0</v>
      </c>
      <c r="Q405" s="1">
        <v>46.0</v>
      </c>
    </row>
    <row r="406">
      <c r="A406" s="1">
        <f t="shared" si="1"/>
        <v>404</v>
      </c>
      <c r="B406" s="1" t="s">
        <v>1436</v>
      </c>
      <c r="C406" s="1" t="s">
        <v>1091</v>
      </c>
      <c r="D406" s="1" t="s">
        <v>31</v>
      </c>
      <c r="E406" s="15">
        <f t="shared" si="2"/>
        <v>188</v>
      </c>
      <c r="F406" s="16">
        <f t="shared" si="3"/>
        <v>3.916666667</v>
      </c>
      <c r="G406" s="1">
        <v>48.0</v>
      </c>
      <c r="H406" s="1">
        <v>10.0</v>
      </c>
      <c r="I406" s="1">
        <v>21.0</v>
      </c>
      <c r="J406" s="1">
        <v>31.0</v>
      </c>
      <c r="K406" s="1">
        <v>126.0</v>
      </c>
      <c r="L406" s="1">
        <v>2.0</v>
      </c>
      <c r="M406" s="1">
        <v>2.0</v>
      </c>
      <c r="N406" s="1">
        <v>0.0</v>
      </c>
      <c r="O406" s="1">
        <v>1.0</v>
      </c>
      <c r="P406" s="1">
        <v>36.0</v>
      </c>
      <c r="Q406" s="1">
        <v>12.0</v>
      </c>
    </row>
    <row r="407">
      <c r="A407" s="1">
        <f t="shared" si="1"/>
        <v>405</v>
      </c>
      <c r="B407" s="1" t="s">
        <v>1535</v>
      </c>
      <c r="C407" s="1" t="s">
        <v>1052</v>
      </c>
      <c r="D407" s="1" t="s">
        <v>66</v>
      </c>
      <c r="E407" s="15">
        <f t="shared" si="2"/>
        <v>187.75</v>
      </c>
      <c r="F407" s="16">
        <f t="shared" si="3"/>
        <v>2.317901235</v>
      </c>
      <c r="G407" s="1">
        <v>81.0</v>
      </c>
      <c r="H407" s="1">
        <v>1.0</v>
      </c>
      <c r="I407" s="1">
        <v>24.0</v>
      </c>
      <c r="J407" s="1">
        <v>25.0</v>
      </c>
      <c r="K407" s="1">
        <v>90.0</v>
      </c>
      <c r="L407" s="1">
        <v>0.0</v>
      </c>
      <c r="M407" s="1">
        <v>2.0</v>
      </c>
      <c r="N407" s="1">
        <v>0.0</v>
      </c>
      <c r="O407" s="1">
        <v>2.0</v>
      </c>
      <c r="P407" s="1">
        <v>73.0</v>
      </c>
      <c r="Q407" s="1">
        <v>88.0</v>
      </c>
    </row>
    <row r="408">
      <c r="A408" s="1">
        <f t="shared" si="1"/>
        <v>406</v>
      </c>
      <c r="B408" s="1" t="s">
        <v>1416</v>
      </c>
      <c r="C408" s="1" t="s">
        <v>1097</v>
      </c>
      <c r="D408" s="1" t="s">
        <v>66</v>
      </c>
      <c r="E408" s="15">
        <f t="shared" si="2"/>
        <v>187.5</v>
      </c>
      <c r="F408" s="16">
        <f t="shared" si="3"/>
        <v>3.024193548</v>
      </c>
      <c r="G408" s="1">
        <v>62.0</v>
      </c>
      <c r="H408" s="1">
        <v>3.0</v>
      </c>
      <c r="I408" s="1">
        <v>14.0</v>
      </c>
      <c r="J408" s="1">
        <v>17.0</v>
      </c>
      <c r="K408" s="1">
        <v>66.0</v>
      </c>
      <c r="L408" s="1">
        <v>0.0</v>
      </c>
      <c r="M408" s="1">
        <v>0.0</v>
      </c>
      <c r="N408" s="1">
        <v>0.0</v>
      </c>
      <c r="O408" s="1">
        <v>1.0</v>
      </c>
      <c r="P408" s="1">
        <v>134.0</v>
      </c>
      <c r="Q408" s="1">
        <v>127.0</v>
      </c>
    </row>
    <row r="409">
      <c r="A409" s="1">
        <f t="shared" si="1"/>
        <v>407</v>
      </c>
      <c r="B409" s="1" t="s">
        <v>2098</v>
      </c>
      <c r="C409" s="1" t="s">
        <v>1044</v>
      </c>
      <c r="D409" s="1" t="s">
        <v>66</v>
      </c>
      <c r="E409" s="15">
        <f t="shared" si="2"/>
        <v>186.75</v>
      </c>
      <c r="F409" s="16">
        <f t="shared" si="3"/>
        <v>2.457236842</v>
      </c>
      <c r="G409" s="1">
        <v>76.0</v>
      </c>
      <c r="H409" s="1">
        <v>5.0</v>
      </c>
      <c r="I409" s="1">
        <v>14.0</v>
      </c>
      <c r="J409" s="1">
        <v>19.0</v>
      </c>
      <c r="K409" s="1">
        <v>75.0</v>
      </c>
      <c r="L409" s="1">
        <v>0.0</v>
      </c>
      <c r="M409" s="1">
        <v>0.0</v>
      </c>
      <c r="N409" s="1">
        <v>0.0</v>
      </c>
      <c r="O409" s="1">
        <v>0.0</v>
      </c>
      <c r="P409" s="1">
        <v>115.0</v>
      </c>
      <c r="Q409" s="1">
        <v>112.0</v>
      </c>
    </row>
    <row r="410">
      <c r="A410" s="1">
        <f t="shared" si="1"/>
        <v>407</v>
      </c>
      <c r="B410" s="1" t="s">
        <v>2154</v>
      </c>
      <c r="C410" s="1" t="s">
        <v>1175</v>
      </c>
      <c r="D410" s="1" t="s">
        <v>28</v>
      </c>
      <c r="E410" s="15">
        <f t="shared" si="2"/>
        <v>186.75</v>
      </c>
      <c r="F410" s="16">
        <f t="shared" si="3"/>
        <v>3.06147541</v>
      </c>
      <c r="G410" s="1">
        <v>61.0</v>
      </c>
      <c r="H410" s="1">
        <v>11.0</v>
      </c>
      <c r="I410" s="1">
        <v>12.0</v>
      </c>
      <c r="J410" s="1">
        <v>23.0</v>
      </c>
      <c r="K410" s="1">
        <v>98.0</v>
      </c>
      <c r="L410" s="1">
        <v>0.0</v>
      </c>
      <c r="M410" s="1">
        <v>0.0</v>
      </c>
      <c r="N410" s="1">
        <v>0.0</v>
      </c>
      <c r="O410" s="1">
        <v>1.0</v>
      </c>
      <c r="P410" s="1">
        <v>115.0</v>
      </c>
      <c r="Q410" s="1">
        <v>43.0</v>
      </c>
    </row>
    <row r="411">
      <c r="A411" s="1">
        <f t="shared" si="1"/>
        <v>407</v>
      </c>
      <c r="B411" s="1" t="s">
        <v>2272</v>
      </c>
      <c r="C411" s="1" t="s">
        <v>1032</v>
      </c>
      <c r="D411" s="1" t="s">
        <v>36</v>
      </c>
      <c r="E411" s="15">
        <f t="shared" si="2"/>
        <v>186.75</v>
      </c>
      <c r="F411" s="16">
        <f t="shared" si="3"/>
        <v>3.735</v>
      </c>
      <c r="G411" s="1">
        <v>50.0</v>
      </c>
      <c r="H411" s="1">
        <v>14.0</v>
      </c>
      <c r="I411" s="1">
        <v>13.0</v>
      </c>
      <c r="J411" s="1">
        <v>27.0</v>
      </c>
      <c r="K411" s="1">
        <v>119.0</v>
      </c>
      <c r="L411" s="1">
        <v>4.0</v>
      </c>
      <c r="M411" s="1">
        <v>4.0</v>
      </c>
      <c r="N411" s="1">
        <v>1.0</v>
      </c>
      <c r="O411" s="1">
        <v>0.0</v>
      </c>
      <c r="P411" s="1">
        <v>29.0</v>
      </c>
      <c r="Q411" s="1">
        <v>32.0</v>
      </c>
    </row>
    <row r="412">
      <c r="A412" s="1">
        <f t="shared" si="1"/>
        <v>410</v>
      </c>
      <c r="B412" s="1" t="s">
        <v>1577</v>
      </c>
      <c r="C412" s="1" t="s">
        <v>1032</v>
      </c>
      <c r="D412" s="1" t="s">
        <v>36</v>
      </c>
      <c r="E412" s="15">
        <f t="shared" si="2"/>
        <v>186.5</v>
      </c>
      <c r="F412" s="16">
        <f t="shared" si="3"/>
        <v>2.274390244</v>
      </c>
      <c r="G412" s="1">
        <v>82.0</v>
      </c>
      <c r="H412" s="1">
        <v>11.0</v>
      </c>
      <c r="I412" s="1">
        <v>15.0</v>
      </c>
      <c r="J412" s="1">
        <v>26.0</v>
      </c>
      <c r="K412" s="1">
        <v>102.0</v>
      </c>
      <c r="L412" s="1">
        <v>0.0</v>
      </c>
      <c r="M412" s="1">
        <v>0.0</v>
      </c>
      <c r="N412" s="1">
        <v>2.0</v>
      </c>
      <c r="O412" s="1">
        <v>2.0</v>
      </c>
      <c r="P412" s="1">
        <v>80.0</v>
      </c>
      <c r="Q412" s="1">
        <v>26.0</v>
      </c>
    </row>
    <row r="413">
      <c r="A413" s="1">
        <f t="shared" si="1"/>
        <v>411</v>
      </c>
      <c r="B413" s="1" t="s">
        <v>1969</v>
      </c>
      <c r="C413" s="1" t="s">
        <v>1172</v>
      </c>
      <c r="D413" s="1" t="s">
        <v>31</v>
      </c>
      <c r="E413" s="15">
        <f t="shared" si="2"/>
        <v>185.75</v>
      </c>
      <c r="F413" s="16">
        <f t="shared" si="3"/>
        <v>2.653571429</v>
      </c>
      <c r="G413" s="1">
        <v>70.0</v>
      </c>
      <c r="H413" s="1">
        <v>9.0</v>
      </c>
      <c r="I413" s="1">
        <v>17.0</v>
      </c>
      <c r="J413" s="1">
        <v>26.0</v>
      </c>
      <c r="K413" s="1">
        <v>116.0</v>
      </c>
      <c r="L413" s="1">
        <v>2.0</v>
      </c>
      <c r="M413" s="1">
        <v>4.0</v>
      </c>
      <c r="N413" s="1">
        <v>0.0</v>
      </c>
      <c r="O413" s="1">
        <v>1.0</v>
      </c>
      <c r="P413" s="1">
        <v>49.0</v>
      </c>
      <c r="Q413" s="1">
        <v>44.0</v>
      </c>
    </row>
    <row r="414">
      <c r="A414" s="1">
        <f t="shared" si="1"/>
        <v>411</v>
      </c>
      <c r="B414" s="1" t="s">
        <v>1439</v>
      </c>
      <c r="C414" s="1" t="s">
        <v>1052</v>
      </c>
      <c r="D414" s="1" t="s">
        <v>31</v>
      </c>
      <c r="E414" s="15">
        <f t="shared" si="2"/>
        <v>185.75</v>
      </c>
      <c r="F414" s="16">
        <f t="shared" si="3"/>
        <v>2.857692308</v>
      </c>
      <c r="G414" s="1">
        <v>65.0</v>
      </c>
      <c r="H414" s="1">
        <v>9.0</v>
      </c>
      <c r="I414" s="1">
        <v>19.0</v>
      </c>
      <c r="J414" s="1">
        <v>28.0</v>
      </c>
      <c r="K414" s="1">
        <v>93.0</v>
      </c>
      <c r="L414" s="1">
        <v>0.0</v>
      </c>
      <c r="M414" s="1">
        <v>0.0</v>
      </c>
      <c r="N414" s="1">
        <v>1.0</v>
      </c>
      <c r="O414" s="1">
        <v>1.0</v>
      </c>
      <c r="P414" s="1">
        <v>87.0</v>
      </c>
      <c r="Q414" s="1">
        <v>32.0</v>
      </c>
    </row>
    <row r="415">
      <c r="A415" s="1">
        <f t="shared" si="1"/>
        <v>411</v>
      </c>
      <c r="B415" s="1" t="s">
        <v>1695</v>
      </c>
      <c r="C415" s="1" t="s">
        <v>1156</v>
      </c>
      <c r="D415" s="1" t="s">
        <v>28</v>
      </c>
      <c r="E415" s="15">
        <f t="shared" si="2"/>
        <v>185.75</v>
      </c>
      <c r="F415" s="16">
        <f t="shared" si="3"/>
        <v>2.77238806</v>
      </c>
      <c r="G415" s="1">
        <v>67.0</v>
      </c>
      <c r="H415" s="1">
        <v>10.0</v>
      </c>
      <c r="I415" s="1">
        <v>17.0</v>
      </c>
      <c r="J415" s="1">
        <v>27.0</v>
      </c>
      <c r="K415" s="1">
        <v>104.0</v>
      </c>
      <c r="L415" s="1">
        <v>0.0</v>
      </c>
      <c r="M415" s="1">
        <v>0.0</v>
      </c>
      <c r="N415" s="1">
        <v>2.0</v>
      </c>
      <c r="O415" s="1">
        <v>0.0</v>
      </c>
      <c r="P415" s="1">
        <v>95.0</v>
      </c>
      <c r="Q415" s="1">
        <v>20.0</v>
      </c>
    </row>
    <row r="416">
      <c r="A416" s="1">
        <f t="shared" si="1"/>
        <v>414</v>
      </c>
      <c r="B416" s="1" t="s">
        <v>1689</v>
      </c>
      <c r="C416" s="1" t="s">
        <v>1080</v>
      </c>
      <c r="D416" s="1" t="s">
        <v>28</v>
      </c>
      <c r="E416" s="15">
        <f t="shared" si="2"/>
        <v>185.25</v>
      </c>
      <c r="F416" s="16">
        <f t="shared" si="3"/>
        <v>2.94047619</v>
      </c>
      <c r="G416" s="1">
        <v>63.0</v>
      </c>
      <c r="H416" s="1">
        <v>9.0</v>
      </c>
      <c r="I416" s="1">
        <v>11.0</v>
      </c>
      <c r="J416" s="1">
        <v>20.0</v>
      </c>
      <c r="K416" s="1">
        <v>120.0</v>
      </c>
      <c r="L416" s="1">
        <v>0.0</v>
      </c>
      <c r="M416" s="1">
        <v>0.0</v>
      </c>
      <c r="N416" s="1">
        <v>0.0</v>
      </c>
      <c r="O416" s="1">
        <v>0.0</v>
      </c>
      <c r="P416" s="1">
        <v>159.0</v>
      </c>
      <c r="Q416" s="1">
        <v>24.0</v>
      </c>
    </row>
    <row r="417">
      <c r="A417" s="1">
        <f t="shared" si="1"/>
        <v>415</v>
      </c>
      <c r="B417" s="1" t="s">
        <v>1630</v>
      </c>
      <c r="C417" s="1" t="s">
        <v>1065</v>
      </c>
      <c r="D417" s="1" t="s">
        <v>28</v>
      </c>
      <c r="E417" s="15">
        <f t="shared" si="2"/>
        <v>184.25</v>
      </c>
      <c r="F417" s="16">
        <f t="shared" si="3"/>
        <v>2.791666667</v>
      </c>
      <c r="G417" s="1">
        <v>66.0</v>
      </c>
      <c r="H417" s="1">
        <v>14.0</v>
      </c>
      <c r="I417" s="1">
        <v>20.0</v>
      </c>
      <c r="J417" s="1">
        <v>34.0</v>
      </c>
      <c r="K417" s="1">
        <v>94.0</v>
      </c>
      <c r="L417" s="1">
        <v>5.0</v>
      </c>
      <c r="M417" s="1">
        <v>5.0</v>
      </c>
      <c r="N417" s="1">
        <v>0.0</v>
      </c>
      <c r="O417" s="1">
        <v>0.0</v>
      </c>
      <c r="P417" s="1">
        <v>27.0</v>
      </c>
      <c r="Q417" s="1">
        <v>15.0</v>
      </c>
    </row>
    <row r="418">
      <c r="A418" s="1">
        <f t="shared" si="1"/>
        <v>416</v>
      </c>
      <c r="B418" s="1" t="s">
        <v>2289</v>
      </c>
      <c r="C418" s="1" t="s">
        <v>1036</v>
      </c>
      <c r="D418" s="1" t="s">
        <v>5</v>
      </c>
      <c r="E418" s="15">
        <f t="shared" si="2"/>
        <v>183</v>
      </c>
      <c r="F418" s="16">
        <f t="shared" si="3"/>
        <v>6.535714286</v>
      </c>
      <c r="G418" s="1">
        <v>28.0</v>
      </c>
      <c r="N418" s="12"/>
      <c r="R418" s="1">
        <v>16.0</v>
      </c>
      <c r="S418" s="1">
        <v>74.0</v>
      </c>
      <c r="T418" s="12">
        <v>800.0</v>
      </c>
      <c r="U418" s="1">
        <v>2.0</v>
      </c>
    </row>
    <row r="419">
      <c r="A419" s="1">
        <f t="shared" si="1"/>
        <v>417</v>
      </c>
      <c r="B419" s="1" t="s">
        <v>1272</v>
      </c>
      <c r="C419" s="1" t="s">
        <v>1030</v>
      </c>
      <c r="D419" s="1" t="s">
        <v>66</v>
      </c>
      <c r="E419" s="15">
        <f t="shared" si="2"/>
        <v>182.75</v>
      </c>
      <c r="F419" s="16">
        <f t="shared" si="3"/>
        <v>2.72761194</v>
      </c>
      <c r="G419" s="1">
        <v>67.0</v>
      </c>
      <c r="H419" s="1">
        <v>6.0</v>
      </c>
      <c r="I419" s="1">
        <v>10.0</v>
      </c>
      <c r="J419" s="1">
        <v>16.0</v>
      </c>
      <c r="K419" s="1">
        <v>92.0</v>
      </c>
      <c r="L419" s="1">
        <v>0.0</v>
      </c>
      <c r="M419" s="1">
        <v>0.0</v>
      </c>
      <c r="N419" s="1">
        <v>0.0</v>
      </c>
      <c r="O419" s="1">
        <v>0.0</v>
      </c>
      <c r="P419" s="1">
        <v>179.0</v>
      </c>
      <c r="Q419" s="1">
        <v>70.0</v>
      </c>
    </row>
    <row r="420">
      <c r="A420" s="1">
        <f t="shared" si="1"/>
        <v>417</v>
      </c>
      <c r="B420" s="1" t="s">
        <v>2088</v>
      </c>
      <c r="C420" s="1" t="s">
        <v>1111</v>
      </c>
      <c r="D420" s="1" t="s">
        <v>28</v>
      </c>
      <c r="E420" s="15">
        <f t="shared" si="2"/>
        <v>182.75</v>
      </c>
      <c r="F420" s="16">
        <f t="shared" si="3"/>
        <v>3.206140351</v>
      </c>
      <c r="G420" s="1">
        <v>57.0</v>
      </c>
      <c r="H420" s="1">
        <v>12.0</v>
      </c>
      <c r="I420" s="1">
        <v>11.0</v>
      </c>
      <c r="J420" s="1">
        <v>23.0</v>
      </c>
      <c r="K420" s="1">
        <v>93.0</v>
      </c>
      <c r="L420" s="1">
        <v>1.0</v>
      </c>
      <c r="M420" s="1">
        <v>3.0</v>
      </c>
      <c r="N420" s="1">
        <v>0.0</v>
      </c>
      <c r="O420" s="1">
        <v>0.0</v>
      </c>
      <c r="P420" s="1">
        <v>153.0</v>
      </c>
      <c r="Q420" s="1">
        <v>22.0</v>
      </c>
    </row>
    <row r="421">
      <c r="A421" s="1">
        <f t="shared" si="1"/>
        <v>419</v>
      </c>
      <c r="B421" s="1" t="s">
        <v>1839</v>
      </c>
      <c r="C421" s="1" t="s">
        <v>1052</v>
      </c>
      <c r="D421" s="1" t="s">
        <v>28</v>
      </c>
      <c r="E421" s="15">
        <f t="shared" si="2"/>
        <v>182</v>
      </c>
      <c r="F421" s="16">
        <f t="shared" si="3"/>
        <v>2.84375</v>
      </c>
      <c r="G421" s="1">
        <v>64.0</v>
      </c>
      <c r="H421" s="1">
        <v>12.0</v>
      </c>
      <c r="I421" s="1">
        <v>10.0</v>
      </c>
      <c r="J421" s="1">
        <v>22.0</v>
      </c>
      <c r="K421" s="1">
        <v>99.0</v>
      </c>
      <c r="L421" s="1">
        <v>0.0</v>
      </c>
      <c r="M421" s="1">
        <v>0.0</v>
      </c>
      <c r="N421" s="1">
        <v>0.0</v>
      </c>
      <c r="O421" s="1">
        <v>0.0</v>
      </c>
      <c r="P421" s="1">
        <v>94.0</v>
      </c>
      <c r="Q421" s="1">
        <v>50.0</v>
      </c>
    </row>
    <row r="422">
      <c r="A422" s="1">
        <f t="shared" si="1"/>
        <v>420</v>
      </c>
      <c r="B422" s="1" t="s">
        <v>2136</v>
      </c>
      <c r="C422" s="1" t="s">
        <v>1040</v>
      </c>
      <c r="D422" s="1" t="s">
        <v>66</v>
      </c>
      <c r="E422" s="15">
        <f t="shared" si="2"/>
        <v>181.75</v>
      </c>
      <c r="F422" s="16">
        <f t="shared" si="3"/>
        <v>2.634057971</v>
      </c>
      <c r="G422" s="1">
        <v>69.0</v>
      </c>
      <c r="H422" s="1">
        <v>6.0</v>
      </c>
      <c r="I422" s="1">
        <v>12.0</v>
      </c>
      <c r="J422" s="1">
        <v>18.0</v>
      </c>
      <c r="K422" s="1">
        <v>73.0</v>
      </c>
      <c r="L422" s="1">
        <v>0.0</v>
      </c>
      <c r="M422" s="1">
        <v>0.0</v>
      </c>
      <c r="N422" s="1">
        <v>0.0</v>
      </c>
      <c r="O422" s="1">
        <v>0.0</v>
      </c>
      <c r="P422" s="1">
        <v>87.0</v>
      </c>
      <c r="Q422" s="1">
        <v>121.0</v>
      </c>
    </row>
    <row r="423">
      <c r="A423" s="1">
        <f t="shared" si="1"/>
        <v>420</v>
      </c>
      <c r="B423" s="1" t="s">
        <v>1843</v>
      </c>
      <c r="C423" s="1" t="s">
        <v>1120</v>
      </c>
      <c r="D423" s="1" t="s">
        <v>36</v>
      </c>
      <c r="E423" s="15">
        <f t="shared" si="2"/>
        <v>181.75</v>
      </c>
      <c r="F423" s="16">
        <f t="shared" si="3"/>
        <v>2.300632911</v>
      </c>
      <c r="G423" s="1">
        <v>79.0</v>
      </c>
      <c r="H423" s="1">
        <v>6.0</v>
      </c>
      <c r="I423" s="1">
        <v>13.0</v>
      </c>
      <c r="J423" s="1">
        <v>19.0</v>
      </c>
      <c r="K423" s="1">
        <v>108.0</v>
      </c>
      <c r="L423" s="1">
        <v>0.0</v>
      </c>
      <c r="M423" s="1">
        <v>0.0</v>
      </c>
      <c r="N423" s="1">
        <v>0.0</v>
      </c>
      <c r="O423" s="1">
        <v>0.0</v>
      </c>
      <c r="P423" s="1">
        <v>161.0</v>
      </c>
      <c r="Q423" s="1">
        <v>43.0</v>
      </c>
    </row>
    <row r="424">
      <c r="A424" s="1">
        <f t="shared" si="1"/>
        <v>422</v>
      </c>
      <c r="B424" s="1" t="s">
        <v>1374</v>
      </c>
      <c r="C424" s="1" t="s">
        <v>1097</v>
      </c>
      <c r="D424" s="1" t="s">
        <v>36</v>
      </c>
      <c r="E424" s="15">
        <f t="shared" si="2"/>
        <v>181.5</v>
      </c>
      <c r="F424" s="16">
        <f t="shared" si="3"/>
        <v>3.241071429</v>
      </c>
      <c r="G424" s="1">
        <v>56.0</v>
      </c>
      <c r="H424" s="1">
        <v>7.0</v>
      </c>
      <c r="I424" s="1">
        <v>17.0</v>
      </c>
      <c r="J424" s="1">
        <v>24.0</v>
      </c>
      <c r="K424" s="1">
        <v>142.0</v>
      </c>
      <c r="L424" s="1">
        <v>5.0</v>
      </c>
      <c r="M424" s="1">
        <v>2.0</v>
      </c>
      <c r="N424" s="1">
        <v>0.0</v>
      </c>
      <c r="O424" s="1">
        <v>0.0</v>
      </c>
      <c r="P424" s="1">
        <v>54.0</v>
      </c>
      <c r="Q424" s="1">
        <v>29.0</v>
      </c>
    </row>
    <row r="425">
      <c r="A425" s="1">
        <f t="shared" si="1"/>
        <v>422</v>
      </c>
      <c r="B425" s="1" t="s">
        <v>1407</v>
      </c>
      <c r="C425" s="1" t="s">
        <v>1038</v>
      </c>
      <c r="D425" s="1" t="s">
        <v>31</v>
      </c>
      <c r="E425" s="15">
        <f t="shared" si="2"/>
        <v>181.5</v>
      </c>
      <c r="F425" s="16">
        <f t="shared" si="3"/>
        <v>2.592857143</v>
      </c>
      <c r="G425" s="1">
        <v>70.0</v>
      </c>
      <c r="H425" s="1">
        <v>8.0</v>
      </c>
      <c r="I425" s="1">
        <v>8.0</v>
      </c>
      <c r="J425" s="1">
        <v>16.0</v>
      </c>
      <c r="K425" s="1">
        <v>95.0</v>
      </c>
      <c r="L425" s="1">
        <v>0.0</v>
      </c>
      <c r="M425" s="1">
        <v>0.0</v>
      </c>
      <c r="N425" s="1">
        <v>0.0</v>
      </c>
      <c r="O425" s="1">
        <v>1.0</v>
      </c>
      <c r="P425" s="1">
        <v>186.0</v>
      </c>
      <c r="Q425" s="1">
        <v>51.0</v>
      </c>
    </row>
    <row r="426">
      <c r="A426" s="1">
        <f t="shared" si="1"/>
        <v>424</v>
      </c>
      <c r="B426" s="1" t="s">
        <v>1937</v>
      </c>
      <c r="C426" s="1" t="s">
        <v>1078</v>
      </c>
      <c r="D426" s="1" t="s">
        <v>5</v>
      </c>
      <c r="E426" s="15">
        <f t="shared" si="2"/>
        <v>180.6</v>
      </c>
      <c r="F426" s="16">
        <f t="shared" si="3"/>
        <v>4.881081081</v>
      </c>
      <c r="G426" s="1">
        <v>37.0</v>
      </c>
      <c r="N426" s="12"/>
      <c r="R426" s="1">
        <v>20.0</v>
      </c>
      <c r="S426" s="1">
        <v>105.0</v>
      </c>
      <c r="T426" s="12">
        <v>897.0</v>
      </c>
      <c r="U426" s="1">
        <v>3.0</v>
      </c>
    </row>
    <row r="427">
      <c r="A427" s="1">
        <f t="shared" si="1"/>
        <v>425</v>
      </c>
      <c r="B427" s="1" t="s">
        <v>1293</v>
      </c>
      <c r="C427" s="1" t="s">
        <v>1175</v>
      </c>
      <c r="D427" s="1" t="s">
        <v>66</v>
      </c>
      <c r="E427" s="15">
        <f t="shared" si="2"/>
        <v>180</v>
      </c>
      <c r="F427" s="16">
        <f t="shared" si="3"/>
        <v>2.857142857</v>
      </c>
      <c r="G427" s="1">
        <v>63.0</v>
      </c>
      <c r="H427" s="1">
        <v>2.0</v>
      </c>
      <c r="I427" s="1">
        <v>12.0</v>
      </c>
      <c r="J427" s="1">
        <v>14.0</v>
      </c>
      <c r="K427" s="1">
        <v>49.0</v>
      </c>
      <c r="L427" s="1">
        <v>0.0</v>
      </c>
      <c r="M427" s="1">
        <v>0.0</v>
      </c>
      <c r="N427" s="1">
        <v>0.0</v>
      </c>
      <c r="O427" s="1">
        <v>0.0</v>
      </c>
      <c r="P427" s="1">
        <v>140.0</v>
      </c>
      <c r="Q427" s="1">
        <v>151.0</v>
      </c>
    </row>
    <row r="428">
      <c r="A428" s="1">
        <f t="shared" si="1"/>
        <v>425</v>
      </c>
      <c r="B428" s="1" t="s">
        <v>1510</v>
      </c>
      <c r="C428" s="1" t="s">
        <v>1073</v>
      </c>
      <c r="D428" s="1" t="s">
        <v>66</v>
      </c>
      <c r="E428" s="15">
        <f t="shared" si="2"/>
        <v>180</v>
      </c>
      <c r="F428" s="16">
        <f t="shared" si="3"/>
        <v>2.4</v>
      </c>
      <c r="G428" s="1">
        <v>75.0</v>
      </c>
      <c r="H428" s="1">
        <v>2.0</v>
      </c>
      <c r="I428" s="1">
        <v>17.0</v>
      </c>
      <c r="J428" s="1">
        <v>19.0</v>
      </c>
      <c r="K428" s="1">
        <v>77.0</v>
      </c>
      <c r="L428" s="1">
        <v>0.0</v>
      </c>
      <c r="M428" s="1">
        <v>0.0</v>
      </c>
      <c r="N428" s="1">
        <v>0.0</v>
      </c>
      <c r="O428" s="1">
        <v>1.0</v>
      </c>
      <c r="P428" s="1">
        <v>110.0</v>
      </c>
      <c r="Q428" s="1">
        <v>104.0</v>
      </c>
    </row>
    <row r="429">
      <c r="A429" s="1">
        <f t="shared" si="1"/>
        <v>425</v>
      </c>
      <c r="B429" s="1" t="s">
        <v>2119</v>
      </c>
      <c r="C429" s="1" t="s">
        <v>1048</v>
      </c>
      <c r="D429" s="1" t="s">
        <v>5</v>
      </c>
      <c r="E429" s="15">
        <f t="shared" si="2"/>
        <v>180</v>
      </c>
      <c r="F429" s="16">
        <f t="shared" si="3"/>
        <v>5.625</v>
      </c>
      <c r="G429" s="1">
        <v>32.0</v>
      </c>
      <c r="N429" s="12"/>
      <c r="R429" s="1">
        <v>19.0</v>
      </c>
      <c r="S429" s="1">
        <v>81.0</v>
      </c>
      <c r="T429" s="12">
        <v>795.0</v>
      </c>
      <c r="U429" s="1">
        <v>2.0</v>
      </c>
    </row>
    <row r="430">
      <c r="A430" s="1">
        <f t="shared" si="1"/>
        <v>428</v>
      </c>
      <c r="B430" s="1" t="s">
        <v>1543</v>
      </c>
      <c r="C430" s="1" t="s">
        <v>1085</v>
      </c>
      <c r="D430" s="1" t="s">
        <v>31</v>
      </c>
      <c r="E430" s="15">
        <f t="shared" si="2"/>
        <v>179.25</v>
      </c>
      <c r="F430" s="16">
        <f t="shared" si="3"/>
        <v>2.327922078</v>
      </c>
      <c r="G430" s="1">
        <v>77.0</v>
      </c>
      <c r="H430" s="1">
        <v>5.0</v>
      </c>
      <c r="I430" s="1">
        <v>14.0</v>
      </c>
      <c r="J430" s="1">
        <v>19.0</v>
      </c>
      <c r="K430" s="1">
        <v>89.0</v>
      </c>
      <c r="L430" s="1">
        <v>1.0</v>
      </c>
      <c r="M430" s="1">
        <v>0.0</v>
      </c>
      <c r="N430" s="1">
        <v>1.0</v>
      </c>
      <c r="O430" s="1">
        <v>1.0</v>
      </c>
      <c r="P430" s="1">
        <v>129.0</v>
      </c>
      <c r="Q430" s="1">
        <v>68.0</v>
      </c>
    </row>
    <row r="431">
      <c r="A431" s="1">
        <f t="shared" si="1"/>
        <v>429</v>
      </c>
      <c r="B431" s="1" t="s">
        <v>1582</v>
      </c>
      <c r="C431" s="1" t="s">
        <v>1172</v>
      </c>
      <c r="D431" s="1" t="s">
        <v>66</v>
      </c>
      <c r="E431" s="15">
        <f t="shared" si="2"/>
        <v>179</v>
      </c>
      <c r="F431" s="16">
        <f t="shared" si="3"/>
        <v>3.140350877</v>
      </c>
      <c r="G431" s="1">
        <v>57.0</v>
      </c>
      <c r="H431" s="1">
        <v>4.0</v>
      </c>
      <c r="I431" s="1">
        <v>6.0</v>
      </c>
      <c r="J431" s="1">
        <v>10.0</v>
      </c>
      <c r="K431" s="1">
        <v>71.0</v>
      </c>
      <c r="L431" s="1">
        <v>0.0</v>
      </c>
      <c r="M431" s="1">
        <v>0.0</v>
      </c>
      <c r="N431" s="1">
        <v>0.0</v>
      </c>
      <c r="O431" s="1">
        <v>0.0</v>
      </c>
      <c r="P431" s="1">
        <v>130.0</v>
      </c>
      <c r="Q431" s="1">
        <v>150.0</v>
      </c>
    </row>
    <row r="432">
      <c r="A432" s="1">
        <f t="shared" si="1"/>
        <v>430</v>
      </c>
      <c r="B432" s="1" t="s">
        <v>2179</v>
      </c>
      <c r="C432" s="1" t="s">
        <v>1111</v>
      </c>
      <c r="D432" s="1" t="s">
        <v>66</v>
      </c>
      <c r="E432" s="15">
        <f t="shared" si="2"/>
        <v>178.75</v>
      </c>
      <c r="F432" s="16">
        <f t="shared" si="3"/>
        <v>2.667910448</v>
      </c>
      <c r="G432" s="1">
        <v>67.0</v>
      </c>
      <c r="H432" s="1">
        <v>4.0</v>
      </c>
      <c r="I432" s="1">
        <v>8.0</v>
      </c>
      <c r="J432" s="1">
        <v>12.0</v>
      </c>
      <c r="K432" s="1">
        <v>76.0</v>
      </c>
      <c r="L432" s="1">
        <v>0.0</v>
      </c>
      <c r="M432" s="1">
        <v>0.0</v>
      </c>
      <c r="N432" s="1">
        <v>0.0</v>
      </c>
      <c r="O432" s="1">
        <v>0.0</v>
      </c>
      <c r="P432" s="1">
        <v>129.0</v>
      </c>
      <c r="Q432" s="1">
        <v>133.0</v>
      </c>
    </row>
    <row r="433">
      <c r="A433" s="1">
        <f t="shared" si="1"/>
        <v>431</v>
      </c>
      <c r="B433" s="1" t="s">
        <v>1588</v>
      </c>
      <c r="C433" s="1" t="s">
        <v>1156</v>
      </c>
      <c r="D433" s="1" t="s">
        <v>66</v>
      </c>
      <c r="E433" s="15">
        <f t="shared" si="2"/>
        <v>178.25</v>
      </c>
      <c r="F433" s="16">
        <f t="shared" si="3"/>
        <v>2.660447761</v>
      </c>
      <c r="G433" s="1">
        <v>67.0</v>
      </c>
      <c r="H433" s="1">
        <v>7.0</v>
      </c>
      <c r="I433" s="1">
        <v>18.0</v>
      </c>
      <c r="J433" s="1">
        <v>25.0</v>
      </c>
      <c r="K433" s="1">
        <v>90.0</v>
      </c>
      <c r="L433" s="1">
        <v>0.0</v>
      </c>
      <c r="M433" s="1">
        <v>4.0</v>
      </c>
      <c r="N433" s="1">
        <v>0.0</v>
      </c>
      <c r="O433" s="1">
        <v>1.0</v>
      </c>
      <c r="P433" s="1">
        <v>41.0</v>
      </c>
      <c r="Q433" s="1">
        <v>71.0</v>
      </c>
    </row>
    <row r="434">
      <c r="A434" s="1">
        <f t="shared" si="1"/>
        <v>432</v>
      </c>
      <c r="B434" s="1" t="s">
        <v>1308</v>
      </c>
      <c r="C434" s="1" t="s">
        <v>1054</v>
      </c>
      <c r="D434" s="1" t="s">
        <v>66</v>
      </c>
      <c r="E434" s="15">
        <f t="shared" si="2"/>
        <v>178</v>
      </c>
      <c r="F434" s="16">
        <f t="shared" si="3"/>
        <v>2.696969697</v>
      </c>
      <c r="G434" s="1">
        <v>66.0</v>
      </c>
      <c r="H434" s="1">
        <v>4.0</v>
      </c>
      <c r="I434" s="1">
        <v>10.0</v>
      </c>
      <c r="J434" s="1">
        <v>14.0</v>
      </c>
      <c r="K434" s="1">
        <v>73.0</v>
      </c>
      <c r="L434" s="1">
        <v>0.0</v>
      </c>
      <c r="M434" s="1">
        <v>1.0</v>
      </c>
      <c r="N434" s="1">
        <v>0.0</v>
      </c>
      <c r="O434" s="1">
        <v>1.0</v>
      </c>
      <c r="P434" s="1">
        <v>118.0</v>
      </c>
      <c r="Q434" s="1">
        <v>124.0</v>
      </c>
    </row>
    <row r="435">
      <c r="A435" s="1">
        <f t="shared" si="1"/>
        <v>433</v>
      </c>
      <c r="B435" s="1" t="s">
        <v>1566</v>
      </c>
      <c r="C435" s="1" t="s">
        <v>1097</v>
      </c>
      <c r="D435" s="1" t="s">
        <v>5</v>
      </c>
      <c r="E435" s="15">
        <f t="shared" si="2"/>
        <v>177.3</v>
      </c>
      <c r="F435" s="16">
        <f t="shared" si="3"/>
        <v>5.065714286</v>
      </c>
      <c r="G435" s="1">
        <v>35.0</v>
      </c>
      <c r="K435" s="12"/>
      <c r="N435" s="12"/>
      <c r="R435" s="1">
        <v>9.0</v>
      </c>
      <c r="S435" s="1">
        <v>107.0</v>
      </c>
      <c r="T435" s="12">
        <v>1016.0</v>
      </c>
      <c r="U435" s="1">
        <v>2.0</v>
      </c>
    </row>
    <row r="436">
      <c r="A436" s="1">
        <f t="shared" si="1"/>
        <v>434</v>
      </c>
      <c r="B436" s="1" t="s">
        <v>1480</v>
      </c>
      <c r="C436" s="1" t="s">
        <v>1069</v>
      </c>
      <c r="D436" s="1" t="s">
        <v>31</v>
      </c>
      <c r="E436" s="15">
        <f t="shared" si="2"/>
        <v>177</v>
      </c>
      <c r="F436" s="16">
        <f t="shared" si="3"/>
        <v>2.2125</v>
      </c>
      <c r="G436" s="1">
        <v>80.0</v>
      </c>
      <c r="H436" s="1">
        <v>6.0</v>
      </c>
      <c r="I436" s="1">
        <v>10.0</v>
      </c>
      <c r="J436" s="1">
        <v>16.0</v>
      </c>
      <c r="K436" s="1">
        <v>108.0</v>
      </c>
      <c r="L436" s="1">
        <v>0.0</v>
      </c>
      <c r="M436" s="1">
        <v>1.0</v>
      </c>
      <c r="N436" s="1">
        <v>1.0</v>
      </c>
      <c r="O436" s="1">
        <v>0.0</v>
      </c>
      <c r="P436" s="1">
        <v>176.0</v>
      </c>
      <c r="Q436" s="1">
        <v>40.0</v>
      </c>
    </row>
    <row r="437">
      <c r="A437" s="1">
        <f t="shared" si="1"/>
        <v>434</v>
      </c>
      <c r="B437" s="1" t="s">
        <v>1474</v>
      </c>
      <c r="C437" s="1" t="s">
        <v>1038</v>
      </c>
      <c r="D437" s="1" t="s">
        <v>66</v>
      </c>
      <c r="E437" s="15">
        <f t="shared" si="2"/>
        <v>177</v>
      </c>
      <c r="F437" s="16">
        <f t="shared" si="3"/>
        <v>2.528571429</v>
      </c>
      <c r="G437" s="1">
        <v>70.0</v>
      </c>
      <c r="H437" s="1">
        <v>4.0</v>
      </c>
      <c r="I437" s="1">
        <v>13.0</v>
      </c>
      <c r="J437" s="1">
        <v>17.0</v>
      </c>
      <c r="K437" s="1">
        <v>135.0</v>
      </c>
      <c r="L437" s="1">
        <v>0.0</v>
      </c>
      <c r="M437" s="1">
        <v>3.0</v>
      </c>
      <c r="N437" s="1">
        <v>1.0</v>
      </c>
      <c r="O437" s="1">
        <v>0.0</v>
      </c>
      <c r="P437" s="1">
        <v>94.0</v>
      </c>
      <c r="Q437" s="1">
        <v>54.0</v>
      </c>
    </row>
    <row r="438">
      <c r="A438" s="1">
        <f t="shared" si="1"/>
        <v>436</v>
      </c>
      <c r="B438" s="1" t="s">
        <v>1475</v>
      </c>
      <c r="C438" s="1" t="s">
        <v>1082</v>
      </c>
      <c r="D438" s="1" t="s">
        <v>28</v>
      </c>
      <c r="E438" s="15">
        <f t="shared" si="2"/>
        <v>176.75</v>
      </c>
      <c r="F438" s="16">
        <f t="shared" si="3"/>
        <v>2.561594203</v>
      </c>
      <c r="G438" s="1">
        <v>69.0</v>
      </c>
      <c r="H438" s="1">
        <v>9.0</v>
      </c>
      <c r="I438" s="1">
        <v>20.0</v>
      </c>
      <c r="J438" s="1">
        <v>29.0</v>
      </c>
      <c r="K438" s="1">
        <v>111.0</v>
      </c>
      <c r="L438" s="1">
        <v>3.0</v>
      </c>
      <c r="M438" s="1">
        <v>7.0</v>
      </c>
      <c r="N438" s="1">
        <v>0.0</v>
      </c>
      <c r="O438" s="1">
        <v>0.0</v>
      </c>
      <c r="P438" s="1">
        <v>31.0</v>
      </c>
      <c r="Q438" s="1">
        <v>26.0</v>
      </c>
    </row>
    <row r="439">
      <c r="A439" s="1">
        <f t="shared" si="1"/>
        <v>437</v>
      </c>
      <c r="B439" s="1" t="s">
        <v>1576</v>
      </c>
      <c r="C439" s="1" t="s">
        <v>1069</v>
      </c>
      <c r="D439" s="1" t="s">
        <v>31</v>
      </c>
      <c r="E439" s="15">
        <f t="shared" si="2"/>
        <v>176.5</v>
      </c>
      <c r="F439" s="16">
        <f t="shared" si="3"/>
        <v>2.674242424</v>
      </c>
      <c r="G439" s="1">
        <v>66.0</v>
      </c>
      <c r="H439" s="1">
        <v>12.0</v>
      </c>
      <c r="I439" s="1">
        <v>18.0</v>
      </c>
      <c r="J439" s="1">
        <v>30.0</v>
      </c>
      <c r="K439" s="1">
        <v>101.0</v>
      </c>
      <c r="L439" s="1">
        <v>2.0</v>
      </c>
      <c r="M439" s="1">
        <v>4.0</v>
      </c>
      <c r="N439" s="1">
        <v>0.0</v>
      </c>
      <c r="O439" s="1">
        <v>0.0</v>
      </c>
      <c r="P439" s="1">
        <v>38.0</v>
      </c>
      <c r="Q439" s="1">
        <v>17.0</v>
      </c>
    </row>
    <row r="440">
      <c r="A440" s="1">
        <f t="shared" si="1"/>
        <v>438</v>
      </c>
      <c r="B440" s="1" t="s">
        <v>1529</v>
      </c>
      <c r="C440" s="1" t="s">
        <v>1036</v>
      </c>
      <c r="D440" s="1" t="s">
        <v>66</v>
      </c>
      <c r="E440" s="15">
        <f t="shared" si="2"/>
        <v>175.75</v>
      </c>
      <c r="F440" s="16">
        <f t="shared" si="3"/>
        <v>2.375</v>
      </c>
      <c r="G440" s="1">
        <v>74.0</v>
      </c>
      <c r="H440" s="1">
        <v>5.0</v>
      </c>
      <c r="I440" s="1">
        <v>16.0</v>
      </c>
      <c r="J440" s="1">
        <v>21.0</v>
      </c>
      <c r="K440" s="1">
        <v>92.0</v>
      </c>
      <c r="L440" s="1">
        <v>0.0</v>
      </c>
      <c r="M440" s="1">
        <v>0.0</v>
      </c>
      <c r="N440" s="1">
        <v>0.0</v>
      </c>
      <c r="O440" s="1">
        <v>1.0</v>
      </c>
      <c r="P440" s="1">
        <v>103.0</v>
      </c>
      <c r="Q440" s="1">
        <v>63.0</v>
      </c>
    </row>
    <row r="441">
      <c r="A441" s="1">
        <f t="shared" si="1"/>
        <v>439</v>
      </c>
      <c r="B441" s="1" t="s">
        <v>1504</v>
      </c>
      <c r="C441" s="1" t="s">
        <v>1082</v>
      </c>
      <c r="D441" s="1" t="s">
        <v>66</v>
      </c>
      <c r="E441" s="15">
        <f t="shared" si="2"/>
        <v>174.5</v>
      </c>
      <c r="F441" s="16">
        <f t="shared" si="3"/>
        <v>2.358108108</v>
      </c>
      <c r="G441" s="1">
        <v>74.0</v>
      </c>
      <c r="H441" s="1">
        <v>4.0</v>
      </c>
      <c r="I441" s="1">
        <v>19.0</v>
      </c>
      <c r="J441" s="1">
        <v>23.0</v>
      </c>
      <c r="K441" s="1">
        <v>92.0</v>
      </c>
      <c r="L441" s="1">
        <v>2.0</v>
      </c>
      <c r="M441" s="1">
        <v>3.0</v>
      </c>
      <c r="N441" s="1">
        <v>0.0</v>
      </c>
      <c r="O441" s="1">
        <v>0.0</v>
      </c>
      <c r="P441" s="1">
        <v>40.0</v>
      </c>
      <c r="Q441" s="1">
        <v>87.0</v>
      </c>
    </row>
    <row r="442">
      <c r="A442" s="1">
        <f t="shared" si="1"/>
        <v>439</v>
      </c>
      <c r="B442" s="1" t="s">
        <v>2133</v>
      </c>
      <c r="C442" s="1" t="s">
        <v>1067</v>
      </c>
      <c r="D442" s="1" t="s">
        <v>31</v>
      </c>
      <c r="E442" s="15">
        <f t="shared" si="2"/>
        <v>174.5</v>
      </c>
      <c r="F442" s="16">
        <f t="shared" si="3"/>
        <v>2.18125</v>
      </c>
      <c r="G442" s="1">
        <v>80.0</v>
      </c>
      <c r="H442" s="1">
        <v>8.0</v>
      </c>
      <c r="I442" s="1">
        <v>19.0</v>
      </c>
      <c r="J442" s="1">
        <v>27.0</v>
      </c>
      <c r="K442" s="1">
        <v>130.0</v>
      </c>
      <c r="L442" s="1">
        <v>2.0</v>
      </c>
      <c r="M442" s="1">
        <v>2.0</v>
      </c>
      <c r="N442" s="1">
        <v>1.0</v>
      </c>
      <c r="O442" s="1">
        <v>0.0</v>
      </c>
      <c r="P442" s="1">
        <v>30.0</v>
      </c>
      <c r="Q442" s="1">
        <v>14.0</v>
      </c>
    </row>
    <row r="443">
      <c r="A443" s="1">
        <f t="shared" si="1"/>
        <v>441</v>
      </c>
      <c r="B443" s="1" t="s">
        <v>1322</v>
      </c>
      <c r="C443" s="1" t="s">
        <v>1146</v>
      </c>
      <c r="D443" s="1" t="s">
        <v>36</v>
      </c>
      <c r="E443" s="15">
        <f t="shared" si="2"/>
        <v>174.25</v>
      </c>
      <c r="F443" s="16">
        <f t="shared" si="3"/>
        <v>2.765873016</v>
      </c>
      <c r="G443" s="1">
        <v>63.0</v>
      </c>
      <c r="H443" s="1">
        <v>14.0</v>
      </c>
      <c r="I443" s="1">
        <v>6.0</v>
      </c>
      <c r="J443" s="1">
        <v>20.0</v>
      </c>
      <c r="K443" s="1">
        <v>153.0</v>
      </c>
      <c r="L443" s="1">
        <v>2.0</v>
      </c>
      <c r="M443" s="1">
        <v>0.0</v>
      </c>
      <c r="N443" s="1">
        <v>0.0</v>
      </c>
      <c r="O443" s="1">
        <v>0.0</v>
      </c>
      <c r="P443" s="1">
        <v>43.0</v>
      </c>
      <c r="Q443" s="1">
        <v>12.0</v>
      </c>
    </row>
    <row r="444">
      <c r="A444" s="1">
        <f t="shared" si="1"/>
        <v>441</v>
      </c>
      <c r="B444" s="1" t="s">
        <v>1675</v>
      </c>
      <c r="C444" s="1" t="s">
        <v>1087</v>
      </c>
      <c r="D444" s="1" t="s">
        <v>66</v>
      </c>
      <c r="E444" s="15">
        <f t="shared" si="2"/>
        <v>174.25</v>
      </c>
      <c r="F444" s="16">
        <f t="shared" si="3"/>
        <v>2.856557377</v>
      </c>
      <c r="G444" s="1">
        <v>61.0</v>
      </c>
      <c r="H444" s="1">
        <v>3.0</v>
      </c>
      <c r="I444" s="1">
        <v>15.0</v>
      </c>
      <c r="J444" s="1">
        <v>18.0</v>
      </c>
      <c r="K444" s="1">
        <v>80.0</v>
      </c>
      <c r="L444" s="1">
        <v>0.0</v>
      </c>
      <c r="M444" s="1">
        <v>0.0</v>
      </c>
      <c r="N444" s="1">
        <v>0.0</v>
      </c>
      <c r="O444" s="1">
        <v>1.0</v>
      </c>
      <c r="P444" s="1">
        <v>77.0</v>
      </c>
      <c r="Q444" s="1">
        <v>109.0</v>
      </c>
    </row>
    <row r="445">
      <c r="A445" s="1">
        <f t="shared" si="1"/>
        <v>443</v>
      </c>
      <c r="B445" s="1" t="s">
        <v>1104</v>
      </c>
      <c r="C445" s="1" t="s">
        <v>1091</v>
      </c>
      <c r="D445" s="1" t="s">
        <v>36</v>
      </c>
      <c r="E445" s="15">
        <f t="shared" si="2"/>
        <v>173.5</v>
      </c>
      <c r="F445" s="16">
        <f t="shared" si="3"/>
        <v>2.753968254</v>
      </c>
      <c r="G445" s="1">
        <v>63.0</v>
      </c>
      <c r="H445" s="1">
        <v>10.0</v>
      </c>
      <c r="I445" s="1">
        <v>11.0</v>
      </c>
      <c r="J445" s="1">
        <v>21.0</v>
      </c>
      <c r="K445" s="1">
        <v>126.0</v>
      </c>
      <c r="L445" s="1">
        <v>1.0</v>
      </c>
      <c r="M445" s="1">
        <v>2.0</v>
      </c>
      <c r="N445" s="1">
        <v>0.0</v>
      </c>
      <c r="O445" s="1">
        <v>0.0</v>
      </c>
      <c r="P445" s="1">
        <v>98.0</v>
      </c>
      <c r="Q445" s="1">
        <v>16.0</v>
      </c>
    </row>
    <row r="446">
      <c r="A446" s="1">
        <f t="shared" si="1"/>
        <v>444</v>
      </c>
      <c r="B446" s="1" t="s">
        <v>1676</v>
      </c>
      <c r="C446" s="1" t="s">
        <v>1091</v>
      </c>
      <c r="D446" s="1" t="s">
        <v>5</v>
      </c>
      <c r="E446" s="15">
        <f t="shared" si="2"/>
        <v>173.1</v>
      </c>
      <c r="F446" s="16">
        <f t="shared" si="3"/>
        <v>4.945714286</v>
      </c>
      <c r="G446" s="1">
        <v>35.0</v>
      </c>
      <c r="K446" s="12"/>
      <c r="N446" s="12"/>
      <c r="R446" s="1">
        <v>12.0</v>
      </c>
      <c r="S446" s="1">
        <v>114.0</v>
      </c>
      <c r="T446" s="12">
        <v>1027.0</v>
      </c>
      <c r="U446" s="1">
        <v>0.0</v>
      </c>
    </row>
    <row r="447">
      <c r="A447" s="1">
        <f t="shared" si="1"/>
        <v>445</v>
      </c>
      <c r="B447" s="1" t="s">
        <v>1574</v>
      </c>
      <c r="C447" s="1" t="s">
        <v>1030</v>
      </c>
      <c r="D447" s="1" t="s">
        <v>31</v>
      </c>
      <c r="E447" s="15">
        <f t="shared" si="2"/>
        <v>173</v>
      </c>
      <c r="F447" s="16">
        <f t="shared" si="3"/>
        <v>2.337837838</v>
      </c>
      <c r="G447" s="1">
        <v>74.0</v>
      </c>
      <c r="H447" s="1">
        <v>11.0</v>
      </c>
      <c r="I447" s="1">
        <v>12.0</v>
      </c>
      <c r="J447" s="1">
        <v>23.0</v>
      </c>
      <c r="K447" s="1">
        <v>87.0</v>
      </c>
      <c r="L447" s="1">
        <v>0.0</v>
      </c>
      <c r="M447" s="1">
        <v>0.0</v>
      </c>
      <c r="N447" s="1">
        <v>0.0</v>
      </c>
      <c r="O447" s="1">
        <v>0.0</v>
      </c>
      <c r="P447" s="1">
        <v>140.0</v>
      </c>
      <c r="Q447" s="1">
        <v>18.0</v>
      </c>
    </row>
    <row r="448">
      <c r="A448" s="1">
        <f t="shared" si="1"/>
        <v>446</v>
      </c>
      <c r="B448" s="1" t="s">
        <v>1511</v>
      </c>
      <c r="C448" s="1" t="s">
        <v>1087</v>
      </c>
      <c r="D448" s="1" t="s">
        <v>5</v>
      </c>
      <c r="E448" s="15">
        <f t="shared" si="2"/>
        <v>172.8</v>
      </c>
      <c r="F448" s="16">
        <f t="shared" si="3"/>
        <v>5.574193548</v>
      </c>
      <c r="G448" s="1">
        <v>31.0</v>
      </c>
      <c r="N448" s="12"/>
      <c r="R448" s="1">
        <v>10.0</v>
      </c>
      <c r="S448" s="1">
        <v>87.0</v>
      </c>
      <c r="T448" s="12">
        <v>891.0</v>
      </c>
      <c r="U448" s="1">
        <v>2.0</v>
      </c>
    </row>
    <row r="449">
      <c r="A449" s="1">
        <f t="shared" si="1"/>
        <v>447</v>
      </c>
      <c r="B449" s="1" t="s">
        <v>1572</v>
      </c>
      <c r="C449" s="1" t="s">
        <v>1172</v>
      </c>
      <c r="D449" s="1" t="s">
        <v>36</v>
      </c>
      <c r="E449" s="15">
        <f t="shared" si="2"/>
        <v>172.75</v>
      </c>
      <c r="F449" s="16">
        <f t="shared" si="3"/>
        <v>2.334459459</v>
      </c>
      <c r="G449" s="1">
        <v>74.0</v>
      </c>
      <c r="H449" s="1">
        <v>11.0</v>
      </c>
      <c r="I449" s="1">
        <v>11.0</v>
      </c>
      <c r="J449" s="1">
        <v>22.0</v>
      </c>
      <c r="K449" s="1">
        <v>104.0</v>
      </c>
      <c r="L449" s="1">
        <v>3.0</v>
      </c>
      <c r="M449" s="1">
        <v>1.0</v>
      </c>
      <c r="N449" s="1">
        <v>1.0</v>
      </c>
      <c r="O449" s="1">
        <v>0.0</v>
      </c>
      <c r="P449" s="1">
        <v>103.0</v>
      </c>
      <c r="Q449" s="1">
        <v>21.0</v>
      </c>
    </row>
    <row r="450">
      <c r="A450" s="1">
        <f t="shared" si="1"/>
        <v>448</v>
      </c>
      <c r="B450" s="1" t="s">
        <v>1449</v>
      </c>
      <c r="C450" s="1" t="s">
        <v>1073</v>
      </c>
      <c r="D450" s="1" t="s">
        <v>28</v>
      </c>
      <c r="E450" s="15">
        <f t="shared" si="2"/>
        <v>171.5</v>
      </c>
      <c r="F450" s="16">
        <f t="shared" si="3"/>
        <v>2.598484848</v>
      </c>
      <c r="G450" s="1">
        <v>66.0</v>
      </c>
      <c r="H450" s="1">
        <v>12.0</v>
      </c>
      <c r="I450" s="1">
        <v>17.0</v>
      </c>
      <c r="J450" s="1">
        <v>29.0</v>
      </c>
      <c r="K450" s="1">
        <v>81.0</v>
      </c>
      <c r="L450" s="1">
        <v>0.0</v>
      </c>
      <c r="M450" s="1">
        <v>4.0</v>
      </c>
      <c r="N450" s="1">
        <v>0.0</v>
      </c>
      <c r="O450" s="1">
        <v>0.0</v>
      </c>
      <c r="P450" s="1">
        <v>74.0</v>
      </c>
      <c r="Q450" s="1">
        <v>15.0</v>
      </c>
    </row>
    <row r="451">
      <c r="A451" s="1">
        <f t="shared" si="1"/>
        <v>449</v>
      </c>
      <c r="B451" s="1" t="s">
        <v>2048</v>
      </c>
      <c r="C451" s="1" t="s">
        <v>1065</v>
      </c>
      <c r="D451" s="1" t="s">
        <v>31</v>
      </c>
      <c r="E451" s="15">
        <f t="shared" si="2"/>
        <v>170.25</v>
      </c>
      <c r="F451" s="16">
        <f t="shared" si="3"/>
        <v>2.467391304</v>
      </c>
      <c r="G451" s="1">
        <v>69.0</v>
      </c>
      <c r="H451" s="1">
        <v>5.0</v>
      </c>
      <c r="I451" s="1">
        <v>10.0</v>
      </c>
      <c r="J451" s="1">
        <v>15.0</v>
      </c>
      <c r="K451" s="1">
        <v>78.0</v>
      </c>
      <c r="L451" s="1">
        <v>0.0</v>
      </c>
      <c r="M451" s="1">
        <v>0.0</v>
      </c>
      <c r="N451" s="1">
        <v>0.0</v>
      </c>
      <c r="O451" s="1">
        <v>0.0</v>
      </c>
      <c r="P451" s="1">
        <v>231.0</v>
      </c>
      <c r="Q451" s="1">
        <v>42.0</v>
      </c>
    </row>
    <row r="452">
      <c r="A452" s="1">
        <f t="shared" si="1"/>
        <v>450</v>
      </c>
      <c r="B452" s="1" t="s">
        <v>1470</v>
      </c>
      <c r="C452" s="1" t="s">
        <v>1032</v>
      </c>
      <c r="D452" s="1" t="s">
        <v>66</v>
      </c>
      <c r="E452" s="15">
        <f t="shared" si="2"/>
        <v>169.75</v>
      </c>
      <c r="F452" s="16">
        <f t="shared" si="3"/>
        <v>2.204545455</v>
      </c>
      <c r="G452" s="1">
        <v>77.0</v>
      </c>
      <c r="H452" s="1">
        <v>2.0</v>
      </c>
      <c r="I452" s="1">
        <v>13.0</v>
      </c>
      <c r="J452" s="1">
        <v>15.0</v>
      </c>
      <c r="K452" s="1">
        <v>54.0</v>
      </c>
      <c r="L452" s="1">
        <v>0.0</v>
      </c>
      <c r="M452" s="1">
        <v>0.0</v>
      </c>
      <c r="N452" s="1">
        <v>0.0</v>
      </c>
      <c r="O452" s="1">
        <v>1.0</v>
      </c>
      <c r="P452" s="1">
        <v>187.0</v>
      </c>
      <c r="Q452" s="1">
        <v>92.0</v>
      </c>
    </row>
    <row r="453">
      <c r="A453" s="1">
        <f t="shared" si="1"/>
        <v>451</v>
      </c>
      <c r="B453" s="1" t="s">
        <v>1292</v>
      </c>
      <c r="C453" s="1" t="s">
        <v>1052</v>
      </c>
      <c r="D453" s="1" t="s">
        <v>66</v>
      </c>
      <c r="E453" s="15">
        <f t="shared" si="2"/>
        <v>169</v>
      </c>
      <c r="F453" s="16">
        <f t="shared" si="3"/>
        <v>2.347222222</v>
      </c>
      <c r="G453" s="1">
        <v>72.0</v>
      </c>
      <c r="H453" s="1">
        <v>2.0</v>
      </c>
      <c r="I453" s="1">
        <v>17.0</v>
      </c>
      <c r="J453" s="1">
        <v>19.0</v>
      </c>
      <c r="K453" s="1">
        <v>83.0</v>
      </c>
      <c r="L453" s="1">
        <v>0.0</v>
      </c>
      <c r="M453" s="1">
        <v>0.0</v>
      </c>
      <c r="N453" s="1">
        <v>0.0</v>
      </c>
      <c r="O453" s="1">
        <v>0.0</v>
      </c>
      <c r="P453" s="1">
        <v>122.0</v>
      </c>
      <c r="Q453" s="1">
        <v>74.0</v>
      </c>
    </row>
    <row r="454">
      <c r="A454" s="1">
        <f t="shared" si="1"/>
        <v>451</v>
      </c>
      <c r="B454" s="1" t="s">
        <v>1608</v>
      </c>
      <c r="C454" s="1" t="s">
        <v>1076</v>
      </c>
      <c r="D454" s="1" t="s">
        <v>66</v>
      </c>
      <c r="E454" s="15">
        <f t="shared" si="2"/>
        <v>169</v>
      </c>
      <c r="F454" s="16">
        <f t="shared" si="3"/>
        <v>2.414285714</v>
      </c>
      <c r="G454" s="1">
        <v>70.0</v>
      </c>
      <c r="H454" s="1">
        <v>1.0</v>
      </c>
      <c r="I454" s="1">
        <v>13.0</v>
      </c>
      <c r="J454" s="1">
        <v>14.0</v>
      </c>
      <c r="K454" s="1">
        <v>92.0</v>
      </c>
      <c r="L454" s="1">
        <v>0.0</v>
      </c>
      <c r="M454" s="1">
        <v>0.0</v>
      </c>
      <c r="N454" s="1">
        <v>0.0</v>
      </c>
      <c r="O454" s="1">
        <v>1.0</v>
      </c>
      <c r="P454" s="1">
        <v>98.0</v>
      </c>
      <c r="Q454" s="1">
        <v>106.0</v>
      </c>
    </row>
    <row r="455">
      <c r="A455" s="1">
        <f t="shared" si="1"/>
        <v>453</v>
      </c>
      <c r="B455" s="1" t="s">
        <v>1477</v>
      </c>
      <c r="C455" s="1" t="s">
        <v>1082</v>
      </c>
      <c r="D455" s="1" t="s">
        <v>36</v>
      </c>
      <c r="E455" s="15">
        <f t="shared" si="2"/>
        <v>168.5</v>
      </c>
      <c r="F455" s="16">
        <f t="shared" si="3"/>
        <v>3.829545455</v>
      </c>
      <c r="G455" s="1">
        <v>44.0</v>
      </c>
      <c r="H455" s="1">
        <v>11.0</v>
      </c>
      <c r="I455" s="1">
        <v>14.0</v>
      </c>
      <c r="J455" s="1">
        <v>25.0</v>
      </c>
      <c r="K455" s="1">
        <v>77.0</v>
      </c>
      <c r="L455" s="1">
        <v>4.0</v>
      </c>
      <c r="M455" s="1">
        <v>6.0</v>
      </c>
      <c r="N455" s="1">
        <v>0.0</v>
      </c>
      <c r="O455" s="1">
        <v>1.0</v>
      </c>
      <c r="P455" s="1">
        <v>86.0</v>
      </c>
      <c r="Q455" s="1">
        <v>30.0</v>
      </c>
    </row>
    <row r="456">
      <c r="A456" s="1">
        <f t="shared" si="1"/>
        <v>454</v>
      </c>
      <c r="B456" s="1" t="s">
        <v>2290</v>
      </c>
      <c r="C456" s="1" t="s">
        <v>1052</v>
      </c>
      <c r="D456" s="1" t="s">
        <v>31</v>
      </c>
      <c r="E456" s="15">
        <f t="shared" si="2"/>
        <v>168.25</v>
      </c>
      <c r="F456" s="16">
        <f t="shared" si="3"/>
        <v>2.549242424</v>
      </c>
      <c r="G456" s="1">
        <v>66.0</v>
      </c>
      <c r="H456" s="1">
        <v>11.0</v>
      </c>
      <c r="I456" s="1">
        <v>10.0</v>
      </c>
      <c r="J456" s="1">
        <v>21.0</v>
      </c>
      <c r="K456" s="1">
        <v>87.0</v>
      </c>
      <c r="L456" s="1">
        <v>0.0</v>
      </c>
      <c r="M456" s="1">
        <v>0.0</v>
      </c>
      <c r="N456" s="1">
        <v>1.0</v>
      </c>
      <c r="O456" s="1">
        <v>0.0</v>
      </c>
      <c r="P456" s="1">
        <v>95.0</v>
      </c>
      <c r="Q456" s="1">
        <v>39.0</v>
      </c>
    </row>
    <row r="457">
      <c r="A457" s="1">
        <f t="shared" si="1"/>
        <v>455</v>
      </c>
      <c r="B457" s="1" t="s">
        <v>1460</v>
      </c>
      <c r="C457" s="1" t="s">
        <v>1032</v>
      </c>
      <c r="D457" s="1" t="s">
        <v>66</v>
      </c>
      <c r="E457" s="15">
        <f t="shared" si="2"/>
        <v>167.75</v>
      </c>
      <c r="F457" s="16">
        <f t="shared" si="3"/>
        <v>2.75</v>
      </c>
      <c r="G457" s="1">
        <v>61.0</v>
      </c>
      <c r="H457" s="1">
        <v>5.0</v>
      </c>
      <c r="I457" s="1">
        <v>18.0</v>
      </c>
      <c r="J457" s="1">
        <v>23.0</v>
      </c>
      <c r="K457" s="1">
        <v>79.0</v>
      </c>
      <c r="L457" s="1">
        <v>1.0</v>
      </c>
      <c r="M457" s="1">
        <v>1.0</v>
      </c>
      <c r="N457" s="1">
        <v>0.0</v>
      </c>
      <c r="O457" s="1">
        <v>0.0</v>
      </c>
      <c r="P457" s="1">
        <v>87.0</v>
      </c>
      <c r="Q457" s="1">
        <v>60.0</v>
      </c>
    </row>
    <row r="458">
      <c r="A458" s="1">
        <f t="shared" si="1"/>
        <v>456</v>
      </c>
      <c r="B458" s="1" t="s">
        <v>1537</v>
      </c>
      <c r="C458" s="1" t="s">
        <v>1065</v>
      </c>
      <c r="D458" s="1" t="s">
        <v>5</v>
      </c>
      <c r="E458" s="15">
        <f t="shared" si="2"/>
        <v>167.1</v>
      </c>
      <c r="F458" s="16">
        <f t="shared" si="3"/>
        <v>5.967857143</v>
      </c>
      <c r="G458" s="1">
        <v>28.0</v>
      </c>
      <c r="N458" s="12"/>
      <c r="R458" s="1">
        <v>12.0</v>
      </c>
      <c r="S458" s="1">
        <v>67.0</v>
      </c>
      <c r="T458" s="12">
        <v>742.0</v>
      </c>
      <c r="U458" s="1">
        <v>3.0</v>
      </c>
    </row>
    <row r="459">
      <c r="A459" s="1">
        <f t="shared" si="1"/>
        <v>457</v>
      </c>
      <c r="B459" s="1" t="s">
        <v>2291</v>
      </c>
      <c r="C459" s="1" t="s">
        <v>1036</v>
      </c>
      <c r="D459" s="1" t="s">
        <v>66</v>
      </c>
      <c r="E459" s="15">
        <f t="shared" si="2"/>
        <v>166.5</v>
      </c>
      <c r="F459" s="16">
        <f t="shared" si="3"/>
        <v>2.6015625</v>
      </c>
      <c r="G459" s="1">
        <v>64.0</v>
      </c>
      <c r="H459" s="1">
        <v>1.0</v>
      </c>
      <c r="I459" s="1">
        <v>20.0</v>
      </c>
      <c r="J459" s="1">
        <v>21.0</v>
      </c>
      <c r="K459" s="1">
        <v>79.0</v>
      </c>
      <c r="L459" s="1">
        <v>0.0</v>
      </c>
      <c r="M459" s="1">
        <v>2.0</v>
      </c>
      <c r="N459" s="1">
        <v>0.0</v>
      </c>
      <c r="O459" s="1">
        <v>0.0</v>
      </c>
      <c r="P459" s="1">
        <v>22.0</v>
      </c>
      <c r="Q459" s="1">
        <v>114.0</v>
      </c>
    </row>
    <row r="460">
      <c r="A460" s="1">
        <f t="shared" si="1"/>
        <v>457</v>
      </c>
      <c r="B460" s="1" t="s">
        <v>1426</v>
      </c>
      <c r="C460" s="1" t="s">
        <v>1087</v>
      </c>
      <c r="D460" s="1" t="s">
        <v>31</v>
      </c>
      <c r="E460" s="15">
        <f t="shared" si="2"/>
        <v>166.5</v>
      </c>
      <c r="F460" s="16">
        <f t="shared" si="3"/>
        <v>2.25</v>
      </c>
      <c r="G460" s="1">
        <v>74.0</v>
      </c>
      <c r="H460" s="1">
        <v>10.0</v>
      </c>
      <c r="I460" s="1">
        <v>6.0</v>
      </c>
      <c r="J460" s="1">
        <v>16.0</v>
      </c>
      <c r="K460" s="1">
        <v>91.0</v>
      </c>
      <c r="L460" s="1">
        <v>0.0</v>
      </c>
      <c r="M460" s="1">
        <v>0.0</v>
      </c>
      <c r="N460" s="1">
        <v>1.0</v>
      </c>
      <c r="O460" s="1">
        <v>0.0</v>
      </c>
      <c r="P460" s="1">
        <v>138.0</v>
      </c>
      <c r="Q460" s="1">
        <v>43.0</v>
      </c>
    </row>
    <row r="461">
      <c r="A461" s="1">
        <f t="shared" si="1"/>
        <v>459</v>
      </c>
      <c r="B461" s="1" t="s">
        <v>1737</v>
      </c>
      <c r="C461" s="1" t="s">
        <v>1052</v>
      </c>
      <c r="D461" s="1" t="s">
        <v>66</v>
      </c>
      <c r="E461" s="15">
        <f t="shared" si="2"/>
        <v>166.25</v>
      </c>
      <c r="F461" s="16">
        <f t="shared" si="3"/>
        <v>2.131410256</v>
      </c>
      <c r="G461" s="1">
        <v>78.0</v>
      </c>
      <c r="H461" s="1">
        <v>4.0</v>
      </c>
      <c r="I461" s="1">
        <v>9.0</v>
      </c>
      <c r="J461" s="1">
        <v>13.0</v>
      </c>
      <c r="K461" s="1">
        <v>82.0</v>
      </c>
      <c r="L461" s="1">
        <v>0.0</v>
      </c>
      <c r="M461" s="1">
        <v>0.0</v>
      </c>
      <c r="N461" s="1">
        <v>0.0</v>
      </c>
      <c r="O461" s="1">
        <v>0.0</v>
      </c>
      <c r="P461" s="1">
        <v>149.0</v>
      </c>
      <c r="Q461" s="1">
        <v>86.0</v>
      </c>
    </row>
    <row r="462">
      <c r="A462" s="1">
        <f t="shared" si="1"/>
        <v>459</v>
      </c>
      <c r="B462" s="1" t="s">
        <v>1624</v>
      </c>
      <c r="C462" s="1" t="s">
        <v>1040</v>
      </c>
      <c r="D462" s="1" t="s">
        <v>31</v>
      </c>
      <c r="E462" s="15">
        <f t="shared" si="2"/>
        <v>166.25</v>
      </c>
      <c r="F462" s="16">
        <f t="shared" si="3"/>
        <v>2.86637931</v>
      </c>
      <c r="G462" s="1">
        <v>58.0</v>
      </c>
      <c r="H462" s="1">
        <v>7.0</v>
      </c>
      <c r="I462" s="1">
        <v>8.0</v>
      </c>
      <c r="J462" s="1">
        <v>15.0</v>
      </c>
      <c r="K462" s="1">
        <v>101.0</v>
      </c>
      <c r="L462" s="1">
        <v>0.0</v>
      </c>
      <c r="M462" s="1">
        <v>0.0</v>
      </c>
      <c r="N462" s="1">
        <v>1.0</v>
      </c>
      <c r="O462" s="1">
        <v>0.0</v>
      </c>
      <c r="P462" s="1">
        <v>117.0</v>
      </c>
      <c r="Q462" s="1">
        <v>58.0</v>
      </c>
    </row>
    <row r="463">
      <c r="A463" s="1">
        <f t="shared" si="1"/>
        <v>461</v>
      </c>
      <c r="B463" s="1" t="s">
        <v>1301</v>
      </c>
      <c r="C463" s="1" t="s">
        <v>1116</v>
      </c>
      <c r="D463" s="1" t="s">
        <v>66</v>
      </c>
      <c r="E463" s="15">
        <f t="shared" si="2"/>
        <v>165.75</v>
      </c>
      <c r="F463" s="16">
        <f t="shared" si="3"/>
        <v>2.180921053</v>
      </c>
      <c r="G463" s="1">
        <v>76.0</v>
      </c>
      <c r="H463" s="1">
        <v>1.0</v>
      </c>
      <c r="I463" s="1">
        <v>12.0</v>
      </c>
      <c r="J463" s="1">
        <v>13.0</v>
      </c>
      <c r="K463" s="1">
        <v>78.0</v>
      </c>
      <c r="L463" s="1">
        <v>0.0</v>
      </c>
      <c r="M463" s="1">
        <v>0.0</v>
      </c>
      <c r="N463" s="1">
        <v>1.0</v>
      </c>
      <c r="O463" s="1">
        <v>1.0</v>
      </c>
      <c r="P463" s="1">
        <v>113.0</v>
      </c>
      <c r="Q463" s="1">
        <v>108.0</v>
      </c>
    </row>
    <row r="464">
      <c r="A464" s="1">
        <f t="shared" si="1"/>
        <v>462</v>
      </c>
      <c r="B464" s="1" t="s">
        <v>1746</v>
      </c>
      <c r="C464" s="1" t="s">
        <v>1111</v>
      </c>
      <c r="D464" s="1" t="s">
        <v>31</v>
      </c>
      <c r="E464" s="15">
        <f t="shared" si="2"/>
        <v>165.5</v>
      </c>
      <c r="F464" s="16">
        <f t="shared" si="3"/>
        <v>2.758333333</v>
      </c>
      <c r="G464" s="1">
        <v>60.0</v>
      </c>
      <c r="H464" s="1">
        <v>10.0</v>
      </c>
      <c r="I464" s="1">
        <v>14.0</v>
      </c>
      <c r="J464" s="1">
        <v>24.0</v>
      </c>
      <c r="K464" s="1">
        <v>82.0</v>
      </c>
      <c r="L464" s="1">
        <v>2.0</v>
      </c>
      <c r="M464" s="1">
        <v>3.0</v>
      </c>
      <c r="N464" s="1">
        <v>0.0</v>
      </c>
      <c r="O464" s="1">
        <v>0.0</v>
      </c>
      <c r="P464" s="1">
        <v>84.0</v>
      </c>
      <c r="Q464" s="1">
        <v>33.0</v>
      </c>
    </row>
    <row r="465">
      <c r="A465" s="1">
        <f t="shared" si="1"/>
        <v>463</v>
      </c>
      <c r="B465" s="1" t="s">
        <v>1639</v>
      </c>
      <c r="C465" s="1" t="s">
        <v>1030</v>
      </c>
      <c r="D465" s="1" t="s">
        <v>31</v>
      </c>
      <c r="E465" s="15">
        <f t="shared" si="2"/>
        <v>165.25</v>
      </c>
      <c r="F465" s="16">
        <f t="shared" si="3"/>
        <v>2.233108108</v>
      </c>
      <c r="G465" s="1">
        <v>74.0</v>
      </c>
      <c r="H465" s="1">
        <v>9.0</v>
      </c>
      <c r="I465" s="1">
        <v>11.0</v>
      </c>
      <c r="J465" s="1">
        <v>20.0</v>
      </c>
      <c r="K465" s="1">
        <v>101.0</v>
      </c>
      <c r="L465" s="1">
        <v>1.0</v>
      </c>
      <c r="M465" s="1">
        <v>0.0</v>
      </c>
      <c r="N465" s="1">
        <v>1.0</v>
      </c>
      <c r="O465" s="1">
        <v>0.0</v>
      </c>
      <c r="P465" s="1">
        <v>99.0</v>
      </c>
      <c r="Q465" s="1">
        <v>29.0</v>
      </c>
    </row>
    <row r="466">
      <c r="A466" s="1">
        <f t="shared" si="1"/>
        <v>463</v>
      </c>
      <c r="B466" s="1" t="s">
        <v>1748</v>
      </c>
      <c r="C466" s="1" t="s">
        <v>1038</v>
      </c>
      <c r="D466" s="1" t="s">
        <v>66</v>
      </c>
      <c r="E466" s="15">
        <f t="shared" si="2"/>
        <v>165.25</v>
      </c>
      <c r="F466" s="16">
        <f t="shared" si="3"/>
        <v>2.174342105</v>
      </c>
      <c r="G466" s="1">
        <v>76.0</v>
      </c>
      <c r="H466" s="1">
        <v>4.0</v>
      </c>
      <c r="I466" s="1">
        <v>10.0</v>
      </c>
      <c r="J466" s="1">
        <v>14.0</v>
      </c>
      <c r="K466" s="1">
        <v>64.0</v>
      </c>
      <c r="L466" s="1">
        <v>0.0</v>
      </c>
      <c r="M466" s="1">
        <v>0.0</v>
      </c>
      <c r="N466" s="1">
        <v>0.0</v>
      </c>
      <c r="O466" s="1">
        <v>1.0</v>
      </c>
      <c r="P466" s="1">
        <v>133.0</v>
      </c>
      <c r="Q466" s="1">
        <v>100.0</v>
      </c>
    </row>
    <row r="467">
      <c r="A467" s="1">
        <f t="shared" si="1"/>
        <v>463</v>
      </c>
      <c r="B467" s="1" t="s">
        <v>1813</v>
      </c>
      <c r="C467" s="1" t="s">
        <v>1116</v>
      </c>
      <c r="D467" s="1" t="s">
        <v>66</v>
      </c>
      <c r="E467" s="15">
        <f t="shared" si="2"/>
        <v>165.25</v>
      </c>
      <c r="F467" s="16">
        <f t="shared" si="3"/>
        <v>2.849137931</v>
      </c>
      <c r="G467" s="1">
        <v>58.0</v>
      </c>
      <c r="H467" s="1">
        <v>1.0</v>
      </c>
      <c r="I467" s="1">
        <v>12.0</v>
      </c>
      <c r="J467" s="1">
        <v>13.0</v>
      </c>
      <c r="K467" s="1">
        <v>80.0</v>
      </c>
      <c r="L467" s="1">
        <v>0.0</v>
      </c>
      <c r="M467" s="1">
        <v>0.0</v>
      </c>
      <c r="N467" s="1">
        <v>0.0</v>
      </c>
      <c r="O467" s="1">
        <v>1.0</v>
      </c>
      <c r="P467" s="1">
        <v>131.0</v>
      </c>
      <c r="Q467" s="1">
        <v>100.0</v>
      </c>
    </row>
    <row r="468">
      <c r="A468" s="1">
        <f t="shared" si="1"/>
        <v>466</v>
      </c>
      <c r="B468" s="1" t="s">
        <v>1863</v>
      </c>
      <c r="C468" s="1" t="s">
        <v>1040</v>
      </c>
      <c r="D468" s="1" t="s">
        <v>31</v>
      </c>
      <c r="E468" s="15">
        <f t="shared" si="2"/>
        <v>165</v>
      </c>
      <c r="F468" s="16">
        <f t="shared" si="3"/>
        <v>2.462686567</v>
      </c>
      <c r="G468" s="1">
        <v>67.0</v>
      </c>
      <c r="H468" s="1">
        <v>8.0</v>
      </c>
      <c r="I468" s="1">
        <v>14.0</v>
      </c>
      <c r="J468" s="1">
        <v>22.0</v>
      </c>
      <c r="K468" s="1">
        <v>135.0</v>
      </c>
      <c r="L468" s="1">
        <v>0.0</v>
      </c>
      <c r="M468" s="1">
        <v>1.0</v>
      </c>
      <c r="N468" s="1">
        <v>0.0</v>
      </c>
      <c r="O468" s="1">
        <v>0.0</v>
      </c>
      <c r="P468" s="1">
        <v>24.0</v>
      </c>
      <c r="Q468" s="1">
        <v>27.0</v>
      </c>
    </row>
    <row r="469">
      <c r="A469" s="1">
        <f t="shared" si="1"/>
        <v>467</v>
      </c>
      <c r="B469" s="1" t="s">
        <v>1493</v>
      </c>
      <c r="C469" s="1" t="s">
        <v>1054</v>
      </c>
      <c r="D469" s="1" t="s">
        <v>28</v>
      </c>
      <c r="E469" s="15">
        <f t="shared" si="2"/>
        <v>164.75</v>
      </c>
      <c r="F469" s="16">
        <f t="shared" si="3"/>
        <v>2.059375</v>
      </c>
      <c r="G469" s="1">
        <v>80.0</v>
      </c>
      <c r="H469" s="1">
        <v>6.0</v>
      </c>
      <c r="I469" s="1">
        <v>11.0</v>
      </c>
      <c r="J469" s="1">
        <v>17.0</v>
      </c>
      <c r="K469" s="1">
        <v>91.0</v>
      </c>
      <c r="L469" s="1">
        <v>0.0</v>
      </c>
      <c r="M469" s="1">
        <v>0.0</v>
      </c>
      <c r="N469" s="1">
        <v>0.0</v>
      </c>
      <c r="O469" s="1">
        <v>0.0</v>
      </c>
      <c r="P469" s="1">
        <v>201.0</v>
      </c>
      <c r="Q469" s="1">
        <v>18.0</v>
      </c>
    </row>
    <row r="470">
      <c r="A470" s="1">
        <f t="shared" si="1"/>
        <v>468</v>
      </c>
      <c r="B470" s="1" t="s">
        <v>2292</v>
      </c>
      <c r="C470" s="1" t="s">
        <v>1085</v>
      </c>
      <c r="D470" s="1" t="s">
        <v>28</v>
      </c>
      <c r="E470" s="15">
        <f t="shared" si="2"/>
        <v>163.75</v>
      </c>
      <c r="F470" s="16">
        <f t="shared" si="3"/>
        <v>2.154605263</v>
      </c>
      <c r="G470" s="1">
        <v>76.0</v>
      </c>
      <c r="H470" s="1">
        <v>7.0</v>
      </c>
      <c r="I470" s="1">
        <v>9.0</v>
      </c>
      <c r="J470" s="1">
        <v>16.0</v>
      </c>
      <c r="K470" s="1">
        <v>94.0</v>
      </c>
      <c r="L470" s="1">
        <v>0.0</v>
      </c>
      <c r="M470" s="1">
        <v>0.0</v>
      </c>
      <c r="N470" s="1">
        <v>1.0</v>
      </c>
      <c r="O470" s="1">
        <v>2.0</v>
      </c>
      <c r="P470" s="1">
        <v>141.0</v>
      </c>
      <c r="Q470" s="1">
        <v>34.0</v>
      </c>
    </row>
    <row r="471">
      <c r="A471" s="1">
        <f t="shared" si="1"/>
        <v>469</v>
      </c>
      <c r="B471" s="1" t="s">
        <v>1187</v>
      </c>
      <c r="C471" s="1" t="s">
        <v>1069</v>
      </c>
      <c r="D471" s="1" t="s">
        <v>31</v>
      </c>
      <c r="E471" s="15">
        <f t="shared" si="2"/>
        <v>163.25</v>
      </c>
      <c r="F471" s="16">
        <f t="shared" si="3"/>
        <v>2.511538462</v>
      </c>
      <c r="G471" s="1">
        <v>65.0</v>
      </c>
      <c r="H471" s="1">
        <v>8.0</v>
      </c>
      <c r="I471" s="1">
        <v>15.0</v>
      </c>
      <c r="J471" s="1">
        <v>23.0</v>
      </c>
      <c r="K471" s="1">
        <v>111.0</v>
      </c>
      <c r="L471" s="1">
        <v>5.0</v>
      </c>
      <c r="M471" s="1">
        <v>8.0</v>
      </c>
      <c r="N471" s="1">
        <v>0.0</v>
      </c>
      <c r="O471" s="1">
        <v>0.0</v>
      </c>
      <c r="P471" s="1">
        <v>59.0</v>
      </c>
      <c r="Q471" s="1">
        <v>24.0</v>
      </c>
    </row>
    <row r="472">
      <c r="A472" s="1">
        <f t="shared" si="1"/>
        <v>469</v>
      </c>
      <c r="B472" s="1" t="s">
        <v>1573</v>
      </c>
      <c r="C472" s="1" t="s">
        <v>1076</v>
      </c>
      <c r="D472" s="1" t="s">
        <v>31</v>
      </c>
      <c r="E472" s="15">
        <f t="shared" si="2"/>
        <v>163.25</v>
      </c>
      <c r="F472" s="16">
        <f t="shared" si="3"/>
        <v>2.12012987</v>
      </c>
      <c r="G472" s="1">
        <v>77.0</v>
      </c>
      <c r="H472" s="1">
        <v>6.0</v>
      </c>
      <c r="I472" s="1">
        <v>14.0</v>
      </c>
      <c r="J472" s="1">
        <v>20.0</v>
      </c>
      <c r="K472" s="1">
        <v>78.0</v>
      </c>
      <c r="L472" s="1">
        <v>0.0</v>
      </c>
      <c r="M472" s="1">
        <v>0.0</v>
      </c>
      <c r="N472" s="1">
        <v>0.0</v>
      </c>
      <c r="O472" s="1">
        <v>1.0</v>
      </c>
      <c r="P472" s="1">
        <v>145.0</v>
      </c>
      <c r="Q472" s="1">
        <v>34.0</v>
      </c>
    </row>
    <row r="473">
      <c r="A473" s="1">
        <f t="shared" si="1"/>
        <v>471</v>
      </c>
      <c r="B473" s="1" t="s">
        <v>1703</v>
      </c>
      <c r="C473" s="1" t="s">
        <v>1054</v>
      </c>
      <c r="D473" s="1" t="s">
        <v>66</v>
      </c>
      <c r="E473" s="15">
        <f t="shared" si="2"/>
        <v>163</v>
      </c>
      <c r="F473" s="16">
        <f t="shared" si="3"/>
        <v>2.362318841</v>
      </c>
      <c r="G473" s="1">
        <v>69.0</v>
      </c>
      <c r="H473" s="1">
        <v>4.0</v>
      </c>
      <c r="I473" s="1">
        <v>16.0</v>
      </c>
      <c r="J473" s="1">
        <v>20.0</v>
      </c>
      <c r="K473" s="1">
        <v>59.0</v>
      </c>
      <c r="L473" s="1">
        <v>0.0</v>
      </c>
      <c r="M473" s="1">
        <v>0.0</v>
      </c>
      <c r="N473" s="1">
        <v>0.0</v>
      </c>
      <c r="O473" s="1">
        <v>0.0</v>
      </c>
      <c r="P473" s="1">
        <v>46.0</v>
      </c>
      <c r="Q473" s="1">
        <v>112.0</v>
      </c>
    </row>
    <row r="474">
      <c r="A474" s="1">
        <f t="shared" si="1"/>
        <v>471</v>
      </c>
      <c r="B474" s="1" t="s">
        <v>1621</v>
      </c>
      <c r="C474" s="1" t="s">
        <v>1078</v>
      </c>
      <c r="D474" s="1" t="s">
        <v>28</v>
      </c>
      <c r="E474" s="15">
        <f t="shared" si="2"/>
        <v>163</v>
      </c>
      <c r="F474" s="16">
        <f t="shared" si="3"/>
        <v>2.328571429</v>
      </c>
      <c r="G474" s="1">
        <v>70.0</v>
      </c>
      <c r="H474" s="1">
        <v>10.0</v>
      </c>
      <c r="I474" s="1">
        <v>14.0</v>
      </c>
      <c r="J474" s="1">
        <v>24.0</v>
      </c>
      <c r="K474" s="1">
        <v>91.0</v>
      </c>
      <c r="L474" s="1">
        <v>0.0</v>
      </c>
      <c r="M474" s="1">
        <v>0.0</v>
      </c>
      <c r="N474" s="1">
        <v>1.0</v>
      </c>
      <c r="O474" s="1">
        <v>2.0</v>
      </c>
      <c r="P474" s="1">
        <v>74.0</v>
      </c>
      <c r="Q474" s="1">
        <v>12.0</v>
      </c>
    </row>
    <row r="475">
      <c r="A475" s="1">
        <f t="shared" si="1"/>
        <v>473</v>
      </c>
      <c r="B475" s="1" t="s">
        <v>1605</v>
      </c>
      <c r="C475" s="1" t="s">
        <v>1082</v>
      </c>
      <c r="D475" s="1" t="s">
        <v>66</v>
      </c>
      <c r="E475" s="15">
        <f t="shared" si="2"/>
        <v>162.75</v>
      </c>
      <c r="F475" s="16">
        <f t="shared" si="3"/>
        <v>2.260416667</v>
      </c>
      <c r="G475" s="1">
        <v>72.0</v>
      </c>
      <c r="H475" s="1">
        <v>1.0</v>
      </c>
      <c r="I475" s="1">
        <v>16.0</v>
      </c>
      <c r="J475" s="1">
        <v>17.0</v>
      </c>
      <c r="K475" s="1">
        <v>75.0</v>
      </c>
      <c r="L475" s="1">
        <v>0.0</v>
      </c>
      <c r="M475" s="1">
        <v>0.0</v>
      </c>
      <c r="N475" s="1">
        <v>0.0</v>
      </c>
      <c r="O475" s="1">
        <v>1.0</v>
      </c>
      <c r="P475" s="1">
        <v>25.0</v>
      </c>
      <c r="Q475" s="1">
        <v>129.0</v>
      </c>
    </row>
    <row r="476">
      <c r="A476" s="1">
        <f t="shared" si="1"/>
        <v>474</v>
      </c>
      <c r="B476" s="1" t="s">
        <v>2293</v>
      </c>
      <c r="C476" s="1" t="s">
        <v>1087</v>
      </c>
      <c r="D476" s="1" t="s">
        <v>66</v>
      </c>
      <c r="E476" s="15">
        <f t="shared" si="2"/>
        <v>161.75</v>
      </c>
      <c r="F476" s="16">
        <f t="shared" si="3"/>
        <v>2.246527778</v>
      </c>
      <c r="G476" s="1">
        <v>72.0</v>
      </c>
      <c r="H476" s="1">
        <v>2.0</v>
      </c>
      <c r="I476" s="1">
        <v>12.0</v>
      </c>
      <c r="J476" s="1">
        <v>14.0</v>
      </c>
      <c r="K476" s="1">
        <v>81.0</v>
      </c>
      <c r="L476" s="1">
        <v>0.0</v>
      </c>
      <c r="M476" s="1">
        <v>0.0</v>
      </c>
      <c r="N476" s="1">
        <v>0.0</v>
      </c>
      <c r="O476" s="1">
        <v>0.0</v>
      </c>
      <c r="P476" s="1">
        <v>125.0</v>
      </c>
      <c r="Q476" s="1">
        <v>90.0</v>
      </c>
    </row>
    <row r="477">
      <c r="A477" s="1">
        <f t="shared" si="1"/>
        <v>474</v>
      </c>
      <c r="B477" s="1" t="s">
        <v>1401</v>
      </c>
      <c r="C477" s="1" t="s">
        <v>1087</v>
      </c>
      <c r="D477" s="1" t="s">
        <v>36</v>
      </c>
      <c r="E477" s="15">
        <f t="shared" si="2"/>
        <v>161.75</v>
      </c>
      <c r="F477" s="16">
        <f t="shared" si="3"/>
        <v>2.741525424</v>
      </c>
      <c r="G477" s="1">
        <v>59.0</v>
      </c>
      <c r="H477" s="1">
        <v>6.0</v>
      </c>
      <c r="I477" s="1">
        <v>9.0</v>
      </c>
      <c r="J477" s="1">
        <v>15.0</v>
      </c>
      <c r="K477" s="1">
        <v>74.0</v>
      </c>
      <c r="L477" s="1">
        <v>0.0</v>
      </c>
      <c r="M477" s="1">
        <v>0.0</v>
      </c>
      <c r="N477" s="1">
        <v>1.0</v>
      </c>
      <c r="O477" s="1">
        <v>0.0</v>
      </c>
      <c r="P477" s="1">
        <v>229.0</v>
      </c>
      <c r="Q477" s="1">
        <v>23.0</v>
      </c>
    </row>
    <row r="478">
      <c r="A478" s="1">
        <f t="shared" si="1"/>
        <v>476</v>
      </c>
      <c r="B478" s="1" t="s">
        <v>1525</v>
      </c>
      <c r="C478" s="1" t="s">
        <v>1042</v>
      </c>
      <c r="D478" s="1" t="s">
        <v>31</v>
      </c>
      <c r="E478" s="15">
        <f t="shared" si="2"/>
        <v>161.5</v>
      </c>
      <c r="F478" s="16">
        <f t="shared" si="3"/>
        <v>2.375</v>
      </c>
      <c r="G478" s="1">
        <v>68.0</v>
      </c>
      <c r="H478" s="1">
        <v>9.0</v>
      </c>
      <c r="I478" s="1">
        <v>13.0</v>
      </c>
      <c r="J478" s="1">
        <v>22.0</v>
      </c>
      <c r="K478" s="1">
        <v>103.0</v>
      </c>
      <c r="L478" s="1">
        <v>3.0</v>
      </c>
      <c r="M478" s="1">
        <v>1.0</v>
      </c>
      <c r="N478" s="1">
        <v>0.0</v>
      </c>
      <c r="O478" s="1">
        <v>0.0</v>
      </c>
      <c r="P478" s="1">
        <v>66.0</v>
      </c>
      <c r="Q478" s="1">
        <v>28.0</v>
      </c>
    </row>
    <row r="479">
      <c r="A479" s="1">
        <f t="shared" si="1"/>
        <v>477</v>
      </c>
      <c r="B479" s="1" t="s">
        <v>2294</v>
      </c>
      <c r="C479" s="1" t="s">
        <v>1570</v>
      </c>
      <c r="D479" s="1" t="s">
        <v>31</v>
      </c>
      <c r="E479" s="15">
        <f t="shared" si="2"/>
        <v>161.25</v>
      </c>
      <c r="F479" s="16">
        <f t="shared" si="3"/>
        <v>2.271126761</v>
      </c>
      <c r="G479" s="1">
        <v>71.0</v>
      </c>
      <c r="H479" s="1">
        <v>12.0</v>
      </c>
      <c r="I479" s="1">
        <v>13.0</v>
      </c>
      <c r="J479" s="1">
        <v>25.0</v>
      </c>
      <c r="K479" s="1">
        <v>97.0</v>
      </c>
      <c r="L479" s="1">
        <v>3.0</v>
      </c>
      <c r="M479" s="1">
        <v>7.0</v>
      </c>
      <c r="N479" s="1">
        <v>0.0</v>
      </c>
      <c r="O479" s="1">
        <v>0.0</v>
      </c>
      <c r="P479" s="1">
        <v>31.0</v>
      </c>
      <c r="Q479" s="1">
        <v>24.0</v>
      </c>
    </row>
    <row r="480">
      <c r="A480" s="1">
        <f t="shared" si="1"/>
        <v>477</v>
      </c>
      <c r="B480" s="1" t="s">
        <v>1476</v>
      </c>
      <c r="C480" s="1" t="s">
        <v>1034</v>
      </c>
      <c r="D480" s="1" t="s">
        <v>66</v>
      </c>
      <c r="E480" s="15">
        <f t="shared" si="2"/>
        <v>161.25</v>
      </c>
      <c r="F480" s="16">
        <f t="shared" si="3"/>
        <v>2.931818182</v>
      </c>
      <c r="G480" s="1">
        <v>55.0</v>
      </c>
      <c r="H480" s="1">
        <v>1.0</v>
      </c>
      <c r="I480" s="1">
        <v>12.0</v>
      </c>
      <c r="J480" s="1">
        <v>13.0</v>
      </c>
      <c r="K480" s="1">
        <v>86.0</v>
      </c>
      <c r="L480" s="1">
        <v>0.0</v>
      </c>
      <c r="M480" s="1">
        <v>0.0</v>
      </c>
      <c r="N480" s="1">
        <v>0.0</v>
      </c>
      <c r="O480" s="1">
        <v>0.0</v>
      </c>
      <c r="P480" s="1">
        <v>165.0</v>
      </c>
      <c r="Q480" s="1">
        <v>73.0</v>
      </c>
    </row>
    <row r="481">
      <c r="A481" s="1">
        <f t="shared" si="1"/>
        <v>479</v>
      </c>
      <c r="B481" s="1" t="s">
        <v>2141</v>
      </c>
      <c r="C481" s="1" t="s">
        <v>1046</v>
      </c>
      <c r="D481" s="1" t="s">
        <v>36</v>
      </c>
      <c r="E481" s="15">
        <f t="shared" si="2"/>
        <v>160.5</v>
      </c>
      <c r="F481" s="16">
        <f t="shared" si="3"/>
        <v>2.395522388</v>
      </c>
      <c r="G481" s="1">
        <v>67.0</v>
      </c>
      <c r="H481" s="1">
        <v>13.0</v>
      </c>
      <c r="I481" s="1">
        <v>9.0</v>
      </c>
      <c r="J481" s="1">
        <v>22.0</v>
      </c>
      <c r="K481" s="1">
        <v>98.0</v>
      </c>
      <c r="L481" s="1">
        <v>6.0</v>
      </c>
      <c r="M481" s="1">
        <v>4.0</v>
      </c>
      <c r="N481" s="1">
        <v>0.0</v>
      </c>
      <c r="O481" s="1">
        <v>0.0</v>
      </c>
      <c r="P481" s="1">
        <v>68.0</v>
      </c>
      <c r="Q481" s="1">
        <v>18.0</v>
      </c>
    </row>
    <row r="482">
      <c r="A482" s="1">
        <f t="shared" si="1"/>
        <v>480</v>
      </c>
      <c r="B482" s="1" t="s">
        <v>1451</v>
      </c>
      <c r="C482" s="1" t="s">
        <v>1080</v>
      </c>
      <c r="D482" s="1" t="s">
        <v>66</v>
      </c>
      <c r="E482" s="15">
        <f t="shared" si="2"/>
        <v>160.25</v>
      </c>
      <c r="F482" s="16">
        <f t="shared" si="3"/>
        <v>3.081730769</v>
      </c>
      <c r="G482" s="1">
        <v>52.0</v>
      </c>
      <c r="H482" s="1">
        <v>4.0</v>
      </c>
      <c r="I482" s="1">
        <v>10.0</v>
      </c>
      <c r="J482" s="1">
        <v>14.0</v>
      </c>
      <c r="K482" s="1">
        <v>116.0</v>
      </c>
      <c r="L482" s="1">
        <v>0.0</v>
      </c>
      <c r="M482" s="1">
        <v>0.0</v>
      </c>
      <c r="N482" s="1">
        <v>0.0</v>
      </c>
      <c r="O482" s="1">
        <v>0.0</v>
      </c>
      <c r="P482" s="1">
        <v>57.0</v>
      </c>
      <c r="Q482" s="1">
        <v>80.0</v>
      </c>
    </row>
    <row r="483">
      <c r="A483" s="1">
        <f t="shared" si="1"/>
        <v>480</v>
      </c>
      <c r="B483" s="1" t="s">
        <v>1501</v>
      </c>
      <c r="C483" s="1" t="s">
        <v>1034</v>
      </c>
      <c r="D483" s="1" t="s">
        <v>66</v>
      </c>
      <c r="E483" s="15">
        <f t="shared" si="2"/>
        <v>160.25</v>
      </c>
      <c r="F483" s="16">
        <f t="shared" si="3"/>
        <v>2.108552632</v>
      </c>
      <c r="G483" s="1">
        <v>76.0</v>
      </c>
      <c r="H483" s="1">
        <v>3.0</v>
      </c>
      <c r="I483" s="1">
        <v>15.0</v>
      </c>
      <c r="J483" s="1">
        <v>18.0</v>
      </c>
      <c r="K483" s="1">
        <v>86.0</v>
      </c>
      <c r="L483" s="1">
        <v>0.0</v>
      </c>
      <c r="M483" s="1">
        <v>0.0</v>
      </c>
      <c r="N483" s="1">
        <v>0.0</v>
      </c>
      <c r="O483" s="1">
        <v>0.0</v>
      </c>
      <c r="P483" s="1">
        <v>93.0</v>
      </c>
      <c r="Q483" s="1">
        <v>71.0</v>
      </c>
    </row>
    <row r="484">
      <c r="A484" s="1">
        <f t="shared" si="1"/>
        <v>482</v>
      </c>
      <c r="B484" s="1" t="s">
        <v>2097</v>
      </c>
      <c r="C484" s="1" t="s">
        <v>1067</v>
      </c>
      <c r="D484" s="1" t="s">
        <v>5</v>
      </c>
      <c r="E484" s="15">
        <f t="shared" si="2"/>
        <v>159.9</v>
      </c>
      <c r="F484" s="16">
        <f t="shared" si="3"/>
        <v>5.158064516</v>
      </c>
      <c r="G484" s="1">
        <v>31.0</v>
      </c>
      <c r="N484" s="12"/>
      <c r="R484" s="1">
        <v>17.0</v>
      </c>
      <c r="S484" s="1">
        <v>97.0</v>
      </c>
      <c r="T484" s="12">
        <v>848.0</v>
      </c>
      <c r="U484" s="1">
        <v>0.0</v>
      </c>
    </row>
    <row r="485">
      <c r="A485" s="1">
        <f t="shared" si="1"/>
        <v>483</v>
      </c>
      <c r="B485" s="1" t="s">
        <v>2135</v>
      </c>
      <c r="C485" s="1" t="s">
        <v>1097</v>
      </c>
      <c r="D485" s="1" t="s">
        <v>66</v>
      </c>
      <c r="E485" s="15">
        <f t="shared" si="2"/>
        <v>159</v>
      </c>
      <c r="F485" s="16">
        <f t="shared" si="3"/>
        <v>2.484375</v>
      </c>
      <c r="G485" s="1">
        <v>64.0</v>
      </c>
      <c r="H485" s="1">
        <v>4.0</v>
      </c>
      <c r="I485" s="1">
        <v>23.0</v>
      </c>
      <c r="J485" s="1">
        <v>27.0</v>
      </c>
      <c r="K485" s="1">
        <v>76.0</v>
      </c>
      <c r="L485" s="1">
        <v>0.0</v>
      </c>
      <c r="M485" s="1">
        <v>12.0</v>
      </c>
      <c r="N485" s="1">
        <v>0.0</v>
      </c>
      <c r="O485" s="1">
        <v>0.0</v>
      </c>
      <c r="P485" s="1">
        <v>44.0</v>
      </c>
      <c r="Q485" s="1">
        <v>46.0</v>
      </c>
    </row>
    <row r="486">
      <c r="A486" s="1">
        <f t="shared" si="1"/>
        <v>484</v>
      </c>
      <c r="B486" s="1" t="s">
        <v>2295</v>
      </c>
      <c r="C486" s="1" t="s">
        <v>1044</v>
      </c>
      <c r="D486" s="1" t="s">
        <v>28</v>
      </c>
      <c r="E486" s="15">
        <f t="shared" si="2"/>
        <v>158</v>
      </c>
      <c r="F486" s="16">
        <f t="shared" si="3"/>
        <v>2.771929825</v>
      </c>
      <c r="G486" s="1">
        <v>57.0</v>
      </c>
      <c r="H486" s="1">
        <v>8.0</v>
      </c>
      <c r="I486" s="1">
        <v>16.0</v>
      </c>
      <c r="J486" s="1">
        <v>24.0</v>
      </c>
      <c r="K486" s="1">
        <v>89.0</v>
      </c>
      <c r="L486" s="1">
        <v>1.0</v>
      </c>
      <c r="M486" s="1">
        <v>3.0</v>
      </c>
      <c r="N486" s="1">
        <v>0.0</v>
      </c>
      <c r="O486" s="1">
        <v>0.0</v>
      </c>
      <c r="P486" s="1">
        <v>70.0</v>
      </c>
      <c r="Q486" s="1">
        <v>24.0</v>
      </c>
    </row>
    <row r="487">
      <c r="A487" s="1">
        <f t="shared" si="1"/>
        <v>485</v>
      </c>
      <c r="B487" s="1" t="s">
        <v>1271</v>
      </c>
      <c r="C487" s="1" t="s">
        <v>1080</v>
      </c>
      <c r="D487" s="1" t="s">
        <v>36</v>
      </c>
      <c r="E487" s="15">
        <f t="shared" si="2"/>
        <v>157.75</v>
      </c>
      <c r="F487" s="16">
        <f t="shared" si="3"/>
        <v>4.263513514</v>
      </c>
      <c r="G487" s="1">
        <v>37.0</v>
      </c>
      <c r="H487" s="1">
        <v>9.0</v>
      </c>
      <c r="I487" s="1">
        <v>21.0</v>
      </c>
      <c r="J487" s="1">
        <v>30.0</v>
      </c>
      <c r="K487" s="1">
        <v>71.0</v>
      </c>
      <c r="L487" s="1">
        <v>3.0</v>
      </c>
      <c r="M487" s="1">
        <v>3.0</v>
      </c>
      <c r="N487" s="1">
        <v>0.0</v>
      </c>
      <c r="O487" s="1">
        <v>1.0</v>
      </c>
      <c r="P487" s="1">
        <v>19.0</v>
      </c>
      <c r="Q487" s="1">
        <v>24.0</v>
      </c>
    </row>
    <row r="488">
      <c r="A488" s="1">
        <f t="shared" si="1"/>
        <v>485</v>
      </c>
      <c r="B488" s="1" t="s">
        <v>1692</v>
      </c>
      <c r="C488" s="1" t="s">
        <v>1080</v>
      </c>
      <c r="D488" s="1" t="s">
        <v>31</v>
      </c>
      <c r="E488" s="15">
        <f t="shared" si="2"/>
        <v>157.75</v>
      </c>
      <c r="F488" s="16">
        <f t="shared" si="3"/>
        <v>2.354477612</v>
      </c>
      <c r="G488" s="1">
        <v>67.0</v>
      </c>
      <c r="H488" s="1">
        <v>9.0</v>
      </c>
      <c r="I488" s="1">
        <v>16.0</v>
      </c>
      <c r="J488" s="1">
        <v>25.0</v>
      </c>
      <c r="K488" s="1">
        <v>89.0</v>
      </c>
      <c r="L488" s="1">
        <v>0.0</v>
      </c>
      <c r="M488" s="1">
        <v>0.0</v>
      </c>
      <c r="N488" s="1">
        <v>2.0</v>
      </c>
      <c r="O488" s="1">
        <v>1.0</v>
      </c>
      <c r="P488" s="1">
        <v>19.0</v>
      </c>
      <c r="Q488" s="1">
        <v>28.0</v>
      </c>
    </row>
    <row r="489">
      <c r="A489" s="1">
        <f t="shared" si="1"/>
        <v>487</v>
      </c>
      <c r="B489" s="1" t="s">
        <v>2296</v>
      </c>
      <c r="C489" s="1" t="s">
        <v>1175</v>
      </c>
      <c r="D489" s="1" t="s">
        <v>28</v>
      </c>
      <c r="E489" s="15">
        <f t="shared" si="2"/>
        <v>157.5</v>
      </c>
      <c r="F489" s="16">
        <f t="shared" si="3"/>
        <v>2.581967213</v>
      </c>
      <c r="G489" s="1">
        <v>61.0</v>
      </c>
      <c r="H489" s="1">
        <v>12.0</v>
      </c>
      <c r="I489" s="1">
        <v>10.0</v>
      </c>
      <c r="J489" s="1">
        <v>22.0</v>
      </c>
      <c r="K489" s="1">
        <v>105.0</v>
      </c>
      <c r="L489" s="1">
        <v>3.0</v>
      </c>
      <c r="M489" s="1">
        <v>4.0</v>
      </c>
      <c r="N489" s="1">
        <v>0.0</v>
      </c>
      <c r="O489" s="1">
        <v>0.0</v>
      </c>
      <c r="P489" s="1">
        <v>16.0</v>
      </c>
      <c r="Q489" s="1">
        <v>34.0</v>
      </c>
    </row>
    <row r="490">
      <c r="A490" s="1">
        <f t="shared" si="1"/>
        <v>488</v>
      </c>
      <c r="B490" s="1" t="s">
        <v>1227</v>
      </c>
      <c r="C490" s="1" t="s">
        <v>1038</v>
      </c>
      <c r="D490" s="1" t="s">
        <v>31</v>
      </c>
      <c r="E490" s="15">
        <f t="shared" si="2"/>
        <v>156.75</v>
      </c>
      <c r="F490" s="16">
        <f t="shared" si="3"/>
        <v>2.6125</v>
      </c>
      <c r="G490" s="1">
        <v>60.0</v>
      </c>
      <c r="H490" s="1">
        <v>8.0</v>
      </c>
      <c r="I490" s="1">
        <v>10.0</v>
      </c>
      <c r="J490" s="1">
        <v>18.0</v>
      </c>
      <c r="K490" s="1">
        <v>100.0</v>
      </c>
      <c r="L490" s="1">
        <v>0.0</v>
      </c>
      <c r="M490" s="1">
        <v>0.0</v>
      </c>
      <c r="N490" s="1">
        <v>0.0</v>
      </c>
      <c r="O490" s="1">
        <v>0.0</v>
      </c>
      <c r="P490" s="1">
        <v>119.0</v>
      </c>
      <c r="Q490" s="1">
        <v>22.0</v>
      </c>
    </row>
    <row r="491">
      <c r="A491" s="1">
        <f t="shared" si="1"/>
        <v>489</v>
      </c>
      <c r="B491" s="1" t="s">
        <v>1710</v>
      </c>
      <c r="C491" s="1" t="s">
        <v>1044</v>
      </c>
      <c r="D491" s="1" t="s">
        <v>66</v>
      </c>
      <c r="E491" s="15">
        <f t="shared" si="2"/>
        <v>156</v>
      </c>
      <c r="F491" s="16">
        <f t="shared" si="3"/>
        <v>2.516129032</v>
      </c>
      <c r="G491" s="1">
        <v>62.0</v>
      </c>
      <c r="H491" s="1">
        <v>2.0</v>
      </c>
      <c r="I491" s="1">
        <v>9.0</v>
      </c>
      <c r="J491" s="1">
        <v>11.0</v>
      </c>
      <c r="K491" s="1">
        <v>65.0</v>
      </c>
      <c r="L491" s="1">
        <v>0.0</v>
      </c>
      <c r="M491" s="1">
        <v>0.0</v>
      </c>
      <c r="N491" s="1">
        <v>0.0</v>
      </c>
      <c r="O491" s="1">
        <v>2.0</v>
      </c>
      <c r="P491" s="1">
        <v>128.0</v>
      </c>
      <c r="Q491" s="1">
        <v>103.0</v>
      </c>
    </row>
    <row r="492">
      <c r="A492" s="1">
        <f t="shared" si="1"/>
        <v>490</v>
      </c>
      <c r="B492" s="1" t="s">
        <v>1794</v>
      </c>
      <c r="C492" s="1" t="s">
        <v>1034</v>
      </c>
      <c r="D492" s="1" t="s">
        <v>31</v>
      </c>
      <c r="E492" s="15">
        <f t="shared" si="2"/>
        <v>155.5</v>
      </c>
      <c r="F492" s="16">
        <f t="shared" si="3"/>
        <v>1.94375</v>
      </c>
      <c r="G492" s="1">
        <v>80.0</v>
      </c>
      <c r="H492" s="1">
        <v>9.0</v>
      </c>
      <c r="I492" s="1">
        <v>11.0</v>
      </c>
      <c r="J492" s="1">
        <v>20.0</v>
      </c>
      <c r="K492" s="1">
        <v>72.0</v>
      </c>
      <c r="L492" s="1">
        <v>0.0</v>
      </c>
      <c r="M492" s="1">
        <v>0.0</v>
      </c>
      <c r="N492" s="1">
        <v>1.0</v>
      </c>
      <c r="O492" s="1">
        <v>0.0</v>
      </c>
      <c r="P492" s="1">
        <v>88.0</v>
      </c>
      <c r="Q492" s="1">
        <v>44.0</v>
      </c>
    </row>
    <row r="493">
      <c r="A493" s="1">
        <f t="shared" si="1"/>
        <v>491</v>
      </c>
      <c r="B493" s="1" t="s">
        <v>1413</v>
      </c>
      <c r="C493" s="1" t="s">
        <v>1106</v>
      </c>
      <c r="D493" s="1" t="s">
        <v>66</v>
      </c>
      <c r="E493" s="15">
        <f t="shared" si="2"/>
        <v>154.75</v>
      </c>
      <c r="F493" s="16">
        <f t="shared" si="3"/>
        <v>2.063333333</v>
      </c>
      <c r="G493" s="1">
        <v>75.0</v>
      </c>
      <c r="H493" s="1">
        <v>3.0</v>
      </c>
      <c r="I493" s="1">
        <v>21.0</v>
      </c>
      <c r="J493" s="1">
        <v>24.0</v>
      </c>
      <c r="K493" s="1">
        <v>71.0</v>
      </c>
      <c r="L493" s="1">
        <v>0.0</v>
      </c>
      <c r="M493" s="1">
        <v>6.0</v>
      </c>
      <c r="N493" s="1">
        <v>0.0</v>
      </c>
      <c r="O493" s="1">
        <v>0.0</v>
      </c>
      <c r="P493" s="1">
        <v>37.0</v>
      </c>
      <c r="Q493" s="1">
        <v>67.0</v>
      </c>
    </row>
    <row r="494">
      <c r="A494" s="1">
        <f t="shared" si="1"/>
        <v>491</v>
      </c>
      <c r="B494" s="1" t="s">
        <v>1764</v>
      </c>
      <c r="C494" s="1" t="s">
        <v>1054</v>
      </c>
      <c r="D494" s="1" t="s">
        <v>31</v>
      </c>
      <c r="E494" s="15">
        <f t="shared" si="2"/>
        <v>154.75</v>
      </c>
      <c r="F494" s="16">
        <f t="shared" si="3"/>
        <v>1.934375</v>
      </c>
      <c r="G494" s="1">
        <v>80.0</v>
      </c>
      <c r="H494" s="1">
        <v>8.0</v>
      </c>
      <c r="I494" s="1">
        <v>12.0</v>
      </c>
      <c r="J494" s="1">
        <v>20.0</v>
      </c>
      <c r="K494" s="1">
        <v>97.0</v>
      </c>
      <c r="L494" s="1">
        <v>0.0</v>
      </c>
      <c r="M494" s="1">
        <v>0.0</v>
      </c>
      <c r="N494" s="1">
        <v>0.0</v>
      </c>
      <c r="O494" s="1">
        <v>1.0</v>
      </c>
      <c r="P494" s="1">
        <v>55.0</v>
      </c>
      <c r="Q494" s="1">
        <v>37.0</v>
      </c>
    </row>
    <row r="495">
      <c r="A495" s="1">
        <f t="shared" si="1"/>
        <v>493</v>
      </c>
      <c r="B495" s="1" t="s">
        <v>1486</v>
      </c>
      <c r="C495" s="1" t="s">
        <v>1065</v>
      </c>
      <c r="D495" s="1" t="s">
        <v>31</v>
      </c>
      <c r="E495" s="15">
        <f t="shared" si="2"/>
        <v>154.5</v>
      </c>
      <c r="F495" s="16">
        <f t="shared" si="3"/>
        <v>2.4140625</v>
      </c>
      <c r="G495" s="1">
        <v>64.0</v>
      </c>
      <c r="H495" s="1">
        <v>11.0</v>
      </c>
      <c r="I495" s="1">
        <v>8.0</v>
      </c>
      <c r="J495" s="1">
        <v>19.0</v>
      </c>
      <c r="K495" s="1">
        <v>80.0</v>
      </c>
      <c r="L495" s="1">
        <v>0.0</v>
      </c>
      <c r="M495" s="1">
        <v>0.0</v>
      </c>
      <c r="N495" s="1">
        <v>0.0</v>
      </c>
      <c r="O495" s="1">
        <v>0.0</v>
      </c>
      <c r="P495" s="1">
        <v>122.0</v>
      </c>
      <c r="Q495" s="1">
        <v>21.0</v>
      </c>
    </row>
    <row r="496">
      <c r="A496" s="1">
        <f t="shared" si="1"/>
        <v>493</v>
      </c>
      <c r="B496" s="1" t="s">
        <v>1593</v>
      </c>
      <c r="C496" s="1" t="s">
        <v>1065</v>
      </c>
      <c r="D496" s="1" t="s">
        <v>36</v>
      </c>
      <c r="E496" s="15">
        <f t="shared" si="2"/>
        <v>154.5</v>
      </c>
      <c r="F496" s="16">
        <f t="shared" si="3"/>
        <v>2.91509434</v>
      </c>
      <c r="G496" s="1">
        <v>53.0</v>
      </c>
      <c r="H496" s="1">
        <v>5.0</v>
      </c>
      <c r="I496" s="1">
        <v>16.0</v>
      </c>
      <c r="J496" s="1">
        <v>21.0</v>
      </c>
      <c r="K496" s="1">
        <v>120.0</v>
      </c>
      <c r="L496" s="1">
        <v>1.0</v>
      </c>
      <c r="M496" s="1">
        <v>4.0</v>
      </c>
      <c r="N496" s="1">
        <v>0.0</v>
      </c>
      <c r="O496" s="1">
        <v>0.0</v>
      </c>
      <c r="P496" s="1">
        <v>16.0</v>
      </c>
      <c r="Q496" s="1">
        <v>40.0</v>
      </c>
    </row>
    <row r="497">
      <c r="A497" s="1">
        <f t="shared" si="1"/>
        <v>495</v>
      </c>
      <c r="B497" s="1" t="s">
        <v>1648</v>
      </c>
      <c r="C497" s="1" t="s">
        <v>1052</v>
      </c>
      <c r="D497" s="1" t="s">
        <v>5</v>
      </c>
      <c r="E497" s="15">
        <f t="shared" si="2"/>
        <v>153.9</v>
      </c>
      <c r="F497" s="16">
        <f t="shared" si="3"/>
        <v>5.919230769</v>
      </c>
      <c r="G497" s="1">
        <v>26.0</v>
      </c>
      <c r="N497" s="12"/>
      <c r="R497" s="1">
        <v>11.0</v>
      </c>
      <c r="S497" s="1">
        <v>66.0</v>
      </c>
      <c r="T497" s="12">
        <v>703.0</v>
      </c>
      <c r="U497" s="1">
        <v>3.0</v>
      </c>
    </row>
    <row r="498">
      <c r="A498" s="1">
        <f t="shared" si="1"/>
        <v>496</v>
      </c>
      <c r="B498" s="1" t="s">
        <v>2157</v>
      </c>
      <c r="C498" s="1" t="s">
        <v>1076</v>
      </c>
      <c r="D498" s="1" t="s">
        <v>66</v>
      </c>
      <c r="E498" s="15">
        <f t="shared" si="2"/>
        <v>153.75</v>
      </c>
      <c r="F498" s="16">
        <f t="shared" si="3"/>
        <v>2.329545455</v>
      </c>
      <c r="G498" s="1">
        <v>66.0</v>
      </c>
      <c r="H498" s="1">
        <v>5.0</v>
      </c>
      <c r="I498" s="1">
        <v>15.0</v>
      </c>
      <c r="J498" s="1">
        <v>20.0</v>
      </c>
      <c r="K498" s="1">
        <v>77.0</v>
      </c>
      <c r="L498" s="1">
        <v>0.0</v>
      </c>
      <c r="M498" s="1">
        <v>4.0</v>
      </c>
      <c r="N498" s="1">
        <v>0.0</v>
      </c>
      <c r="O498" s="1">
        <v>0.0</v>
      </c>
      <c r="P498" s="1">
        <v>45.0</v>
      </c>
      <c r="Q498" s="1">
        <v>73.0</v>
      </c>
    </row>
    <row r="499">
      <c r="A499" s="1">
        <f t="shared" si="1"/>
        <v>496</v>
      </c>
      <c r="B499" s="1" t="s">
        <v>1759</v>
      </c>
      <c r="C499" s="1" t="s">
        <v>1040</v>
      </c>
      <c r="D499" s="1" t="s">
        <v>28</v>
      </c>
      <c r="E499" s="15">
        <f t="shared" si="2"/>
        <v>153.75</v>
      </c>
      <c r="F499" s="16">
        <f t="shared" si="3"/>
        <v>2.023026316</v>
      </c>
      <c r="G499" s="1">
        <v>76.0</v>
      </c>
      <c r="H499" s="1">
        <v>6.0</v>
      </c>
      <c r="I499" s="1">
        <v>11.0</v>
      </c>
      <c r="J499" s="1">
        <v>17.0</v>
      </c>
      <c r="K499" s="1">
        <v>94.0</v>
      </c>
      <c r="L499" s="1">
        <v>0.0</v>
      </c>
      <c r="M499" s="1">
        <v>0.0</v>
      </c>
      <c r="N499" s="1">
        <v>0.0</v>
      </c>
      <c r="O499" s="1">
        <v>0.0</v>
      </c>
      <c r="P499" s="1">
        <v>153.0</v>
      </c>
      <c r="Q499" s="1">
        <v>17.0</v>
      </c>
    </row>
    <row r="500">
      <c r="A500" s="1">
        <f t="shared" si="1"/>
        <v>498</v>
      </c>
      <c r="B500" s="1" t="s">
        <v>1342</v>
      </c>
      <c r="C500" s="1" t="s">
        <v>1046</v>
      </c>
      <c r="D500" s="1" t="s">
        <v>28</v>
      </c>
      <c r="E500" s="15">
        <f t="shared" si="2"/>
        <v>153.25</v>
      </c>
      <c r="F500" s="16">
        <f t="shared" si="3"/>
        <v>2.554166667</v>
      </c>
      <c r="G500" s="1">
        <v>60.0</v>
      </c>
      <c r="H500" s="1">
        <v>10.0</v>
      </c>
      <c r="I500" s="1">
        <v>8.0</v>
      </c>
      <c r="J500" s="1">
        <v>18.0</v>
      </c>
      <c r="K500" s="1">
        <v>132.0</v>
      </c>
      <c r="L500" s="1">
        <v>1.0</v>
      </c>
      <c r="M500" s="1">
        <v>2.0</v>
      </c>
      <c r="N500" s="1">
        <v>0.0</v>
      </c>
      <c r="O500" s="1">
        <v>0.0</v>
      </c>
      <c r="P500" s="1">
        <v>41.0</v>
      </c>
      <c r="Q500" s="1">
        <v>16.0</v>
      </c>
    </row>
    <row r="501">
      <c r="A501" s="1">
        <f t="shared" si="1"/>
        <v>498</v>
      </c>
      <c r="B501" s="1" t="s">
        <v>1865</v>
      </c>
      <c r="C501" s="1" t="s">
        <v>1067</v>
      </c>
      <c r="D501" s="1" t="s">
        <v>36</v>
      </c>
      <c r="E501" s="15">
        <f t="shared" si="2"/>
        <v>153.25</v>
      </c>
      <c r="F501" s="16">
        <f t="shared" si="3"/>
        <v>2.471774194</v>
      </c>
      <c r="G501" s="1">
        <v>62.0</v>
      </c>
      <c r="H501" s="1">
        <v>13.0</v>
      </c>
      <c r="I501" s="1">
        <v>12.0</v>
      </c>
      <c r="J501" s="1">
        <v>25.0</v>
      </c>
      <c r="K501" s="1">
        <v>92.0</v>
      </c>
      <c r="L501" s="1">
        <v>1.0</v>
      </c>
      <c r="M501" s="1">
        <v>0.0</v>
      </c>
      <c r="N501" s="1">
        <v>0.0</v>
      </c>
      <c r="O501" s="1">
        <v>0.0</v>
      </c>
      <c r="P501" s="1">
        <v>25.0</v>
      </c>
      <c r="Q501" s="1">
        <v>13.0</v>
      </c>
    </row>
    <row r="502">
      <c r="A502" s="1">
        <f t="shared" si="1"/>
        <v>500</v>
      </c>
      <c r="B502" s="1" t="s">
        <v>2297</v>
      </c>
      <c r="C502" s="1" t="s">
        <v>1085</v>
      </c>
      <c r="D502" s="1" t="s">
        <v>36</v>
      </c>
      <c r="E502" s="15">
        <f t="shared" si="2"/>
        <v>152.75</v>
      </c>
      <c r="F502" s="16">
        <f t="shared" si="3"/>
        <v>2.151408451</v>
      </c>
      <c r="G502" s="1">
        <v>71.0</v>
      </c>
      <c r="H502" s="1">
        <v>4.0</v>
      </c>
      <c r="I502" s="1">
        <v>18.0</v>
      </c>
      <c r="J502" s="1">
        <v>22.0</v>
      </c>
      <c r="K502" s="1">
        <v>92.0</v>
      </c>
      <c r="L502" s="1">
        <v>1.0</v>
      </c>
      <c r="M502" s="1">
        <v>7.0</v>
      </c>
      <c r="N502" s="1">
        <v>0.0</v>
      </c>
      <c r="O502" s="1">
        <v>0.0</v>
      </c>
      <c r="P502" s="1">
        <v>43.0</v>
      </c>
      <c r="Q502" s="1">
        <v>48.0</v>
      </c>
    </row>
    <row r="503">
      <c r="A503" s="1">
        <f t="shared" si="1"/>
        <v>501</v>
      </c>
      <c r="B503" s="1" t="s">
        <v>1662</v>
      </c>
      <c r="C503" s="1" t="s">
        <v>1032</v>
      </c>
      <c r="D503" s="1" t="s">
        <v>31</v>
      </c>
      <c r="E503" s="15">
        <f t="shared" si="2"/>
        <v>152.25</v>
      </c>
      <c r="F503" s="16">
        <f t="shared" si="3"/>
        <v>2.625</v>
      </c>
      <c r="G503" s="1">
        <v>58.0</v>
      </c>
      <c r="H503" s="1">
        <v>10.0</v>
      </c>
      <c r="I503" s="1">
        <v>10.0</v>
      </c>
      <c r="J503" s="1">
        <v>20.0</v>
      </c>
      <c r="K503" s="1">
        <v>77.0</v>
      </c>
      <c r="L503" s="1">
        <v>0.0</v>
      </c>
      <c r="M503" s="1">
        <v>0.0</v>
      </c>
      <c r="N503" s="1">
        <v>2.0</v>
      </c>
      <c r="O503" s="1">
        <v>0.0</v>
      </c>
      <c r="P503" s="1">
        <v>91.0</v>
      </c>
      <c r="Q503" s="1">
        <v>24.0</v>
      </c>
    </row>
    <row r="504">
      <c r="A504" s="1">
        <f t="shared" si="1"/>
        <v>502</v>
      </c>
      <c r="B504" s="1" t="s">
        <v>1450</v>
      </c>
      <c r="C504" s="1" t="s">
        <v>1076</v>
      </c>
      <c r="D504" s="1" t="s">
        <v>28</v>
      </c>
      <c r="E504" s="15">
        <f t="shared" si="2"/>
        <v>151.75</v>
      </c>
      <c r="F504" s="16">
        <f t="shared" si="3"/>
        <v>2.231617647</v>
      </c>
      <c r="G504" s="1">
        <v>68.0</v>
      </c>
      <c r="H504" s="1">
        <v>8.0</v>
      </c>
      <c r="I504" s="1">
        <v>7.0</v>
      </c>
      <c r="J504" s="1">
        <v>15.0</v>
      </c>
      <c r="K504" s="1">
        <v>110.0</v>
      </c>
      <c r="L504" s="1">
        <v>0.0</v>
      </c>
      <c r="M504" s="1">
        <v>0.0</v>
      </c>
      <c r="N504" s="1">
        <v>2.0</v>
      </c>
      <c r="O504" s="1">
        <v>0.0</v>
      </c>
      <c r="P504" s="1">
        <v>85.0</v>
      </c>
      <c r="Q504" s="1">
        <v>29.0</v>
      </c>
    </row>
    <row r="505">
      <c r="A505" s="1">
        <f t="shared" si="1"/>
        <v>503</v>
      </c>
      <c r="B505" s="1" t="s">
        <v>1811</v>
      </c>
      <c r="C505" s="1" t="s">
        <v>1120</v>
      </c>
      <c r="D505" s="1" t="s">
        <v>66</v>
      </c>
      <c r="E505" s="15">
        <f t="shared" si="2"/>
        <v>151.5</v>
      </c>
      <c r="F505" s="16">
        <f t="shared" si="3"/>
        <v>2.133802817</v>
      </c>
      <c r="G505" s="1">
        <v>71.0</v>
      </c>
      <c r="H505" s="1">
        <v>3.0</v>
      </c>
      <c r="I505" s="1">
        <v>13.0</v>
      </c>
      <c r="J505" s="1">
        <v>16.0</v>
      </c>
      <c r="K505" s="1">
        <v>76.0</v>
      </c>
      <c r="L505" s="1">
        <v>0.0</v>
      </c>
      <c r="M505" s="1">
        <v>0.0</v>
      </c>
      <c r="N505" s="1">
        <v>0.0</v>
      </c>
      <c r="O505" s="1">
        <v>0.0</v>
      </c>
      <c r="P505" s="1">
        <v>94.0</v>
      </c>
      <c r="Q505" s="1">
        <v>75.0</v>
      </c>
    </row>
    <row r="506">
      <c r="A506" s="1">
        <f t="shared" si="1"/>
        <v>504</v>
      </c>
      <c r="B506" s="1" t="s">
        <v>1467</v>
      </c>
      <c r="C506" s="1" t="s">
        <v>1067</v>
      </c>
      <c r="D506" s="1" t="s">
        <v>66</v>
      </c>
      <c r="E506" s="15">
        <f t="shared" si="2"/>
        <v>151.25</v>
      </c>
      <c r="F506" s="16">
        <f t="shared" si="3"/>
        <v>2.520833333</v>
      </c>
      <c r="G506" s="1">
        <v>60.0</v>
      </c>
      <c r="H506" s="1">
        <v>3.0</v>
      </c>
      <c r="I506" s="1">
        <v>16.0</v>
      </c>
      <c r="J506" s="1">
        <v>19.0</v>
      </c>
      <c r="K506" s="1">
        <v>83.0</v>
      </c>
      <c r="L506" s="1">
        <v>0.0</v>
      </c>
      <c r="M506" s="1">
        <v>4.0</v>
      </c>
      <c r="N506" s="1">
        <v>0.0</v>
      </c>
      <c r="O506" s="1">
        <v>0.0</v>
      </c>
      <c r="P506" s="1">
        <v>73.0</v>
      </c>
      <c r="Q506" s="1">
        <v>60.0</v>
      </c>
    </row>
    <row r="507">
      <c r="A507" s="1">
        <f t="shared" si="1"/>
        <v>505</v>
      </c>
      <c r="B507" s="1" t="s">
        <v>1760</v>
      </c>
      <c r="C507" s="1" t="s">
        <v>1073</v>
      </c>
      <c r="D507" s="1" t="s">
        <v>5</v>
      </c>
      <c r="E507" s="15">
        <f t="shared" si="2"/>
        <v>151.2</v>
      </c>
      <c r="F507" s="16">
        <f t="shared" si="3"/>
        <v>5.4</v>
      </c>
      <c r="G507" s="1">
        <v>28.0</v>
      </c>
      <c r="N507" s="12"/>
      <c r="R507" s="1">
        <v>15.0</v>
      </c>
      <c r="S507" s="1">
        <v>62.0</v>
      </c>
      <c r="T507" s="12">
        <v>644.0</v>
      </c>
      <c r="U507" s="1">
        <v>2.0</v>
      </c>
    </row>
    <row r="508">
      <c r="A508" s="1">
        <f t="shared" si="1"/>
        <v>506</v>
      </c>
      <c r="B508" s="1" t="s">
        <v>1275</v>
      </c>
      <c r="C508" s="1" t="s">
        <v>1146</v>
      </c>
      <c r="D508" s="1" t="s">
        <v>31</v>
      </c>
      <c r="E508" s="15">
        <f t="shared" si="2"/>
        <v>150.25</v>
      </c>
      <c r="F508" s="16">
        <f t="shared" si="3"/>
        <v>2.058219178</v>
      </c>
      <c r="G508" s="1">
        <v>73.0</v>
      </c>
      <c r="H508" s="1">
        <v>7.0</v>
      </c>
      <c r="I508" s="1">
        <v>15.0</v>
      </c>
      <c r="J508" s="1">
        <v>22.0</v>
      </c>
      <c r="K508" s="1">
        <v>97.0</v>
      </c>
      <c r="L508" s="1">
        <v>0.0</v>
      </c>
      <c r="M508" s="1">
        <v>4.0</v>
      </c>
      <c r="N508" s="1">
        <v>0.0</v>
      </c>
      <c r="O508" s="1">
        <v>0.0</v>
      </c>
      <c r="P508" s="1">
        <v>55.0</v>
      </c>
      <c r="Q508" s="1">
        <v>23.0</v>
      </c>
    </row>
    <row r="509">
      <c r="A509" s="1">
        <f t="shared" si="1"/>
        <v>507</v>
      </c>
      <c r="B509" s="1" t="s">
        <v>1325</v>
      </c>
      <c r="C509" s="1" t="s">
        <v>1116</v>
      </c>
      <c r="D509" s="1" t="s">
        <v>31</v>
      </c>
      <c r="E509" s="15">
        <f t="shared" si="2"/>
        <v>150</v>
      </c>
      <c r="F509" s="16">
        <f t="shared" si="3"/>
        <v>2.205882353</v>
      </c>
      <c r="G509" s="1">
        <v>68.0</v>
      </c>
      <c r="H509" s="1">
        <v>8.0</v>
      </c>
      <c r="I509" s="1">
        <v>13.0</v>
      </c>
      <c r="J509" s="1">
        <v>21.0</v>
      </c>
      <c r="K509" s="1">
        <v>98.0</v>
      </c>
      <c r="L509" s="1">
        <v>0.0</v>
      </c>
      <c r="M509" s="1">
        <v>0.0</v>
      </c>
      <c r="N509" s="1">
        <v>0.0</v>
      </c>
      <c r="O509" s="1">
        <v>0.0</v>
      </c>
      <c r="P509" s="1">
        <v>64.0</v>
      </c>
      <c r="Q509" s="1">
        <v>20.0</v>
      </c>
    </row>
    <row r="510">
      <c r="A510" s="1">
        <f t="shared" si="1"/>
        <v>507</v>
      </c>
      <c r="B510" s="1" t="s">
        <v>1709</v>
      </c>
      <c r="C510" s="1" t="s">
        <v>1106</v>
      </c>
      <c r="D510" s="1" t="s">
        <v>66</v>
      </c>
      <c r="E510" s="15">
        <f t="shared" si="2"/>
        <v>150</v>
      </c>
      <c r="F510" s="16">
        <f t="shared" si="3"/>
        <v>2.142857143</v>
      </c>
      <c r="G510" s="1">
        <v>70.0</v>
      </c>
      <c r="H510" s="1">
        <v>3.0</v>
      </c>
      <c r="I510" s="1">
        <v>11.0</v>
      </c>
      <c r="J510" s="1">
        <v>14.0</v>
      </c>
      <c r="K510" s="1">
        <v>76.0</v>
      </c>
      <c r="L510" s="1">
        <v>0.0</v>
      </c>
      <c r="M510" s="1">
        <v>0.0</v>
      </c>
      <c r="N510" s="1">
        <v>0.0</v>
      </c>
      <c r="O510" s="1">
        <v>2.0</v>
      </c>
      <c r="P510" s="1">
        <v>106.0</v>
      </c>
      <c r="Q510" s="1">
        <v>70.0</v>
      </c>
    </row>
    <row r="511">
      <c r="A511" s="1">
        <f t="shared" si="1"/>
        <v>509</v>
      </c>
      <c r="B511" s="1" t="s">
        <v>1253</v>
      </c>
      <c r="C511" s="1" t="s">
        <v>1042</v>
      </c>
      <c r="D511" s="1" t="s">
        <v>66</v>
      </c>
      <c r="E511" s="15">
        <f t="shared" si="2"/>
        <v>149</v>
      </c>
      <c r="F511" s="16">
        <f t="shared" si="3"/>
        <v>2.257575758</v>
      </c>
      <c r="G511" s="1">
        <v>66.0</v>
      </c>
      <c r="H511" s="1">
        <v>2.0</v>
      </c>
      <c r="I511" s="1">
        <v>5.0</v>
      </c>
      <c r="J511" s="1">
        <v>7.0</v>
      </c>
      <c r="K511" s="1">
        <v>75.0</v>
      </c>
      <c r="L511" s="1">
        <v>0.0</v>
      </c>
      <c r="M511" s="1">
        <v>0.0</v>
      </c>
      <c r="N511" s="1">
        <v>0.0</v>
      </c>
      <c r="O511" s="1">
        <v>0.0</v>
      </c>
      <c r="P511" s="1">
        <v>224.0</v>
      </c>
      <c r="Q511" s="1">
        <v>63.0</v>
      </c>
    </row>
    <row r="512">
      <c r="A512" s="1">
        <f t="shared" si="1"/>
        <v>510</v>
      </c>
      <c r="B512" s="1" t="s">
        <v>1457</v>
      </c>
      <c r="C512" s="1" t="s">
        <v>1146</v>
      </c>
      <c r="D512" s="1" t="s">
        <v>28</v>
      </c>
      <c r="E512" s="15">
        <f t="shared" si="2"/>
        <v>148.5</v>
      </c>
      <c r="F512" s="16">
        <f t="shared" si="3"/>
        <v>4.013513514</v>
      </c>
      <c r="G512" s="1">
        <v>37.0</v>
      </c>
      <c r="H512" s="1">
        <v>8.0</v>
      </c>
      <c r="I512" s="1">
        <v>15.0</v>
      </c>
      <c r="J512" s="1">
        <v>23.0</v>
      </c>
      <c r="K512" s="1">
        <v>101.0</v>
      </c>
      <c r="L512" s="1">
        <v>1.0</v>
      </c>
      <c r="M512" s="1">
        <v>3.0</v>
      </c>
      <c r="N512" s="1">
        <v>0.0</v>
      </c>
      <c r="O512" s="1">
        <v>0.0</v>
      </c>
      <c r="P512" s="1">
        <v>42.0</v>
      </c>
      <c r="Q512" s="1">
        <v>13.0</v>
      </c>
    </row>
    <row r="513">
      <c r="A513" s="1">
        <f t="shared" si="1"/>
        <v>510</v>
      </c>
      <c r="B513" s="1" t="s">
        <v>1875</v>
      </c>
      <c r="C513" s="1" t="s">
        <v>1175</v>
      </c>
      <c r="D513" s="1" t="s">
        <v>28</v>
      </c>
      <c r="E513" s="15">
        <f t="shared" si="2"/>
        <v>148.5</v>
      </c>
      <c r="F513" s="16">
        <f t="shared" si="3"/>
        <v>2.121428571</v>
      </c>
      <c r="G513" s="1">
        <v>70.0</v>
      </c>
      <c r="H513" s="1">
        <v>6.0</v>
      </c>
      <c r="I513" s="1">
        <v>11.0</v>
      </c>
      <c r="J513" s="1">
        <v>17.0</v>
      </c>
      <c r="K513" s="1">
        <v>82.0</v>
      </c>
      <c r="L513" s="1">
        <v>0.0</v>
      </c>
      <c r="M513" s="1">
        <v>0.0</v>
      </c>
      <c r="N513" s="1">
        <v>0.0</v>
      </c>
      <c r="O513" s="1">
        <v>0.0</v>
      </c>
      <c r="P513" s="1">
        <v>96.0</v>
      </c>
      <c r="Q513" s="1">
        <v>47.0</v>
      </c>
    </row>
    <row r="514">
      <c r="A514" s="1">
        <f t="shared" si="1"/>
        <v>512</v>
      </c>
      <c r="B514" s="1" t="s">
        <v>1547</v>
      </c>
      <c r="C514" s="1" t="s">
        <v>1120</v>
      </c>
      <c r="D514" s="1" t="s">
        <v>31</v>
      </c>
      <c r="E514" s="15">
        <f t="shared" si="2"/>
        <v>148</v>
      </c>
      <c r="F514" s="16">
        <f t="shared" si="3"/>
        <v>2.508474576</v>
      </c>
      <c r="G514" s="1">
        <v>59.0</v>
      </c>
      <c r="H514" s="1">
        <v>8.0</v>
      </c>
      <c r="I514" s="1">
        <v>15.0</v>
      </c>
      <c r="J514" s="1">
        <v>23.0</v>
      </c>
      <c r="K514" s="1">
        <v>70.0</v>
      </c>
      <c r="L514" s="1">
        <v>0.0</v>
      </c>
      <c r="M514" s="1">
        <v>0.0</v>
      </c>
      <c r="N514" s="1">
        <v>0.0</v>
      </c>
      <c r="O514" s="1">
        <v>0.0</v>
      </c>
      <c r="P514" s="1">
        <v>70.0</v>
      </c>
      <c r="Q514" s="1">
        <v>29.0</v>
      </c>
    </row>
    <row r="515">
      <c r="A515" s="1">
        <f t="shared" si="1"/>
        <v>512</v>
      </c>
      <c r="B515" s="1" t="s">
        <v>1943</v>
      </c>
      <c r="C515" s="1" t="s">
        <v>1082</v>
      </c>
      <c r="D515" s="1" t="s">
        <v>31</v>
      </c>
      <c r="E515" s="15">
        <f t="shared" si="2"/>
        <v>148</v>
      </c>
      <c r="F515" s="16">
        <f t="shared" si="3"/>
        <v>3.14893617</v>
      </c>
      <c r="G515" s="1">
        <v>47.0</v>
      </c>
      <c r="H515" s="1">
        <v>6.0</v>
      </c>
      <c r="I515" s="1">
        <v>25.0</v>
      </c>
      <c r="J515" s="1">
        <v>31.0</v>
      </c>
      <c r="K515" s="1">
        <v>68.0</v>
      </c>
      <c r="L515" s="1">
        <v>1.0</v>
      </c>
      <c r="M515" s="1">
        <v>13.0</v>
      </c>
      <c r="N515" s="1">
        <v>0.0</v>
      </c>
      <c r="O515" s="1">
        <v>0.0</v>
      </c>
      <c r="P515" s="1">
        <v>16.0</v>
      </c>
      <c r="Q515" s="1">
        <v>16.0</v>
      </c>
    </row>
    <row r="516">
      <c r="A516" s="1">
        <f t="shared" si="1"/>
        <v>512</v>
      </c>
      <c r="B516" s="1" t="s">
        <v>1240</v>
      </c>
      <c r="C516" s="1" t="s">
        <v>1038</v>
      </c>
      <c r="D516" s="1" t="s">
        <v>28</v>
      </c>
      <c r="E516" s="15">
        <f t="shared" si="2"/>
        <v>148</v>
      </c>
      <c r="F516" s="16">
        <f t="shared" si="3"/>
        <v>2.3125</v>
      </c>
      <c r="G516" s="1">
        <v>64.0</v>
      </c>
      <c r="H516" s="1">
        <v>2.0</v>
      </c>
      <c r="I516" s="1">
        <v>11.0</v>
      </c>
      <c r="J516" s="1">
        <v>13.0</v>
      </c>
      <c r="K516" s="1">
        <v>99.0</v>
      </c>
      <c r="L516" s="1">
        <v>0.0</v>
      </c>
      <c r="M516" s="1">
        <v>1.0</v>
      </c>
      <c r="N516" s="1">
        <v>0.0</v>
      </c>
      <c r="O516" s="1">
        <v>0.0</v>
      </c>
      <c r="P516" s="1">
        <v>164.0</v>
      </c>
      <c r="Q516" s="1">
        <v>31.0</v>
      </c>
    </row>
    <row r="517">
      <c r="A517" s="1">
        <f t="shared" si="1"/>
        <v>512</v>
      </c>
      <c r="B517" s="1" t="s">
        <v>2202</v>
      </c>
      <c r="C517" s="1" t="s">
        <v>1030</v>
      </c>
      <c r="D517" s="1" t="s">
        <v>31</v>
      </c>
      <c r="E517" s="15">
        <f t="shared" si="2"/>
        <v>148</v>
      </c>
      <c r="F517" s="16">
        <f t="shared" si="3"/>
        <v>2.176470588</v>
      </c>
      <c r="G517" s="1">
        <v>68.0</v>
      </c>
      <c r="H517" s="1">
        <v>7.0</v>
      </c>
      <c r="I517" s="1">
        <v>8.0</v>
      </c>
      <c r="J517" s="1">
        <v>15.0</v>
      </c>
      <c r="K517" s="1">
        <v>93.0</v>
      </c>
      <c r="L517" s="1">
        <v>0.0</v>
      </c>
      <c r="M517" s="1">
        <v>0.0</v>
      </c>
      <c r="N517" s="1">
        <v>1.0</v>
      </c>
      <c r="O517" s="1">
        <v>1.0</v>
      </c>
      <c r="P517" s="1">
        <v>114.0</v>
      </c>
      <c r="Q517" s="1">
        <v>27.0</v>
      </c>
    </row>
    <row r="518">
      <c r="A518" s="1">
        <f t="shared" si="1"/>
        <v>516</v>
      </c>
      <c r="B518" s="1" t="s">
        <v>1562</v>
      </c>
      <c r="C518" s="1" t="s">
        <v>1067</v>
      </c>
      <c r="D518" s="1" t="s">
        <v>31</v>
      </c>
      <c r="E518" s="15">
        <f t="shared" si="2"/>
        <v>147.75</v>
      </c>
      <c r="F518" s="16">
        <f t="shared" si="3"/>
        <v>2.638392857</v>
      </c>
      <c r="G518" s="1">
        <v>56.0</v>
      </c>
      <c r="H518" s="1">
        <v>10.0</v>
      </c>
      <c r="I518" s="1">
        <v>8.0</v>
      </c>
      <c r="J518" s="1">
        <v>18.0</v>
      </c>
      <c r="K518" s="1">
        <v>92.0</v>
      </c>
      <c r="L518" s="1">
        <v>3.0</v>
      </c>
      <c r="M518" s="1">
        <v>1.0</v>
      </c>
      <c r="N518" s="1">
        <v>0.0</v>
      </c>
      <c r="O518" s="1">
        <v>0.0</v>
      </c>
      <c r="P518" s="1">
        <v>81.0</v>
      </c>
      <c r="Q518" s="1">
        <v>25.0</v>
      </c>
    </row>
    <row r="519">
      <c r="A519" s="1">
        <f t="shared" si="1"/>
        <v>516</v>
      </c>
      <c r="B519" s="1" t="s">
        <v>1623</v>
      </c>
      <c r="C519" s="1" t="s">
        <v>1048</v>
      </c>
      <c r="D519" s="1" t="s">
        <v>28</v>
      </c>
      <c r="E519" s="15">
        <f t="shared" si="2"/>
        <v>147.75</v>
      </c>
      <c r="F519" s="16">
        <f t="shared" si="3"/>
        <v>2.686363636</v>
      </c>
      <c r="G519" s="1">
        <v>55.0</v>
      </c>
      <c r="H519" s="1">
        <v>9.0</v>
      </c>
      <c r="I519" s="1">
        <v>9.0</v>
      </c>
      <c r="J519" s="1">
        <v>18.0</v>
      </c>
      <c r="K519" s="1">
        <v>91.0</v>
      </c>
      <c r="L519" s="1">
        <v>0.0</v>
      </c>
      <c r="M519" s="1">
        <v>0.0</v>
      </c>
      <c r="N519" s="1">
        <v>0.0</v>
      </c>
      <c r="O519" s="1">
        <v>1.0</v>
      </c>
      <c r="P519" s="1">
        <v>117.0</v>
      </c>
      <c r="Q519" s="1">
        <v>7.0</v>
      </c>
    </row>
    <row r="520">
      <c r="A520" s="1">
        <f t="shared" si="1"/>
        <v>518</v>
      </c>
      <c r="B520" s="1" t="s">
        <v>1208</v>
      </c>
      <c r="C520" s="1" t="s">
        <v>1040</v>
      </c>
      <c r="D520" s="1" t="s">
        <v>5</v>
      </c>
      <c r="E520" s="15">
        <f t="shared" si="2"/>
        <v>147.6</v>
      </c>
      <c r="F520" s="16">
        <f t="shared" si="3"/>
        <v>4.472727273</v>
      </c>
      <c r="G520" s="1">
        <v>33.0</v>
      </c>
      <c r="N520" s="12"/>
      <c r="R520" s="1">
        <v>15.0</v>
      </c>
      <c r="S520" s="1">
        <v>85.0</v>
      </c>
      <c r="T520" s="12">
        <v>747.0</v>
      </c>
      <c r="U520" s="1">
        <v>2.0</v>
      </c>
    </row>
    <row r="521">
      <c r="A521" s="1">
        <f t="shared" si="1"/>
        <v>519</v>
      </c>
      <c r="B521" s="1" t="s">
        <v>1678</v>
      </c>
      <c r="C521" s="1" t="s">
        <v>1036</v>
      </c>
      <c r="D521" s="1" t="s">
        <v>31</v>
      </c>
      <c r="E521" s="15">
        <f t="shared" si="2"/>
        <v>147.5</v>
      </c>
      <c r="F521" s="16">
        <f t="shared" si="3"/>
        <v>1.966666667</v>
      </c>
      <c r="G521" s="1">
        <v>75.0</v>
      </c>
      <c r="H521" s="1">
        <v>10.0</v>
      </c>
      <c r="I521" s="1">
        <v>12.0</v>
      </c>
      <c r="J521" s="1">
        <v>22.0</v>
      </c>
      <c r="K521" s="1">
        <v>72.0</v>
      </c>
      <c r="L521" s="1">
        <v>0.0</v>
      </c>
      <c r="M521" s="1">
        <v>0.0</v>
      </c>
      <c r="N521" s="1">
        <v>0.0</v>
      </c>
      <c r="O521" s="1">
        <v>1.0</v>
      </c>
      <c r="P521" s="1">
        <v>38.0</v>
      </c>
      <c r="Q521" s="1">
        <v>38.0</v>
      </c>
    </row>
    <row r="522">
      <c r="A522" s="1">
        <f t="shared" si="1"/>
        <v>520</v>
      </c>
      <c r="B522" s="1" t="s">
        <v>1696</v>
      </c>
      <c r="C522" s="1" t="s">
        <v>1040</v>
      </c>
      <c r="D522" s="1" t="s">
        <v>36</v>
      </c>
      <c r="E522" s="15">
        <f t="shared" si="2"/>
        <v>146.25</v>
      </c>
      <c r="F522" s="16">
        <f t="shared" si="3"/>
        <v>2.119565217</v>
      </c>
      <c r="G522" s="1">
        <v>69.0</v>
      </c>
      <c r="H522" s="1">
        <v>5.0</v>
      </c>
      <c r="I522" s="1">
        <v>8.0</v>
      </c>
      <c r="J522" s="1">
        <v>13.0</v>
      </c>
      <c r="K522" s="1">
        <v>44.0</v>
      </c>
      <c r="L522" s="1">
        <v>0.0</v>
      </c>
      <c r="M522" s="1">
        <v>0.0</v>
      </c>
      <c r="N522" s="1">
        <v>0.0</v>
      </c>
      <c r="O522" s="1">
        <v>0.0</v>
      </c>
      <c r="P522" s="1">
        <v>279.0</v>
      </c>
      <c r="Q522" s="1">
        <v>16.0</v>
      </c>
    </row>
    <row r="523">
      <c r="A523" s="1">
        <f t="shared" si="1"/>
        <v>521</v>
      </c>
      <c r="B523" s="1" t="s">
        <v>2210</v>
      </c>
      <c r="C523" s="1" t="s">
        <v>1111</v>
      </c>
      <c r="D523" s="1" t="s">
        <v>36</v>
      </c>
      <c r="E523" s="15">
        <f t="shared" si="2"/>
        <v>145.25</v>
      </c>
      <c r="F523" s="16">
        <f t="shared" si="3"/>
        <v>2.420833333</v>
      </c>
      <c r="G523" s="1">
        <v>60.0</v>
      </c>
      <c r="H523" s="1">
        <v>6.0</v>
      </c>
      <c r="I523" s="1">
        <v>15.0</v>
      </c>
      <c r="J523" s="1">
        <v>21.0</v>
      </c>
      <c r="K523" s="1">
        <v>89.0</v>
      </c>
      <c r="L523" s="1">
        <v>0.0</v>
      </c>
      <c r="M523" s="1">
        <v>1.0</v>
      </c>
      <c r="N523" s="1">
        <v>0.0</v>
      </c>
      <c r="O523" s="1">
        <v>0.0</v>
      </c>
      <c r="P523" s="1">
        <v>67.0</v>
      </c>
      <c r="Q523" s="1">
        <v>24.0</v>
      </c>
    </row>
    <row r="524">
      <c r="A524" s="1">
        <f t="shared" si="1"/>
        <v>522</v>
      </c>
      <c r="B524" s="1" t="s">
        <v>1423</v>
      </c>
      <c r="C524" s="1" t="s">
        <v>1097</v>
      </c>
      <c r="D524" s="1" t="s">
        <v>5</v>
      </c>
      <c r="E524" s="15">
        <f t="shared" si="2"/>
        <v>144.6</v>
      </c>
      <c r="F524" s="16">
        <f t="shared" si="3"/>
        <v>3.805263158</v>
      </c>
      <c r="G524" s="1">
        <v>38.0</v>
      </c>
      <c r="K524" s="12"/>
      <c r="N524" s="12"/>
      <c r="R524" s="1">
        <v>8.0</v>
      </c>
      <c r="S524" s="1">
        <v>122.0</v>
      </c>
      <c r="T524" s="12">
        <v>1002.0</v>
      </c>
      <c r="U524" s="1">
        <v>1.0</v>
      </c>
    </row>
    <row r="525">
      <c r="A525" s="1">
        <f t="shared" si="1"/>
        <v>523</v>
      </c>
      <c r="B525" s="1" t="s">
        <v>1750</v>
      </c>
      <c r="C525" s="1" t="s">
        <v>1156</v>
      </c>
      <c r="D525" s="1" t="s">
        <v>66</v>
      </c>
      <c r="E525" s="15">
        <f t="shared" si="2"/>
        <v>144.5</v>
      </c>
      <c r="F525" s="16">
        <f t="shared" si="3"/>
        <v>2.778846154</v>
      </c>
      <c r="G525" s="1">
        <v>52.0</v>
      </c>
      <c r="H525" s="1">
        <v>11.0</v>
      </c>
      <c r="I525" s="1">
        <v>11.0</v>
      </c>
      <c r="J525" s="1">
        <v>22.0</v>
      </c>
      <c r="K525" s="1">
        <v>64.0</v>
      </c>
      <c r="L525" s="1">
        <v>3.0</v>
      </c>
      <c r="M525" s="1">
        <v>3.0</v>
      </c>
      <c r="N525" s="1">
        <v>0.0</v>
      </c>
      <c r="O525" s="1">
        <v>0.0</v>
      </c>
      <c r="P525" s="1">
        <v>26.0</v>
      </c>
      <c r="Q525" s="1">
        <v>47.0</v>
      </c>
    </row>
    <row r="526">
      <c r="A526" s="1">
        <f t="shared" si="1"/>
        <v>524</v>
      </c>
      <c r="B526" s="1" t="s">
        <v>1316</v>
      </c>
      <c r="C526" s="1" t="s">
        <v>1082</v>
      </c>
      <c r="D526" s="1" t="s">
        <v>36</v>
      </c>
      <c r="E526" s="15">
        <f t="shared" si="2"/>
        <v>144</v>
      </c>
      <c r="F526" s="16">
        <f t="shared" si="3"/>
        <v>3.891891892</v>
      </c>
      <c r="G526" s="1">
        <v>37.0</v>
      </c>
      <c r="H526" s="1">
        <v>9.0</v>
      </c>
      <c r="I526" s="1">
        <v>14.0</v>
      </c>
      <c r="J526" s="1">
        <v>23.0</v>
      </c>
      <c r="K526" s="1">
        <v>82.0</v>
      </c>
      <c r="L526" s="1">
        <v>0.0</v>
      </c>
      <c r="M526" s="1">
        <v>2.0</v>
      </c>
      <c r="N526" s="1">
        <v>0.0</v>
      </c>
      <c r="O526" s="1">
        <v>0.0</v>
      </c>
      <c r="P526" s="1">
        <v>46.0</v>
      </c>
      <c r="Q526" s="1">
        <v>18.0</v>
      </c>
    </row>
    <row r="527">
      <c r="A527" s="1">
        <f t="shared" si="1"/>
        <v>524</v>
      </c>
      <c r="B527" s="1" t="s">
        <v>1422</v>
      </c>
      <c r="C527" s="1" t="s">
        <v>1097</v>
      </c>
      <c r="D527" s="1" t="s">
        <v>36</v>
      </c>
      <c r="E527" s="15">
        <f t="shared" si="2"/>
        <v>144</v>
      </c>
      <c r="F527" s="16">
        <f t="shared" si="3"/>
        <v>2.4</v>
      </c>
      <c r="G527" s="1">
        <v>60.0</v>
      </c>
      <c r="H527" s="1">
        <v>6.0</v>
      </c>
      <c r="I527" s="1">
        <v>8.0</v>
      </c>
      <c r="J527" s="1">
        <v>14.0</v>
      </c>
      <c r="K527" s="1">
        <v>103.0</v>
      </c>
      <c r="L527" s="1">
        <v>1.0</v>
      </c>
      <c r="M527" s="1">
        <v>2.0</v>
      </c>
      <c r="N527" s="1">
        <v>1.0</v>
      </c>
      <c r="O527" s="1">
        <v>0.0</v>
      </c>
      <c r="P527" s="1">
        <v>104.0</v>
      </c>
      <c r="Q527" s="1">
        <v>27.0</v>
      </c>
    </row>
    <row r="528">
      <c r="A528" s="1">
        <f t="shared" si="1"/>
        <v>526</v>
      </c>
      <c r="B528" s="1" t="s">
        <v>2022</v>
      </c>
      <c r="C528" s="1" t="s">
        <v>1080</v>
      </c>
      <c r="D528" s="1" t="s">
        <v>66</v>
      </c>
      <c r="E528" s="15">
        <f t="shared" si="2"/>
        <v>143.5</v>
      </c>
      <c r="F528" s="16">
        <f t="shared" si="3"/>
        <v>2.43220339</v>
      </c>
      <c r="G528" s="1">
        <v>59.0</v>
      </c>
      <c r="H528" s="1">
        <v>3.0</v>
      </c>
      <c r="I528" s="1">
        <v>10.0</v>
      </c>
      <c r="J528" s="1">
        <v>13.0</v>
      </c>
      <c r="K528" s="1">
        <v>108.0</v>
      </c>
      <c r="L528" s="1">
        <v>2.0</v>
      </c>
      <c r="M528" s="1">
        <v>2.0</v>
      </c>
      <c r="N528" s="1">
        <v>0.0</v>
      </c>
      <c r="O528" s="1">
        <v>0.0</v>
      </c>
      <c r="P528" s="1">
        <v>62.0</v>
      </c>
      <c r="Q528" s="1">
        <v>61.0</v>
      </c>
    </row>
    <row r="529">
      <c r="A529" s="1">
        <f t="shared" si="1"/>
        <v>526</v>
      </c>
      <c r="B529" s="1" t="s">
        <v>1922</v>
      </c>
      <c r="C529" s="1" t="s">
        <v>1048</v>
      </c>
      <c r="D529" s="1" t="s">
        <v>66</v>
      </c>
      <c r="E529" s="15">
        <f t="shared" si="2"/>
        <v>143.5</v>
      </c>
      <c r="F529" s="16">
        <f t="shared" si="3"/>
        <v>2.2421875</v>
      </c>
      <c r="G529" s="1">
        <v>64.0</v>
      </c>
      <c r="H529" s="1">
        <v>1.0</v>
      </c>
      <c r="I529" s="1">
        <v>8.0</v>
      </c>
      <c r="J529" s="1">
        <v>9.0</v>
      </c>
      <c r="K529" s="1">
        <v>59.0</v>
      </c>
      <c r="L529" s="1">
        <v>0.0</v>
      </c>
      <c r="M529" s="1">
        <v>0.0</v>
      </c>
      <c r="N529" s="1">
        <v>0.0</v>
      </c>
      <c r="O529" s="1">
        <v>0.0</v>
      </c>
      <c r="P529" s="1">
        <v>138.0</v>
      </c>
      <c r="Q529" s="1">
        <v>102.0</v>
      </c>
    </row>
    <row r="530">
      <c r="A530" s="1">
        <f t="shared" si="1"/>
        <v>526</v>
      </c>
      <c r="B530" s="1" t="s">
        <v>2108</v>
      </c>
      <c r="C530" s="1" t="s">
        <v>1116</v>
      </c>
      <c r="D530" s="1" t="s">
        <v>28</v>
      </c>
      <c r="E530" s="15">
        <f t="shared" si="2"/>
        <v>143.5</v>
      </c>
      <c r="F530" s="16">
        <f t="shared" si="3"/>
        <v>1.993055556</v>
      </c>
      <c r="G530" s="1">
        <v>72.0</v>
      </c>
      <c r="H530" s="1">
        <v>7.0</v>
      </c>
      <c r="I530" s="1">
        <v>12.0</v>
      </c>
      <c r="J530" s="1">
        <v>19.0</v>
      </c>
      <c r="K530" s="1">
        <v>78.0</v>
      </c>
      <c r="L530" s="1">
        <v>0.0</v>
      </c>
      <c r="M530" s="1">
        <v>0.0</v>
      </c>
      <c r="N530" s="1">
        <v>0.0</v>
      </c>
      <c r="O530" s="1">
        <v>0.0</v>
      </c>
      <c r="P530" s="1">
        <v>104.0</v>
      </c>
      <c r="Q530" s="1">
        <v>22.0</v>
      </c>
    </row>
    <row r="531">
      <c r="A531" s="1">
        <f t="shared" si="1"/>
        <v>529</v>
      </c>
      <c r="B531" s="1" t="s">
        <v>1388</v>
      </c>
      <c r="C531" s="1" t="s">
        <v>1038</v>
      </c>
      <c r="D531" s="1" t="s">
        <v>66</v>
      </c>
      <c r="E531" s="15">
        <f t="shared" si="2"/>
        <v>143</v>
      </c>
      <c r="F531" s="16">
        <f t="shared" si="3"/>
        <v>2.383333333</v>
      </c>
      <c r="G531" s="1">
        <v>60.0</v>
      </c>
      <c r="H531" s="1">
        <v>2.0</v>
      </c>
      <c r="I531" s="1">
        <v>8.0</v>
      </c>
      <c r="J531" s="1">
        <v>10.0</v>
      </c>
      <c r="K531" s="1">
        <v>80.0</v>
      </c>
      <c r="L531" s="1">
        <v>0.0</v>
      </c>
      <c r="M531" s="1">
        <v>0.0</v>
      </c>
      <c r="N531" s="1">
        <v>0.0</v>
      </c>
      <c r="O531" s="1">
        <v>0.0</v>
      </c>
      <c r="P531" s="1">
        <v>156.0</v>
      </c>
      <c r="Q531" s="1">
        <v>62.0</v>
      </c>
    </row>
    <row r="532">
      <c r="A532" s="1">
        <f t="shared" si="1"/>
        <v>529</v>
      </c>
      <c r="B532" s="1" t="s">
        <v>1595</v>
      </c>
      <c r="C532" s="1" t="s">
        <v>1078</v>
      </c>
      <c r="D532" s="1" t="s">
        <v>28</v>
      </c>
      <c r="E532" s="15">
        <f t="shared" si="2"/>
        <v>143</v>
      </c>
      <c r="F532" s="16">
        <f t="shared" si="3"/>
        <v>2.648148148</v>
      </c>
      <c r="G532" s="1">
        <v>54.0</v>
      </c>
      <c r="H532" s="1">
        <v>9.0</v>
      </c>
      <c r="I532" s="1">
        <v>6.0</v>
      </c>
      <c r="J532" s="1">
        <v>15.0</v>
      </c>
      <c r="K532" s="1">
        <v>83.0</v>
      </c>
      <c r="L532" s="1">
        <v>0.0</v>
      </c>
      <c r="M532" s="1">
        <v>0.0</v>
      </c>
      <c r="N532" s="1">
        <v>0.0</v>
      </c>
      <c r="O532" s="1">
        <v>0.0</v>
      </c>
      <c r="P532" s="1">
        <v>134.0</v>
      </c>
      <c r="Q532" s="1">
        <v>19.0</v>
      </c>
    </row>
    <row r="533">
      <c r="A533" s="1">
        <f t="shared" si="1"/>
        <v>531</v>
      </c>
      <c r="B533" s="1" t="s">
        <v>1376</v>
      </c>
      <c r="C533" s="1" t="s">
        <v>1082</v>
      </c>
      <c r="D533" s="1" t="s">
        <v>31</v>
      </c>
      <c r="E533" s="15">
        <f t="shared" si="2"/>
        <v>142.5</v>
      </c>
      <c r="F533" s="16">
        <f t="shared" si="3"/>
        <v>2.095588235</v>
      </c>
      <c r="G533" s="1">
        <v>68.0</v>
      </c>
      <c r="H533" s="1">
        <v>9.0</v>
      </c>
      <c r="I533" s="1">
        <v>9.0</v>
      </c>
      <c r="J533" s="1">
        <v>18.0</v>
      </c>
      <c r="K533" s="1">
        <v>105.0</v>
      </c>
      <c r="L533" s="1">
        <v>0.0</v>
      </c>
      <c r="M533" s="1">
        <v>0.0</v>
      </c>
      <c r="N533" s="1">
        <v>0.0</v>
      </c>
      <c r="O533" s="1">
        <v>0.0</v>
      </c>
      <c r="P533" s="1">
        <v>46.0</v>
      </c>
      <c r="Q533" s="1">
        <v>22.0</v>
      </c>
    </row>
    <row r="534">
      <c r="A534" s="1">
        <f t="shared" si="1"/>
        <v>532</v>
      </c>
      <c r="B534" s="1" t="s">
        <v>1371</v>
      </c>
      <c r="C534" s="1" t="s">
        <v>1106</v>
      </c>
      <c r="D534" s="1" t="s">
        <v>66</v>
      </c>
      <c r="E534" s="15">
        <f t="shared" si="2"/>
        <v>142.25</v>
      </c>
      <c r="F534" s="16">
        <f t="shared" si="3"/>
        <v>2.634259259</v>
      </c>
      <c r="G534" s="1">
        <v>54.0</v>
      </c>
      <c r="H534" s="1">
        <v>3.0</v>
      </c>
      <c r="I534" s="1">
        <v>10.0</v>
      </c>
      <c r="J534" s="1">
        <v>13.0</v>
      </c>
      <c r="K534" s="1">
        <v>58.0</v>
      </c>
      <c r="L534" s="1">
        <v>0.0</v>
      </c>
      <c r="M534" s="1">
        <v>0.0</v>
      </c>
      <c r="N534" s="1">
        <v>1.0</v>
      </c>
      <c r="O534" s="1">
        <v>0.0</v>
      </c>
      <c r="P534" s="1">
        <v>109.0</v>
      </c>
      <c r="Q534" s="1">
        <v>81.0</v>
      </c>
    </row>
    <row r="535">
      <c r="A535" s="1">
        <f t="shared" si="1"/>
        <v>532</v>
      </c>
      <c r="B535" s="1" t="s">
        <v>2186</v>
      </c>
      <c r="C535" s="1" t="s">
        <v>1032</v>
      </c>
      <c r="D535" s="1" t="s">
        <v>66</v>
      </c>
      <c r="E535" s="15">
        <f t="shared" si="2"/>
        <v>142.25</v>
      </c>
      <c r="F535" s="16">
        <f t="shared" si="3"/>
        <v>3.026595745</v>
      </c>
      <c r="G535" s="1">
        <v>47.0</v>
      </c>
      <c r="H535" s="1">
        <v>3.0</v>
      </c>
      <c r="I535" s="1">
        <v>11.0</v>
      </c>
      <c r="J535" s="1">
        <v>14.0</v>
      </c>
      <c r="K535" s="1">
        <v>75.0</v>
      </c>
      <c r="L535" s="1">
        <v>0.0</v>
      </c>
      <c r="M535" s="1">
        <v>0.0</v>
      </c>
      <c r="N535" s="1">
        <v>0.0</v>
      </c>
      <c r="O535" s="1">
        <v>1.0</v>
      </c>
      <c r="P535" s="1">
        <v>105.0</v>
      </c>
      <c r="Q535" s="1">
        <v>60.0</v>
      </c>
    </row>
    <row r="536">
      <c r="A536" s="1">
        <f t="shared" si="1"/>
        <v>534</v>
      </c>
      <c r="B536" s="1" t="s">
        <v>1702</v>
      </c>
      <c r="C536" s="1" t="s">
        <v>1044</v>
      </c>
      <c r="D536" s="1" t="s">
        <v>66</v>
      </c>
      <c r="E536" s="15">
        <f t="shared" si="2"/>
        <v>141.75</v>
      </c>
      <c r="F536" s="16">
        <f t="shared" si="3"/>
        <v>3.296511628</v>
      </c>
      <c r="G536" s="1">
        <v>43.0</v>
      </c>
      <c r="H536" s="1">
        <v>4.0</v>
      </c>
      <c r="I536" s="1">
        <v>6.0</v>
      </c>
      <c r="J536" s="1">
        <v>10.0</v>
      </c>
      <c r="K536" s="1">
        <v>82.0</v>
      </c>
      <c r="L536" s="1">
        <v>0.0</v>
      </c>
      <c r="M536" s="1">
        <v>0.0</v>
      </c>
      <c r="N536" s="1">
        <v>0.0</v>
      </c>
      <c r="O536" s="1">
        <v>0.0</v>
      </c>
      <c r="P536" s="1">
        <v>73.0</v>
      </c>
      <c r="Q536" s="1">
        <v>93.0</v>
      </c>
    </row>
    <row r="537">
      <c r="A537" s="1">
        <f t="shared" si="1"/>
        <v>535</v>
      </c>
      <c r="B537" s="1" t="s">
        <v>2121</v>
      </c>
      <c r="C537" s="1" t="s">
        <v>1030</v>
      </c>
      <c r="D537" s="1" t="s">
        <v>5</v>
      </c>
      <c r="E537" s="15">
        <f t="shared" si="2"/>
        <v>141.6</v>
      </c>
      <c r="F537" s="16">
        <f t="shared" si="3"/>
        <v>6.742857143</v>
      </c>
      <c r="G537" s="1">
        <v>21.0</v>
      </c>
      <c r="N537" s="12"/>
      <c r="R537" s="1">
        <v>15.0</v>
      </c>
      <c r="S537" s="1">
        <v>51.0</v>
      </c>
      <c r="T537" s="12">
        <v>557.0</v>
      </c>
      <c r="U537" s="1">
        <v>2.0</v>
      </c>
    </row>
    <row r="538">
      <c r="A538" s="1">
        <f t="shared" si="1"/>
        <v>536</v>
      </c>
      <c r="B538" s="1" t="s">
        <v>1370</v>
      </c>
      <c r="C538" s="1" t="s">
        <v>1052</v>
      </c>
      <c r="D538" s="1" t="s">
        <v>28</v>
      </c>
      <c r="E538" s="15">
        <f t="shared" si="2"/>
        <v>140.5</v>
      </c>
      <c r="F538" s="16">
        <f t="shared" si="3"/>
        <v>3.426829268</v>
      </c>
      <c r="G538" s="1">
        <v>41.0</v>
      </c>
      <c r="H538" s="1">
        <v>8.0</v>
      </c>
      <c r="I538" s="1">
        <v>9.0</v>
      </c>
      <c r="J538" s="1">
        <v>17.0</v>
      </c>
      <c r="K538" s="1">
        <v>102.0</v>
      </c>
      <c r="L538" s="1">
        <v>2.0</v>
      </c>
      <c r="M538" s="1">
        <v>0.0</v>
      </c>
      <c r="N538" s="1">
        <v>0.0</v>
      </c>
      <c r="O538" s="1">
        <v>0.0</v>
      </c>
      <c r="P538" s="1">
        <v>66.0</v>
      </c>
      <c r="Q538" s="1">
        <v>20.0</v>
      </c>
    </row>
    <row r="539">
      <c r="A539" s="1">
        <f t="shared" si="1"/>
        <v>537</v>
      </c>
      <c r="B539" s="1" t="s">
        <v>2298</v>
      </c>
      <c r="C539" s="1" t="s">
        <v>1146</v>
      </c>
      <c r="D539" s="1" t="s">
        <v>36</v>
      </c>
      <c r="E539" s="15">
        <f t="shared" si="2"/>
        <v>140</v>
      </c>
      <c r="F539" s="16">
        <f t="shared" si="3"/>
        <v>1.866666667</v>
      </c>
      <c r="G539" s="1">
        <v>75.0</v>
      </c>
      <c r="H539" s="1">
        <v>2.0</v>
      </c>
      <c r="I539" s="1">
        <v>20.0</v>
      </c>
      <c r="J539" s="1">
        <v>22.0</v>
      </c>
      <c r="K539" s="1">
        <v>89.0</v>
      </c>
      <c r="L539" s="1">
        <v>0.0</v>
      </c>
      <c r="M539" s="1">
        <v>3.0</v>
      </c>
      <c r="N539" s="1">
        <v>0.0</v>
      </c>
      <c r="O539" s="1">
        <v>1.0</v>
      </c>
      <c r="P539" s="1">
        <v>36.0</v>
      </c>
      <c r="Q539" s="1">
        <v>31.0</v>
      </c>
    </row>
    <row r="540">
      <c r="A540" s="1">
        <f t="shared" si="1"/>
        <v>538</v>
      </c>
      <c r="B540" s="1" t="s">
        <v>1804</v>
      </c>
      <c r="C540" s="1" t="s">
        <v>1038</v>
      </c>
      <c r="D540" s="1" t="s">
        <v>28</v>
      </c>
      <c r="E540" s="15">
        <f t="shared" si="2"/>
        <v>139.75</v>
      </c>
      <c r="F540" s="16">
        <f t="shared" si="3"/>
        <v>1.863333333</v>
      </c>
      <c r="G540" s="1">
        <v>75.0</v>
      </c>
      <c r="H540" s="1">
        <v>3.0</v>
      </c>
      <c r="I540" s="1">
        <v>14.0</v>
      </c>
      <c r="J540" s="1">
        <v>17.0</v>
      </c>
      <c r="K540" s="1">
        <v>84.0</v>
      </c>
      <c r="L540" s="1">
        <v>0.0</v>
      </c>
      <c r="M540" s="1">
        <v>0.0</v>
      </c>
      <c r="N540" s="1">
        <v>0.0</v>
      </c>
      <c r="O540" s="1">
        <v>2.0</v>
      </c>
      <c r="P540" s="1">
        <v>85.0</v>
      </c>
      <c r="Q540" s="1">
        <v>34.0</v>
      </c>
    </row>
    <row r="541">
      <c r="A541" s="1">
        <f t="shared" si="1"/>
        <v>539</v>
      </c>
      <c r="B541" s="1" t="s">
        <v>2100</v>
      </c>
      <c r="C541" s="1" t="s">
        <v>1078</v>
      </c>
      <c r="D541" s="1" t="s">
        <v>66</v>
      </c>
      <c r="E541" s="15">
        <f t="shared" si="2"/>
        <v>139.5</v>
      </c>
      <c r="F541" s="16">
        <f t="shared" si="3"/>
        <v>3.402439024</v>
      </c>
      <c r="G541" s="1">
        <v>41.0</v>
      </c>
      <c r="H541" s="1">
        <v>3.0</v>
      </c>
      <c r="I541" s="1">
        <v>16.0</v>
      </c>
      <c r="J541" s="1">
        <v>19.0</v>
      </c>
      <c r="K541" s="1">
        <v>54.0</v>
      </c>
      <c r="L541" s="1">
        <v>0.0</v>
      </c>
      <c r="M541" s="1">
        <v>0.0</v>
      </c>
      <c r="N541" s="1">
        <v>0.0</v>
      </c>
      <c r="O541" s="1">
        <v>1.0</v>
      </c>
      <c r="P541" s="1">
        <v>56.0</v>
      </c>
      <c r="Q541" s="1">
        <v>70.0</v>
      </c>
    </row>
    <row r="542">
      <c r="A542" s="1">
        <f t="shared" si="1"/>
        <v>540</v>
      </c>
      <c r="B542" s="1" t="s">
        <v>2185</v>
      </c>
      <c r="C542" s="1" t="s">
        <v>1067</v>
      </c>
      <c r="D542" s="1" t="s">
        <v>5</v>
      </c>
      <c r="E542" s="15">
        <f t="shared" si="2"/>
        <v>139.2</v>
      </c>
      <c r="F542" s="16">
        <f t="shared" si="3"/>
        <v>4.8</v>
      </c>
      <c r="G542" s="1">
        <v>29.0</v>
      </c>
      <c r="N542" s="12"/>
      <c r="R542" s="1">
        <v>10.0</v>
      </c>
      <c r="S542" s="1">
        <v>91.0</v>
      </c>
      <c r="T542" s="12">
        <v>809.0</v>
      </c>
      <c r="U542" s="1">
        <v>1.0</v>
      </c>
    </row>
    <row r="543">
      <c r="A543" s="1">
        <f t="shared" si="1"/>
        <v>541</v>
      </c>
      <c r="B543" s="1" t="s">
        <v>2115</v>
      </c>
      <c r="C543" s="1" t="s">
        <v>1073</v>
      </c>
      <c r="D543" s="1" t="s">
        <v>31</v>
      </c>
      <c r="E543" s="15">
        <f t="shared" si="2"/>
        <v>138.25</v>
      </c>
      <c r="F543" s="16">
        <f t="shared" si="3"/>
        <v>2.38362069</v>
      </c>
      <c r="G543" s="1">
        <v>58.0</v>
      </c>
      <c r="H543" s="1">
        <v>9.0</v>
      </c>
      <c r="I543" s="1">
        <v>10.0</v>
      </c>
      <c r="J543" s="1">
        <v>19.0</v>
      </c>
      <c r="K543" s="1">
        <v>96.0</v>
      </c>
      <c r="L543" s="1">
        <v>0.0</v>
      </c>
      <c r="M543" s="1">
        <v>0.0</v>
      </c>
      <c r="N543" s="1">
        <v>0.0</v>
      </c>
      <c r="O543" s="1">
        <v>0.0</v>
      </c>
      <c r="P543" s="1">
        <v>29.0</v>
      </c>
      <c r="Q543" s="1">
        <v>25.0</v>
      </c>
    </row>
    <row r="544">
      <c r="A544" s="1">
        <f t="shared" si="1"/>
        <v>541</v>
      </c>
      <c r="B544" s="1" t="s">
        <v>2299</v>
      </c>
      <c r="C544" s="1" t="s">
        <v>1570</v>
      </c>
      <c r="D544" s="1" t="s">
        <v>66</v>
      </c>
      <c r="E544" s="15">
        <f t="shared" si="2"/>
        <v>138.25</v>
      </c>
      <c r="F544" s="16">
        <f t="shared" si="3"/>
        <v>1.795454545</v>
      </c>
      <c r="G544" s="1">
        <v>77.0</v>
      </c>
      <c r="H544" s="1">
        <v>1.0</v>
      </c>
      <c r="I544" s="1">
        <v>18.0</v>
      </c>
      <c r="J544" s="1">
        <v>19.0</v>
      </c>
      <c r="K544" s="1">
        <v>105.0</v>
      </c>
      <c r="L544" s="1">
        <v>1.0</v>
      </c>
      <c r="M544" s="1">
        <v>10.0</v>
      </c>
      <c r="N544" s="1">
        <v>0.0</v>
      </c>
      <c r="O544" s="1">
        <v>0.0</v>
      </c>
      <c r="P544" s="1">
        <v>29.0</v>
      </c>
      <c r="Q544" s="1">
        <v>40.0</v>
      </c>
    </row>
    <row r="545">
      <c r="A545" s="1">
        <f t="shared" si="1"/>
        <v>541</v>
      </c>
      <c r="B545" s="1" t="s">
        <v>2142</v>
      </c>
      <c r="C545" s="1" t="s">
        <v>1087</v>
      </c>
      <c r="D545" s="1" t="s">
        <v>28</v>
      </c>
      <c r="E545" s="15">
        <f t="shared" si="2"/>
        <v>138.25</v>
      </c>
      <c r="F545" s="16">
        <f t="shared" si="3"/>
        <v>3.072222222</v>
      </c>
      <c r="G545" s="1">
        <v>45.0</v>
      </c>
      <c r="H545" s="1">
        <v>6.0</v>
      </c>
      <c r="I545" s="1">
        <v>13.0</v>
      </c>
      <c r="J545" s="1">
        <v>19.0</v>
      </c>
      <c r="K545" s="1">
        <v>79.0</v>
      </c>
      <c r="L545" s="1">
        <v>0.0</v>
      </c>
      <c r="M545" s="1">
        <v>4.0</v>
      </c>
      <c r="N545" s="1">
        <v>0.0</v>
      </c>
      <c r="O545" s="1">
        <v>0.0</v>
      </c>
      <c r="P545" s="1">
        <v>103.0</v>
      </c>
      <c r="Q545" s="1">
        <v>14.0</v>
      </c>
    </row>
    <row r="546">
      <c r="A546" s="1">
        <f t="shared" si="1"/>
        <v>544</v>
      </c>
      <c r="B546" s="1" t="s">
        <v>1263</v>
      </c>
      <c r="C546" s="1" t="s">
        <v>1172</v>
      </c>
      <c r="D546" s="1" t="s">
        <v>28</v>
      </c>
      <c r="E546" s="15">
        <f t="shared" si="2"/>
        <v>137.75</v>
      </c>
      <c r="F546" s="16">
        <f t="shared" si="3"/>
        <v>2.055970149</v>
      </c>
      <c r="G546" s="1">
        <v>67.0</v>
      </c>
      <c r="H546" s="1">
        <v>6.0</v>
      </c>
      <c r="I546" s="1">
        <v>15.0</v>
      </c>
      <c r="J546" s="1">
        <v>21.0</v>
      </c>
      <c r="K546" s="1">
        <v>86.0</v>
      </c>
      <c r="L546" s="1">
        <v>2.0</v>
      </c>
      <c r="M546" s="1">
        <v>3.0</v>
      </c>
      <c r="N546" s="1">
        <v>0.0</v>
      </c>
      <c r="O546" s="1">
        <v>0.0</v>
      </c>
      <c r="P546" s="1">
        <v>31.0</v>
      </c>
      <c r="Q546" s="1">
        <v>30.0</v>
      </c>
    </row>
    <row r="547">
      <c r="A547" s="1">
        <f t="shared" si="1"/>
        <v>545</v>
      </c>
      <c r="B547" s="1" t="s">
        <v>2170</v>
      </c>
      <c r="C547" s="1" t="s">
        <v>1032</v>
      </c>
      <c r="D547" s="1" t="s">
        <v>36</v>
      </c>
      <c r="E547" s="15">
        <f t="shared" si="2"/>
        <v>137.5</v>
      </c>
      <c r="F547" s="16">
        <f t="shared" si="3"/>
        <v>1.909722222</v>
      </c>
      <c r="G547" s="1">
        <v>72.0</v>
      </c>
      <c r="H547" s="1">
        <v>5.0</v>
      </c>
      <c r="I547" s="1">
        <v>11.0</v>
      </c>
      <c r="J547" s="1">
        <v>16.0</v>
      </c>
      <c r="K547" s="1">
        <v>79.0</v>
      </c>
      <c r="L547" s="1">
        <v>0.0</v>
      </c>
      <c r="M547" s="1">
        <v>1.0</v>
      </c>
      <c r="N547" s="1">
        <v>0.0</v>
      </c>
      <c r="O547" s="1">
        <v>0.0</v>
      </c>
      <c r="P547" s="1">
        <v>148.0</v>
      </c>
      <c r="Q547" s="1">
        <v>11.0</v>
      </c>
    </row>
    <row r="548">
      <c r="A548" s="1">
        <f t="shared" si="1"/>
        <v>546</v>
      </c>
      <c r="B548" s="1" t="s">
        <v>1440</v>
      </c>
      <c r="C548" s="1" t="s">
        <v>1036</v>
      </c>
      <c r="D548" s="1" t="s">
        <v>31</v>
      </c>
      <c r="E548" s="15">
        <f t="shared" si="2"/>
        <v>137</v>
      </c>
      <c r="F548" s="16">
        <f t="shared" si="3"/>
        <v>1.929577465</v>
      </c>
      <c r="G548" s="1">
        <v>71.0</v>
      </c>
      <c r="H548" s="1">
        <v>9.0</v>
      </c>
      <c r="I548" s="1">
        <v>12.0</v>
      </c>
      <c r="J548" s="1">
        <v>21.0</v>
      </c>
      <c r="K548" s="1">
        <v>82.0</v>
      </c>
      <c r="L548" s="1">
        <v>2.0</v>
      </c>
      <c r="M548" s="1">
        <v>3.0</v>
      </c>
      <c r="N548" s="1">
        <v>0.0</v>
      </c>
      <c r="O548" s="1">
        <v>0.0</v>
      </c>
      <c r="P548" s="1">
        <v>28.0</v>
      </c>
      <c r="Q548" s="1">
        <v>25.0</v>
      </c>
    </row>
    <row r="549">
      <c r="A549" s="1">
        <f t="shared" si="1"/>
        <v>546</v>
      </c>
      <c r="B549" s="1" t="s">
        <v>1620</v>
      </c>
      <c r="C549" s="1" t="s">
        <v>1030</v>
      </c>
      <c r="D549" s="1" t="s">
        <v>28</v>
      </c>
      <c r="E549" s="15">
        <f t="shared" si="2"/>
        <v>137</v>
      </c>
      <c r="F549" s="16">
        <f t="shared" si="3"/>
        <v>1.851351351</v>
      </c>
      <c r="G549" s="1">
        <v>74.0</v>
      </c>
      <c r="H549" s="1">
        <v>4.0</v>
      </c>
      <c r="I549" s="1">
        <v>12.0</v>
      </c>
      <c r="J549" s="1">
        <v>16.0</v>
      </c>
      <c r="K549" s="1">
        <v>75.0</v>
      </c>
      <c r="L549" s="1">
        <v>0.0</v>
      </c>
      <c r="M549" s="1">
        <v>0.0</v>
      </c>
      <c r="N549" s="1">
        <v>1.0</v>
      </c>
      <c r="O549" s="1">
        <v>1.0</v>
      </c>
      <c r="P549" s="1">
        <v>104.0</v>
      </c>
      <c r="Q549" s="1">
        <v>31.0</v>
      </c>
    </row>
    <row r="550">
      <c r="A550" s="1">
        <f t="shared" si="1"/>
        <v>548</v>
      </c>
      <c r="B550" s="1" t="s">
        <v>1683</v>
      </c>
      <c r="C550" s="1" t="s">
        <v>1076</v>
      </c>
      <c r="D550" s="1" t="s">
        <v>31</v>
      </c>
      <c r="E550" s="15">
        <f t="shared" si="2"/>
        <v>136.75</v>
      </c>
      <c r="F550" s="16">
        <f t="shared" si="3"/>
        <v>2.441964286</v>
      </c>
      <c r="G550" s="1">
        <v>56.0</v>
      </c>
      <c r="H550" s="1">
        <v>10.0</v>
      </c>
      <c r="I550" s="1">
        <v>13.0</v>
      </c>
      <c r="J550" s="1">
        <v>23.0</v>
      </c>
      <c r="K550" s="1">
        <v>74.0</v>
      </c>
      <c r="L550" s="1">
        <v>0.0</v>
      </c>
      <c r="M550" s="1">
        <v>1.0</v>
      </c>
      <c r="N550" s="1">
        <v>0.0</v>
      </c>
      <c r="O550" s="1">
        <v>0.0</v>
      </c>
      <c r="P550" s="1">
        <v>31.0</v>
      </c>
      <c r="Q550" s="1">
        <v>16.0</v>
      </c>
    </row>
    <row r="551">
      <c r="A551" s="1">
        <f t="shared" si="1"/>
        <v>548</v>
      </c>
      <c r="B551" s="1" t="s">
        <v>1448</v>
      </c>
      <c r="C551" s="1" t="s">
        <v>1120</v>
      </c>
      <c r="D551" s="1" t="s">
        <v>31</v>
      </c>
      <c r="E551" s="15">
        <f t="shared" si="2"/>
        <v>136.75</v>
      </c>
      <c r="F551" s="16">
        <f t="shared" si="3"/>
        <v>2.071969697</v>
      </c>
      <c r="G551" s="1">
        <v>66.0</v>
      </c>
      <c r="H551" s="1">
        <v>8.0</v>
      </c>
      <c r="I551" s="1">
        <v>7.0</v>
      </c>
      <c r="J551" s="1">
        <v>15.0</v>
      </c>
      <c r="K551" s="1">
        <v>73.0</v>
      </c>
      <c r="L551" s="1">
        <v>0.0</v>
      </c>
      <c r="M551" s="1">
        <v>0.0</v>
      </c>
      <c r="N551" s="1">
        <v>0.0</v>
      </c>
      <c r="O551" s="1">
        <v>0.0</v>
      </c>
      <c r="P551" s="1">
        <v>123.0</v>
      </c>
      <c r="Q551" s="1">
        <v>25.0</v>
      </c>
    </row>
    <row r="552">
      <c r="A552" s="1">
        <f t="shared" si="1"/>
        <v>548</v>
      </c>
      <c r="B552" s="1" t="s">
        <v>1445</v>
      </c>
      <c r="C552" s="1" t="s">
        <v>1172</v>
      </c>
      <c r="D552" s="1" t="s">
        <v>66</v>
      </c>
      <c r="E552" s="15">
        <f t="shared" si="2"/>
        <v>136.75</v>
      </c>
      <c r="F552" s="16">
        <f t="shared" si="3"/>
        <v>2.31779661</v>
      </c>
      <c r="G552" s="1">
        <v>59.0</v>
      </c>
      <c r="H552" s="1">
        <v>3.0</v>
      </c>
      <c r="I552" s="1">
        <v>15.0</v>
      </c>
      <c r="J552" s="1">
        <v>18.0</v>
      </c>
      <c r="K552" s="1">
        <v>79.0</v>
      </c>
      <c r="L552" s="1">
        <v>0.0</v>
      </c>
      <c r="M552" s="1">
        <v>4.0</v>
      </c>
      <c r="N552" s="1">
        <v>0.0</v>
      </c>
      <c r="O552" s="1">
        <v>0.0</v>
      </c>
      <c r="P552" s="1">
        <v>45.0</v>
      </c>
      <c r="Q552" s="1">
        <v>55.0</v>
      </c>
    </row>
    <row r="553">
      <c r="A553" s="1">
        <f t="shared" si="1"/>
        <v>551</v>
      </c>
      <c r="B553" s="1" t="s">
        <v>1590</v>
      </c>
      <c r="C553" s="1" t="s">
        <v>1175</v>
      </c>
      <c r="D553" s="1" t="s">
        <v>66</v>
      </c>
      <c r="E553" s="15">
        <f t="shared" si="2"/>
        <v>136.5</v>
      </c>
      <c r="F553" s="16">
        <f t="shared" si="3"/>
        <v>1.82</v>
      </c>
      <c r="G553" s="1">
        <v>75.0</v>
      </c>
      <c r="H553" s="1">
        <v>3.0</v>
      </c>
      <c r="I553" s="1">
        <v>11.0</v>
      </c>
      <c r="J553" s="1">
        <v>14.0</v>
      </c>
      <c r="K553" s="1">
        <v>63.0</v>
      </c>
      <c r="L553" s="1">
        <v>0.0</v>
      </c>
      <c r="M553" s="1">
        <v>0.0</v>
      </c>
      <c r="N553" s="1">
        <v>0.0</v>
      </c>
      <c r="O553" s="1">
        <v>0.0</v>
      </c>
      <c r="P553" s="1">
        <v>54.0</v>
      </c>
      <c r="Q553" s="1">
        <v>90.0</v>
      </c>
    </row>
    <row r="554">
      <c r="A554" s="1">
        <f t="shared" si="1"/>
        <v>551</v>
      </c>
      <c r="B554" s="1" t="s">
        <v>2158</v>
      </c>
      <c r="C554" s="1" t="s">
        <v>1036</v>
      </c>
      <c r="D554" s="1" t="s">
        <v>36</v>
      </c>
      <c r="E554" s="15">
        <f t="shared" si="2"/>
        <v>136.5</v>
      </c>
      <c r="F554" s="16">
        <f t="shared" si="3"/>
        <v>2.353448276</v>
      </c>
      <c r="G554" s="1">
        <v>58.0</v>
      </c>
      <c r="H554" s="1">
        <v>6.0</v>
      </c>
      <c r="I554" s="1">
        <v>13.0</v>
      </c>
      <c r="J554" s="1">
        <v>19.0</v>
      </c>
      <c r="K554" s="1">
        <v>58.0</v>
      </c>
      <c r="L554" s="1">
        <v>2.0</v>
      </c>
      <c r="M554" s="1">
        <v>0.0</v>
      </c>
      <c r="N554" s="1">
        <v>0.0</v>
      </c>
      <c r="O554" s="1">
        <v>0.0</v>
      </c>
      <c r="P554" s="1">
        <v>154.0</v>
      </c>
      <c r="Q554" s="1">
        <v>6.0</v>
      </c>
    </row>
    <row r="555">
      <c r="A555" s="1">
        <f t="shared" si="1"/>
        <v>553</v>
      </c>
      <c r="B555" s="1" t="s">
        <v>2300</v>
      </c>
      <c r="C555" s="1" t="s">
        <v>1046</v>
      </c>
      <c r="D555" s="1" t="s">
        <v>36</v>
      </c>
      <c r="E555" s="15">
        <f t="shared" si="2"/>
        <v>135.25</v>
      </c>
      <c r="F555" s="16">
        <f t="shared" si="3"/>
        <v>1.803333333</v>
      </c>
      <c r="G555" s="1">
        <v>75.0</v>
      </c>
      <c r="H555" s="1">
        <v>7.0</v>
      </c>
      <c r="I555" s="1">
        <v>8.0</v>
      </c>
      <c r="J555" s="1">
        <v>15.0</v>
      </c>
      <c r="K555" s="1">
        <v>67.0</v>
      </c>
      <c r="L555" s="1">
        <v>0.0</v>
      </c>
      <c r="M555" s="1">
        <v>0.0</v>
      </c>
      <c r="N555" s="1">
        <v>0.0</v>
      </c>
      <c r="O555" s="1">
        <v>0.0</v>
      </c>
      <c r="P555" s="1">
        <v>93.0</v>
      </c>
      <c r="Q555" s="1">
        <v>46.0</v>
      </c>
    </row>
    <row r="556">
      <c r="A556" s="1">
        <f t="shared" si="1"/>
        <v>554</v>
      </c>
      <c r="B556" s="1" t="s">
        <v>1368</v>
      </c>
      <c r="C556" s="1" t="s">
        <v>1097</v>
      </c>
      <c r="D556" s="1" t="s">
        <v>31</v>
      </c>
      <c r="E556" s="15">
        <f t="shared" si="2"/>
        <v>134</v>
      </c>
      <c r="F556" s="16">
        <f t="shared" si="3"/>
        <v>2.350877193</v>
      </c>
      <c r="G556" s="1">
        <v>57.0</v>
      </c>
      <c r="H556" s="1">
        <v>9.0</v>
      </c>
      <c r="I556" s="1">
        <v>8.0</v>
      </c>
      <c r="J556" s="1">
        <v>17.0</v>
      </c>
      <c r="K556" s="1">
        <v>91.0</v>
      </c>
      <c r="L556" s="1">
        <v>2.0</v>
      </c>
      <c r="M556" s="1">
        <v>0.0</v>
      </c>
      <c r="N556" s="1">
        <v>0.0</v>
      </c>
      <c r="O556" s="1">
        <v>0.0</v>
      </c>
      <c r="P556" s="1">
        <v>40.0</v>
      </c>
      <c r="Q556" s="1">
        <v>28.0</v>
      </c>
    </row>
    <row r="557">
      <c r="A557" s="1">
        <f t="shared" si="1"/>
        <v>555</v>
      </c>
      <c r="B557" s="1" t="s">
        <v>1412</v>
      </c>
      <c r="C557" s="1" t="s">
        <v>1172</v>
      </c>
      <c r="D557" s="1" t="s">
        <v>36</v>
      </c>
      <c r="E557" s="15">
        <f t="shared" si="2"/>
        <v>133.75</v>
      </c>
      <c r="F557" s="16">
        <f t="shared" si="3"/>
        <v>2.388392857</v>
      </c>
      <c r="G557" s="1">
        <v>56.0</v>
      </c>
      <c r="H557" s="1">
        <v>5.0</v>
      </c>
      <c r="I557" s="1">
        <v>8.0</v>
      </c>
      <c r="J557" s="1">
        <v>13.0</v>
      </c>
      <c r="K557" s="1">
        <v>80.0</v>
      </c>
      <c r="L557" s="1">
        <v>0.0</v>
      </c>
      <c r="M557" s="1">
        <v>0.0</v>
      </c>
      <c r="N557" s="1">
        <v>0.0</v>
      </c>
      <c r="O557" s="1">
        <v>0.0</v>
      </c>
      <c r="P557" s="1">
        <v>137.0</v>
      </c>
      <c r="Q557" s="1">
        <v>26.0</v>
      </c>
    </row>
    <row r="558">
      <c r="A558" s="1">
        <f t="shared" si="1"/>
        <v>556</v>
      </c>
      <c r="B558" s="1" t="s">
        <v>1830</v>
      </c>
      <c r="C558" s="1" t="s">
        <v>1073</v>
      </c>
      <c r="D558" s="1" t="s">
        <v>66</v>
      </c>
      <c r="E558" s="15">
        <f t="shared" si="2"/>
        <v>132.25</v>
      </c>
      <c r="F558" s="16">
        <f t="shared" si="3"/>
        <v>2.280172414</v>
      </c>
      <c r="G558" s="1">
        <v>58.0</v>
      </c>
      <c r="H558" s="1">
        <v>5.0</v>
      </c>
      <c r="I558" s="1">
        <v>9.0</v>
      </c>
      <c r="J558" s="1">
        <v>14.0</v>
      </c>
      <c r="K558" s="1">
        <v>97.0</v>
      </c>
      <c r="L558" s="1">
        <v>0.0</v>
      </c>
      <c r="M558" s="1">
        <v>1.0</v>
      </c>
      <c r="N558" s="1">
        <v>0.0</v>
      </c>
      <c r="O558" s="1">
        <v>0.0</v>
      </c>
      <c r="P558" s="1">
        <v>55.0</v>
      </c>
      <c r="Q558" s="1">
        <v>41.0</v>
      </c>
    </row>
    <row r="559">
      <c r="A559" s="1">
        <f t="shared" si="1"/>
        <v>557</v>
      </c>
      <c r="B559" s="1" t="s">
        <v>2301</v>
      </c>
      <c r="C559" s="1" t="s">
        <v>1087</v>
      </c>
      <c r="D559" s="1" t="s">
        <v>66</v>
      </c>
      <c r="E559" s="15">
        <f t="shared" si="2"/>
        <v>131.75</v>
      </c>
      <c r="F559" s="16">
        <f t="shared" si="3"/>
        <v>1.90942029</v>
      </c>
      <c r="G559" s="1">
        <v>69.0</v>
      </c>
      <c r="H559" s="1">
        <v>2.0</v>
      </c>
      <c r="I559" s="1">
        <v>8.0</v>
      </c>
      <c r="J559" s="1">
        <v>10.0</v>
      </c>
      <c r="K559" s="1">
        <v>52.0</v>
      </c>
      <c r="L559" s="1">
        <v>0.0</v>
      </c>
      <c r="M559" s="1">
        <v>0.0</v>
      </c>
      <c r="N559" s="1">
        <v>0.0</v>
      </c>
      <c r="O559" s="1">
        <v>0.0</v>
      </c>
      <c r="P559" s="1">
        <v>39.0</v>
      </c>
      <c r="Q559" s="1">
        <v>126.0</v>
      </c>
    </row>
    <row r="560">
      <c r="A560" s="1">
        <f t="shared" si="1"/>
        <v>558</v>
      </c>
      <c r="B560" s="1" t="s">
        <v>1708</v>
      </c>
      <c r="C560" s="1" t="s">
        <v>1080</v>
      </c>
      <c r="D560" s="1" t="s">
        <v>66</v>
      </c>
      <c r="E560" s="15">
        <f t="shared" si="2"/>
        <v>130.75</v>
      </c>
      <c r="F560" s="16">
        <f t="shared" si="3"/>
        <v>2.254310345</v>
      </c>
      <c r="G560" s="1">
        <v>58.0</v>
      </c>
      <c r="H560" s="1">
        <v>3.0</v>
      </c>
      <c r="I560" s="1">
        <v>10.0</v>
      </c>
      <c r="J560" s="1">
        <v>13.0</v>
      </c>
      <c r="K560" s="1">
        <v>78.0</v>
      </c>
      <c r="L560" s="1">
        <v>0.0</v>
      </c>
      <c r="M560" s="1">
        <v>0.0</v>
      </c>
      <c r="N560" s="1">
        <v>0.0</v>
      </c>
      <c r="O560" s="1">
        <v>0.0</v>
      </c>
      <c r="P560" s="1">
        <v>49.0</v>
      </c>
      <c r="Q560" s="1">
        <v>72.0</v>
      </c>
    </row>
    <row r="561">
      <c r="A561" s="1">
        <f t="shared" si="1"/>
        <v>559</v>
      </c>
      <c r="B561" s="1" t="s">
        <v>1540</v>
      </c>
      <c r="C561" s="1" t="s">
        <v>1080</v>
      </c>
      <c r="D561" s="1" t="s">
        <v>31</v>
      </c>
      <c r="E561" s="15">
        <f t="shared" si="2"/>
        <v>130.5</v>
      </c>
      <c r="F561" s="16">
        <f t="shared" si="3"/>
        <v>2.776595745</v>
      </c>
      <c r="G561" s="1">
        <v>47.0</v>
      </c>
      <c r="H561" s="1">
        <v>9.0</v>
      </c>
      <c r="I561" s="1">
        <v>11.0</v>
      </c>
      <c r="J561" s="1">
        <v>20.0</v>
      </c>
      <c r="K561" s="1">
        <v>39.0</v>
      </c>
      <c r="L561" s="1">
        <v>0.0</v>
      </c>
      <c r="M561" s="1">
        <v>0.0</v>
      </c>
      <c r="N561" s="1">
        <v>0.0</v>
      </c>
      <c r="O561" s="1">
        <v>2.0</v>
      </c>
      <c r="P561" s="1">
        <v>62.0</v>
      </c>
      <c r="Q561" s="1">
        <v>36.0</v>
      </c>
    </row>
    <row r="562">
      <c r="A562" s="1">
        <f t="shared" si="1"/>
        <v>560</v>
      </c>
      <c r="B562" s="1" t="s">
        <v>1654</v>
      </c>
      <c r="C562" s="1" t="s">
        <v>1087</v>
      </c>
      <c r="D562" s="1" t="s">
        <v>28</v>
      </c>
      <c r="E562" s="15">
        <f t="shared" si="2"/>
        <v>130.25</v>
      </c>
      <c r="F562" s="16">
        <f t="shared" si="3"/>
        <v>1.834507042</v>
      </c>
      <c r="G562" s="1">
        <v>71.0</v>
      </c>
      <c r="H562" s="1">
        <v>3.0</v>
      </c>
      <c r="I562" s="1">
        <v>4.0</v>
      </c>
      <c r="J562" s="1">
        <v>7.0</v>
      </c>
      <c r="K562" s="1">
        <v>66.0</v>
      </c>
      <c r="L562" s="1">
        <v>0.0</v>
      </c>
      <c r="M562" s="1">
        <v>0.0</v>
      </c>
      <c r="N562" s="1">
        <v>0.0</v>
      </c>
      <c r="O562" s="1">
        <v>0.0</v>
      </c>
      <c r="P562" s="1">
        <v>235.0</v>
      </c>
      <c r="Q562" s="1">
        <v>26.0</v>
      </c>
    </row>
    <row r="563">
      <c r="A563" s="1">
        <f t="shared" si="1"/>
        <v>561</v>
      </c>
      <c r="B563" s="1" t="s">
        <v>2302</v>
      </c>
      <c r="C563" s="1" t="s">
        <v>1085</v>
      </c>
      <c r="D563" s="1" t="s">
        <v>5</v>
      </c>
      <c r="E563" s="15">
        <f t="shared" si="2"/>
        <v>130.2</v>
      </c>
      <c r="F563" s="16">
        <f t="shared" si="3"/>
        <v>5.425</v>
      </c>
      <c r="G563" s="1">
        <v>24.0</v>
      </c>
      <c r="N563" s="12"/>
      <c r="R563" s="1">
        <v>10.0</v>
      </c>
      <c r="S563" s="1">
        <v>61.0</v>
      </c>
      <c r="T563" s="12">
        <v>639.0</v>
      </c>
      <c r="U563" s="1">
        <v>0.0</v>
      </c>
    </row>
    <row r="564">
      <c r="A564" s="1">
        <f t="shared" si="1"/>
        <v>562</v>
      </c>
      <c r="B564" s="1" t="s">
        <v>1690</v>
      </c>
      <c r="C564" s="1" t="s">
        <v>1069</v>
      </c>
      <c r="D564" s="1" t="s">
        <v>31</v>
      </c>
      <c r="E564" s="15">
        <f t="shared" si="2"/>
        <v>130</v>
      </c>
      <c r="F564" s="16">
        <f t="shared" si="3"/>
        <v>1.940298507</v>
      </c>
      <c r="G564" s="1">
        <v>67.0</v>
      </c>
      <c r="H564" s="1">
        <v>3.0</v>
      </c>
      <c r="I564" s="1">
        <v>9.0</v>
      </c>
      <c r="J564" s="1">
        <v>12.0</v>
      </c>
      <c r="K564" s="1">
        <v>67.0</v>
      </c>
      <c r="L564" s="1">
        <v>0.0</v>
      </c>
      <c r="M564" s="1">
        <v>1.0</v>
      </c>
      <c r="N564" s="1">
        <v>0.0</v>
      </c>
      <c r="O564" s="1">
        <v>0.0</v>
      </c>
      <c r="P564" s="1">
        <v>136.0</v>
      </c>
      <c r="Q564" s="1">
        <v>44.0</v>
      </c>
    </row>
    <row r="565">
      <c r="A565" s="1">
        <f t="shared" si="1"/>
        <v>563</v>
      </c>
      <c r="B565" s="1" t="s">
        <v>2103</v>
      </c>
      <c r="C565" s="1" t="s">
        <v>1040</v>
      </c>
      <c r="D565" s="1" t="s">
        <v>66</v>
      </c>
      <c r="E565" s="15">
        <f t="shared" si="2"/>
        <v>129.75</v>
      </c>
      <c r="F565" s="16">
        <f t="shared" si="3"/>
        <v>2.05952381</v>
      </c>
      <c r="G565" s="1">
        <v>63.0</v>
      </c>
      <c r="H565" s="1">
        <v>2.0</v>
      </c>
      <c r="I565" s="1">
        <v>5.0</v>
      </c>
      <c r="J565" s="1">
        <v>7.0</v>
      </c>
      <c r="K565" s="1">
        <v>52.0</v>
      </c>
      <c r="L565" s="1">
        <v>0.0</v>
      </c>
      <c r="M565" s="1">
        <v>0.0</v>
      </c>
      <c r="N565" s="1">
        <v>0.0</v>
      </c>
      <c r="O565" s="1">
        <v>0.0</v>
      </c>
      <c r="P565" s="1">
        <v>115.0</v>
      </c>
      <c r="Q565" s="1">
        <v>102.0</v>
      </c>
    </row>
    <row r="566">
      <c r="A566" s="1">
        <f t="shared" si="1"/>
        <v>564</v>
      </c>
      <c r="B566" s="1" t="s">
        <v>1822</v>
      </c>
      <c r="C566" s="1" t="s">
        <v>1172</v>
      </c>
      <c r="D566" s="1" t="s">
        <v>66</v>
      </c>
      <c r="E566" s="15">
        <f t="shared" si="2"/>
        <v>129.25</v>
      </c>
      <c r="F566" s="16">
        <f t="shared" si="3"/>
        <v>2.534313725</v>
      </c>
      <c r="G566" s="1">
        <v>51.0</v>
      </c>
      <c r="H566" s="1">
        <v>5.0</v>
      </c>
      <c r="I566" s="1">
        <v>10.0</v>
      </c>
      <c r="J566" s="1">
        <v>15.0</v>
      </c>
      <c r="K566" s="1">
        <v>57.0</v>
      </c>
      <c r="L566" s="1">
        <v>0.0</v>
      </c>
      <c r="M566" s="1">
        <v>1.0</v>
      </c>
      <c r="N566" s="1">
        <v>0.0</v>
      </c>
      <c r="O566" s="1">
        <v>0.0</v>
      </c>
      <c r="P566" s="1">
        <v>77.0</v>
      </c>
      <c r="Q566" s="1">
        <v>58.0</v>
      </c>
    </row>
    <row r="567">
      <c r="A567" s="1">
        <f t="shared" si="1"/>
        <v>564</v>
      </c>
      <c r="B567" s="1" t="s">
        <v>2019</v>
      </c>
      <c r="C567" s="1" t="s">
        <v>1065</v>
      </c>
      <c r="D567" s="1" t="s">
        <v>28</v>
      </c>
      <c r="E567" s="15">
        <f t="shared" si="2"/>
        <v>129.25</v>
      </c>
      <c r="F567" s="16">
        <f t="shared" si="3"/>
        <v>2.485576923</v>
      </c>
      <c r="G567" s="1">
        <v>52.0</v>
      </c>
      <c r="H567" s="1">
        <v>6.0</v>
      </c>
      <c r="I567" s="1">
        <v>10.0</v>
      </c>
      <c r="J567" s="1">
        <v>16.0</v>
      </c>
      <c r="K567" s="1">
        <v>72.0</v>
      </c>
      <c r="L567" s="1">
        <v>0.0</v>
      </c>
      <c r="M567" s="1">
        <v>2.0</v>
      </c>
      <c r="N567" s="1">
        <v>0.0</v>
      </c>
      <c r="O567" s="1">
        <v>0.0</v>
      </c>
      <c r="P567" s="1">
        <v>111.0</v>
      </c>
      <c r="Q567" s="1">
        <v>17.0</v>
      </c>
    </row>
    <row r="568">
      <c r="A568" s="1">
        <f t="shared" si="1"/>
        <v>566</v>
      </c>
      <c r="B568" s="1" t="s">
        <v>1984</v>
      </c>
      <c r="C568" s="1" t="s">
        <v>1085</v>
      </c>
      <c r="D568" s="1" t="s">
        <v>28</v>
      </c>
      <c r="E568" s="15">
        <f t="shared" si="2"/>
        <v>128.5</v>
      </c>
      <c r="F568" s="16">
        <f t="shared" si="3"/>
        <v>1.976923077</v>
      </c>
      <c r="G568" s="1">
        <v>65.0</v>
      </c>
      <c r="H568" s="1">
        <v>12.0</v>
      </c>
      <c r="I568" s="1">
        <v>5.0</v>
      </c>
      <c r="J568" s="1">
        <v>17.0</v>
      </c>
      <c r="K568" s="1">
        <v>85.0</v>
      </c>
      <c r="L568" s="1">
        <v>0.0</v>
      </c>
      <c r="M568" s="1">
        <v>1.0</v>
      </c>
      <c r="N568" s="1">
        <v>0.0</v>
      </c>
      <c r="O568" s="1">
        <v>0.0</v>
      </c>
      <c r="P568" s="1">
        <v>22.0</v>
      </c>
      <c r="Q568" s="1">
        <v>23.0</v>
      </c>
    </row>
    <row r="569">
      <c r="A569" s="1">
        <f t="shared" si="1"/>
        <v>567</v>
      </c>
      <c r="B569" s="1" t="s">
        <v>1836</v>
      </c>
      <c r="C569" s="1" t="s">
        <v>1091</v>
      </c>
      <c r="D569" s="1" t="s">
        <v>31</v>
      </c>
      <c r="E569" s="15">
        <f t="shared" si="2"/>
        <v>128.25</v>
      </c>
      <c r="F569" s="16">
        <f t="shared" si="3"/>
        <v>1.71</v>
      </c>
      <c r="G569" s="1">
        <v>75.0</v>
      </c>
      <c r="H569" s="1">
        <v>3.0</v>
      </c>
      <c r="I569" s="1">
        <v>6.0</v>
      </c>
      <c r="J569" s="1">
        <v>9.0</v>
      </c>
      <c r="K569" s="1">
        <v>82.0</v>
      </c>
      <c r="L569" s="1">
        <v>0.0</v>
      </c>
      <c r="M569" s="1">
        <v>0.0</v>
      </c>
      <c r="N569" s="1">
        <v>0.0</v>
      </c>
      <c r="O569" s="1">
        <v>0.0</v>
      </c>
      <c r="P569" s="1">
        <v>159.0</v>
      </c>
      <c r="Q569" s="1">
        <v>32.0</v>
      </c>
    </row>
    <row r="570">
      <c r="A570" s="1">
        <f t="shared" si="1"/>
        <v>568</v>
      </c>
      <c r="B570" s="1" t="s">
        <v>2126</v>
      </c>
      <c r="C570" s="1" t="s">
        <v>1172</v>
      </c>
      <c r="D570" s="1" t="s">
        <v>66</v>
      </c>
      <c r="E570" s="15">
        <f t="shared" si="2"/>
        <v>127.5</v>
      </c>
      <c r="F570" s="16">
        <f t="shared" si="3"/>
        <v>2.451923077</v>
      </c>
      <c r="G570" s="1">
        <v>52.0</v>
      </c>
      <c r="H570" s="1">
        <v>2.0</v>
      </c>
      <c r="I570" s="1">
        <v>10.0</v>
      </c>
      <c r="J570" s="1">
        <v>12.0</v>
      </c>
      <c r="K570" s="1">
        <v>49.0</v>
      </c>
      <c r="L570" s="1">
        <v>0.0</v>
      </c>
      <c r="M570" s="1">
        <v>0.0</v>
      </c>
      <c r="N570" s="1">
        <v>0.0</v>
      </c>
      <c r="O570" s="1">
        <v>0.0</v>
      </c>
      <c r="P570" s="1">
        <v>122.0</v>
      </c>
      <c r="Q570" s="1">
        <v>67.0</v>
      </c>
    </row>
    <row r="571">
      <c r="A571" s="1">
        <f t="shared" si="1"/>
        <v>569</v>
      </c>
      <c r="B571" s="1" t="s">
        <v>1832</v>
      </c>
      <c r="C571" s="1" t="s">
        <v>1106</v>
      </c>
      <c r="D571" s="1" t="s">
        <v>66</v>
      </c>
      <c r="E571" s="15">
        <f t="shared" si="2"/>
        <v>125.75</v>
      </c>
      <c r="F571" s="16">
        <f t="shared" si="3"/>
        <v>1.72260274</v>
      </c>
      <c r="G571" s="1">
        <v>73.0</v>
      </c>
      <c r="H571" s="1">
        <v>1.0</v>
      </c>
      <c r="I571" s="1">
        <v>5.0</v>
      </c>
      <c r="J571" s="1">
        <v>6.0</v>
      </c>
      <c r="K571" s="1">
        <v>47.0</v>
      </c>
      <c r="L571" s="1">
        <v>0.0</v>
      </c>
      <c r="M571" s="1">
        <v>0.0</v>
      </c>
      <c r="N571" s="1">
        <v>0.0</v>
      </c>
      <c r="O571" s="1">
        <v>0.0</v>
      </c>
      <c r="P571" s="1">
        <v>135.0</v>
      </c>
      <c r="Q571" s="1">
        <v>98.0</v>
      </c>
    </row>
    <row r="572">
      <c r="A572" s="1">
        <f t="shared" si="1"/>
        <v>570</v>
      </c>
      <c r="B572" s="1" t="s">
        <v>2303</v>
      </c>
      <c r="C572" s="1" t="s">
        <v>1082</v>
      </c>
      <c r="D572" s="1" t="s">
        <v>31</v>
      </c>
      <c r="E572" s="15">
        <f t="shared" si="2"/>
        <v>125.5</v>
      </c>
      <c r="F572" s="16">
        <f t="shared" si="3"/>
        <v>2.918604651</v>
      </c>
      <c r="G572" s="1">
        <v>43.0</v>
      </c>
      <c r="H572" s="1">
        <v>7.0</v>
      </c>
      <c r="I572" s="1">
        <v>14.0</v>
      </c>
      <c r="J572" s="1">
        <v>21.0</v>
      </c>
      <c r="K572" s="1">
        <v>44.0</v>
      </c>
      <c r="L572" s="1">
        <v>2.0</v>
      </c>
      <c r="M572" s="1">
        <v>1.0</v>
      </c>
      <c r="N572" s="1">
        <v>0.0</v>
      </c>
      <c r="O572" s="1">
        <v>0.0</v>
      </c>
      <c r="P572" s="1">
        <v>70.0</v>
      </c>
      <c r="Q572" s="1">
        <v>25.0</v>
      </c>
    </row>
    <row r="573">
      <c r="A573" s="1">
        <f t="shared" si="1"/>
        <v>571</v>
      </c>
      <c r="B573" s="1" t="s">
        <v>2304</v>
      </c>
      <c r="C573" s="1" t="s">
        <v>1067</v>
      </c>
      <c r="D573" s="1" t="s">
        <v>66</v>
      </c>
      <c r="E573" s="15">
        <f t="shared" si="2"/>
        <v>125.25</v>
      </c>
      <c r="F573" s="16">
        <f t="shared" si="3"/>
        <v>1.841911765</v>
      </c>
      <c r="G573" s="1">
        <v>68.0</v>
      </c>
      <c r="H573" s="1">
        <v>3.0</v>
      </c>
      <c r="I573" s="1">
        <v>9.0</v>
      </c>
      <c r="J573" s="1">
        <v>12.0</v>
      </c>
      <c r="K573" s="1">
        <v>64.0</v>
      </c>
      <c r="L573" s="1">
        <v>0.0</v>
      </c>
      <c r="M573" s="1">
        <v>0.0</v>
      </c>
      <c r="N573" s="1">
        <v>0.0</v>
      </c>
      <c r="O573" s="1">
        <v>0.0</v>
      </c>
      <c r="P573" s="1">
        <v>41.0</v>
      </c>
      <c r="Q573" s="1">
        <v>85.0</v>
      </c>
    </row>
    <row r="574">
      <c r="A574" s="1">
        <f t="shared" si="1"/>
        <v>571</v>
      </c>
      <c r="B574" s="1" t="s">
        <v>1458</v>
      </c>
      <c r="C574" s="1" t="s">
        <v>1156</v>
      </c>
      <c r="D574" s="1" t="s">
        <v>36</v>
      </c>
      <c r="E574" s="15">
        <f t="shared" si="2"/>
        <v>125.25</v>
      </c>
      <c r="F574" s="16">
        <f t="shared" si="3"/>
        <v>2.783333333</v>
      </c>
      <c r="G574" s="1">
        <v>45.0</v>
      </c>
      <c r="H574" s="1">
        <v>10.0</v>
      </c>
      <c r="I574" s="1">
        <v>4.0</v>
      </c>
      <c r="J574" s="1">
        <v>14.0</v>
      </c>
      <c r="K574" s="1">
        <v>72.0</v>
      </c>
      <c r="L574" s="1">
        <v>0.0</v>
      </c>
      <c r="M574" s="1">
        <v>1.0</v>
      </c>
      <c r="N574" s="1">
        <v>0.0</v>
      </c>
      <c r="O574" s="1">
        <v>0.0</v>
      </c>
      <c r="P574" s="1">
        <v>85.0</v>
      </c>
      <c r="Q574" s="1">
        <v>22.0</v>
      </c>
    </row>
    <row r="575">
      <c r="A575" s="1">
        <f t="shared" si="1"/>
        <v>573</v>
      </c>
      <c r="B575" s="1" t="s">
        <v>1664</v>
      </c>
      <c r="C575" s="1" t="s">
        <v>1172</v>
      </c>
      <c r="D575" s="1" t="s">
        <v>5</v>
      </c>
      <c r="E575" s="15">
        <f t="shared" si="2"/>
        <v>125.1</v>
      </c>
      <c r="F575" s="16">
        <f t="shared" si="3"/>
        <v>3.909375</v>
      </c>
      <c r="G575" s="1">
        <v>32.0</v>
      </c>
      <c r="N575" s="12"/>
      <c r="R575" s="1">
        <v>8.0</v>
      </c>
      <c r="S575" s="1">
        <v>106.0</v>
      </c>
      <c r="T575" s="12">
        <v>867.0</v>
      </c>
      <c r="U575" s="1">
        <v>0.0</v>
      </c>
    </row>
    <row r="576">
      <c r="A576" s="1">
        <f t="shared" si="1"/>
        <v>574</v>
      </c>
      <c r="B576" s="1" t="s">
        <v>1780</v>
      </c>
      <c r="C576" s="1" t="s">
        <v>1040</v>
      </c>
      <c r="D576" s="1" t="s">
        <v>31</v>
      </c>
      <c r="E576" s="15">
        <f t="shared" si="2"/>
        <v>125</v>
      </c>
      <c r="F576" s="16">
        <f t="shared" si="3"/>
        <v>2.049180328</v>
      </c>
      <c r="G576" s="1">
        <v>61.0</v>
      </c>
      <c r="H576" s="1">
        <v>6.0</v>
      </c>
      <c r="I576" s="1">
        <v>6.0</v>
      </c>
      <c r="J576" s="1">
        <v>12.0</v>
      </c>
      <c r="K576" s="1">
        <v>71.0</v>
      </c>
      <c r="L576" s="1">
        <v>0.0</v>
      </c>
      <c r="M576" s="1">
        <v>0.0</v>
      </c>
      <c r="N576" s="1">
        <v>0.0</v>
      </c>
      <c r="O576" s="1">
        <v>0.0</v>
      </c>
      <c r="P576" s="1">
        <v>84.0</v>
      </c>
      <c r="Q576" s="1">
        <v>47.0</v>
      </c>
    </row>
    <row r="577">
      <c r="A577" s="1">
        <f t="shared" si="1"/>
        <v>575</v>
      </c>
      <c r="B577" s="1" t="s">
        <v>1758</v>
      </c>
      <c r="C577" s="1" t="s">
        <v>1069</v>
      </c>
      <c r="D577" s="1" t="s">
        <v>5</v>
      </c>
      <c r="E577" s="15">
        <f t="shared" si="2"/>
        <v>124.8</v>
      </c>
      <c r="F577" s="16">
        <f t="shared" si="3"/>
        <v>5.426086957</v>
      </c>
      <c r="G577" s="1">
        <v>23.0</v>
      </c>
      <c r="N577" s="12"/>
      <c r="R577" s="1">
        <v>13.0</v>
      </c>
      <c r="S577" s="1">
        <v>57.0</v>
      </c>
      <c r="T577" s="12">
        <v>551.0</v>
      </c>
      <c r="U577" s="1">
        <v>2.0</v>
      </c>
    </row>
    <row r="578">
      <c r="A578" s="1">
        <f t="shared" si="1"/>
        <v>576</v>
      </c>
      <c r="B578" s="1" t="s">
        <v>1528</v>
      </c>
      <c r="C578" s="1" t="s">
        <v>1065</v>
      </c>
      <c r="D578" s="1" t="s">
        <v>31</v>
      </c>
      <c r="E578" s="15">
        <f t="shared" si="2"/>
        <v>124.75</v>
      </c>
      <c r="F578" s="16">
        <f t="shared" si="3"/>
        <v>1.834558824</v>
      </c>
      <c r="G578" s="1">
        <v>68.0</v>
      </c>
      <c r="H578" s="1">
        <v>6.0</v>
      </c>
      <c r="I578" s="1">
        <v>14.0</v>
      </c>
      <c r="J578" s="1">
        <v>20.0</v>
      </c>
      <c r="K578" s="1">
        <v>66.0</v>
      </c>
      <c r="L578" s="1">
        <v>0.0</v>
      </c>
      <c r="M578" s="1">
        <v>3.0</v>
      </c>
      <c r="N578" s="1">
        <v>0.0</v>
      </c>
      <c r="O578" s="1">
        <v>0.0</v>
      </c>
      <c r="P578" s="1">
        <v>37.0</v>
      </c>
      <c r="Q578" s="1">
        <v>27.0</v>
      </c>
    </row>
    <row r="579">
      <c r="A579" s="1">
        <f t="shared" si="1"/>
        <v>576</v>
      </c>
      <c r="B579" s="1" t="s">
        <v>2305</v>
      </c>
      <c r="C579" s="1" t="s">
        <v>1120</v>
      </c>
      <c r="D579" s="1" t="s">
        <v>66</v>
      </c>
      <c r="E579" s="15">
        <f t="shared" si="2"/>
        <v>124.75</v>
      </c>
      <c r="F579" s="16">
        <f t="shared" si="3"/>
        <v>2.11440678</v>
      </c>
      <c r="G579" s="1">
        <v>59.0</v>
      </c>
      <c r="H579" s="1">
        <v>0.0</v>
      </c>
      <c r="I579" s="1">
        <v>11.0</v>
      </c>
      <c r="J579" s="1">
        <v>11.0</v>
      </c>
      <c r="K579" s="1">
        <v>57.0</v>
      </c>
      <c r="L579" s="1">
        <v>0.0</v>
      </c>
      <c r="M579" s="1">
        <v>0.0</v>
      </c>
      <c r="N579" s="1">
        <v>0.0</v>
      </c>
      <c r="O579" s="1">
        <v>0.0</v>
      </c>
      <c r="P579" s="1">
        <v>49.0</v>
      </c>
      <c r="Q579" s="1">
        <v>102.0</v>
      </c>
    </row>
    <row r="580">
      <c r="A580" s="1">
        <f t="shared" si="1"/>
        <v>578</v>
      </c>
      <c r="B580" s="1" t="s">
        <v>1777</v>
      </c>
      <c r="C580" s="1" t="s">
        <v>1044</v>
      </c>
      <c r="D580" s="1" t="s">
        <v>31</v>
      </c>
      <c r="E580" s="15">
        <f t="shared" si="2"/>
        <v>124.5</v>
      </c>
      <c r="F580" s="16">
        <f t="shared" si="3"/>
        <v>1.778571429</v>
      </c>
      <c r="G580" s="1">
        <v>70.0</v>
      </c>
      <c r="H580" s="1">
        <v>6.0</v>
      </c>
      <c r="I580" s="1">
        <v>12.0</v>
      </c>
      <c r="J580" s="1">
        <v>18.0</v>
      </c>
      <c r="K580" s="1">
        <v>72.0</v>
      </c>
      <c r="L580" s="1">
        <v>3.0</v>
      </c>
      <c r="M580" s="1">
        <v>2.0</v>
      </c>
      <c r="N580" s="1">
        <v>0.0</v>
      </c>
      <c r="O580" s="1">
        <v>0.0</v>
      </c>
      <c r="P580" s="1">
        <v>42.0</v>
      </c>
      <c r="Q580" s="1">
        <v>30.0</v>
      </c>
    </row>
    <row r="581">
      <c r="A581" s="1">
        <f t="shared" si="1"/>
        <v>578</v>
      </c>
      <c r="B581" s="1" t="s">
        <v>2306</v>
      </c>
      <c r="C581" s="1" t="s">
        <v>1065</v>
      </c>
      <c r="D581" s="1" t="s">
        <v>31</v>
      </c>
      <c r="E581" s="15">
        <f t="shared" si="2"/>
        <v>124.5</v>
      </c>
      <c r="F581" s="16">
        <f t="shared" si="3"/>
        <v>1.729166667</v>
      </c>
      <c r="G581" s="1">
        <v>72.0</v>
      </c>
      <c r="H581" s="1">
        <v>3.0</v>
      </c>
      <c r="I581" s="1">
        <v>10.0</v>
      </c>
      <c r="J581" s="1">
        <v>13.0</v>
      </c>
      <c r="K581" s="1">
        <v>88.0</v>
      </c>
      <c r="L581" s="1">
        <v>0.0</v>
      </c>
      <c r="M581" s="1">
        <v>1.0</v>
      </c>
      <c r="N581" s="1">
        <v>0.0</v>
      </c>
      <c r="O581" s="1">
        <v>0.0</v>
      </c>
      <c r="P581" s="1">
        <v>72.0</v>
      </c>
      <c r="Q581" s="1">
        <v>38.0</v>
      </c>
    </row>
    <row r="582">
      <c r="A582" s="1">
        <f t="shared" si="1"/>
        <v>578</v>
      </c>
      <c r="B582" s="1" t="s">
        <v>1428</v>
      </c>
      <c r="C582" s="1" t="s">
        <v>1042</v>
      </c>
      <c r="D582" s="1" t="s">
        <v>31</v>
      </c>
      <c r="E582" s="15">
        <f t="shared" si="2"/>
        <v>124.5</v>
      </c>
      <c r="F582" s="16">
        <f t="shared" si="3"/>
        <v>2.441176471</v>
      </c>
      <c r="G582" s="1">
        <v>51.0</v>
      </c>
      <c r="H582" s="1">
        <v>7.0</v>
      </c>
      <c r="I582" s="1">
        <v>7.0</v>
      </c>
      <c r="J582" s="1">
        <v>14.0</v>
      </c>
      <c r="K582" s="1">
        <v>51.0</v>
      </c>
      <c r="L582" s="1">
        <v>0.0</v>
      </c>
      <c r="M582" s="1">
        <v>1.0</v>
      </c>
      <c r="N582" s="1">
        <v>1.0</v>
      </c>
      <c r="O582" s="1">
        <v>0.0</v>
      </c>
      <c r="P582" s="1">
        <v>116.0</v>
      </c>
      <c r="Q582" s="1">
        <v>31.0</v>
      </c>
    </row>
    <row r="583">
      <c r="A583" s="1">
        <f t="shared" si="1"/>
        <v>581</v>
      </c>
      <c r="B583" s="1" t="s">
        <v>1513</v>
      </c>
      <c r="C583" s="1" t="s">
        <v>1044</v>
      </c>
      <c r="D583" s="1" t="s">
        <v>66</v>
      </c>
      <c r="E583" s="15">
        <f t="shared" si="2"/>
        <v>124.25</v>
      </c>
      <c r="F583" s="16">
        <f t="shared" si="3"/>
        <v>2.344339623</v>
      </c>
      <c r="G583" s="1">
        <v>53.0</v>
      </c>
      <c r="H583" s="1">
        <v>0.0</v>
      </c>
      <c r="I583" s="1">
        <v>14.0</v>
      </c>
      <c r="J583" s="1">
        <v>14.0</v>
      </c>
      <c r="K583" s="1">
        <v>86.0</v>
      </c>
      <c r="L583" s="1">
        <v>0.0</v>
      </c>
      <c r="M583" s="1">
        <v>6.0</v>
      </c>
      <c r="N583" s="1">
        <v>0.0</v>
      </c>
      <c r="O583" s="1">
        <v>0.0</v>
      </c>
      <c r="P583" s="1">
        <v>39.0</v>
      </c>
      <c r="Q583" s="1">
        <v>59.0</v>
      </c>
    </row>
    <row r="584">
      <c r="A584" s="1">
        <f t="shared" si="1"/>
        <v>582</v>
      </c>
      <c r="B584" s="1" t="s">
        <v>1420</v>
      </c>
      <c r="C584" s="1" t="s">
        <v>1078</v>
      </c>
      <c r="D584" s="1" t="s">
        <v>66</v>
      </c>
      <c r="E584" s="15">
        <f t="shared" si="2"/>
        <v>123.75</v>
      </c>
      <c r="F584" s="16">
        <f t="shared" si="3"/>
        <v>2.171052632</v>
      </c>
      <c r="G584" s="1">
        <v>57.0</v>
      </c>
      <c r="H584" s="1">
        <v>2.0</v>
      </c>
      <c r="I584" s="1">
        <v>6.0</v>
      </c>
      <c r="J584" s="1">
        <v>8.0</v>
      </c>
      <c r="K584" s="1">
        <v>58.0</v>
      </c>
      <c r="L584" s="1">
        <v>0.0</v>
      </c>
      <c r="M584" s="1">
        <v>0.0</v>
      </c>
      <c r="N584" s="1">
        <v>0.0</v>
      </c>
      <c r="O584" s="1">
        <v>0.0</v>
      </c>
      <c r="P584" s="1">
        <v>133.0</v>
      </c>
      <c r="Q584" s="1">
        <v>69.0</v>
      </c>
    </row>
    <row r="585">
      <c r="A585" s="1">
        <f t="shared" si="1"/>
        <v>583</v>
      </c>
      <c r="B585" s="1" t="s">
        <v>2094</v>
      </c>
      <c r="C585" s="1" t="s">
        <v>1036</v>
      </c>
      <c r="D585" s="1" t="s">
        <v>31</v>
      </c>
      <c r="E585" s="15">
        <f t="shared" si="2"/>
        <v>123.5</v>
      </c>
      <c r="F585" s="16">
        <f t="shared" si="3"/>
        <v>2.684782609</v>
      </c>
      <c r="G585" s="1">
        <v>46.0</v>
      </c>
      <c r="H585" s="1">
        <v>8.0</v>
      </c>
      <c r="I585" s="1">
        <v>11.0</v>
      </c>
      <c r="J585" s="1">
        <v>19.0</v>
      </c>
      <c r="K585" s="1">
        <v>62.0</v>
      </c>
      <c r="L585" s="1">
        <v>1.0</v>
      </c>
      <c r="M585" s="1">
        <v>1.0</v>
      </c>
      <c r="N585" s="1">
        <v>0.0</v>
      </c>
      <c r="O585" s="1">
        <v>0.0</v>
      </c>
      <c r="P585" s="1">
        <v>82.0</v>
      </c>
      <c r="Q585" s="1">
        <v>6.0</v>
      </c>
    </row>
    <row r="586">
      <c r="A586" s="1">
        <f t="shared" si="1"/>
        <v>583</v>
      </c>
      <c r="B586" s="1" t="s">
        <v>1318</v>
      </c>
      <c r="C586" s="1" t="s">
        <v>1091</v>
      </c>
      <c r="D586" s="1" t="s">
        <v>31</v>
      </c>
      <c r="E586" s="15">
        <f t="shared" si="2"/>
        <v>123.5</v>
      </c>
      <c r="F586" s="16">
        <f t="shared" si="3"/>
        <v>2.245454545</v>
      </c>
      <c r="G586" s="1">
        <v>55.0</v>
      </c>
      <c r="H586" s="1">
        <v>5.0</v>
      </c>
      <c r="I586" s="1">
        <v>11.0</v>
      </c>
      <c r="J586" s="1">
        <v>16.0</v>
      </c>
      <c r="K586" s="1">
        <v>85.0</v>
      </c>
      <c r="L586" s="1">
        <v>1.0</v>
      </c>
      <c r="M586" s="1">
        <v>1.0</v>
      </c>
      <c r="N586" s="1">
        <v>0.0</v>
      </c>
      <c r="O586" s="1">
        <v>0.0</v>
      </c>
      <c r="P586" s="1">
        <v>44.0</v>
      </c>
      <c r="Q586" s="1">
        <v>29.0</v>
      </c>
    </row>
    <row r="587">
      <c r="A587" s="1">
        <f t="shared" si="1"/>
        <v>585</v>
      </c>
      <c r="B587" s="1" t="s">
        <v>2250</v>
      </c>
      <c r="C587" s="1" t="s">
        <v>1042</v>
      </c>
      <c r="D587" s="1" t="s">
        <v>66</v>
      </c>
      <c r="E587" s="15">
        <f t="shared" si="2"/>
        <v>123</v>
      </c>
      <c r="F587" s="16">
        <f t="shared" si="3"/>
        <v>2.157894737</v>
      </c>
      <c r="G587" s="1">
        <v>57.0</v>
      </c>
      <c r="H587" s="1">
        <v>0.0</v>
      </c>
      <c r="I587" s="1">
        <v>4.0</v>
      </c>
      <c r="J587" s="1">
        <v>4.0</v>
      </c>
      <c r="K587" s="1">
        <v>45.0</v>
      </c>
      <c r="L587" s="1">
        <v>0.0</v>
      </c>
      <c r="M587" s="1">
        <v>0.0</v>
      </c>
      <c r="N587" s="1">
        <v>0.0</v>
      </c>
      <c r="O587" s="1">
        <v>0.0</v>
      </c>
      <c r="P587" s="1">
        <v>196.0</v>
      </c>
      <c r="Q587" s="1">
        <v>79.0</v>
      </c>
    </row>
    <row r="588">
      <c r="A588" s="1">
        <f t="shared" si="1"/>
        <v>586</v>
      </c>
      <c r="B588" s="1" t="s">
        <v>1802</v>
      </c>
      <c r="C588" s="1" t="s">
        <v>1078</v>
      </c>
      <c r="D588" s="1" t="s">
        <v>28</v>
      </c>
      <c r="E588" s="15">
        <f t="shared" si="2"/>
        <v>122.5</v>
      </c>
      <c r="F588" s="16">
        <f t="shared" si="3"/>
        <v>2.45</v>
      </c>
      <c r="G588" s="1">
        <v>50.0</v>
      </c>
      <c r="H588" s="1">
        <v>8.0</v>
      </c>
      <c r="I588" s="1">
        <v>5.0</v>
      </c>
      <c r="J588" s="1">
        <v>13.0</v>
      </c>
      <c r="K588" s="1">
        <v>65.0</v>
      </c>
      <c r="L588" s="1">
        <v>0.0</v>
      </c>
      <c r="M588" s="1">
        <v>0.0</v>
      </c>
      <c r="N588" s="1">
        <v>0.0</v>
      </c>
      <c r="O588" s="1">
        <v>0.0</v>
      </c>
      <c r="P588" s="1">
        <v>122.0</v>
      </c>
      <c r="Q588" s="1">
        <v>17.0</v>
      </c>
    </row>
    <row r="589">
      <c r="A589" s="1">
        <f t="shared" si="1"/>
        <v>587</v>
      </c>
      <c r="B589" s="1" t="s">
        <v>1464</v>
      </c>
      <c r="C589" s="1" t="s">
        <v>1156</v>
      </c>
      <c r="D589" s="1" t="s">
        <v>36</v>
      </c>
      <c r="E589" s="15">
        <f t="shared" si="2"/>
        <v>122</v>
      </c>
      <c r="F589" s="16">
        <f t="shared" si="3"/>
        <v>1.967741935</v>
      </c>
      <c r="G589" s="1">
        <v>62.0</v>
      </c>
      <c r="H589" s="1">
        <v>7.0</v>
      </c>
      <c r="I589" s="1">
        <v>7.0</v>
      </c>
      <c r="J589" s="1">
        <v>14.0</v>
      </c>
      <c r="K589" s="1">
        <v>98.0</v>
      </c>
      <c r="L589" s="1">
        <v>1.0</v>
      </c>
      <c r="M589" s="1">
        <v>0.0</v>
      </c>
      <c r="N589" s="1">
        <v>0.0</v>
      </c>
      <c r="O589" s="1">
        <v>0.0</v>
      </c>
      <c r="P589" s="1">
        <v>50.0</v>
      </c>
      <c r="Q589" s="1">
        <v>16.0</v>
      </c>
    </row>
    <row r="590">
      <c r="A590" s="1">
        <f t="shared" si="1"/>
        <v>588</v>
      </c>
      <c r="B590" s="1" t="s">
        <v>1214</v>
      </c>
      <c r="C590" s="1" t="s">
        <v>1054</v>
      </c>
      <c r="D590" s="1" t="s">
        <v>31</v>
      </c>
      <c r="E590" s="15">
        <f t="shared" si="2"/>
        <v>121.75</v>
      </c>
      <c r="F590" s="16">
        <f t="shared" si="3"/>
        <v>2.135964912</v>
      </c>
      <c r="G590" s="1">
        <v>57.0</v>
      </c>
      <c r="H590" s="1">
        <v>7.0</v>
      </c>
      <c r="I590" s="1">
        <v>6.0</v>
      </c>
      <c r="J590" s="1">
        <v>13.0</v>
      </c>
      <c r="K590" s="1">
        <v>81.0</v>
      </c>
      <c r="L590" s="1">
        <v>1.0</v>
      </c>
      <c r="M590" s="1">
        <v>0.0</v>
      </c>
      <c r="N590" s="1">
        <v>0.0</v>
      </c>
      <c r="O590" s="1">
        <v>0.0</v>
      </c>
      <c r="P590" s="1">
        <v>99.0</v>
      </c>
      <c r="Q590" s="1">
        <v>14.0</v>
      </c>
    </row>
    <row r="591">
      <c r="A591" s="1">
        <f t="shared" si="1"/>
        <v>589</v>
      </c>
      <c r="B591" s="1" t="s">
        <v>1505</v>
      </c>
      <c r="C591" s="1" t="s">
        <v>1146</v>
      </c>
      <c r="D591" s="1" t="s">
        <v>28</v>
      </c>
      <c r="E591" s="15">
        <f t="shared" si="2"/>
        <v>121.5</v>
      </c>
      <c r="F591" s="16">
        <f t="shared" si="3"/>
        <v>4.05</v>
      </c>
      <c r="G591" s="1">
        <v>30.0</v>
      </c>
      <c r="H591" s="1">
        <v>9.0</v>
      </c>
      <c r="I591" s="1">
        <v>6.0</v>
      </c>
      <c r="J591" s="1">
        <v>15.0</v>
      </c>
      <c r="K591" s="1">
        <v>51.0</v>
      </c>
      <c r="L591" s="1">
        <v>2.0</v>
      </c>
      <c r="M591" s="1">
        <v>0.0</v>
      </c>
      <c r="N591" s="1">
        <v>1.0</v>
      </c>
      <c r="O591" s="1">
        <v>0.0</v>
      </c>
      <c r="P591" s="1">
        <v>98.0</v>
      </c>
      <c r="Q591" s="1">
        <v>22.0</v>
      </c>
    </row>
    <row r="592">
      <c r="A592" s="1">
        <f t="shared" si="1"/>
        <v>589</v>
      </c>
      <c r="B592" s="1" t="s">
        <v>1849</v>
      </c>
      <c r="C592" s="1" t="s">
        <v>1116</v>
      </c>
      <c r="D592" s="1" t="s">
        <v>28</v>
      </c>
      <c r="E592" s="15">
        <f t="shared" si="2"/>
        <v>121.5</v>
      </c>
      <c r="F592" s="16">
        <f t="shared" si="3"/>
        <v>1.577922078</v>
      </c>
      <c r="G592" s="1">
        <v>77.0</v>
      </c>
      <c r="H592" s="1">
        <v>7.0</v>
      </c>
      <c r="I592" s="1">
        <v>7.0</v>
      </c>
      <c r="J592" s="1">
        <v>14.0</v>
      </c>
      <c r="K592" s="1">
        <v>44.0</v>
      </c>
      <c r="L592" s="1">
        <v>0.0</v>
      </c>
      <c r="M592" s="1">
        <v>1.0</v>
      </c>
      <c r="N592" s="1">
        <v>1.0</v>
      </c>
      <c r="O592" s="1">
        <v>3.0</v>
      </c>
      <c r="P592" s="1">
        <v>92.0</v>
      </c>
      <c r="Q592" s="1">
        <v>32.0</v>
      </c>
    </row>
    <row r="593">
      <c r="A593" s="1">
        <f t="shared" si="1"/>
        <v>591</v>
      </c>
      <c r="B593" s="1" t="s">
        <v>1466</v>
      </c>
      <c r="C593" s="1" t="s">
        <v>1080</v>
      </c>
      <c r="D593" s="1" t="s">
        <v>31</v>
      </c>
      <c r="E593" s="15">
        <f t="shared" si="2"/>
        <v>121</v>
      </c>
      <c r="F593" s="16">
        <f t="shared" si="3"/>
        <v>2.160714286</v>
      </c>
      <c r="G593" s="1">
        <v>56.0</v>
      </c>
      <c r="H593" s="1">
        <v>11.0</v>
      </c>
      <c r="I593" s="1">
        <v>7.0</v>
      </c>
      <c r="J593" s="1">
        <v>18.0</v>
      </c>
      <c r="K593" s="1">
        <v>64.0</v>
      </c>
      <c r="L593" s="1">
        <v>0.0</v>
      </c>
      <c r="M593" s="1">
        <v>0.0</v>
      </c>
      <c r="N593" s="1">
        <v>0.0</v>
      </c>
      <c r="O593" s="1">
        <v>0.0</v>
      </c>
      <c r="P593" s="1">
        <v>42.0</v>
      </c>
      <c r="Q593" s="1">
        <v>16.0</v>
      </c>
    </row>
    <row r="594">
      <c r="A594" s="1">
        <f t="shared" si="1"/>
        <v>592</v>
      </c>
      <c r="B594" s="1" t="s">
        <v>1461</v>
      </c>
      <c r="C594" s="1" t="s">
        <v>1175</v>
      </c>
      <c r="D594" s="1" t="s">
        <v>5</v>
      </c>
      <c r="E594" s="15">
        <f t="shared" si="2"/>
        <v>120.6</v>
      </c>
      <c r="F594" s="16">
        <f t="shared" si="3"/>
        <v>4.824</v>
      </c>
      <c r="G594" s="1">
        <v>25.0</v>
      </c>
      <c r="N594" s="12"/>
      <c r="R594" s="1">
        <v>10.0</v>
      </c>
      <c r="S594" s="1">
        <v>61.0</v>
      </c>
      <c r="T594" s="12">
        <v>587.0</v>
      </c>
      <c r="U594" s="1">
        <v>2.0</v>
      </c>
    </row>
    <row r="595">
      <c r="A595" s="1">
        <f t="shared" si="1"/>
        <v>593</v>
      </c>
      <c r="B595" s="1" t="s">
        <v>1261</v>
      </c>
      <c r="C595" s="1" t="s">
        <v>1046</v>
      </c>
      <c r="D595" s="1" t="s">
        <v>31</v>
      </c>
      <c r="E595" s="15">
        <f t="shared" si="2"/>
        <v>120.25</v>
      </c>
      <c r="F595" s="16">
        <f t="shared" si="3"/>
        <v>1.939516129</v>
      </c>
      <c r="G595" s="1">
        <v>62.0</v>
      </c>
      <c r="H595" s="1">
        <v>5.0</v>
      </c>
      <c r="I595" s="1">
        <v>6.0</v>
      </c>
      <c r="J595" s="1">
        <v>11.0</v>
      </c>
      <c r="K595" s="1">
        <v>66.0</v>
      </c>
      <c r="L595" s="1">
        <v>0.0</v>
      </c>
      <c r="M595" s="1">
        <v>0.0</v>
      </c>
      <c r="N595" s="1">
        <v>0.0</v>
      </c>
      <c r="O595" s="1">
        <v>0.0</v>
      </c>
      <c r="P595" s="1">
        <v>101.0</v>
      </c>
      <c r="Q595" s="1">
        <v>43.0</v>
      </c>
    </row>
    <row r="596">
      <c r="A596" s="1">
        <f t="shared" si="1"/>
        <v>594</v>
      </c>
      <c r="B596" s="1" t="s">
        <v>1478</v>
      </c>
      <c r="C596" s="1" t="s">
        <v>1032</v>
      </c>
      <c r="D596" s="1" t="s">
        <v>66</v>
      </c>
      <c r="E596" s="15">
        <f t="shared" si="2"/>
        <v>120</v>
      </c>
      <c r="F596" s="16">
        <f t="shared" si="3"/>
        <v>2.352941176</v>
      </c>
      <c r="G596" s="1">
        <v>51.0</v>
      </c>
      <c r="H596" s="1">
        <v>5.0</v>
      </c>
      <c r="I596" s="1">
        <v>11.0</v>
      </c>
      <c r="J596" s="1">
        <v>16.0</v>
      </c>
      <c r="K596" s="1">
        <v>46.0</v>
      </c>
      <c r="L596" s="1">
        <v>0.0</v>
      </c>
      <c r="M596" s="1">
        <v>3.0</v>
      </c>
      <c r="N596" s="1">
        <v>0.0</v>
      </c>
      <c r="O596" s="1">
        <v>0.0</v>
      </c>
      <c r="P596" s="1">
        <v>88.0</v>
      </c>
      <c r="Q596" s="1">
        <v>39.0</v>
      </c>
    </row>
    <row r="597">
      <c r="A597" s="1">
        <f t="shared" si="1"/>
        <v>595</v>
      </c>
      <c r="B597" s="1" t="s">
        <v>1581</v>
      </c>
      <c r="C597" s="1" t="s">
        <v>1078</v>
      </c>
      <c r="D597" s="1" t="s">
        <v>66</v>
      </c>
      <c r="E597" s="15">
        <f t="shared" si="2"/>
        <v>119.75</v>
      </c>
      <c r="F597" s="16">
        <f t="shared" si="3"/>
        <v>1.814393939</v>
      </c>
      <c r="G597" s="1">
        <v>66.0</v>
      </c>
      <c r="H597" s="1">
        <v>1.0</v>
      </c>
      <c r="I597" s="1">
        <v>7.0</v>
      </c>
      <c r="J597" s="1">
        <v>8.0</v>
      </c>
      <c r="K597" s="1">
        <v>61.0</v>
      </c>
      <c r="L597" s="1">
        <v>0.0</v>
      </c>
      <c r="M597" s="1">
        <v>0.0</v>
      </c>
      <c r="N597" s="1">
        <v>0.0</v>
      </c>
      <c r="O597" s="1">
        <v>0.0</v>
      </c>
      <c r="P597" s="1">
        <v>67.0</v>
      </c>
      <c r="Q597" s="1">
        <v>94.0</v>
      </c>
    </row>
    <row r="598">
      <c r="A598" s="1">
        <f t="shared" si="1"/>
        <v>595</v>
      </c>
      <c r="B598" s="1" t="s">
        <v>2307</v>
      </c>
      <c r="C598" s="1" t="s">
        <v>1111</v>
      </c>
      <c r="D598" s="1" t="s">
        <v>36</v>
      </c>
      <c r="E598" s="15">
        <f t="shared" si="2"/>
        <v>119.75</v>
      </c>
      <c r="F598" s="16">
        <f t="shared" si="3"/>
        <v>1.640410959</v>
      </c>
      <c r="G598" s="1">
        <v>73.0</v>
      </c>
      <c r="H598" s="1">
        <v>3.0</v>
      </c>
      <c r="I598" s="1">
        <v>16.0</v>
      </c>
      <c r="J598" s="1">
        <v>19.0</v>
      </c>
      <c r="K598" s="1">
        <v>81.0</v>
      </c>
      <c r="L598" s="1">
        <v>0.0</v>
      </c>
      <c r="M598" s="1">
        <v>1.0</v>
      </c>
      <c r="N598" s="1">
        <v>1.0</v>
      </c>
      <c r="O598" s="1">
        <v>0.0</v>
      </c>
      <c r="P598" s="1">
        <v>17.0</v>
      </c>
      <c r="Q598" s="1">
        <v>23.0</v>
      </c>
    </row>
    <row r="599">
      <c r="A599" s="1">
        <f t="shared" si="1"/>
        <v>597</v>
      </c>
      <c r="B599" s="1" t="s">
        <v>2041</v>
      </c>
      <c r="C599" s="1" t="s">
        <v>1044</v>
      </c>
      <c r="D599" s="1" t="s">
        <v>31</v>
      </c>
      <c r="E599" s="15">
        <f t="shared" si="2"/>
        <v>119.5</v>
      </c>
      <c r="F599" s="16">
        <f t="shared" si="3"/>
        <v>2.060344828</v>
      </c>
      <c r="G599" s="1">
        <v>58.0</v>
      </c>
      <c r="H599" s="1">
        <v>5.0</v>
      </c>
      <c r="I599" s="1">
        <v>9.0</v>
      </c>
      <c r="J599" s="1">
        <v>14.0</v>
      </c>
      <c r="K599" s="1">
        <v>94.0</v>
      </c>
      <c r="L599" s="1">
        <v>2.0</v>
      </c>
      <c r="M599" s="1">
        <v>0.0</v>
      </c>
      <c r="N599" s="1">
        <v>0.0</v>
      </c>
      <c r="O599" s="1">
        <v>0.0</v>
      </c>
      <c r="P599" s="1">
        <v>72.0</v>
      </c>
      <c r="Q599" s="1">
        <v>10.0</v>
      </c>
    </row>
    <row r="600">
      <c r="A600" s="1">
        <f t="shared" si="1"/>
        <v>598</v>
      </c>
      <c r="B600" s="1" t="s">
        <v>1443</v>
      </c>
      <c r="C600" s="1" t="s">
        <v>1156</v>
      </c>
      <c r="D600" s="1" t="s">
        <v>31</v>
      </c>
      <c r="E600" s="15">
        <f t="shared" si="2"/>
        <v>119.25</v>
      </c>
      <c r="F600" s="16">
        <f t="shared" si="3"/>
        <v>3.3125</v>
      </c>
      <c r="G600" s="1">
        <v>36.0</v>
      </c>
      <c r="H600" s="1">
        <v>11.0</v>
      </c>
      <c r="I600" s="1">
        <v>9.0</v>
      </c>
      <c r="J600" s="1">
        <v>20.0</v>
      </c>
      <c r="K600" s="1">
        <v>59.0</v>
      </c>
      <c r="L600" s="1">
        <v>0.0</v>
      </c>
      <c r="M600" s="1">
        <v>0.0</v>
      </c>
      <c r="N600" s="1">
        <v>1.0</v>
      </c>
      <c r="O600" s="1">
        <v>1.0</v>
      </c>
      <c r="P600" s="1">
        <v>13.0</v>
      </c>
      <c r="Q600" s="1">
        <v>12.0</v>
      </c>
    </row>
    <row r="601">
      <c r="A601" s="1">
        <f t="shared" si="1"/>
        <v>599</v>
      </c>
      <c r="B601" s="1" t="s">
        <v>1895</v>
      </c>
      <c r="C601" s="1" t="s">
        <v>1116</v>
      </c>
      <c r="D601" s="1" t="s">
        <v>5</v>
      </c>
      <c r="E601" s="15">
        <f t="shared" si="2"/>
        <v>118.8</v>
      </c>
      <c r="F601" s="16">
        <f t="shared" si="3"/>
        <v>6.252631579</v>
      </c>
      <c r="G601" s="1">
        <v>19.0</v>
      </c>
      <c r="N601" s="12"/>
      <c r="R601" s="1">
        <v>10.0</v>
      </c>
      <c r="S601" s="1">
        <v>44.0</v>
      </c>
      <c r="T601" s="12">
        <v>506.0</v>
      </c>
      <c r="U601" s="1">
        <v>1.0</v>
      </c>
    </row>
    <row r="602">
      <c r="A602" s="1">
        <f t="shared" si="1"/>
        <v>600</v>
      </c>
      <c r="B602" s="1" t="s">
        <v>1390</v>
      </c>
      <c r="C602" s="1" t="s">
        <v>1120</v>
      </c>
      <c r="D602" s="1" t="s">
        <v>66</v>
      </c>
      <c r="E602" s="15">
        <f t="shared" si="2"/>
        <v>118.75</v>
      </c>
      <c r="F602" s="16">
        <f t="shared" si="3"/>
        <v>2.328431373</v>
      </c>
      <c r="G602" s="1">
        <v>51.0</v>
      </c>
      <c r="H602" s="1">
        <v>3.0</v>
      </c>
      <c r="I602" s="1">
        <v>7.0</v>
      </c>
      <c r="J602" s="1">
        <v>10.0</v>
      </c>
      <c r="K602" s="1">
        <v>87.0</v>
      </c>
      <c r="L602" s="1">
        <v>0.0</v>
      </c>
      <c r="M602" s="1">
        <v>1.0</v>
      </c>
      <c r="N602" s="1">
        <v>0.0</v>
      </c>
      <c r="O602" s="1">
        <v>0.0</v>
      </c>
      <c r="P602" s="1">
        <v>47.0</v>
      </c>
      <c r="Q602" s="1">
        <v>58.0</v>
      </c>
    </row>
    <row r="603">
      <c r="A603" s="1">
        <f t="shared" si="1"/>
        <v>600</v>
      </c>
      <c r="B603" s="1" t="s">
        <v>1377</v>
      </c>
      <c r="C603" s="1" t="s">
        <v>1073</v>
      </c>
      <c r="D603" s="1" t="s">
        <v>28</v>
      </c>
      <c r="E603" s="15">
        <f t="shared" si="2"/>
        <v>118.75</v>
      </c>
      <c r="F603" s="16">
        <f t="shared" si="3"/>
        <v>2.012711864</v>
      </c>
      <c r="G603" s="1">
        <v>59.0</v>
      </c>
      <c r="H603" s="1">
        <v>6.0</v>
      </c>
      <c r="I603" s="1">
        <v>9.0</v>
      </c>
      <c r="J603" s="1">
        <v>15.0</v>
      </c>
      <c r="K603" s="1">
        <v>77.0</v>
      </c>
      <c r="L603" s="1">
        <v>0.0</v>
      </c>
      <c r="M603" s="1">
        <v>0.0</v>
      </c>
      <c r="N603" s="1">
        <v>0.0</v>
      </c>
      <c r="O603" s="1">
        <v>0.0</v>
      </c>
      <c r="P603" s="1">
        <v>83.0</v>
      </c>
      <c r="Q603" s="1">
        <v>11.0</v>
      </c>
    </row>
    <row r="604">
      <c r="A604" s="1">
        <f t="shared" si="1"/>
        <v>602</v>
      </c>
      <c r="B604" s="1" t="s">
        <v>2132</v>
      </c>
      <c r="C604" s="1" t="s">
        <v>1046</v>
      </c>
      <c r="D604" s="1" t="s">
        <v>66</v>
      </c>
      <c r="E604" s="15">
        <f t="shared" si="2"/>
        <v>118.5</v>
      </c>
      <c r="F604" s="16">
        <f t="shared" si="3"/>
        <v>2.37</v>
      </c>
      <c r="G604" s="1">
        <v>50.0</v>
      </c>
      <c r="H604" s="1">
        <v>3.0</v>
      </c>
      <c r="I604" s="1">
        <v>14.0</v>
      </c>
      <c r="J604" s="1">
        <v>17.0</v>
      </c>
      <c r="K604" s="1">
        <v>67.0</v>
      </c>
      <c r="L604" s="1">
        <v>0.0</v>
      </c>
      <c r="M604" s="1">
        <v>2.0</v>
      </c>
      <c r="N604" s="1">
        <v>0.0</v>
      </c>
      <c r="O604" s="1">
        <v>0.0</v>
      </c>
      <c r="P604" s="1">
        <v>22.0</v>
      </c>
      <c r="Q604" s="1">
        <v>48.0</v>
      </c>
    </row>
    <row r="605">
      <c r="A605" s="1">
        <f t="shared" si="1"/>
        <v>603</v>
      </c>
      <c r="B605" s="1" t="s">
        <v>1430</v>
      </c>
      <c r="C605" s="1" t="s">
        <v>1044</v>
      </c>
      <c r="D605" s="1" t="s">
        <v>31</v>
      </c>
      <c r="E605" s="15">
        <f t="shared" si="2"/>
        <v>118.25</v>
      </c>
      <c r="F605" s="16">
        <f t="shared" si="3"/>
        <v>2.884146341</v>
      </c>
      <c r="G605" s="1">
        <v>41.0</v>
      </c>
      <c r="H605" s="1">
        <v>7.0</v>
      </c>
      <c r="I605" s="1">
        <v>5.0</v>
      </c>
      <c r="J605" s="1">
        <v>12.0</v>
      </c>
      <c r="K605" s="1">
        <v>48.0</v>
      </c>
      <c r="L605" s="1">
        <v>0.0</v>
      </c>
      <c r="M605" s="1">
        <v>0.0</v>
      </c>
      <c r="N605" s="1">
        <v>0.0</v>
      </c>
      <c r="O605" s="1">
        <v>0.0</v>
      </c>
      <c r="P605" s="1">
        <v>131.0</v>
      </c>
      <c r="Q605" s="1">
        <v>30.0</v>
      </c>
    </row>
    <row r="606">
      <c r="A606" s="1">
        <f t="shared" si="1"/>
        <v>604</v>
      </c>
      <c r="B606" s="1" t="s">
        <v>1858</v>
      </c>
      <c r="C606" s="1" t="s">
        <v>1042</v>
      </c>
      <c r="D606" s="1" t="s">
        <v>66</v>
      </c>
      <c r="E606" s="15">
        <f t="shared" si="2"/>
        <v>117.5</v>
      </c>
      <c r="F606" s="16">
        <f t="shared" si="3"/>
        <v>1.807692308</v>
      </c>
      <c r="G606" s="1">
        <v>65.0</v>
      </c>
      <c r="H606" s="1">
        <v>0.0</v>
      </c>
      <c r="I606" s="1">
        <v>11.0</v>
      </c>
      <c r="J606" s="1">
        <v>11.0</v>
      </c>
      <c r="K606" s="1">
        <v>61.0</v>
      </c>
      <c r="L606" s="1">
        <v>0.0</v>
      </c>
      <c r="M606" s="1">
        <v>0.0</v>
      </c>
      <c r="N606" s="1">
        <v>0.0</v>
      </c>
      <c r="O606" s="1">
        <v>0.0</v>
      </c>
      <c r="P606" s="1">
        <v>82.0</v>
      </c>
      <c r="Q606" s="1">
        <v>67.0</v>
      </c>
    </row>
    <row r="607">
      <c r="A607" s="1">
        <f t="shared" si="1"/>
        <v>605</v>
      </c>
      <c r="B607" s="1" t="s">
        <v>1829</v>
      </c>
      <c r="C607" s="1" t="s">
        <v>1120</v>
      </c>
      <c r="D607" s="1" t="s">
        <v>36</v>
      </c>
      <c r="E607" s="15">
        <f t="shared" si="2"/>
        <v>117</v>
      </c>
      <c r="F607" s="16">
        <f t="shared" si="3"/>
        <v>4.5</v>
      </c>
      <c r="G607" s="1">
        <v>26.0</v>
      </c>
      <c r="H607" s="1">
        <v>13.0</v>
      </c>
      <c r="I607" s="1">
        <v>6.0</v>
      </c>
      <c r="J607" s="1">
        <v>19.0</v>
      </c>
      <c r="K607" s="1">
        <v>65.0</v>
      </c>
      <c r="L607" s="1">
        <v>5.0</v>
      </c>
      <c r="M607" s="1">
        <v>1.0</v>
      </c>
      <c r="N607" s="1">
        <v>0.0</v>
      </c>
      <c r="O607" s="1">
        <v>0.0</v>
      </c>
      <c r="P607" s="1">
        <v>14.0</v>
      </c>
      <c r="Q607" s="1">
        <v>9.0</v>
      </c>
    </row>
    <row r="608">
      <c r="A608" s="1">
        <f t="shared" si="1"/>
        <v>605</v>
      </c>
      <c r="B608" s="1" t="s">
        <v>2122</v>
      </c>
      <c r="C608" s="1" t="s">
        <v>1120</v>
      </c>
      <c r="D608" s="1" t="s">
        <v>5</v>
      </c>
      <c r="E608" s="15">
        <f t="shared" si="2"/>
        <v>117</v>
      </c>
      <c r="F608" s="16">
        <f t="shared" si="3"/>
        <v>3.774193548</v>
      </c>
      <c r="G608" s="1">
        <v>31.0</v>
      </c>
      <c r="N608" s="12"/>
      <c r="R608" s="1">
        <v>10.0</v>
      </c>
      <c r="S608" s="1">
        <v>92.0</v>
      </c>
      <c r="T608" s="12">
        <v>750.0</v>
      </c>
      <c r="U608" s="1">
        <v>0.0</v>
      </c>
    </row>
    <row r="609">
      <c r="A609" s="1">
        <f t="shared" si="1"/>
        <v>607</v>
      </c>
      <c r="B609" s="1" t="s">
        <v>1265</v>
      </c>
      <c r="C609" s="1" t="s">
        <v>1067</v>
      </c>
      <c r="D609" s="1" t="s">
        <v>31</v>
      </c>
      <c r="E609" s="15">
        <f t="shared" si="2"/>
        <v>116.25</v>
      </c>
      <c r="F609" s="16">
        <f t="shared" si="3"/>
        <v>2.90625</v>
      </c>
      <c r="G609" s="1">
        <v>40.0</v>
      </c>
      <c r="H609" s="1">
        <v>6.0</v>
      </c>
      <c r="I609" s="1">
        <v>13.0</v>
      </c>
      <c r="J609" s="1">
        <v>19.0</v>
      </c>
      <c r="K609" s="1">
        <v>79.0</v>
      </c>
      <c r="L609" s="1">
        <v>1.0</v>
      </c>
      <c r="M609" s="1">
        <v>6.0</v>
      </c>
      <c r="N609" s="1">
        <v>0.0</v>
      </c>
      <c r="O609" s="1">
        <v>0.0</v>
      </c>
      <c r="P609" s="1">
        <v>19.0</v>
      </c>
      <c r="Q609" s="1">
        <v>12.0</v>
      </c>
    </row>
    <row r="610">
      <c r="A610" s="1">
        <f t="shared" si="1"/>
        <v>608</v>
      </c>
      <c r="B610" s="1" t="s">
        <v>1291</v>
      </c>
      <c r="C610" s="1" t="s">
        <v>1091</v>
      </c>
      <c r="D610" s="1" t="s">
        <v>31</v>
      </c>
      <c r="E610" s="15">
        <f t="shared" si="2"/>
        <v>116</v>
      </c>
      <c r="F610" s="16">
        <f t="shared" si="3"/>
        <v>4</v>
      </c>
      <c r="G610" s="1">
        <v>29.0</v>
      </c>
      <c r="H610" s="1">
        <v>6.0</v>
      </c>
      <c r="I610" s="1">
        <v>11.0</v>
      </c>
      <c r="J610" s="1">
        <v>17.0</v>
      </c>
      <c r="K610" s="1">
        <v>79.0</v>
      </c>
      <c r="L610" s="1">
        <v>2.0</v>
      </c>
      <c r="M610" s="1">
        <v>3.0</v>
      </c>
      <c r="N610" s="1">
        <v>0.0</v>
      </c>
      <c r="O610" s="1">
        <v>1.0</v>
      </c>
      <c r="P610" s="1">
        <v>22.0</v>
      </c>
      <c r="Q610" s="1">
        <v>18.0</v>
      </c>
    </row>
    <row r="611">
      <c r="A611" s="1">
        <f t="shared" si="1"/>
        <v>609</v>
      </c>
      <c r="B611" s="1" t="s">
        <v>1552</v>
      </c>
      <c r="C611" s="1" t="s">
        <v>1030</v>
      </c>
      <c r="D611" s="1" t="s">
        <v>66</v>
      </c>
      <c r="E611" s="15">
        <f t="shared" si="2"/>
        <v>115.75</v>
      </c>
      <c r="F611" s="16">
        <f t="shared" si="3"/>
        <v>1.564189189</v>
      </c>
      <c r="G611" s="1">
        <v>74.0</v>
      </c>
      <c r="H611" s="1">
        <v>1.0</v>
      </c>
      <c r="I611" s="1">
        <v>8.0</v>
      </c>
      <c r="J611" s="1">
        <v>9.0</v>
      </c>
      <c r="K611" s="1">
        <v>57.0</v>
      </c>
      <c r="L611" s="1">
        <v>0.0</v>
      </c>
      <c r="M611" s="1">
        <v>0.0</v>
      </c>
      <c r="N611" s="1">
        <v>0.0</v>
      </c>
      <c r="O611" s="1">
        <v>1.0</v>
      </c>
      <c r="P611" s="1">
        <v>91.0</v>
      </c>
      <c r="Q611" s="1">
        <v>68.0</v>
      </c>
    </row>
    <row r="612">
      <c r="A612" s="1">
        <f t="shared" si="1"/>
        <v>610</v>
      </c>
      <c r="B612" s="1" t="s">
        <v>1324</v>
      </c>
      <c r="C612" s="1" t="s">
        <v>1080</v>
      </c>
      <c r="D612" s="1" t="s">
        <v>5</v>
      </c>
      <c r="E612" s="15">
        <f t="shared" si="2"/>
        <v>115.5</v>
      </c>
      <c r="F612" s="16">
        <f t="shared" si="3"/>
        <v>6.078947368</v>
      </c>
      <c r="G612" s="1">
        <v>19.0</v>
      </c>
      <c r="N612" s="12"/>
      <c r="R612" s="1">
        <v>10.0</v>
      </c>
      <c r="S612" s="1">
        <v>49.0</v>
      </c>
      <c r="T612" s="12">
        <v>520.0</v>
      </c>
      <c r="U612" s="1">
        <v>1.0</v>
      </c>
    </row>
    <row r="613">
      <c r="A613" s="1">
        <f t="shared" si="1"/>
        <v>611</v>
      </c>
      <c r="B613" s="1" t="s">
        <v>1944</v>
      </c>
      <c r="C613" s="1" t="s">
        <v>1146</v>
      </c>
      <c r="D613" s="1" t="s">
        <v>5</v>
      </c>
      <c r="E613" s="15">
        <f t="shared" si="2"/>
        <v>115.2</v>
      </c>
      <c r="F613" s="16">
        <f t="shared" si="3"/>
        <v>4.266666667</v>
      </c>
      <c r="G613" s="1">
        <v>27.0</v>
      </c>
      <c r="N613" s="12"/>
      <c r="R613" s="1">
        <v>9.0</v>
      </c>
      <c r="S613" s="1">
        <v>73.0</v>
      </c>
      <c r="T613" s="12">
        <v>649.0</v>
      </c>
      <c r="U613" s="1">
        <v>1.0</v>
      </c>
    </row>
    <row r="614">
      <c r="A614" s="1">
        <f t="shared" si="1"/>
        <v>612</v>
      </c>
      <c r="B614" s="1" t="s">
        <v>1599</v>
      </c>
      <c r="C614" s="1" t="s">
        <v>1067</v>
      </c>
      <c r="D614" s="1" t="s">
        <v>31</v>
      </c>
      <c r="E614" s="15">
        <f t="shared" si="2"/>
        <v>114.75</v>
      </c>
      <c r="F614" s="16">
        <f t="shared" si="3"/>
        <v>2.013157895</v>
      </c>
      <c r="G614" s="1">
        <v>57.0</v>
      </c>
      <c r="H614" s="1">
        <v>7.0</v>
      </c>
      <c r="I614" s="1">
        <v>15.0</v>
      </c>
      <c r="J614" s="1">
        <v>22.0</v>
      </c>
      <c r="K614" s="1">
        <v>56.0</v>
      </c>
      <c r="L614" s="1">
        <v>0.0</v>
      </c>
      <c r="M614" s="1">
        <v>10.0</v>
      </c>
      <c r="N614" s="1">
        <v>0.0</v>
      </c>
      <c r="O614" s="1">
        <v>0.0</v>
      </c>
      <c r="P614" s="1">
        <v>25.0</v>
      </c>
      <c r="Q614" s="1">
        <v>8.0</v>
      </c>
    </row>
    <row r="615">
      <c r="A615" s="1">
        <f t="shared" si="1"/>
        <v>613</v>
      </c>
      <c r="B615" s="1" t="s">
        <v>1814</v>
      </c>
      <c r="C615" s="1" t="s">
        <v>1073</v>
      </c>
      <c r="D615" s="1" t="s">
        <v>31</v>
      </c>
      <c r="E615" s="15">
        <f t="shared" si="2"/>
        <v>114.25</v>
      </c>
      <c r="F615" s="16">
        <f t="shared" si="3"/>
        <v>1.705223881</v>
      </c>
      <c r="G615" s="1">
        <v>67.0</v>
      </c>
      <c r="H615" s="1">
        <v>8.0</v>
      </c>
      <c r="I615" s="1">
        <v>5.0</v>
      </c>
      <c r="J615" s="1">
        <v>13.0</v>
      </c>
      <c r="K615" s="1">
        <v>80.0</v>
      </c>
      <c r="L615" s="1">
        <v>0.0</v>
      </c>
      <c r="M615" s="1">
        <v>0.0</v>
      </c>
      <c r="N615" s="1">
        <v>0.0</v>
      </c>
      <c r="O615" s="1">
        <v>0.0</v>
      </c>
      <c r="P615" s="1">
        <v>67.0</v>
      </c>
      <c r="Q615" s="1">
        <v>13.0</v>
      </c>
    </row>
    <row r="616">
      <c r="A616" s="1">
        <f t="shared" si="1"/>
        <v>613</v>
      </c>
      <c r="B616" s="1" t="s">
        <v>1701</v>
      </c>
      <c r="C616" s="1" t="s">
        <v>1120</v>
      </c>
      <c r="D616" s="1" t="s">
        <v>66</v>
      </c>
      <c r="E616" s="15">
        <f t="shared" si="2"/>
        <v>114.25</v>
      </c>
      <c r="F616" s="16">
        <f t="shared" si="3"/>
        <v>1.813492063</v>
      </c>
      <c r="G616" s="1">
        <v>63.0</v>
      </c>
      <c r="H616" s="1">
        <v>1.0</v>
      </c>
      <c r="I616" s="1">
        <v>12.0</v>
      </c>
      <c r="J616" s="1">
        <v>13.0</v>
      </c>
      <c r="K616" s="1">
        <v>41.0</v>
      </c>
      <c r="L616" s="1">
        <v>0.0</v>
      </c>
      <c r="M616" s="1">
        <v>0.0</v>
      </c>
      <c r="N616" s="1">
        <v>0.0</v>
      </c>
      <c r="O616" s="1">
        <v>0.0</v>
      </c>
      <c r="P616" s="1">
        <v>59.0</v>
      </c>
      <c r="Q616" s="1">
        <v>77.0</v>
      </c>
    </row>
    <row r="617">
      <c r="A617" s="1">
        <f t="shared" si="1"/>
        <v>615</v>
      </c>
      <c r="B617" s="1" t="s">
        <v>2266</v>
      </c>
      <c r="C617" s="1" t="s">
        <v>1146</v>
      </c>
      <c r="D617" s="1" t="s">
        <v>31</v>
      </c>
      <c r="E617" s="15">
        <f t="shared" si="2"/>
        <v>113.5</v>
      </c>
      <c r="F617" s="16">
        <f t="shared" si="3"/>
        <v>1.644927536</v>
      </c>
      <c r="G617" s="1">
        <v>69.0</v>
      </c>
      <c r="H617" s="1">
        <v>4.0</v>
      </c>
      <c r="I617" s="1">
        <v>13.0</v>
      </c>
      <c r="J617" s="1">
        <v>17.0</v>
      </c>
      <c r="K617" s="1">
        <v>69.0</v>
      </c>
      <c r="L617" s="1">
        <v>0.0</v>
      </c>
      <c r="M617" s="1">
        <v>0.0</v>
      </c>
      <c r="N617" s="1">
        <v>0.0</v>
      </c>
      <c r="O617" s="1">
        <v>2.0</v>
      </c>
      <c r="P617" s="1">
        <v>16.0</v>
      </c>
      <c r="Q617" s="1">
        <v>28.0</v>
      </c>
    </row>
    <row r="618">
      <c r="A618" s="1">
        <f t="shared" si="1"/>
        <v>616</v>
      </c>
      <c r="B618" s="1" t="s">
        <v>2308</v>
      </c>
      <c r="C618" s="1" t="s">
        <v>1076</v>
      </c>
      <c r="D618" s="1" t="s">
        <v>28</v>
      </c>
      <c r="E618" s="15">
        <f t="shared" si="2"/>
        <v>113.25</v>
      </c>
      <c r="F618" s="16">
        <f t="shared" si="3"/>
        <v>1.986842105</v>
      </c>
      <c r="G618" s="1">
        <v>57.0</v>
      </c>
      <c r="H618" s="1">
        <v>6.0</v>
      </c>
      <c r="I618" s="1">
        <v>11.0</v>
      </c>
      <c r="J618" s="1">
        <v>17.0</v>
      </c>
      <c r="K618" s="1">
        <v>64.0</v>
      </c>
      <c r="L618" s="1">
        <v>1.0</v>
      </c>
      <c r="M618" s="1">
        <v>0.0</v>
      </c>
      <c r="N618" s="1">
        <v>1.0</v>
      </c>
      <c r="O618" s="1">
        <v>0.0</v>
      </c>
      <c r="P618" s="1">
        <v>33.0</v>
      </c>
      <c r="Q618" s="1">
        <v>22.0</v>
      </c>
    </row>
    <row r="619">
      <c r="A619" s="1">
        <f t="shared" si="1"/>
        <v>617</v>
      </c>
      <c r="B619" s="1" t="s">
        <v>1256</v>
      </c>
      <c r="C619" s="1" t="s">
        <v>1097</v>
      </c>
      <c r="D619" s="1" t="s">
        <v>31</v>
      </c>
      <c r="E619" s="15">
        <f t="shared" si="2"/>
        <v>112.25</v>
      </c>
      <c r="F619" s="16">
        <f t="shared" si="3"/>
        <v>3.301470588</v>
      </c>
      <c r="G619" s="1">
        <v>34.0</v>
      </c>
      <c r="H619" s="1">
        <v>6.0</v>
      </c>
      <c r="I619" s="1">
        <v>14.0</v>
      </c>
      <c r="J619" s="1">
        <v>20.0</v>
      </c>
      <c r="K619" s="1">
        <v>62.0</v>
      </c>
      <c r="L619" s="1">
        <v>0.0</v>
      </c>
      <c r="M619" s="1">
        <v>4.0</v>
      </c>
      <c r="N619" s="1">
        <v>0.0</v>
      </c>
      <c r="O619" s="1">
        <v>0.0</v>
      </c>
      <c r="P619" s="1">
        <v>27.0</v>
      </c>
      <c r="Q619" s="1">
        <v>11.0</v>
      </c>
    </row>
    <row r="620">
      <c r="A620" s="1">
        <f t="shared" si="1"/>
        <v>618</v>
      </c>
      <c r="B620" s="1" t="s">
        <v>2309</v>
      </c>
      <c r="C620" s="1" t="s">
        <v>1146</v>
      </c>
      <c r="D620" s="1" t="s">
        <v>31</v>
      </c>
      <c r="E620" s="15">
        <f t="shared" si="2"/>
        <v>111.75</v>
      </c>
      <c r="F620" s="16">
        <f t="shared" si="3"/>
        <v>2.377659574</v>
      </c>
      <c r="G620" s="1">
        <v>47.0</v>
      </c>
      <c r="H620" s="1">
        <v>9.0</v>
      </c>
      <c r="I620" s="1">
        <v>12.0</v>
      </c>
      <c r="J620" s="1">
        <v>21.0</v>
      </c>
      <c r="K620" s="1">
        <v>58.0</v>
      </c>
      <c r="L620" s="1">
        <v>0.0</v>
      </c>
      <c r="M620" s="1">
        <v>1.0</v>
      </c>
      <c r="N620" s="1">
        <v>0.0</v>
      </c>
      <c r="O620" s="1">
        <v>0.0</v>
      </c>
      <c r="P620" s="1">
        <v>15.0</v>
      </c>
      <c r="Q620" s="1">
        <v>5.0</v>
      </c>
    </row>
    <row r="621">
      <c r="A621" s="1">
        <f t="shared" si="1"/>
        <v>619</v>
      </c>
      <c r="B621" s="1" t="s">
        <v>1785</v>
      </c>
      <c r="C621" s="1" t="s">
        <v>1078</v>
      </c>
      <c r="D621" s="1" t="s">
        <v>31</v>
      </c>
      <c r="E621" s="15">
        <f t="shared" si="2"/>
        <v>110.75</v>
      </c>
      <c r="F621" s="16">
        <f t="shared" si="3"/>
        <v>3.955357143</v>
      </c>
      <c r="G621" s="1">
        <v>28.0</v>
      </c>
      <c r="H621" s="1">
        <v>11.0</v>
      </c>
      <c r="I621" s="1">
        <v>6.0</v>
      </c>
      <c r="J621" s="1">
        <v>17.0</v>
      </c>
      <c r="K621" s="1">
        <v>71.0</v>
      </c>
      <c r="L621" s="1">
        <v>0.0</v>
      </c>
      <c r="M621" s="1">
        <v>1.0</v>
      </c>
      <c r="N621" s="1">
        <v>0.0</v>
      </c>
      <c r="O621" s="1">
        <v>0.0</v>
      </c>
      <c r="P621" s="1">
        <v>11.0</v>
      </c>
      <c r="Q621" s="1">
        <v>10.0</v>
      </c>
    </row>
    <row r="622">
      <c r="A622" s="1">
        <f t="shared" si="1"/>
        <v>619</v>
      </c>
      <c r="B622" s="1" t="s">
        <v>1736</v>
      </c>
      <c r="C622" s="1" t="s">
        <v>1175</v>
      </c>
      <c r="D622" s="1" t="s">
        <v>66</v>
      </c>
      <c r="E622" s="15">
        <f t="shared" si="2"/>
        <v>110.75</v>
      </c>
      <c r="F622" s="16">
        <f t="shared" si="3"/>
        <v>2.517045455</v>
      </c>
      <c r="G622" s="1">
        <v>44.0</v>
      </c>
      <c r="H622" s="1">
        <v>2.0</v>
      </c>
      <c r="I622" s="1">
        <v>6.0</v>
      </c>
      <c r="J622" s="1">
        <v>8.0</v>
      </c>
      <c r="K622" s="1">
        <v>40.0</v>
      </c>
      <c r="L622" s="1">
        <v>0.0</v>
      </c>
      <c r="M622" s="1">
        <v>0.0</v>
      </c>
      <c r="N622" s="1">
        <v>0.0</v>
      </c>
      <c r="O622" s="1">
        <v>0.0</v>
      </c>
      <c r="P622" s="1">
        <v>71.0</v>
      </c>
      <c r="Q622" s="1">
        <v>92.0</v>
      </c>
    </row>
    <row r="623">
      <c r="A623" s="1">
        <f t="shared" si="1"/>
        <v>621</v>
      </c>
      <c r="B623" s="1" t="s">
        <v>2310</v>
      </c>
      <c r="C623" s="1" t="s">
        <v>1175</v>
      </c>
      <c r="D623" s="1" t="s">
        <v>66</v>
      </c>
      <c r="E623" s="15">
        <f t="shared" si="2"/>
        <v>110.5</v>
      </c>
      <c r="F623" s="16">
        <f t="shared" si="3"/>
        <v>2.21</v>
      </c>
      <c r="G623" s="1">
        <v>50.0</v>
      </c>
      <c r="H623" s="1">
        <v>2.0</v>
      </c>
      <c r="I623" s="1">
        <v>5.0</v>
      </c>
      <c r="J623" s="1">
        <v>7.0</v>
      </c>
      <c r="K623" s="1">
        <v>36.0</v>
      </c>
      <c r="L623" s="1">
        <v>0.0</v>
      </c>
      <c r="M623" s="1">
        <v>0.0</v>
      </c>
      <c r="N623" s="1">
        <v>0.0</v>
      </c>
      <c r="O623" s="1">
        <v>1.0</v>
      </c>
      <c r="P623" s="1">
        <v>158.0</v>
      </c>
      <c r="Q623" s="1">
        <v>54.0</v>
      </c>
    </row>
    <row r="624">
      <c r="A624" s="1">
        <f t="shared" si="1"/>
        <v>622</v>
      </c>
      <c r="B624" s="1" t="s">
        <v>1455</v>
      </c>
      <c r="C624" s="1" t="s">
        <v>1076</v>
      </c>
      <c r="D624" s="1" t="s">
        <v>5</v>
      </c>
      <c r="E624" s="15">
        <f t="shared" si="2"/>
        <v>110.1</v>
      </c>
      <c r="F624" s="16">
        <f t="shared" si="3"/>
        <v>4.404</v>
      </c>
      <c r="G624" s="1">
        <v>25.0</v>
      </c>
      <c r="N624" s="12"/>
      <c r="R624" s="1">
        <v>9.0</v>
      </c>
      <c r="S624" s="1">
        <v>79.0</v>
      </c>
      <c r="T624" s="12">
        <v>652.0</v>
      </c>
      <c r="U624" s="1">
        <v>2.0</v>
      </c>
    </row>
    <row r="625">
      <c r="A625" s="1">
        <f t="shared" si="1"/>
        <v>623</v>
      </c>
      <c r="B625" s="1" t="s">
        <v>1382</v>
      </c>
      <c r="C625" s="1" t="s">
        <v>1030</v>
      </c>
      <c r="D625" s="1" t="s">
        <v>66</v>
      </c>
      <c r="E625" s="15">
        <f t="shared" si="2"/>
        <v>109.25</v>
      </c>
      <c r="F625" s="16">
        <f t="shared" si="3"/>
        <v>3.641666667</v>
      </c>
      <c r="G625" s="1">
        <v>30.0</v>
      </c>
      <c r="H625" s="1">
        <v>5.0</v>
      </c>
      <c r="I625" s="1">
        <v>12.0</v>
      </c>
      <c r="J625" s="1">
        <v>17.0</v>
      </c>
      <c r="K625" s="1">
        <v>49.0</v>
      </c>
      <c r="L625" s="1">
        <v>1.0</v>
      </c>
      <c r="M625" s="1">
        <v>0.0</v>
      </c>
      <c r="N625" s="1">
        <v>0.0</v>
      </c>
      <c r="O625" s="1">
        <v>0.0</v>
      </c>
      <c r="P625" s="1">
        <v>53.0</v>
      </c>
      <c r="Q625" s="1">
        <v>26.0</v>
      </c>
    </row>
    <row r="626">
      <c r="A626" s="1">
        <f t="shared" si="1"/>
        <v>623</v>
      </c>
      <c r="B626" s="1" t="s">
        <v>1524</v>
      </c>
      <c r="C626" s="1" t="s">
        <v>1111</v>
      </c>
      <c r="D626" s="1" t="s">
        <v>36</v>
      </c>
      <c r="E626" s="15">
        <f t="shared" si="2"/>
        <v>109.25</v>
      </c>
      <c r="F626" s="16">
        <f t="shared" si="3"/>
        <v>2.061320755</v>
      </c>
      <c r="G626" s="1">
        <v>53.0</v>
      </c>
      <c r="H626" s="1">
        <v>5.0</v>
      </c>
      <c r="I626" s="1">
        <v>5.0</v>
      </c>
      <c r="J626" s="1">
        <v>10.0</v>
      </c>
      <c r="K626" s="1">
        <v>76.0</v>
      </c>
      <c r="L626" s="1">
        <v>1.0</v>
      </c>
      <c r="M626" s="1">
        <v>0.0</v>
      </c>
      <c r="N626" s="1">
        <v>0.0</v>
      </c>
      <c r="O626" s="1">
        <v>0.0</v>
      </c>
      <c r="P626" s="1">
        <v>91.0</v>
      </c>
      <c r="Q626" s="1">
        <v>22.0</v>
      </c>
    </row>
    <row r="627">
      <c r="A627" s="1">
        <f t="shared" si="1"/>
        <v>625</v>
      </c>
      <c r="B627" s="1" t="s">
        <v>2311</v>
      </c>
      <c r="C627" s="1" t="s">
        <v>1111</v>
      </c>
      <c r="D627" s="1" t="s">
        <v>28</v>
      </c>
      <c r="E627" s="15">
        <f t="shared" si="2"/>
        <v>108.5</v>
      </c>
      <c r="F627" s="16">
        <f t="shared" si="3"/>
        <v>2.12745098</v>
      </c>
      <c r="G627" s="1">
        <v>51.0</v>
      </c>
      <c r="H627" s="1">
        <v>7.0</v>
      </c>
      <c r="I627" s="1">
        <v>5.0</v>
      </c>
      <c r="J627" s="1">
        <v>12.0</v>
      </c>
      <c r="K627" s="1">
        <v>57.0</v>
      </c>
      <c r="L627" s="1">
        <v>3.0</v>
      </c>
      <c r="M627" s="1">
        <v>1.0</v>
      </c>
      <c r="N627" s="1">
        <v>0.0</v>
      </c>
      <c r="O627" s="1">
        <v>0.0</v>
      </c>
      <c r="P627" s="1">
        <v>68.0</v>
      </c>
      <c r="Q627" s="1">
        <v>33.0</v>
      </c>
    </row>
    <row r="628">
      <c r="A628" s="1">
        <f t="shared" si="1"/>
        <v>626</v>
      </c>
      <c r="B628" s="1" t="s">
        <v>1556</v>
      </c>
      <c r="C628" s="1" t="s">
        <v>1097</v>
      </c>
      <c r="D628" s="1" t="s">
        <v>31</v>
      </c>
      <c r="E628" s="15">
        <f t="shared" si="2"/>
        <v>108</v>
      </c>
      <c r="F628" s="16">
        <f t="shared" si="3"/>
        <v>2.117647059</v>
      </c>
      <c r="G628" s="1">
        <v>51.0</v>
      </c>
      <c r="H628" s="1">
        <v>5.0</v>
      </c>
      <c r="I628" s="1">
        <v>6.0</v>
      </c>
      <c r="J628" s="1">
        <v>11.0</v>
      </c>
      <c r="K628" s="1">
        <v>49.0</v>
      </c>
      <c r="L628" s="1">
        <v>0.0</v>
      </c>
      <c r="M628" s="1">
        <v>0.0</v>
      </c>
      <c r="N628" s="1">
        <v>0.0</v>
      </c>
      <c r="O628" s="1">
        <v>0.0</v>
      </c>
      <c r="P628" s="1">
        <v>156.0</v>
      </c>
      <c r="Q628" s="1">
        <v>8.0</v>
      </c>
    </row>
    <row r="629">
      <c r="A629" s="1">
        <f t="shared" si="1"/>
        <v>627</v>
      </c>
      <c r="B629" s="1" t="s">
        <v>1646</v>
      </c>
      <c r="C629" s="1" t="s">
        <v>1067</v>
      </c>
      <c r="D629" s="1" t="s">
        <v>66</v>
      </c>
      <c r="E629" s="15">
        <f t="shared" si="2"/>
        <v>107</v>
      </c>
      <c r="F629" s="16">
        <f t="shared" si="3"/>
        <v>2.547619048</v>
      </c>
      <c r="G629" s="1">
        <v>42.0</v>
      </c>
      <c r="H629" s="1">
        <v>0.0</v>
      </c>
      <c r="I629" s="1">
        <v>10.0</v>
      </c>
      <c r="J629" s="1">
        <v>10.0</v>
      </c>
      <c r="K629" s="1">
        <v>44.0</v>
      </c>
      <c r="L629" s="1">
        <v>0.0</v>
      </c>
      <c r="M629" s="1">
        <v>0.0</v>
      </c>
      <c r="N629" s="1">
        <v>0.0</v>
      </c>
      <c r="O629" s="1">
        <v>0.0</v>
      </c>
      <c r="P629" s="1">
        <v>100.0</v>
      </c>
      <c r="Q629" s="1">
        <v>60.0</v>
      </c>
    </row>
    <row r="630">
      <c r="A630" s="1">
        <f t="shared" si="1"/>
        <v>628</v>
      </c>
      <c r="B630" s="1" t="s">
        <v>2312</v>
      </c>
      <c r="C630" s="1" t="s">
        <v>1065</v>
      </c>
      <c r="D630" s="1" t="s">
        <v>31</v>
      </c>
      <c r="E630" s="15">
        <f t="shared" si="2"/>
        <v>106.5</v>
      </c>
      <c r="F630" s="16">
        <f t="shared" si="3"/>
        <v>2.6625</v>
      </c>
      <c r="G630" s="1">
        <v>40.0</v>
      </c>
      <c r="H630" s="1">
        <v>11.0</v>
      </c>
      <c r="I630" s="1">
        <v>1.0</v>
      </c>
      <c r="J630" s="1">
        <v>12.0</v>
      </c>
      <c r="K630" s="1">
        <v>53.0</v>
      </c>
      <c r="L630" s="1">
        <v>1.0</v>
      </c>
      <c r="M630" s="1">
        <v>0.0</v>
      </c>
      <c r="N630" s="1">
        <v>0.0</v>
      </c>
      <c r="O630" s="1">
        <v>0.0</v>
      </c>
      <c r="P630" s="1">
        <v>58.0</v>
      </c>
      <c r="Q630" s="1">
        <v>26.0</v>
      </c>
    </row>
    <row r="631">
      <c r="A631" s="1">
        <f t="shared" si="1"/>
        <v>628</v>
      </c>
      <c r="B631" s="1" t="s">
        <v>2087</v>
      </c>
      <c r="C631" s="1" t="s">
        <v>1111</v>
      </c>
      <c r="D631" s="1" t="s">
        <v>66</v>
      </c>
      <c r="E631" s="15">
        <f t="shared" si="2"/>
        <v>106.5</v>
      </c>
      <c r="F631" s="16">
        <f t="shared" si="3"/>
        <v>2.476744186</v>
      </c>
      <c r="G631" s="1">
        <v>43.0</v>
      </c>
      <c r="H631" s="1">
        <v>4.0</v>
      </c>
      <c r="I631" s="1">
        <v>11.0</v>
      </c>
      <c r="J631" s="1">
        <v>15.0</v>
      </c>
      <c r="K631" s="1">
        <v>40.0</v>
      </c>
      <c r="L631" s="1">
        <v>1.0</v>
      </c>
      <c r="M631" s="1">
        <v>1.0</v>
      </c>
      <c r="N631" s="1">
        <v>0.0</v>
      </c>
      <c r="O631" s="1">
        <v>0.0</v>
      </c>
      <c r="P631" s="1">
        <v>32.0</v>
      </c>
      <c r="Q631" s="1">
        <v>55.0</v>
      </c>
    </row>
    <row r="632">
      <c r="A632" s="1">
        <f t="shared" si="1"/>
        <v>630</v>
      </c>
      <c r="B632" s="1" t="s">
        <v>1614</v>
      </c>
      <c r="C632" s="1" t="s">
        <v>1172</v>
      </c>
      <c r="D632" s="1" t="s">
        <v>36</v>
      </c>
      <c r="E632" s="15">
        <f t="shared" si="2"/>
        <v>105.75</v>
      </c>
      <c r="F632" s="16">
        <f t="shared" si="3"/>
        <v>1.922727273</v>
      </c>
      <c r="G632" s="1">
        <v>55.0</v>
      </c>
      <c r="H632" s="1">
        <v>5.0</v>
      </c>
      <c r="I632" s="1">
        <v>7.0</v>
      </c>
      <c r="J632" s="1">
        <v>12.0</v>
      </c>
      <c r="K632" s="1">
        <v>34.0</v>
      </c>
      <c r="L632" s="1">
        <v>0.0</v>
      </c>
      <c r="M632" s="1">
        <v>0.0</v>
      </c>
      <c r="N632" s="1">
        <v>1.0</v>
      </c>
      <c r="O632" s="1">
        <v>0.0</v>
      </c>
      <c r="P632" s="1">
        <v>129.0</v>
      </c>
      <c r="Q632" s="1">
        <v>22.0</v>
      </c>
    </row>
    <row r="633">
      <c r="A633" s="1">
        <f t="shared" si="1"/>
        <v>631</v>
      </c>
      <c r="B633" s="1" t="s">
        <v>2112</v>
      </c>
      <c r="C633" s="1" t="s">
        <v>1034</v>
      </c>
      <c r="D633" s="1" t="s">
        <v>5</v>
      </c>
      <c r="E633" s="15">
        <f t="shared" si="2"/>
        <v>105.3</v>
      </c>
      <c r="F633" s="16">
        <f t="shared" si="3"/>
        <v>5.542105263</v>
      </c>
      <c r="G633" s="1">
        <v>19.0</v>
      </c>
      <c r="N633" s="12"/>
      <c r="R633" s="1">
        <v>11.0</v>
      </c>
      <c r="S633" s="1">
        <v>43.0</v>
      </c>
      <c r="T633" s="12">
        <v>446.0</v>
      </c>
      <c r="U633" s="1">
        <v>1.0</v>
      </c>
    </row>
    <row r="634">
      <c r="A634" s="1">
        <f t="shared" si="1"/>
        <v>632</v>
      </c>
      <c r="B634" s="1" t="s">
        <v>1606</v>
      </c>
      <c r="C634" s="1" t="s">
        <v>1040</v>
      </c>
      <c r="D634" s="1" t="s">
        <v>36</v>
      </c>
      <c r="E634" s="15">
        <f t="shared" si="2"/>
        <v>105</v>
      </c>
      <c r="F634" s="16">
        <f t="shared" si="3"/>
        <v>2.441860465</v>
      </c>
      <c r="G634" s="1">
        <v>43.0</v>
      </c>
      <c r="H634" s="1">
        <v>7.0</v>
      </c>
      <c r="I634" s="1">
        <v>11.0</v>
      </c>
      <c r="J634" s="1">
        <v>18.0</v>
      </c>
      <c r="K634" s="1">
        <v>62.0</v>
      </c>
      <c r="L634" s="1">
        <v>1.0</v>
      </c>
      <c r="M634" s="1">
        <v>1.0</v>
      </c>
      <c r="N634" s="1">
        <v>0.0</v>
      </c>
      <c r="O634" s="1">
        <v>0.0</v>
      </c>
      <c r="P634" s="1">
        <v>8.0</v>
      </c>
      <c r="Q634" s="1">
        <v>15.0</v>
      </c>
    </row>
    <row r="635">
      <c r="A635" s="1">
        <f t="shared" si="1"/>
        <v>633</v>
      </c>
      <c r="B635" s="1" t="s">
        <v>1800</v>
      </c>
      <c r="C635" s="1" t="s">
        <v>1116</v>
      </c>
      <c r="D635" s="1" t="s">
        <v>31</v>
      </c>
      <c r="E635" s="15">
        <f t="shared" si="2"/>
        <v>104.75</v>
      </c>
      <c r="F635" s="16">
        <f t="shared" si="3"/>
        <v>1.36038961</v>
      </c>
      <c r="G635" s="1">
        <v>77.0</v>
      </c>
      <c r="H635" s="1">
        <v>7.0</v>
      </c>
      <c r="I635" s="1">
        <v>6.0</v>
      </c>
      <c r="J635" s="1">
        <v>13.0</v>
      </c>
      <c r="K635" s="1">
        <v>67.0</v>
      </c>
      <c r="L635" s="1">
        <v>0.0</v>
      </c>
      <c r="M635" s="1">
        <v>0.0</v>
      </c>
      <c r="N635" s="1">
        <v>0.0</v>
      </c>
      <c r="O635" s="1">
        <v>0.0</v>
      </c>
      <c r="P635" s="1">
        <v>51.0</v>
      </c>
      <c r="Q635" s="1">
        <v>18.0</v>
      </c>
    </row>
    <row r="636">
      <c r="A636" s="1">
        <f t="shared" si="1"/>
        <v>634</v>
      </c>
      <c r="B636" s="1" t="s">
        <v>1533</v>
      </c>
      <c r="C636" s="1" t="s">
        <v>1034</v>
      </c>
      <c r="D636" s="1" t="s">
        <v>66</v>
      </c>
      <c r="E636" s="15">
        <f t="shared" si="2"/>
        <v>104</v>
      </c>
      <c r="F636" s="16">
        <f t="shared" si="3"/>
        <v>2.166666667</v>
      </c>
      <c r="G636" s="1">
        <v>48.0</v>
      </c>
      <c r="H636" s="1">
        <v>3.0</v>
      </c>
      <c r="I636" s="1">
        <v>5.0</v>
      </c>
      <c r="J636" s="1">
        <v>8.0</v>
      </c>
      <c r="K636" s="1">
        <v>60.0</v>
      </c>
      <c r="L636" s="1">
        <v>0.0</v>
      </c>
      <c r="M636" s="1">
        <v>0.0</v>
      </c>
      <c r="N636" s="1">
        <v>0.0</v>
      </c>
      <c r="O636" s="1">
        <v>0.0</v>
      </c>
      <c r="P636" s="1">
        <v>114.0</v>
      </c>
      <c r="Q636" s="1">
        <v>34.0</v>
      </c>
    </row>
    <row r="637">
      <c r="A637" s="1">
        <f t="shared" si="1"/>
        <v>635</v>
      </c>
      <c r="B637" s="1" t="s">
        <v>1970</v>
      </c>
      <c r="C637" s="1" t="s">
        <v>1034</v>
      </c>
      <c r="D637" s="1" t="s">
        <v>66</v>
      </c>
      <c r="E637" s="15">
        <f t="shared" si="2"/>
        <v>103.75</v>
      </c>
      <c r="F637" s="16">
        <f t="shared" si="3"/>
        <v>1.852678571</v>
      </c>
      <c r="G637" s="1">
        <v>56.0</v>
      </c>
      <c r="H637" s="1">
        <v>2.0</v>
      </c>
      <c r="I637" s="1">
        <v>7.0</v>
      </c>
      <c r="J637" s="1">
        <v>9.0</v>
      </c>
      <c r="K637" s="1">
        <v>49.0</v>
      </c>
      <c r="L637" s="1">
        <v>0.0</v>
      </c>
      <c r="M637" s="1">
        <v>0.0</v>
      </c>
      <c r="N637" s="1">
        <v>0.0</v>
      </c>
      <c r="O637" s="1">
        <v>0.0</v>
      </c>
      <c r="P637" s="1">
        <v>83.0</v>
      </c>
      <c r="Q637" s="1">
        <v>57.0</v>
      </c>
    </row>
    <row r="638">
      <c r="A638" s="1">
        <f t="shared" si="1"/>
        <v>635</v>
      </c>
      <c r="B638" s="1" t="s">
        <v>2313</v>
      </c>
      <c r="C638" s="1" t="s">
        <v>1067</v>
      </c>
      <c r="D638" s="1" t="s">
        <v>31</v>
      </c>
      <c r="E638" s="15">
        <f t="shared" si="2"/>
        <v>103.75</v>
      </c>
      <c r="F638" s="16">
        <f t="shared" si="3"/>
        <v>1.503623188</v>
      </c>
      <c r="G638" s="1">
        <v>69.0</v>
      </c>
      <c r="H638" s="1">
        <v>4.0</v>
      </c>
      <c r="I638" s="1">
        <v>8.0</v>
      </c>
      <c r="J638" s="1">
        <v>12.0</v>
      </c>
      <c r="K638" s="1">
        <v>74.0</v>
      </c>
      <c r="L638" s="1">
        <v>1.0</v>
      </c>
      <c r="M638" s="1">
        <v>1.0</v>
      </c>
      <c r="N638" s="1">
        <v>0.0</v>
      </c>
      <c r="O638" s="1">
        <v>1.0</v>
      </c>
      <c r="P638" s="1">
        <v>33.0</v>
      </c>
      <c r="Q638" s="1">
        <v>29.0</v>
      </c>
    </row>
    <row r="639">
      <c r="A639" s="1">
        <f t="shared" si="1"/>
        <v>637</v>
      </c>
      <c r="B639" s="1" t="s">
        <v>1961</v>
      </c>
      <c r="C639" s="1" t="s">
        <v>1046</v>
      </c>
      <c r="D639" s="1" t="s">
        <v>31</v>
      </c>
      <c r="E639" s="15">
        <f t="shared" si="2"/>
        <v>103.25</v>
      </c>
      <c r="F639" s="16">
        <f t="shared" si="3"/>
        <v>2.244565217</v>
      </c>
      <c r="G639" s="1">
        <v>46.0</v>
      </c>
      <c r="H639" s="1">
        <v>5.0</v>
      </c>
      <c r="I639" s="1">
        <v>7.0</v>
      </c>
      <c r="J639" s="1">
        <v>12.0</v>
      </c>
      <c r="K639" s="1">
        <v>61.0</v>
      </c>
      <c r="L639" s="1">
        <v>1.0</v>
      </c>
      <c r="M639" s="1">
        <v>0.0</v>
      </c>
      <c r="N639" s="1">
        <v>0.0</v>
      </c>
      <c r="O639" s="1">
        <v>0.0</v>
      </c>
      <c r="P639" s="1">
        <v>41.0</v>
      </c>
      <c r="Q639" s="1">
        <v>38.0</v>
      </c>
    </row>
    <row r="640">
      <c r="A640" s="1">
        <f t="shared" si="1"/>
        <v>637</v>
      </c>
      <c r="B640" s="1" t="s">
        <v>1812</v>
      </c>
      <c r="C640" s="1" t="s">
        <v>1067</v>
      </c>
      <c r="D640" s="1" t="s">
        <v>66</v>
      </c>
      <c r="E640" s="15">
        <f t="shared" si="2"/>
        <v>103.25</v>
      </c>
      <c r="F640" s="16">
        <f t="shared" si="3"/>
        <v>1.414383562</v>
      </c>
      <c r="G640" s="1">
        <v>73.0</v>
      </c>
      <c r="H640" s="1">
        <v>1.0</v>
      </c>
      <c r="I640" s="1">
        <v>9.0</v>
      </c>
      <c r="J640" s="1">
        <v>10.0</v>
      </c>
      <c r="K640" s="1">
        <v>43.0</v>
      </c>
      <c r="L640" s="1">
        <v>1.0</v>
      </c>
      <c r="M640" s="1">
        <v>6.0</v>
      </c>
      <c r="N640" s="1">
        <v>0.0</v>
      </c>
      <c r="O640" s="1">
        <v>0.0</v>
      </c>
      <c r="P640" s="1">
        <v>55.0</v>
      </c>
      <c r="Q640" s="1">
        <v>73.0</v>
      </c>
    </row>
    <row r="641">
      <c r="A641" s="1">
        <f t="shared" si="1"/>
        <v>639</v>
      </c>
      <c r="B641" s="1" t="s">
        <v>1667</v>
      </c>
      <c r="C641" s="1" t="s">
        <v>1067</v>
      </c>
      <c r="D641" s="1" t="s">
        <v>66</v>
      </c>
      <c r="E641" s="15">
        <f t="shared" si="2"/>
        <v>102.5</v>
      </c>
      <c r="F641" s="16">
        <f t="shared" si="3"/>
        <v>2.697368421</v>
      </c>
      <c r="G641" s="1">
        <v>38.0</v>
      </c>
      <c r="H641" s="1">
        <v>2.0</v>
      </c>
      <c r="I641" s="1">
        <v>12.0</v>
      </c>
      <c r="J641" s="1">
        <v>14.0</v>
      </c>
      <c r="K641" s="1">
        <v>48.0</v>
      </c>
      <c r="L641" s="1">
        <v>0.0</v>
      </c>
      <c r="M641" s="1">
        <v>3.0</v>
      </c>
      <c r="N641" s="1">
        <v>0.0</v>
      </c>
      <c r="O641" s="1">
        <v>0.0</v>
      </c>
      <c r="P641" s="1">
        <v>50.0</v>
      </c>
      <c r="Q641" s="1">
        <v>42.0</v>
      </c>
    </row>
    <row r="642">
      <c r="A642" s="1">
        <f t="shared" si="1"/>
        <v>640</v>
      </c>
      <c r="B642" s="1" t="s">
        <v>1938</v>
      </c>
      <c r="C642" s="1" t="s">
        <v>1044</v>
      </c>
      <c r="D642" s="1" t="s">
        <v>5</v>
      </c>
      <c r="E642" s="15">
        <f t="shared" si="2"/>
        <v>102</v>
      </c>
      <c r="F642" s="16">
        <f t="shared" si="3"/>
        <v>5.1</v>
      </c>
      <c r="G642" s="1">
        <v>20.0</v>
      </c>
      <c r="N642" s="12"/>
      <c r="R642" s="1">
        <v>5.0</v>
      </c>
      <c r="S642" s="1">
        <v>60.0</v>
      </c>
      <c r="T642" s="12">
        <v>580.0</v>
      </c>
      <c r="U642" s="1">
        <v>1.0</v>
      </c>
    </row>
    <row r="643">
      <c r="A643" s="1">
        <f t="shared" si="1"/>
        <v>641</v>
      </c>
      <c r="B643" s="1" t="s">
        <v>2120</v>
      </c>
      <c r="C643" s="1" t="s">
        <v>1044</v>
      </c>
      <c r="D643" s="1" t="s">
        <v>31</v>
      </c>
      <c r="E643" s="15">
        <f t="shared" si="2"/>
        <v>101.75</v>
      </c>
      <c r="F643" s="16">
        <f t="shared" si="3"/>
        <v>1.615079365</v>
      </c>
      <c r="G643" s="1">
        <v>63.0</v>
      </c>
      <c r="H643" s="1">
        <v>3.0</v>
      </c>
      <c r="I643" s="1">
        <v>4.0</v>
      </c>
      <c r="J643" s="1">
        <v>7.0</v>
      </c>
      <c r="K643" s="1">
        <v>58.0</v>
      </c>
      <c r="L643" s="1">
        <v>0.0</v>
      </c>
      <c r="M643" s="1">
        <v>0.0</v>
      </c>
      <c r="N643" s="1">
        <v>1.0</v>
      </c>
      <c r="O643" s="1">
        <v>0.0</v>
      </c>
      <c r="P643" s="1">
        <v>103.0</v>
      </c>
      <c r="Q643" s="1">
        <v>39.0</v>
      </c>
    </row>
    <row r="644">
      <c r="A644" s="1">
        <f t="shared" si="1"/>
        <v>642</v>
      </c>
      <c r="B644" s="1" t="s">
        <v>1919</v>
      </c>
      <c r="C644" s="1" t="s">
        <v>1091</v>
      </c>
      <c r="D644" s="1" t="s">
        <v>31</v>
      </c>
      <c r="E644" s="15">
        <f t="shared" si="2"/>
        <v>101.5</v>
      </c>
      <c r="F644" s="16">
        <f t="shared" si="3"/>
        <v>2.306818182</v>
      </c>
      <c r="G644" s="1">
        <v>44.0</v>
      </c>
      <c r="H644" s="1">
        <v>4.0</v>
      </c>
      <c r="I644" s="1">
        <v>5.0</v>
      </c>
      <c r="J644" s="1">
        <v>9.0</v>
      </c>
      <c r="K644" s="1">
        <v>51.0</v>
      </c>
      <c r="L644" s="1">
        <v>0.0</v>
      </c>
      <c r="M644" s="1">
        <v>0.0</v>
      </c>
      <c r="N644" s="1">
        <v>0.0</v>
      </c>
      <c r="O644" s="1">
        <v>0.0</v>
      </c>
      <c r="P644" s="1">
        <v>100.0</v>
      </c>
      <c r="Q644" s="1">
        <v>36.0</v>
      </c>
    </row>
    <row r="645">
      <c r="A645" s="1">
        <f t="shared" si="1"/>
        <v>643</v>
      </c>
      <c r="B645" s="1" t="s">
        <v>1612</v>
      </c>
      <c r="C645" s="1" t="s">
        <v>1038</v>
      </c>
      <c r="D645" s="1" t="s">
        <v>66</v>
      </c>
      <c r="E645" s="15">
        <f t="shared" si="2"/>
        <v>101</v>
      </c>
      <c r="F645" s="16">
        <f t="shared" si="3"/>
        <v>1.942307692</v>
      </c>
      <c r="G645" s="1">
        <v>52.0</v>
      </c>
      <c r="H645" s="1">
        <v>0.0</v>
      </c>
      <c r="I645" s="1">
        <v>6.0</v>
      </c>
      <c r="J645" s="1">
        <v>6.0</v>
      </c>
      <c r="K645" s="1">
        <v>45.0</v>
      </c>
      <c r="L645" s="1">
        <v>0.0</v>
      </c>
      <c r="M645" s="1">
        <v>0.0</v>
      </c>
      <c r="N645" s="1">
        <v>0.0</v>
      </c>
      <c r="O645" s="1">
        <v>0.0</v>
      </c>
      <c r="P645" s="1">
        <v>118.0</v>
      </c>
      <c r="Q645" s="1">
        <v>62.0</v>
      </c>
    </row>
    <row r="646">
      <c r="A646" s="1">
        <f t="shared" si="1"/>
        <v>644</v>
      </c>
      <c r="B646" s="1" t="s">
        <v>1508</v>
      </c>
      <c r="C646" s="1" t="s">
        <v>1065</v>
      </c>
      <c r="D646" s="1" t="s">
        <v>66</v>
      </c>
      <c r="E646" s="15">
        <f t="shared" si="2"/>
        <v>100.5</v>
      </c>
      <c r="F646" s="16">
        <f t="shared" si="3"/>
        <v>1.896226415</v>
      </c>
      <c r="G646" s="1">
        <v>53.0</v>
      </c>
      <c r="H646" s="1">
        <v>1.0</v>
      </c>
      <c r="I646" s="1">
        <v>4.0</v>
      </c>
      <c r="J646" s="1">
        <v>5.0</v>
      </c>
      <c r="K646" s="1">
        <v>45.0</v>
      </c>
      <c r="L646" s="1">
        <v>0.0</v>
      </c>
      <c r="M646" s="1">
        <v>0.0</v>
      </c>
      <c r="N646" s="1">
        <v>0.0</v>
      </c>
      <c r="O646" s="1">
        <v>0.0</v>
      </c>
      <c r="P646" s="1">
        <v>168.0</v>
      </c>
      <c r="Q646" s="1">
        <v>39.0</v>
      </c>
    </row>
    <row r="647">
      <c r="A647" s="1">
        <f t="shared" si="1"/>
        <v>645</v>
      </c>
      <c r="B647" s="1" t="s">
        <v>2314</v>
      </c>
      <c r="C647" s="1" t="s">
        <v>1048</v>
      </c>
      <c r="D647" s="1" t="s">
        <v>28</v>
      </c>
      <c r="E647" s="15">
        <f t="shared" si="2"/>
        <v>100.25</v>
      </c>
      <c r="F647" s="16">
        <f t="shared" si="3"/>
        <v>2.50625</v>
      </c>
      <c r="G647" s="1">
        <v>40.0</v>
      </c>
      <c r="H647" s="1">
        <v>7.0</v>
      </c>
      <c r="I647" s="1">
        <v>7.0</v>
      </c>
      <c r="J647" s="1">
        <v>14.0</v>
      </c>
      <c r="K647" s="1">
        <v>49.0</v>
      </c>
      <c r="L647" s="1">
        <v>0.0</v>
      </c>
      <c r="M647" s="1">
        <v>0.0</v>
      </c>
      <c r="N647" s="1">
        <v>0.0</v>
      </c>
      <c r="O647" s="1">
        <v>0.0</v>
      </c>
      <c r="P647" s="1">
        <v>59.0</v>
      </c>
      <c r="Q647" s="1">
        <v>17.0</v>
      </c>
    </row>
    <row r="648">
      <c r="A648" s="1">
        <f t="shared" si="1"/>
        <v>646</v>
      </c>
      <c r="B648" s="1" t="s">
        <v>1523</v>
      </c>
      <c r="C648" s="1" t="s">
        <v>1073</v>
      </c>
      <c r="D648" s="1" t="s">
        <v>66</v>
      </c>
      <c r="E648" s="15">
        <f t="shared" si="2"/>
        <v>99.75</v>
      </c>
      <c r="F648" s="16">
        <f t="shared" si="3"/>
        <v>2.216666667</v>
      </c>
      <c r="G648" s="1">
        <v>45.0</v>
      </c>
      <c r="H648" s="1">
        <v>4.0</v>
      </c>
      <c r="I648" s="1">
        <v>4.0</v>
      </c>
      <c r="J648" s="1">
        <v>8.0</v>
      </c>
      <c r="K648" s="1">
        <v>63.0</v>
      </c>
      <c r="L648" s="1">
        <v>0.0</v>
      </c>
      <c r="M648" s="1">
        <v>0.0</v>
      </c>
      <c r="N648" s="1">
        <v>0.0</v>
      </c>
      <c r="O648" s="1">
        <v>0.0</v>
      </c>
      <c r="P648" s="1">
        <v>73.0</v>
      </c>
      <c r="Q648" s="1">
        <v>40.0</v>
      </c>
    </row>
    <row r="649">
      <c r="A649" s="1">
        <f t="shared" si="1"/>
        <v>647</v>
      </c>
      <c r="B649" s="1" t="s">
        <v>1868</v>
      </c>
      <c r="C649" s="1" t="s">
        <v>1078</v>
      </c>
      <c r="D649" s="1" t="s">
        <v>31</v>
      </c>
      <c r="E649" s="15">
        <f t="shared" si="2"/>
        <v>99.5</v>
      </c>
      <c r="F649" s="16">
        <f t="shared" si="3"/>
        <v>1.745614035</v>
      </c>
      <c r="G649" s="1">
        <v>57.0</v>
      </c>
      <c r="H649" s="1">
        <v>5.0</v>
      </c>
      <c r="I649" s="1">
        <v>8.0</v>
      </c>
      <c r="J649" s="1">
        <v>13.0</v>
      </c>
      <c r="K649" s="1">
        <v>51.0</v>
      </c>
      <c r="L649" s="1">
        <v>1.0</v>
      </c>
      <c r="M649" s="1">
        <v>2.0</v>
      </c>
      <c r="N649" s="1">
        <v>1.0</v>
      </c>
      <c r="O649" s="1">
        <v>0.0</v>
      </c>
      <c r="P649" s="1">
        <v>68.0</v>
      </c>
      <c r="Q649" s="1">
        <v>17.0</v>
      </c>
    </row>
    <row r="650">
      <c r="A650" s="1">
        <f t="shared" si="1"/>
        <v>648</v>
      </c>
      <c r="B650" s="1" t="s">
        <v>1649</v>
      </c>
      <c r="C650" s="1" t="s">
        <v>1172</v>
      </c>
      <c r="D650" s="1" t="s">
        <v>28</v>
      </c>
      <c r="E650" s="15">
        <f t="shared" si="2"/>
        <v>99</v>
      </c>
      <c r="F650" s="16">
        <f t="shared" si="3"/>
        <v>1.677966102</v>
      </c>
      <c r="G650" s="1">
        <v>59.0</v>
      </c>
      <c r="H650" s="1">
        <v>3.0</v>
      </c>
      <c r="I650" s="1">
        <v>4.0</v>
      </c>
      <c r="J650" s="1">
        <v>7.0</v>
      </c>
      <c r="K650" s="1">
        <v>58.0</v>
      </c>
      <c r="L650" s="1">
        <v>0.0</v>
      </c>
      <c r="M650" s="1">
        <v>0.0</v>
      </c>
      <c r="N650" s="1">
        <v>0.0</v>
      </c>
      <c r="O650" s="1">
        <v>0.0</v>
      </c>
      <c r="P650" s="1">
        <v>138.0</v>
      </c>
      <c r="Q650" s="1">
        <v>20.0</v>
      </c>
    </row>
    <row r="651">
      <c r="A651" s="1">
        <f t="shared" si="1"/>
        <v>649</v>
      </c>
      <c r="B651" s="1" t="s">
        <v>2315</v>
      </c>
      <c r="C651" s="1" t="s">
        <v>1082</v>
      </c>
      <c r="D651" s="1" t="s">
        <v>28</v>
      </c>
      <c r="E651" s="15">
        <f t="shared" si="2"/>
        <v>98</v>
      </c>
      <c r="F651" s="16">
        <f t="shared" si="3"/>
        <v>1.849056604</v>
      </c>
      <c r="G651" s="1">
        <v>53.0</v>
      </c>
      <c r="H651" s="1">
        <v>3.0</v>
      </c>
      <c r="I651" s="1">
        <v>11.0</v>
      </c>
      <c r="J651" s="1">
        <v>14.0</v>
      </c>
      <c r="K651" s="1">
        <v>71.0</v>
      </c>
      <c r="L651" s="1">
        <v>0.0</v>
      </c>
      <c r="M651" s="1">
        <v>0.0</v>
      </c>
      <c r="N651" s="1">
        <v>0.0</v>
      </c>
      <c r="O651" s="1">
        <v>1.0</v>
      </c>
      <c r="P651" s="1">
        <v>32.0</v>
      </c>
      <c r="Q651" s="1">
        <v>12.0</v>
      </c>
    </row>
    <row r="652">
      <c r="A652" s="1">
        <f t="shared" si="1"/>
        <v>650</v>
      </c>
      <c r="B652" s="1" t="s">
        <v>1559</v>
      </c>
      <c r="C652" s="1" t="s">
        <v>1080</v>
      </c>
      <c r="D652" s="1" t="s">
        <v>5</v>
      </c>
      <c r="E652" s="15">
        <f t="shared" si="2"/>
        <v>97.8</v>
      </c>
      <c r="F652" s="16">
        <f t="shared" si="3"/>
        <v>4.075</v>
      </c>
      <c r="G652" s="1">
        <v>24.0</v>
      </c>
      <c r="N652" s="12"/>
      <c r="R652" s="1">
        <v>10.0</v>
      </c>
      <c r="S652" s="1">
        <v>62.0</v>
      </c>
      <c r="T652" s="12">
        <v>526.0</v>
      </c>
      <c r="U652" s="1">
        <v>1.0</v>
      </c>
    </row>
    <row r="653">
      <c r="A653" s="1">
        <f t="shared" si="1"/>
        <v>651</v>
      </c>
      <c r="B653" s="1" t="s">
        <v>1728</v>
      </c>
      <c r="C653" s="1" t="s">
        <v>1076</v>
      </c>
      <c r="D653" s="1" t="s">
        <v>5</v>
      </c>
      <c r="E653" s="15">
        <f t="shared" si="2"/>
        <v>96.3</v>
      </c>
      <c r="F653" s="16">
        <f t="shared" si="3"/>
        <v>3.852</v>
      </c>
      <c r="G653" s="1">
        <v>25.0</v>
      </c>
      <c r="N653" s="12"/>
      <c r="R653" s="1">
        <v>10.0</v>
      </c>
      <c r="S653" s="1">
        <v>66.0</v>
      </c>
      <c r="T653" s="12">
        <v>551.0</v>
      </c>
      <c r="U653" s="1">
        <v>0.0</v>
      </c>
    </row>
    <row r="654">
      <c r="A654" s="1">
        <f t="shared" si="1"/>
        <v>652</v>
      </c>
      <c r="B654" s="1" t="s">
        <v>2131</v>
      </c>
      <c r="C654" s="1" t="s">
        <v>1146</v>
      </c>
      <c r="D654" s="1" t="s">
        <v>31</v>
      </c>
      <c r="E654" s="15">
        <f t="shared" si="2"/>
        <v>96.25</v>
      </c>
      <c r="F654" s="16">
        <f t="shared" si="3"/>
        <v>2.1875</v>
      </c>
      <c r="G654" s="1">
        <v>44.0</v>
      </c>
      <c r="H654" s="1">
        <v>3.0</v>
      </c>
      <c r="I654" s="1">
        <v>7.0</v>
      </c>
      <c r="J654" s="1">
        <v>10.0</v>
      </c>
      <c r="K654" s="1">
        <v>68.0</v>
      </c>
      <c r="L654" s="1">
        <v>0.0</v>
      </c>
      <c r="M654" s="1">
        <v>0.0</v>
      </c>
      <c r="N654" s="1">
        <v>0.0</v>
      </c>
      <c r="O654" s="1">
        <v>0.0</v>
      </c>
      <c r="P654" s="1">
        <v>71.0</v>
      </c>
      <c r="Q654" s="1">
        <v>20.0</v>
      </c>
    </row>
    <row r="655">
      <c r="A655" s="1">
        <f t="shared" si="1"/>
        <v>653</v>
      </c>
      <c r="B655" s="1" t="s">
        <v>1414</v>
      </c>
      <c r="C655" s="1" t="s">
        <v>1046</v>
      </c>
      <c r="D655" s="1" t="s">
        <v>66</v>
      </c>
      <c r="E655" s="15">
        <f t="shared" si="2"/>
        <v>96</v>
      </c>
      <c r="F655" s="16">
        <f t="shared" si="3"/>
        <v>2.285714286</v>
      </c>
      <c r="G655" s="1">
        <v>42.0</v>
      </c>
      <c r="H655" s="1">
        <v>1.0</v>
      </c>
      <c r="I655" s="1">
        <v>4.0</v>
      </c>
      <c r="J655" s="1">
        <v>5.0</v>
      </c>
      <c r="K655" s="1">
        <v>39.0</v>
      </c>
      <c r="L655" s="1">
        <v>0.0</v>
      </c>
      <c r="M655" s="1">
        <v>0.0</v>
      </c>
      <c r="N655" s="1">
        <v>0.0</v>
      </c>
      <c r="O655" s="1">
        <v>0.0</v>
      </c>
      <c r="P655" s="1">
        <v>122.0</v>
      </c>
      <c r="Q655" s="1">
        <v>59.0</v>
      </c>
    </row>
    <row r="656">
      <c r="A656" s="1">
        <f t="shared" si="1"/>
        <v>654</v>
      </c>
      <c r="B656" s="1" t="s">
        <v>2316</v>
      </c>
      <c r="C656" s="1" t="s">
        <v>1111</v>
      </c>
      <c r="D656" s="1" t="s">
        <v>28</v>
      </c>
      <c r="E656" s="15">
        <f t="shared" si="2"/>
        <v>95</v>
      </c>
      <c r="F656" s="16">
        <f t="shared" si="3"/>
        <v>1.79245283</v>
      </c>
      <c r="G656" s="1">
        <v>53.0</v>
      </c>
      <c r="H656" s="1">
        <v>4.0</v>
      </c>
      <c r="I656" s="1">
        <v>4.0</v>
      </c>
      <c r="J656" s="1">
        <v>8.0</v>
      </c>
      <c r="K656" s="1">
        <v>59.0</v>
      </c>
      <c r="L656" s="1">
        <v>0.0</v>
      </c>
      <c r="M656" s="1">
        <v>0.0</v>
      </c>
      <c r="N656" s="1">
        <v>0.0</v>
      </c>
      <c r="O656" s="1">
        <v>0.0</v>
      </c>
      <c r="P656" s="1">
        <v>74.0</v>
      </c>
      <c r="Q656" s="1">
        <v>34.0</v>
      </c>
    </row>
    <row r="657">
      <c r="A657" s="1">
        <f t="shared" si="1"/>
        <v>655</v>
      </c>
      <c r="B657" s="1" t="s">
        <v>1997</v>
      </c>
      <c r="C657" s="1" t="s">
        <v>1078</v>
      </c>
      <c r="D657" s="1" t="s">
        <v>66</v>
      </c>
      <c r="E657" s="15">
        <f t="shared" si="2"/>
        <v>94.75</v>
      </c>
      <c r="F657" s="16">
        <f t="shared" si="3"/>
        <v>1.353571429</v>
      </c>
      <c r="G657" s="1">
        <v>70.0</v>
      </c>
      <c r="H657" s="1">
        <v>0.0</v>
      </c>
      <c r="I657" s="1">
        <v>8.0</v>
      </c>
      <c r="J657" s="1">
        <v>8.0</v>
      </c>
      <c r="K657" s="1">
        <v>53.0</v>
      </c>
      <c r="L657" s="1">
        <v>0.0</v>
      </c>
      <c r="M657" s="1">
        <v>0.0</v>
      </c>
      <c r="N657" s="1">
        <v>0.0</v>
      </c>
      <c r="O657" s="1">
        <v>0.0</v>
      </c>
      <c r="P657" s="1">
        <v>61.0</v>
      </c>
      <c r="Q657" s="1">
        <v>58.0</v>
      </c>
    </row>
    <row r="658">
      <c r="A658" s="1">
        <f t="shared" si="1"/>
        <v>656</v>
      </c>
      <c r="B658" s="1" t="s">
        <v>1653</v>
      </c>
      <c r="C658" s="1" t="s">
        <v>1106</v>
      </c>
      <c r="D658" s="1" t="s">
        <v>31</v>
      </c>
      <c r="E658" s="15">
        <f t="shared" si="2"/>
        <v>92.5</v>
      </c>
      <c r="F658" s="16">
        <f t="shared" si="3"/>
        <v>3.083333333</v>
      </c>
      <c r="G658" s="1">
        <v>30.0</v>
      </c>
      <c r="H658" s="1">
        <v>8.0</v>
      </c>
      <c r="I658" s="1">
        <v>4.0</v>
      </c>
      <c r="J658" s="1">
        <v>12.0</v>
      </c>
      <c r="K658" s="1">
        <v>38.0</v>
      </c>
      <c r="L658" s="1">
        <v>0.0</v>
      </c>
      <c r="M658" s="1">
        <v>0.0</v>
      </c>
      <c r="N658" s="1">
        <v>0.0</v>
      </c>
      <c r="O658" s="1">
        <v>0.0</v>
      </c>
      <c r="P658" s="1">
        <v>58.0</v>
      </c>
      <c r="Q658" s="1">
        <v>22.0</v>
      </c>
    </row>
    <row r="659">
      <c r="A659" s="1">
        <f t="shared" si="1"/>
        <v>657</v>
      </c>
      <c r="B659" s="1" t="s">
        <v>1745</v>
      </c>
      <c r="C659" s="1" t="s">
        <v>1040</v>
      </c>
      <c r="D659" s="1" t="s">
        <v>36</v>
      </c>
      <c r="E659" s="15">
        <f t="shared" si="2"/>
        <v>91.5</v>
      </c>
      <c r="F659" s="16">
        <f t="shared" si="3"/>
        <v>1.867346939</v>
      </c>
      <c r="G659" s="1">
        <v>49.0</v>
      </c>
      <c r="H659" s="1">
        <v>3.0</v>
      </c>
      <c r="I659" s="1">
        <v>4.0</v>
      </c>
      <c r="J659" s="1">
        <v>7.0</v>
      </c>
      <c r="K659" s="1">
        <v>69.0</v>
      </c>
      <c r="L659" s="1">
        <v>0.0</v>
      </c>
      <c r="M659" s="1">
        <v>0.0</v>
      </c>
      <c r="N659" s="1">
        <v>0.0</v>
      </c>
      <c r="O659" s="1">
        <v>0.0</v>
      </c>
      <c r="P659" s="1">
        <v>98.0</v>
      </c>
      <c r="Q659" s="1">
        <v>14.0</v>
      </c>
    </row>
    <row r="660">
      <c r="A660" s="1">
        <f t="shared" si="1"/>
        <v>658</v>
      </c>
      <c r="B660" s="1" t="s">
        <v>1330</v>
      </c>
      <c r="C660" s="1" t="s">
        <v>1146</v>
      </c>
      <c r="D660" s="1" t="s">
        <v>66</v>
      </c>
      <c r="E660" s="15">
        <f t="shared" si="2"/>
        <v>90.25</v>
      </c>
      <c r="F660" s="16">
        <f t="shared" si="3"/>
        <v>2.506944444</v>
      </c>
      <c r="G660" s="1">
        <v>36.0</v>
      </c>
      <c r="H660" s="1">
        <v>2.0</v>
      </c>
      <c r="I660" s="1">
        <v>6.0</v>
      </c>
      <c r="J660" s="1">
        <v>8.0</v>
      </c>
      <c r="K660" s="1">
        <v>49.0</v>
      </c>
      <c r="L660" s="1">
        <v>0.0</v>
      </c>
      <c r="M660" s="1">
        <v>0.0</v>
      </c>
      <c r="N660" s="1">
        <v>0.0</v>
      </c>
      <c r="O660" s="1">
        <v>0.0</v>
      </c>
      <c r="P660" s="1">
        <v>89.0</v>
      </c>
      <c r="Q660" s="1">
        <v>33.0</v>
      </c>
    </row>
    <row r="661">
      <c r="A661" s="1">
        <f t="shared" si="1"/>
        <v>659</v>
      </c>
      <c r="B661" s="1" t="s">
        <v>1360</v>
      </c>
      <c r="C661" s="1" t="s">
        <v>1040</v>
      </c>
      <c r="D661" s="1" t="s">
        <v>66</v>
      </c>
      <c r="E661" s="15">
        <f t="shared" si="2"/>
        <v>89.5</v>
      </c>
      <c r="F661" s="16">
        <f t="shared" si="3"/>
        <v>2.081395349</v>
      </c>
      <c r="G661" s="1">
        <v>43.0</v>
      </c>
      <c r="H661" s="1">
        <v>2.0</v>
      </c>
      <c r="I661" s="1">
        <v>9.0</v>
      </c>
      <c r="J661" s="1">
        <v>11.0</v>
      </c>
      <c r="K661" s="1">
        <v>25.0</v>
      </c>
      <c r="L661" s="1">
        <v>0.0</v>
      </c>
      <c r="M661" s="1">
        <v>1.0</v>
      </c>
      <c r="N661" s="1">
        <v>0.0</v>
      </c>
      <c r="O661" s="1">
        <v>0.0</v>
      </c>
      <c r="P661" s="1">
        <v>60.0</v>
      </c>
      <c r="Q661" s="1">
        <v>52.0</v>
      </c>
    </row>
    <row r="662">
      <c r="A662" s="1">
        <f t="shared" si="1"/>
        <v>660</v>
      </c>
      <c r="B662" s="1" t="s">
        <v>2317</v>
      </c>
      <c r="C662" s="1" t="s">
        <v>1036</v>
      </c>
      <c r="D662" s="1" t="s">
        <v>66</v>
      </c>
      <c r="E662" s="15">
        <f t="shared" si="2"/>
        <v>89.25</v>
      </c>
      <c r="F662" s="16">
        <f t="shared" si="3"/>
        <v>2.879032258</v>
      </c>
      <c r="G662" s="1">
        <v>31.0</v>
      </c>
      <c r="H662" s="1">
        <v>2.0</v>
      </c>
      <c r="I662" s="1">
        <v>7.0</v>
      </c>
      <c r="J662" s="1">
        <v>9.0</v>
      </c>
      <c r="K662" s="1">
        <v>34.0</v>
      </c>
      <c r="L662" s="1">
        <v>0.0</v>
      </c>
      <c r="M662" s="1">
        <v>0.0</v>
      </c>
      <c r="N662" s="1">
        <v>0.0</v>
      </c>
      <c r="O662" s="1">
        <v>0.0</v>
      </c>
      <c r="P662" s="1">
        <v>33.0</v>
      </c>
      <c r="Q662" s="1">
        <v>68.0</v>
      </c>
    </row>
    <row r="663">
      <c r="A663" s="1">
        <f t="shared" si="1"/>
        <v>661</v>
      </c>
      <c r="B663" s="1" t="s">
        <v>2318</v>
      </c>
      <c r="C663" s="1" t="s">
        <v>1044</v>
      </c>
      <c r="D663" s="1" t="s">
        <v>66</v>
      </c>
      <c r="E663" s="15">
        <f t="shared" si="2"/>
        <v>88.5</v>
      </c>
      <c r="F663" s="16">
        <f t="shared" si="3"/>
        <v>3.403846154</v>
      </c>
      <c r="G663" s="1">
        <v>26.0</v>
      </c>
      <c r="H663" s="1">
        <v>3.0</v>
      </c>
      <c r="I663" s="1">
        <v>10.0</v>
      </c>
      <c r="J663" s="1">
        <v>13.0</v>
      </c>
      <c r="K663" s="1">
        <v>35.0</v>
      </c>
      <c r="L663" s="1">
        <v>1.0</v>
      </c>
      <c r="M663" s="1">
        <v>1.0</v>
      </c>
      <c r="N663" s="1">
        <v>0.0</v>
      </c>
      <c r="O663" s="1">
        <v>0.0</v>
      </c>
      <c r="P663" s="1">
        <v>42.0</v>
      </c>
      <c r="Q663" s="1">
        <v>34.0</v>
      </c>
    </row>
    <row r="664">
      <c r="A664" s="1">
        <f t="shared" si="1"/>
        <v>662</v>
      </c>
      <c r="B664" s="1" t="s">
        <v>2168</v>
      </c>
      <c r="C664" s="1" t="s">
        <v>1097</v>
      </c>
      <c r="D664" s="1" t="s">
        <v>31</v>
      </c>
      <c r="E664" s="15">
        <f t="shared" si="2"/>
        <v>88.25</v>
      </c>
      <c r="F664" s="16">
        <f t="shared" si="3"/>
        <v>2.322368421</v>
      </c>
      <c r="G664" s="1">
        <v>38.0</v>
      </c>
      <c r="H664" s="1">
        <v>4.0</v>
      </c>
      <c r="I664" s="1">
        <v>8.0</v>
      </c>
      <c r="J664" s="1">
        <v>12.0</v>
      </c>
      <c r="K664" s="1">
        <v>50.0</v>
      </c>
      <c r="L664" s="1">
        <v>0.0</v>
      </c>
      <c r="M664" s="1">
        <v>0.0</v>
      </c>
      <c r="N664" s="1">
        <v>0.0</v>
      </c>
      <c r="O664" s="1">
        <v>0.0</v>
      </c>
      <c r="P664" s="1">
        <v>31.0</v>
      </c>
      <c r="Q664" s="1">
        <v>27.0</v>
      </c>
    </row>
    <row r="665">
      <c r="A665" s="1">
        <f t="shared" si="1"/>
        <v>662</v>
      </c>
      <c r="B665" s="1" t="s">
        <v>2319</v>
      </c>
      <c r="C665" s="1" t="s">
        <v>1570</v>
      </c>
      <c r="D665" s="1" t="s">
        <v>66</v>
      </c>
      <c r="E665" s="15">
        <f t="shared" si="2"/>
        <v>88.25</v>
      </c>
      <c r="F665" s="16">
        <f t="shared" si="3"/>
        <v>2.152439024</v>
      </c>
      <c r="G665" s="1">
        <v>41.0</v>
      </c>
      <c r="H665" s="1">
        <v>3.0</v>
      </c>
      <c r="I665" s="1">
        <v>8.0</v>
      </c>
      <c r="J665" s="1">
        <v>11.0</v>
      </c>
      <c r="K665" s="1">
        <v>41.0</v>
      </c>
      <c r="L665" s="1">
        <v>0.0</v>
      </c>
      <c r="M665" s="1">
        <v>0.0</v>
      </c>
      <c r="N665" s="1">
        <v>0.0</v>
      </c>
      <c r="O665" s="1">
        <v>0.0</v>
      </c>
      <c r="P665" s="1">
        <v>43.0</v>
      </c>
      <c r="Q665" s="1">
        <v>39.0</v>
      </c>
    </row>
    <row r="666">
      <c r="A666" s="1">
        <f t="shared" si="1"/>
        <v>664</v>
      </c>
      <c r="B666" s="1" t="s">
        <v>2320</v>
      </c>
      <c r="C666" s="1" t="s">
        <v>1175</v>
      </c>
      <c r="D666" s="1" t="s">
        <v>31</v>
      </c>
      <c r="E666" s="15">
        <f t="shared" si="2"/>
        <v>88</v>
      </c>
      <c r="F666" s="16">
        <f t="shared" si="3"/>
        <v>1.76</v>
      </c>
      <c r="G666" s="1">
        <v>50.0</v>
      </c>
      <c r="H666" s="1">
        <v>5.0</v>
      </c>
      <c r="I666" s="1">
        <v>6.0</v>
      </c>
      <c r="J666" s="1">
        <v>11.0</v>
      </c>
      <c r="K666" s="1">
        <v>45.0</v>
      </c>
      <c r="L666" s="1">
        <v>1.0</v>
      </c>
      <c r="M666" s="1">
        <v>1.0</v>
      </c>
      <c r="N666" s="1">
        <v>0.0</v>
      </c>
      <c r="O666" s="1">
        <v>0.0</v>
      </c>
      <c r="P666" s="1">
        <v>52.0</v>
      </c>
      <c r="Q666" s="1">
        <v>24.0</v>
      </c>
    </row>
    <row r="667">
      <c r="A667" s="1">
        <f t="shared" si="1"/>
        <v>665</v>
      </c>
      <c r="B667" s="1" t="s">
        <v>1711</v>
      </c>
      <c r="C667" s="1" t="s">
        <v>1085</v>
      </c>
      <c r="D667" s="1" t="s">
        <v>36</v>
      </c>
      <c r="E667" s="15">
        <f t="shared" si="2"/>
        <v>87.75</v>
      </c>
      <c r="F667" s="16">
        <f t="shared" si="3"/>
        <v>1.566964286</v>
      </c>
      <c r="G667" s="1">
        <v>56.0</v>
      </c>
      <c r="H667" s="1">
        <v>1.0</v>
      </c>
      <c r="I667" s="1">
        <v>6.0</v>
      </c>
      <c r="J667" s="1">
        <v>7.0</v>
      </c>
      <c r="K667" s="1">
        <v>59.0</v>
      </c>
      <c r="L667" s="1">
        <v>0.0</v>
      </c>
      <c r="M667" s="1">
        <v>0.0</v>
      </c>
      <c r="N667" s="1">
        <v>0.0</v>
      </c>
      <c r="O667" s="1">
        <v>0.0</v>
      </c>
      <c r="P667" s="1">
        <v>97.0</v>
      </c>
      <c r="Q667" s="1">
        <v>23.0</v>
      </c>
    </row>
    <row r="668">
      <c r="A668" s="1">
        <f t="shared" si="1"/>
        <v>665</v>
      </c>
      <c r="B668" s="1" t="s">
        <v>1854</v>
      </c>
      <c r="C668" s="1" t="s">
        <v>1036</v>
      </c>
      <c r="D668" s="1" t="s">
        <v>31</v>
      </c>
      <c r="E668" s="15">
        <f t="shared" si="2"/>
        <v>87.75</v>
      </c>
      <c r="F668" s="16">
        <f t="shared" si="3"/>
        <v>1.790816327</v>
      </c>
      <c r="G668" s="1">
        <v>49.0</v>
      </c>
      <c r="H668" s="1">
        <v>5.0</v>
      </c>
      <c r="I668" s="1">
        <v>6.0</v>
      </c>
      <c r="J668" s="1">
        <v>11.0</v>
      </c>
      <c r="K668" s="1">
        <v>36.0</v>
      </c>
      <c r="L668" s="1">
        <v>0.0</v>
      </c>
      <c r="M668" s="1">
        <v>0.0</v>
      </c>
      <c r="N668" s="1">
        <v>1.0</v>
      </c>
      <c r="O668" s="1">
        <v>0.0</v>
      </c>
      <c r="P668" s="1">
        <v>67.0</v>
      </c>
      <c r="Q668" s="1">
        <v>21.0</v>
      </c>
    </row>
    <row r="669">
      <c r="A669" s="1">
        <f t="shared" si="1"/>
        <v>667</v>
      </c>
      <c r="B669" s="1" t="s">
        <v>1264</v>
      </c>
      <c r="C669" s="1" t="s">
        <v>1032</v>
      </c>
      <c r="D669" s="1" t="s">
        <v>5</v>
      </c>
      <c r="E669" s="15">
        <f t="shared" si="2"/>
        <v>87.6</v>
      </c>
      <c r="F669" s="16">
        <f t="shared" si="3"/>
        <v>4.38</v>
      </c>
      <c r="G669" s="1">
        <v>20.0</v>
      </c>
      <c r="N669" s="12"/>
      <c r="R669" s="1">
        <v>12.0</v>
      </c>
      <c r="S669" s="1">
        <v>58.0</v>
      </c>
      <c r="T669" s="12">
        <v>462.0</v>
      </c>
      <c r="U669" s="1">
        <v>0.0</v>
      </c>
    </row>
    <row r="670">
      <c r="A670" s="1">
        <f t="shared" si="1"/>
        <v>668</v>
      </c>
      <c r="B670" s="1" t="s">
        <v>1844</v>
      </c>
      <c r="C670" s="1" t="s">
        <v>1120</v>
      </c>
      <c r="D670" s="1" t="s">
        <v>66</v>
      </c>
      <c r="E670" s="15">
        <f t="shared" si="2"/>
        <v>87.25</v>
      </c>
      <c r="F670" s="16">
        <f t="shared" si="3"/>
        <v>1.938888889</v>
      </c>
      <c r="G670" s="1">
        <v>45.0</v>
      </c>
      <c r="H670" s="1">
        <v>2.0</v>
      </c>
      <c r="I670" s="1">
        <v>6.0</v>
      </c>
      <c r="J670" s="1">
        <v>8.0</v>
      </c>
      <c r="K670" s="1">
        <v>63.0</v>
      </c>
      <c r="L670" s="1">
        <v>0.0</v>
      </c>
      <c r="M670" s="1">
        <v>0.0</v>
      </c>
      <c r="N670" s="1">
        <v>0.0</v>
      </c>
      <c r="O670" s="1">
        <v>0.0</v>
      </c>
      <c r="P670" s="1">
        <v>27.0</v>
      </c>
      <c r="Q670" s="1">
        <v>44.0</v>
      </c>
    </row>
    <row r="671">
      <c r="A671" s="1">
        <f t="shared" si="1"/>
        <v>669</v>
      </c>
      <c r="B671" s="1" t="s">
        <v>1810</v>
      </c>
      <c r="C671" s="1" t="s">
        <v>1146</v>
      </c>
      <c r="D671" s="1" t="s">
        <v>66</v>
      </c>
      <c r="E671" s="15">
        <f t="shared" si="2"/>
        <v>87</v>
      </c>
      <c r="F671" s="16">
        <f t="shared" si="3"/>
        <v>2.416666667</v>
      </c>
      <c r="G671" s="1">
        <v>36.0</v>
      </c>
      <c r="H671" s="1">
        <v>2.0</v>
      </c>
      <c r="I671" s="1">
        <v>2.0</v>
      </c>
      <c r="J671" s="1">
        <v>4.0</v>
      </c>
      <c r="K671" s="1">
        <v>52.0</v>
      </c>
      <c r="L671" s="1">
        <v>0.0</v>
      </c>
      <c r="M671" s="1">
        <v>0.0</v>
      </c>
      <c r="N671" s="1">
        <v>0.0</v>
      </c>
      <c r="O671" s="1">
        <v>0.0</v>
      </c>
      <c r="P671" s="1">
        <v>60.0</v>
      </c>
      <c r="Q671" s="1">
        <v>62.0</v>
      </c>
    </row>
    <row r="672">
      <c r="A672" s="1">
        <f t="shared" si="1"/>
        <v>670</v>
      </c>
      <c r="B672" s="1" t="s">
        <v>2037</v>
      </c>
      <c r="C672" s="1" t="s">
        <v>1067</v>
      </c>
      <c r="D672" s="1" t="s">
        <v>31</v>
      </c>
      <c r="E672" s="15">
        <f t="shared" si="2"/>
        <v>86</v>
      </c>
      <c r="F672" s="16">
        <f t="shared" si="3"/>
        <v>1.563636364</v>
      </c>
      <c r="G672" s="1">
        <v>55.0</v>
      </c>
      <c r="H672" s="1">
        <v>2.0</v>
      </c>
      <c r="I672" s="1">
        <v>2.0</v>
      </c>
      <c r="J672" s="1">
        <v>4.0</v>
      </c>
      <c r="K672" s="1">
        <v>66.0</v>
      </c>
      <c r="L672" s="1">
        <v>0.0</v>
      </c>
      <c r="M672" s="1">
        <v>0.0</v>
      </c>
      <c r="N672" s="1">
        <v>0.0</v>
      </c>
      <c r="O672" s="1">
        <v>0.0</v>
      </c>
      <c r="P672" s="1">
        <v>104.0</v>
      </c>
      <c r="Q672" s="1">
        <v>24.0</v>
      </c>
    </row>
    <row r="673">
      <c r="A673" s="1">
        <f t="shared" si="1"/>
        <v>671</v>
      </c>
      <c r="B673" s="1" t="s">
        <v>1634</v>
      </c>
      <c r="C673" s="1" t="s">
        <v>1156</v>
      </c>
      <c r="D673" s="1" t="s">
        <v>31</v>
      </c>
      <c r="E673" s="15">
        <f t="shared" si="2"/>
        <v>85</v>
      </c>
      <c r="F673" s="16">
        <f t="shared" si="3"/>
        <v>2.073170732</v>
      </c>
      <c r="G673" s="1">
        <v>41.0</v>
      </c>
      <c r="H673" s="1">
        <v>6.0</v>
      </c>
      <c r="I673" s="1">
        <v>5.0</v>
      </c>
      <c r="J673" s="1">
        <v>11.0</v>
      </c>
      <c r="K673" s="1">
        <v>62.0</v>
      </c>
      <c r="L673" s="1">
        <v>0.0</v>
      </c>
      <c r="M673" s="1">
        <v>0.0</v>
      </c>
      <c r="N673" s="1">
        <v>0.0</v>
      </c>
      <c r="O673" s="1">
        <v>0.0</v>
      </c>
      <c r="P673" s="1">
        <v>36.0</v>
      </c>
      <c r="Q673" s="1">
        <v>6.0</v>
      </c>
    </row>
    <row r="674">
      <c r="A674" s="1">
        <f t="shared" si="1"/>
        <v>671</v>
      </c>
      <c r="B674" s="1" t="s">
        <v>1492</v>
      </c>
      <c r="C674" s="1" t="s">
        <v>1080</v>
      </c>
      <c r="D674" s="1" t="s">
        <v>66</v>
      </c>
      <c r="E674" s="15">
        <f t="shared" si="2"/>
        <v>85</v>
      </c>
      <c r="F674" s="16">
        <f t="shared" si="3"/>
        <v>3.269230769</v>
      </c>
      <c r="G674" s="1">
        <v>26.0</v>
      </c>
      <c r="H674" s="1">
        <v>3.0</v>
      </c>
      <c r="I674" s="1">
        <v>5.0</v>
      </c>
      <c r="J674" s="1">
        <v>8.0</v>
      </c>
      <c r="K674" s="1">
        <v>32.0</v>
      </c>
      <c r="L674" s="1">
        <v>0.0</v>
      </c>
      <c r="M674" s="1">
        <v>0.0</v>
      </c>
      <c r="N674" s="1">
        <v>0.0</v>
      </c>
      <c r="O674" s="1">
        <v>0.0</v>
      </c>
      <c r="P674" s="1">
        <v>26.0</v>
      </c>
      <c r="Q674" s="1">
        <v>68.0</v>
      </c>
    </row>
    <row r="675">
      <c r="A675" s="1">
        <f t="shared" si="1"/>
        <v>671</v>
      </c>
      <c r="B675" s="1" t="s">
        <v>1072</v>
      </c>
      <c r="C675" s="1" t="s">
        <v>1087</v>
      </c>
      <c r="D675" s="1" t="s">
        <v>66</v>
      </c>
      <c r="E675" s="15">
        <f t="shared" si="2"/>
        <v>85</v>
      </c>
      <c r="F675" s="16">
        <f t="shared" si="3"/>
        <v>2.361111111</v>
      </c>
      <c r="G675" s="1">
        <v>36.0</v>
      </c>
      <c r="H675" s="1">
        <v>2.0</v>
      </c>
      <c r="I675" s="1">
        <v>10.0</v>
      </c>
      <c r="J675" s="1">
        <v>12.0</v>
      </c>
      <c r="K675" s="1">
        <v>34.0</v>
      </c>
      <c r="L675" s="1">
        <v>0.0</v>
      </c>
      <c r="M675" s="1">
        <v>2.0</v>
      </c>
      <c r="N675" s="1">
        <v>0.0</v>
      </c>
      <c r="O675" s="1">
        <v>0.0</v>
      </c>
      <c r="P675" s="1">
        <v>32.0</v>
      </c>
      <c r="Q675" s="1">
        <v>42.0</v>
      </c>
    </row>
    <row r="676">
      <c r="A676" s="1">
        <f t="shared" si="1"/>
        <v>674</v>
      </c>
      <c r="B676" s="1" t="s">
        <v>1775</v>
      </c>
      <c r="C676" s="1" t="s">
        <v>1065</v>
      </c>
      <c r="D676" s="1" t="s">
        <v>66</v>
      </c>
      <c r="E676" s="15">
        <f t="shared" si="2"/>
        <v>84.75</v>
      </c>
      <c r="F676" s="16">
        <f t="shared" si="3"/>
        <v>2.230263158</v>
      </c>
      <c r="G676" s="1">
        <v>38.0</v>
      </c>
      <c r="H676" s="1">
        <v>3.0</v>
      </c>
      <c r="I676" s="1">
        <v>4.0</v>
      </c>
      <c r="J676" s="1">
        <v>7.0</v>
      </c>
      <c r="K676" s="1">
        <v>36.0</v>
      </c>
      <c r="L676" s="1">
        <v>0.0</v>
      </c>
      <c r="M676" s="1">
        <v>0.0</v>
      </c>
      <c r="N676" s="1">
        <v>0.0</v>
      </c>
      <c r="O676" s="1">
        <v>0.0</v>
      </c>
      <c r="P676" s="1">
        <v>63.0</v>
      </c>
      <c r="Q676" s="1">
        <v>51.0</v>
      </c>
    </row>
    <row r="677">
      <c r="A677" s="1">
        <f t="shared" si="1"/>
        <v>675</v>
      </c>
      <c r="B677" s="1" t="s">
        <v>1719</v>
      </c>
      <c r="C677" s="1" t="s">
        <v>1046</v>
      </c>
      <c r="D677" s="1" t="s">
        <v>66</v>
      </c>
      <c r="E677" s="15">
        <f t="shared" si="2"/>
        <v>83.75</v>
      </c>
      <c r="F677" s="16">
        <f t="shared" si="3"/>
        <v>1.395833333</v>
      </c>
      <c r="G677" s="1">
        <v>60.0</v>
      </c>
      <c r="H677" s="1">
        <v>2.0</v>
      </c>
      <c r="I677" s="1">
        <v>5.0</v>
      </c>
      <c r="J677" s="1">
        <v>7.0</v>
      </c>
      <c r="K677" s="1">
        <v>46.0</v>
      </c>
      <c r="L677" s="1">
        <v>0.0</v>
      </c>
      <c r="M677" s="1">
        <v>0.0</v>
      </c>
      <c r="N677" s="1">
        <v>0.0</v>
      </c>
      <c r="O677" s="1">
        <v>0.0</v>
      </c>
      <c r="P677" s="1">
        <v>55.0</v>
      </c>
      <c r="Q677" s="1">
        <v>46.0</v>
      </c>
    </row>
    <row r="678">
      <c r="A678" s="1">
        <f t="shared" si="1"/>
        <v>675</v>
      </c>
      <c r="B678" s="1" t="s">
        <v>2176</v>
      </c>
      <c r="C678" s="1" t="s">
        <v>1111</v>
      </c>
      <c r="D678" s="1" t="s">
        <v>66</v>
      </c>
      <c r="E678" s="15">
        <f t="shared" si="2"/>
        <v>83.75</v>
      </c>
      <c r="F678" s="16">
        <f t="shared" si="3"/>
        <v>1.861111111</v>
      </c>
      <c r="G678" s="1">
        <v>45.0</v>
      </c>
      <c r="H678" s="1">
        <v>2.0</v>
      </c>
      <c r="I678" s="1">
        <v>7.0</v>
      </c>
      <c r="J678" s="1">
        <v>9.0</v>
      </c>
      <c r="K678" s="1">
        <v>40.0</v>
      </c>
      <c r="L678" s="1">
        <v>1.0</v>
      </c>
      <c r="M678" s="1">
        <v>1.0</v>
      </c>
      <c r="N678" s="1">
        <v>0.0</v>
      </c>
      <c r="O678" s="1">
        <v>0.0</v>
      </c>
      <c r="P678" s="1">
        <v>43.0</v>
      </c>
      <c r="Q678" s="1">
        <v>46.0</v>
      </c>
    </row>
    <row r="679">
      <c r="A679" s="1">
        <f t="shared" si="1"/>
        <v>677</v>
      </c>
      <c r="B679" s="1" t="s">
        <v>1790</v>
      </c>
      <c r="C679" s="1" t="s">
        <v>1120</v>
      </c>
      <c r="D679" s="1" t="s">
        <v>28</v>
      </c>
      <c r="E679" s="15">
        <f t="shared" si="2"/>
        <v>83.5</v>
      </c>
      <c r="F679" s="16">
        <f t="shared" si="3"/>
        <v>1.815217391</v>
      </c>
      <c r="G679" s="1">
        <v>46.0</v>
      </c>
      <c r="H679" s="1">
        <v>4.0</v>
      </c>
      <c r="I679" s="1">
        <v>3.0</v>
      </c>
      <c r="J679" s="1">
        <v>7.0</v>
      </c>
      <c r="K679" s="1">
        <v>50.0</v>
      </c>
      <c r="L679" s="1">
        <v>0.0</v>
      </c>
      <c r="M679" s="1">
        <v>0.0</v>
      </c>
      <c r="N679" s="1">
        <v>0.0</v>
      </c>
      <c r="O679" s="1">
        <v>0.0</v>
      </c>
      <c r="P679" s="1">
        <v>86.0</v>
      </c>
      <c r="Q679" s="1">
        <v>20.0</v>
      </c>
    </row>
    <row r="680">
      <c r="A680" s="1">
        <f t="shared" si="1"/>
        <v>678</v>
      </c>
      <c r="B680" s="1" t="s">
        <v>2321</v>
      </c>
      <c r="C680" s="1" t="s">
        <v>1106</v>
      </c>
      <c r="D680" s="1" t="s">
        <v>31</v>
      </c>
      <c r="E680" s="15">
        <f t="shared" si="2"/>
        <v>83</v>
      </c>
      <c r="F680" s="16">
        <f t="shared" si="3"/>
        <v>1.66</v>
      </c>
      <c r="G680" s="1">
        <v>50.0</v>
      </c>
      <c r="H680" s="1">
        <v>3.0</v>
      </c>
      <c r="I680" s="1">
        <v>9.0</v>
      </c>
      <c r="J680" s="1">
        <v>12.0</v>
      </c>
      <c r="K680" s="1">
        <v>46.0</v>
      </c>
      <c r="L680" s="1">
        <v>0.0</v>
      </c>
      <c r="M680" s="1">
        <v>1.0</v>
      </c>
      <c r="N680" s="1">
        <v>1.0</v>
      </c>
      <c r="O680" s="1">
        <v>1.0</v>
      </c>
      <c r="P680" s="1">
        <v>20.0</v>
      </c>
      <c r="Q680" s="1">
        <v>21.0</v>
      </c>
    </row>
    <row r="681">
      <c r="A681" s="1">
        <f t="shared" si="1"/>
        <v>679</v>
      </c>
      <c r="B681" s="1" t="s">
        <v>1725</v>
      </c>
      <c r="C681" s="1" t="s">
        <v>1065</v>
      </c>
      <c r="D681" s="1" t="s">
        <v>31</v>
      </c>
      <c r="E681" s="15">
        <f t="shared" si="2"/>
        <v>81</v>
      </c>
      <c r="F681" s="16">
        <f t="shared" si="3"/>
        <v>2.612903226</v>
      </c>
      <c r="G681" s="1">
        <v>31.0</v>
      </c>
      <c r="H681" s="1">
        <v>5.0</v>
      </c>
      <c r="I681" s="1">
        <v>5.0</v>
      </c>
      <c r="J681" s="1">
        <v>10.0</v>
      </c>
      <c r="K681" s="1">
        <v>50.0</v>
      </c>
      <c r="L681" s="1">
        <v>2.0</v>
      </c>
      <c r="M681" s="1">
        <v>3.0</v>
      </c>
      <c r="N681" s="1">
        <v>0.0</v>
      </c>
      <c r="O681" s="1">
        <v>0.0</v>
      </c>
      <c r="P681" s="1">
        <v>40.0</v>
      </c>
      <c r="Q681" s="1">
        <v>17.0</v>
      </c>
    </row>
    <row r="682">
      <c r="A682" s="1">
        <f t="shared" si="1"/>
        <v>679</v>
      </c>
      <c r="B682" s="1" t="s">
        <v>2106</v>
      </c>
      <c r="C682" s="1" t="s">
        <v>1156</v>
      </c>
      <c r="D682" s="1" t="s">
        <v>66</v>
      </c>
      <c r="E682" s="15">
        <f t="shared" si="2"/>
        <v>81</v>
      </c>
      <c r="F682" s="16">
        <f t="shared" si="3"/>
        <v>1.88372093</v>
      </c>
      <c r="G682" s="1">
        <v>43.0</v>
      </c>
      <c r="H682" s="1">
        <v>0.0</v>
      </c>
      <c r="I682" s="1">
        <v>8.0</v>
      </c>
      <c r="J682" s="1">
        <v>8.0</v>
      </c>
      <c r="K682" s="1">
        <v>44.0</v>
      </c>
      <c r="L682" s="1">
        <v>0.0</v>
      </c>
      <c r="M682" s="1">
        <v>0.0</v>
      </c>
      <c r="N682" s="1">
        <v>0.0</v>
      </c>
      <c r="O682" s="1">
        <v>0.0</v>
      </c>
      <c r="P682" s="1">
        <v>50.0</v>
      </c>
      <c r="Q682" s="1">
        <v>45.0</v>
      </c>
    </row>
    <row r="683">
      <c r="A683" s="1">
        <f t="shared" si="1"/>
        <v>681</v>
      </c>
      <c r="B683" s="1" t="s">
        <v>2219</v>
      </c>
      <c r="C683" s="1" t="s">
        <v>1046</v>
      </c>
      <c r="D683" s="1" t="s">
        <v>66</v>
      </c>
      <c r="E683" s="15">
        <f t="shared" si="2"/>
        <v>78.75</v>
      </c>
      <c r="F683" s="16">
        <f t="shared" si="3"/>
        <v>1.96875</v>
      </c>
      <c r="G683" s="1">
        <v>40.0</v>
      </c>
      <c r="H683" s="1">
        <v>1.0</v>
      </c>
      <c r="I683" s="1">
        <v>2.0</v>
      </c>
      <c r="J683" s="1">
        <v>3.0</v>
      </c>
      <c r="K683" s="1">
        <v>47.0</v>
      </c>
      <c r="L683" s="1">
        <v>0.0</v>
      </c>
      <c r="M683" s="1">
        <v>0.0</v>
      </c>
      <c r="N683" s="1">
        <v>0.0</v>
      </c>
      <c r="O683" s="1">
        <v>0.0</v>
      </c>
      <c r="P683" s="1">
        <v>33.0</v>
      </c>
      <c r="Q683" s="1">
        <v>73.0</v>
      </c>
    </row>
    <row r="684">
      <c r="A684" s="1">
        <f t="shared" si="1"/>
        <v>681</v>
      </c>
      <c r="B684" s="1" t="s">
        <v>1344</v>
      </c>
      <c r="C684" s="1" t="s">
        <v>1091</v>
      </c>
      <c r="D684" s="1" t="s">
        <v>66</v>
      </c>
      <c r="E684" s="15">
        <f t="shared" si="2"/>
        <v>78.75</v>
      </c>
      <c r="F684" s="16">
        <f t="shared" si="3"/>
        <v>1.831395349</v>
      </c>
      <c r="G684" s="1">
        <v>43.0</v>
      </c>
      <c r="H684" s="1">
        <v>1.0</v>
      </c>
      <c r="I684" s="1">
        <v>2.0</v>
      </c>
      <c r="J684" s="1">
        <v>3.0</v>
      </c>
      <c r="K684" s="1">
        <v>32.0</v>
      </c>
      <c r="L684" s="1">
        <v>0.0</v>
      </c>
      <c r="M684" s="1">
        <v>0.0</v>
      </c>
      <c r="N684" s="1">
        <v>0.0</v>
      </c>
      <c r="O684" s="1">
        <v>0.0</v>
      </c>
      <c r="P684" s="1">
        <v>75.0</v>
      </c>
      <c r="Q684" s="1">
        <v>67.0</v>
      </c>
    </row>
    <row r="685">
      <c r="A685" s="1">
        <f t="shared" si="1"/>
        <v>683</v>
      </c>
      <c r="B685" s="1" t="s">
        <v>1816</v>
      </c>
      <c r="C685" s="1" t="s">
        <v>1030</v>
      </c>
      <c r="D685" s="1" t="s">
        <v>66</v>
      </c>
      <c r="E685" s="15">
        <f t="shared" si="2"/>
        <v>78.25</v>
      </c>
      <c r="F685" s="16">
        <f t="shared" si="3"/>
        <v>1.349137931</v>
      </c>
      <c r="G685" s="1">
        <v>58.0</v>
      </c>
      <c r="H685" s="1">
        <v>2.0</v>
      </c>
      <c r="I685" s="1">
        <v>3.0</v>
      </c>
      <c r="J685" s="1">
        <v>5.0</v>
      </c>
      <c r="K685" s="1">
        <v>46.0</v>
      </c>
      <c r="L685" s="1">
        <v>0.0</v>
      </c>
      <c r="M685" s="1">
        <v>0.0</v>
      </c>
      <c r="N685" s="1">
        <v>0.0</v>
      </c>
      <c r="O685" s="1">
        <v>0.0</v>
      </c>
      <c r="P685" s="1">
        <v>105.0</v>
      </c>
      <c r="Q685" s="1">
        <v>22.0</v>
      </c>
    </row>
    <row r="686">
      <c r="A686" s="1">
        <f t="shared" si="1"/>
        <v>684</v>
      </c>
      <c r="B686" s="1" t="s">
        <v>2163</v>
      </c>
      <c r="C686" s="1" t="s">
        <v>1067</v>
      </c>
      <c r="D686" s="1" t="s">
        <v>66</v>
      </c>
      <c r="E686" s="15">
        <f t="shared" si="2"/>
        <v>77.5</v>
      </c>
      <c r="F686" s="16">
        <f t="shared" si="3"/>
        <v>2.152777778</v>
      </c>
      <c r="G686" s="1">
        <v>36.0</v>
      </c>
      <c r="H686" s="1">
        <v>0.0</v>
      </c>
      <c r="I686" s="1">
        <v>6.0</v>
      </c>
      <c r="J686" s="1">
        <v>6.0</v>
      </c>
      <c r="K686" s="1">
        <v>41.0</v>
      </c>
      <c r="L686" s="1">
        <v>0.0</v>
      </c>
      <c r="M686" s="1">
        <v>0.0</v>
      </c>
      <c r="N686" s="1">
        <v>0.0</v>
      </c>
      <c r="O686" s="1">
        <v>0.0</v>
      </c>
      <c r="P686" s="1">
        <v>86.0</v>
      </c>
      <c r="Q686" s="1">
        <v>35.0</v>
      </c>
    </row>
    <row r="687">
      <c r="A687" s="1">
        <f t="shared" si="1"/>
        <v>685</v>
      </c>
      <c r="B687" s="1" t="s">
        <v>2152</v>
      </c>
      <c r="C687" s="1" t="s">
        <v>1054</v>
      </c>
      <c r="D687" s="1" t="s">
        <v>66</v>
      </c>
      <c r="E687" s="15">
        <f t="shared" si="2"/>
        <v>77.25</v>
      </c>
      <c r="F687" s="16">
        <f t="shared" si="3"/>
        <v>1.980769231</v>
      </c>
      <c r="G687" s="1">
        <v>39.0</v>
      </c>
      <c r="H687" s="1">
        <v>1.0</v>
      </c>
      <c r="I687" s="1">
        <v>7.0</v>
      </c>
      <c r="J687" s="1">
        <v>8.0</v>
      </c>
      <c r="K687" s="1">
        <v>37.0</v>
      </c>
      <c r="L687" s="1">
        <v>0.0</v>
      </c>
      <c r="M687" s="1">
        <v>0.0</v>
      </c>
      <c r="N687" s="1">
        <v>0.0</v>
      </c>
      <c r="O687" s="1">
        <v>0.0</v>
      </c>
      <c r="P687" s="1">
        <v>51.0</v>
      </c>
      <c r="Q687" s="1">
        <v>41.0</v>
      </c>
    </row>
    <row r="688">
      <c r="A688" s="1">
        <f t="shared" si="1"/>
        <v>686</v>
      </c>
      <c r="B688" s="1" t="s">
        <v>2248</v>
      </c>
      <c r="C688" s="1" t="s">
        <v>1048</v>
      </c>
      <c r="D688" s="1" t="s">
        <v>66</v>
      </c>
      <c r="E688" s="15">
        <f t="shared" si="2"/>
        <v>76.25</v>
      </c>
      <c r="F688" s="16">
        <f t="shared" si="3"/>
        <v>1.90625</v>
      </c>
      <c r="G688" s="1">
        <v>40.0</v>
      </c>
      <c r="H688" s="1">
        <v>3.0</v>
      </c>
      <c r="I688" s="1">
        <v>6.0</v>
      </c>
      <c r="J688" s="1">
        <v>9.0</v>
      </c>
      <c r="K688" s="1">
        <v>41.0</v>
      </c>
      <c r="L688" s="1">
        <v>0.0</v>
      </c>
      <c r="M688" s="1">
        <v>0.0</v>
      </c>
      <c r="N688" s="1">
        <v>0.0</v>
      </c>
      <c r="O688" s="1">
        <v>0.0</v>
      </c>
      <c r="P688" s="1">
        <v>39.0</v>
      </c>
      <c r="Q688" s="1">
        <v>29.0</v>
      </c>
    </row>
    <row r="689">
      <c r="A689" s="1">
        <f t="shared" si="1"/>
        <v>686</v>
      </c>
      <c r="B689" s="1" t="s">
        <v>1697</v>
      </c>
      <c r="C689" s="1" t="s">
        <v>1097</v>
      </c>
      <c r="D689" s="1" t="s">
        <v>66</v>
      </c>
      <c r="E689" s="15">
        <f t="shared" si="2"/>
        <v>76.25</v>
      </c>
      <c r="F689" s="16">
        <f t="shared" si="3"/>
        <v>3.177083333</v>
      </c>
      <c r="G689" s="1">
        <v>24.0</v>
      </c>
      <c r="H689" s="1">
        <v>3.0</v>
      </c>
      <c r="I689" s="1">
        <v>3.0</v>
      </c>
      <c r="J689" s="1">
        <v>6.0</v>
      </c>
      <c r="K689" s="1">
        <v>32.0</v>
      </c>
      <c r="L689" s="1">
        <v>0.0</v>
      </c>
      <c r="M689" s="1">
        <v>0.0</v>
      </c>
      <c r="N689" s="1">
        <v>0.0</v>
      </c>
      <c r="O689" s="1">
        <v>0.0</v>
      </c>
      <c r="P689" s="1">
        <v>61.0</v>
      </c>
      <c r="Q689" s="1">
        <v>45.0</v>
      </c>
    </row>
    <row r="690">
      <c r="A690" s="1">
        <f t="shared" si="1"/>
        <v>688</v>
      </c>
      <c r="B690" s="1" t="s">
        <v>1258</v>
      </c>
      <c r="C690" s="1" t="s">
        <v>1091</v>
      </c>
      <c r="D690" s="1" t="s">
        <v>66</v>
      </c>
      <c r="E690" s="15">
        <f t="shared" si="2"/>
        <v>76</v>
      </c>
      <c r="F690" s="16">
        <f t="shared" si="3"/>
        <v>2.533333333</v>
      </c>
      <c r="G690" s="1">
        <v>30.0</v>
      </c>
      <c r="H690" s="1">
        <v>3.0</v>
      </c>
      <c r="I690" s="1">
        <v>7.0</v>
      </c>
      <c r="J690" s="1">
        <v>10.0</v>
      </c>
      <c r="K690" s="1">
        <v>33.0</v>
      </c>
      <c r="L690" s="1">
        <v>1.0</v>
      </c>
      <c r="M690" s="1">
        <v>3.0</v>
      </c>
      <c r="N690" s="1">
        <v>0.0</v>
      </c>
      <c r="O690" s="1">
        <v>0.0</v>
      </c>
      <c r="P690" s="1">
        <v>20.0</v>
      </c>
      <c r="Q690" s="1">
        <v>40.0</v>
      </c>
    </row>
    <row r="691">
      <c r="A691" s="1">
        <f t="shared" si="1"/>
        <v>689</v>
      </c>
      <c r="B691" s="1" t="s">
        <v>1399</v>
      </c>
      <c r="C691" s="1" t="s">
        <v>1044</v>
      </c>
      <c r="D691" s="1" t="s">
        <v>5</v>
      </c>
      <c r="E691" s="15">
        <f t="shared" si="2"/>
        <v>75.6</v>
      </c>
      <c r="F691" s="16">
        <f t="shared" si="3"/>
        <v>4.2</v>
      </c>
      <c r="G691" s="1">
        <v>18.0</v>
      </c>
      <c r="N691" s="12"/>
      <c r="R691" s="1">
        <v>5.0</v>
      </c>
      <c r="S691" s="1">
        <v>62.0</v>
      </c>
      <c r="T691" s="12">
        <v>512.0</v>
      </c>
      <c r="U691" s="1">
        <v>0.0</v>
      </c>
    </row>
    <row r="692">
      <c r="A692" s="1">
        <f t="shared" si="1"/>
        <v>690</v>
      </c>
      <c r="B692" s="1" t="s">
        <v>1655</v>
      </c>
      <c r="C692" s="1" t="s">
        <v>1106</v>
      </c>
      <c r="D692" s="1" t="s">
        <v>36</v>
      </c>
      <c r="E692" s="15">
        <f t="shared" si="2"/>
        <v>75.5</v>
      </c>
      <c r="F692" s="16">
        <f t="shared" si="3"/>
        <v>1.8875</v>
      </c>
      <c r="G692" s="1">
        <v>40.0</v>
      </c>
      <c r="H692" s="1">
        <v>4.0</v>
      </c>
      <c r="I692" s="1">
        <v>5.0</v>
      </c>
      <c r="J692" s="1">
        <v>9.0</v>
      </c>
      <c r="K692" s="1">
        <v>31.0</v>
      </c>
      <c r="L692" s="1">
        <v>0.0</v>
      </c>
      <c r="M692" s="1">
        <v>0.0</v>
      </c>
      <c r="N692" s="1">
        <v>0.0</v>
      </c>
      <c r="O692" s="1">
        <v>0.0</v>
      </c>
      <c r="P692" s="1">
        <v>90.0</v>
      </c>
      <c r="Q692" s="1">
        <v>9.0</v>
      </c>
    </row>
    <row r="693">
      <c r="A693" s="1">
        <f t="shared" si="1"/>
        <v>691</v>
      </c>
      <c r="B693" s="1" t="s">
        <v>1846</v>
      </c>
      <c r="C693" s="1" t="s">
        <v>1091</v>
      </c>
      <c r="D693" s="1" t="s">
        <v>28</v>
      </c>
      <c r="E693" s="15">
        <f t="shared" si="2"/>
        <v>74.75</v>
      </c>
      <c r="F693" s="16">
        <f t="shared" si="3"/>
        <v>1.823170732</v>
      </c>
      <c r="G693" s="1">
        <v>41.0</v>
      </c>
      <c r="H693" s="1">
        <v>4.0</v>
      </c>
      <c r="I693" s="1">
        <v>2.0</v>
      </c>
      <c r="J693" s="1">
        <v>6.0</v>
      </c>
      <c r="K693" s="1">
        <v>65.0</v>
      </c>
      <c r="L693" s="1">
        <v>0.0</v>
      </c>
      <c r="M693" s="1">
        <v>0.0</v>
      </c>
      <c r="N693" s="1">
        <v>0.0</v>
      </c>
      <c r="O693" s="1">
        <v>0.0</v>
      </c>
      <c r="P693" s="1">
        <v>53.0</v>
      </c>
      <c r="Q693" s="1">
        <v>10.0</v>
      </c>
    </row>
    <row r="694">
      <c r="A694" s="1">
        <f t="shared" si="1"/>
        <v>692</v>
      </c>
      <c r="B694" s="1" t="s">
        <v>2322</v>
      </c>
      <c r="C694" s="1" t="s">
        <v>1111</v>
      </c>
      <c r="D694" s="1" t="s">
        <v>66</v>
      </c>
      <c r="E694" s="15">
        <f t="shared" si="2"/>
        <v>74.5</v>
      </c>
      <c r="F694" s="16">
        <f t="shared" si="3"/>
        <v>2.191176471</v>
      </c>
      <c r="G694" s="1">
        <v>34.0</v>
      </c>
      <c r="H694" s="1">
        <v>0.0</v>
      </c>
      <c r="I694" s="1">
        <v>7.0</v>
      </c>
      <c r="J694" s="1">
        <v>7.0</v>
      </c>
      <c r="K694" s="1">
        <v>52.0</v>
      </c>
      <c r="L694" s="1">
        <v>0.0</v>
      </c>
      <c r="M694" s="1">
        <v>0.0</v>
      </c>
      <c r="N694" s="1">
        <v>0.0</v>
      </c>
      <c r="O694" s="1">
        <v>0.0</v>
      </c>
      <c r="P694" s="1">
        <v>22.0</v>
      </c>
      <c r="Q694" s="1">
        <v>44.0</v>
      </c>
    </row>
    <row r="695">
      <c r="A695" s="1">
        <f t="shared" si="1"/>
        <v>693</v>
      </c>
      <c r="B695" s="1" t="s">
        <v>1729</v>
      </c>
      <c r="C695" s="1" t="s">
        <v>1172</v>
      </c>
      <c r="D695" s="1" t="s">
        <v>36</v>
      </c>
      <c r="E695" s="15">
        <f t="shared" si="2"/>
        <v>73.75</v>
      </c>
      <c r="F695" s="16">
        <f t="shared" si="3"/>
        <v>1.993243243</v>
      </c>
      <c r="G695" s="1">
        <v>37.0</v>
      </c>
      <c r="H695" s="1">
        <v>1.0</v>
      </c>
      <c r="I695" s="1">
        <v>5.0</v>
      </c>
      <c r="J695" s="1">
        <v>6.0</v>
      </c>
      <c r="K695" s="1">
        <v>24.0</v>
      </c>
      <c r="L695" s="1">
        <v>0.0</v>
      </c>
      <c r="M695" s="1">
        <v>0.0</v>
      </c>
      <c r="N695" s="1">
        <v>0.0</v>
      </c>
      <c r="O695" s="1">
        <v>0.0</v>
      </c>
      <c r="P695" s="1">
        <v>141.0</v>
      </c>
      <c r="Q695" s="1">
        <v>14.0</v>
      </c>
    </row>
    <row r="696">
      <c r="A696" s="1">
        <f t="shared" si="1"/>
        <v>694</v>
      </c>
      <c r="B696" s="1" t="s">
        <v>1218</v>
      </c>
      <c r="C696" s="1" t="s">
        <v>1036</v>
      </c>
      <c r="D696" s="1" t="s">
        <v>5</v>
      </c>
      <c r="E696" s="15">
        <f t="shared" si="2"/>
        <v>73.5</v>
      </c>
      <c r="F696" s="16">
        <f t="shared" si="3"/>
        <v>5.653846154</v>
      </c>
      <c r="G696" s="1">
        <v>13.0</v>
      </c>
      <c r="R696" s="1">
        <v>6.0</v>
      </c>
      <c r="S696" s="1">
        <v>32.0</v>
      </c>
      <c r="T696" s="12">
        <v>335.0</v>
      </c>
      <c r="U696" s="1">
        <v>1.0</v>
      </c>
    </row>
    <row r="697">
      <c r="A697" s="1">
        <f t="shared" si="1"/>
        <v>695</v>
      </c>
      <c r="B697" s="1" t="s">
        <v>2058</v>
      </c>
      <c r="C697" s="1" t="s">
        <v>1038</v>
      </c>
      <c r="D697" s="1" t="s">
        <v>28</v>
      </c>
      <c r="E697" s="15">
        <f t="shared" si="2"/>
        <v>73</v>
      </c>
      <c r="F697" s="16">
        <f t="shared" si="3"/>
        <v>2.28125</v>
      </c>
      <c r="G697" s="1">
        <v>32.0</v>
      </c>
      <c r="H697" s="1">
        <v>2.0</v>
      </c>
      <c r="I697" s="1">
        <v>7.0</v>
      </c>
      <c r="J697" s="1">
        <v>9.0</v>
      </c>
      <c r="K697" s="1">
        <v>28.0</v>
      </c>
      <c r="L697" s="1">
        <v>0.0</v>
      </c>
      <c r="M697" s="1">
        <v>0.0</v>
      </c>
      <c r="N697" s="1">
        <v>0.0</v>
      </c>
      <c r="O697" s="1">
        <v>0.0</v>
      </c>
      <c r="P697" s="1">
        <v>82.0</v>
      </c>
      <c r="Q697" s="1">
        <v>17.0</v>
      </c>
    </row>
    <row r="698">
      <c r="A698" s="1">
        <f t="shared" si="1"/>
        <v>696</v>
      </c>
      <c r="B698" s="1" t="s">
        <v>1409</v>
      </c>
      <c r="C698" s="1" t="s">
        <v>1156</v>
      </c>
      <c r="D698" s="1" t="s">
        <v>5</v>
      </c>
      <c r="E698" s="15">
        <f t="shared" si="2"/>
        <v>70.8</v>
      </c>
      <c r="F698" s="16">
        <f t="shared" si="3"/>
        <v>3.218181818</v>
      </c>
      <c r="G698" s="1">
        <v>22.0</v>
      </c>
      <c r="N698" s="12"/>
      <c r="R698" s="1">
        <v>7.0</v>
      </c>
      <c r="S698" s="1">
        <v>78.0</v>
      </c>
      <c r="T698" s="12">
        <v>556.0</v>
      </c>
      <c r="U698" s="1">
        <v>0.0</v>
      </c>
    </row>
    <row r="699">
      <c r="A699" s="1">
        <f t="shared" si="1"/>
        <v>697</v>
      </c>
      <c r="B699" s="1" t="s">
        <v>2323</v>
      </c>
      <c r="C699" s="1" t="s">
        <v>1175</v>
      </c>
      <c r="D699" s="1" t="s">
        <v>31</v>
      </c>
      <c r="E699" s="15">
        <f t="shared" si="2"/>
        <v>70.5</v>
      </c>
      <c r="F699" s="16">
        <f t="shared" si="3"/>
        <v>2.014285714</v>
      </c>
      <c r="G699" s="1">
        <v>35.0</v>
      </c>
      <c r="H699" s="1">
        <v>7.0</v>
      </c>
      <c r="I699" s="1">
        <v>2.0</v>
      </c>
      <c r="J699" s="1">
        <v>9.0</v>
      </c>
      <c r="K699" s="1">
        <v>33.0</v>
      </c>
      <c r="L699" s="1">
        <v>3.0</v>
      </c>
      <c r="M699" s="1">
        <v>0.0</v>
      </c>
      <c r="N699" s="1">
        <v>0.0</v>
      </c>
      <c r="O699" s="1">
        <v>0.0</v>
      </c>
      <c r="P699" s="1">
        <v>14.0</v>
      </c>
      <c r="Q699" s="1">
        <v>26.0</v>
      </c>
    </row>
    <row r="700">
      <c r="A700" s="1">
        <f t="shared" si="1"/>
        <v>698</v>
      </c>
      <c r="B700" s="1" t="s">
        <v>2324</v>
      </c>
      <c r="C700" s="1" t="s">
        <v>1046</v>
      </c>
      <c r="D700" s="1" t="s">
        <v>31</v>
      </c>
      <c r="E700" s="15">
        <f t="shared" si="2"/>
        <v>70.25</v>
      </c>
      <c r="F700" s="16">
        <f t="shared" si="3"/>
        <v>1.596590909</v>
      </c>
      <c r="G700" s="1">
        <v>44.0</v>
      </c>
      <c r="H700" s="1">
        <v>4.0</v>
      </c>
      <c r="I700" s="1">
        <v>4.0</v>
      </c>
      <c r="J700" s="1">
        <v>8.0</v>
      </c>
      <c r="K700" s="1">
        <v>31.0</v>
      </c>
      <c r="L700" s="1">
        <v>0.0</v>
      </c>
      <c r="M700" s="1">
        <v>0.0</v>
      </c>
      <c r="N700" s="1">
        <v>0.0</v>
      </c>
      <c r="O700" s="1">
        <v>0.0</v>
      </c>
      <c r="P700" s="1">
        <v>59.0</v>
      </c>
      <c r="Q700" s="1">
        <v>20.0</v>
      </c>
    </row>
    <row r="701">
      <c r="A701" s="1">
        <f t="shared" si="1"/>
        <v>699</v>
      </c>
      <c r="B701" s="1" t="s">
        <v>1542</v>
      </c>
      <c r="C701" s="1" t="s">
        <v>1078</v>
      </c>
      <c r="D701" s="1" t="s">
        <v>66</v>
      </c>
      <c r="E701" s="15">
        <f t="shared" si="2"/>
        <v>70</v>
      </c>
      <c r="F701" s="16">
        <f t="shared" si="3"/>
        <v>2.916666667</v>
      </c>
      <c r="G701" s="1">
        <v>24.0</v>
      </c>
      <c r="H701" s="1">
        <v>2.0</v>
      </c>
      <c r="I701" s="1">
        <v>6.0</v>
      </c>
      <c r="J701" s="1">
        <v>8.0</v>
      </c>
      <c r="K701" s="1">
        <v>41.0</v>
      </c>
      <c r="L701" s="1">
        <v>0.0</v>
      </c>
      <c r="M701" s="1">
        <v>2.0</v>
      </c>
      <c r="N701" s="1">
        <v>0.0</v>
      </c>
      <c r="O701" s="1">
        <v>0.0</v>
      </c>
      <c r="P701" s="1">
        <v>32.0</v>
      </c>
      <c r="Q701" s="1">
        <v>29.0</v>
      </c>
    </row>
    <row r="702">
      <c r="A702" s="1">
        <f t="shared" si="1"/>
        <v>700</v>
      </c>
      <c r="B702" s="1" t="s">
        <v>1503</v>
      </c>
      <c r="C702" s="1" t="s">
        <v>1111</v>
      </c>
      <c r="D702" s="1" t="s">
        <v>31</v>
      </c>
      <c r="E702" s="15">
        <f t="shared" si="2"/>
        <v>69.75</v>
      </c>
      <c r="F702" s="16">
        <f t="shared" si="3"/>
        <v>1.788461538</v>
      </c>
      <c r="G702" s="1">
        <v>39.0</v>
      </c>
      <c r="H702" s="1">
        <v>2.0</v>
      </c>
      <c r="I702" s="1">
        <v>1.0</v>
      </c>
      <c r="J702" s="1">
        <v>3.0</v>
      </c>
      <c r="K702" s="1">
        <v>36.0</v>
      </c>
      <c r="L702" s="1">
        <v>0.0</v>
      </c>
      <c r="M702" s="1">
        <v>0.0</v>
      </c>
      <c r="N702" s="1">
        <v>0.0</v>
      </c>
      <c r="O702" s="1">
        <v>0.0</v>
      </c>
      <c r="P702" s="1">
        <v>139.0</v>
      </c>
      <c r="Q702" s="1">
        <v>10.0</v>
      </c>
    </row>
    <row r="703">
      <c r="A703" s="1">
        <f t="shared" si="1"/>
        <v>701</v>
      </c>
      <c r="B703" s="1" t="s">
        <v>1296</v>
      </c>
      <c r="C703" s="1" t="s">
        <v>1106</v>
      </c>
      <c r="D703" s="1" t="s">
        <v>28</v>
      </c>
      <c r="E703" s="15">
        <f t="shared" si="2"/>
        <v>68.25</v>
      </c>
      <c r="F703" s="16">
        <f t="shared" si="3"/>
        <v>2.275</v>
      </c>
      <c r="G703" s="1">
        <v>30.0</v>
      </c>
      <c r="H703" s="1">
        <v>3.0</v>
      </c>
      <c r="I703" s="1">
        <v>5.0</v>
      </c>
      <c r="J703" s="1">
        <v>8.0</v>
      </c>
      <c r="K703" s="1">
        <v>31.0</v>
      </c>
      <c r="L703" s="1">
        <v>0.0</v>
      </c>
      <c r="M703" s="1">
        <v>0.0</v>
      </c>
      <c r="N703" s="1">
        <v>0.0</v>
      </c>
      <c r="O703" s="1">
        <v>0.0</v>
      </c>
      <c r="P703" s="1">
        <v>77.0</v>
      </c>
      <c r="Q703" s="1">
        <v>10.0</v>
      </c>
    </row>
    <row r="704">
      <c r="A704" s="1">
        <f t="shared" si="1"/>
        <v>702</v>
      </c>
      <c r="B704" s="1" t="s">
        <v>2146</v>
      </c>
      <c r="C704" s="1" t="s">
        <v>1106</v>
      </c>
      <c r="D704" s="1" t="s">
        <v>31</v>
      </c>
      <c r="E704" s="15">
        <f t="shared" si="2"/>
        <v>68</v>
      </c>
      <c r="F704" s="16">
        <f t="shared" si="3"/>
        <v>1.743589744</v>
      </c>
      <c r="G704" s="1">
        <v>39.0</v>
      </c>
      <c r="H704" s="1">
        <v>4.0</v>
      </c>
      <c r="I704" s="1">
        <v>7.0</v>
      </c>
      <c r="J704" s="1">
        <v>11.0</v>
      </c>
      <c r="K704" s="1">
        <v>34.0</v>
      </c>
      <c r="L704" s="1">
        <v>0.0</v>
      </c>
      <c r="M704" s="1">
        <v>1.0</v>
      </c>
      <c r="N704" s="1">
        <v>0.0</v>
      </c>
      <c r="O704" s="1">
        <v>0.0</v>
      </c>
      <c r="P704" s="1">
        <v>22.0</v>
      </c>
      <c r="Q704" s="1">
        <v>13.0</v>
      </c>
    </row>
    <row r="705">
      <c r="A705" s="1">
        <f t="shared" si="1"/>
        <v>703</v>
      </c>
      <c r="B705" s="1" t="s">
        <v>2148</v>
      </c>
      <c r="C705" s="1" t="s">
        <v>1067</v>
      </c>
      <c r="D705" s="1" t="s">
        <v>28</v>
      </c>
      <c r="E705" s="15">
        <f t="shared" si="2"/>
        <v>67.75</v>
      </c>
      <c r="F705" s="16">
        <f t="shared" si="3"/>
        <v>1.168103448</v>
      </c>
      <c r="G705" s="1">
        <v>58.0</v>
      </c>
      <c r="H705" s="1">
        <v>5.0</v>
      </c>
      <c r="I705" s="1">
        <v>3.0</v>
      </c>
      <c r="J705" s="1">
        <v>8.0</v>
      </c>
      <c r="K705" s="1">
        <v>51.0</v>
      </c>
      <c r="L705" s="1">
        <v>0.0</v>
      </c>
      <c r="M705" s="1">
        <v>0.0</v>
      </c>
      <c r="N705" s="1">
        <v>0.0</v>
      </c>
      <c r="O705" s="1">
        <v>0.0</v>
      </c>
      <c r="P705" s="1">
        <v>11.0</v>
      </c>
      <c r="Q705" s="1">
        <v>16.0</v>
      </c>
    </row>
    <row r="706">
      <c r="A706" s="1">
        <f t="shared" si="1"/>
        <v>704</v>
      </c>
      <c r="B706" s="1" t="s">
        <v>1221</v>
      </c>
      <c r="C706" s="1" t="s">
        <v>1078</v>
      </c>
      <c r="D706" s="1" t="s">
        <v>31</v>
      </c>
      <c r="E706" s="15">
        <f t="shared" si="2"/>
        <v>67.5</v>
      </c>
      <c r="F706" s="16">
        <f t="shared" si="3"/>
        <v>1.6875</v>
      </c>
      <c r="G706" s="1">
        <v>40.0</v>
      </c>
      <c r="H706" s="1">
        <v>5.0</v>
      </c>
      <c r="I706" s="1">
        <v>5.0</v>
      </c>
      <c r="J706" s="1">
        <v>10.0</v>
      </c>
      <c r="K706" s="1">
        <v>39.0</v>
      </c>
      <c r="L706" s="1">
        <v>0.0</v>
      </c>
      <c r="M706" s="1">
        <v>1.0</v>
      </c>
      <c r="N706" s="1">
        <v>0.0</v>
      </c>
      <c r="O706" s="1">
        <v>0.0</v>
      </c>
      <c r="P706" s="1">
        <v>20.0</v>
      </c>
      <c r="Q706" s="1">
        <v>11.0</v>
      </c>
    </row>
    <row r="707">
      <c r="A707" s="1">
        <f t="shared" si="1"/>
        <v>705</v>
      </c>
      <c r="B707" s="1" t="s">
        <v>1903</v>
      </c>
      <c r="C707" s="1" t="s">
        <v>1044</v>
      </c>
      <c r="D707" s="1" t="s">
        <v>31</v>
      </c>
      <c r="E707" s="15">
        <f t="shared" si="2"/>
        <v>67</v>
      </c>
      <c r="F707" s="16">
        <f t="shared" si="3"/>
        <v>2.791666667</v>
      </c>
      <c r="G707" s="1">
        <v>24.0</v>
      </c>
      <c r="H707" s="1">
        <v>3.0</v>
      </c>
      <c r="I707" s="1">
        <v>7.0</v>
      </c>
      <c r="J707" s="1">
        <v>10.0</v>
      </c>
      <c r="K707" s="1">
        <v>47.0</v>
      </c>
      <c r="L707" s="1">
        <v>2.0</v>
      </c>
      <c r="M707" s="1">
        <v>5.0</v>
      </c>
      <c r="N707" s="1">
        <v>0.0</v>
      </c>
      <c r="O707" s="1">
        <v>0.0</v>
      </c>
      <c r="P707" s="1">
        <v>28.0</v>
      </c>
      <c r="Q707" s="1">
        <v>4.0</v>
      </c>
    </row>
    <row r="708">
      <c r="A708" s="1">
        <f t="shared" si="1"/>
        <v>706</v>
      </c>
      <c r="B708" s="1" t="s">
        <v>1786</v>
      </c>
      <c r="C708" s="1" t="s">
        <v>1085</v>
      </c>
      <c r="D708" s="1" t="s">
        <v>66</v>
      </c>
      <c r="E708" s="15">
        <f t="shared" si="2"/>
        <v>66.5</v>
      </c>
      <c r="F708" s="16">
        <f t="shared" si="3"/>
        <v>1.511363636</v>
      </c>
      <c r="G708" s="1">
        <v>44.0</v>
      </c>
      <c r="H708" s="1">
        <v>2.0</v>
      </c>
      <c r="I708" s="1">
        <v>4.0</v>
      </c>
      <c r="J708" s="1">
        <v>6.0</v>
      </c>
      <c r="K708" s="1">
        <v>18.0</v>
      </c>
      <c r="L708" s="1">
        <v>0.0</v>
      </c>
      <c r="M708" s="1">
        <v>0.0</v>
      </c>
      <c r="N708" s="1">
        <v>0.0</v>
      </c>
      <c r="O708" s="1">
        <v>0.0</v>
      </c>
      <c r="P708" s="1">
        <v>60.0</v>
      </c>
      <c r="Q708" s="1">
        <v>43.0</v>
      </c>
    </row>
    <row r="709">
      <c r="A709" s="1">
        <f t="shared" si="1"/>
        <v>707</v>
      </c>
      <c r="B709" s="1" t="s">
        <v>1515</v>
      </c>
      <c r="C709" s="1" t="s">
        <v>1054</v>
      </c>
      <c r="D709" s="1" t="s">
        <v>31</v>
      </c>
      <c r="E709" s="15">
        <f t="shared" si="2"/>
        <v>66</v>
      </c>
      <c r="F709" s="16">
        <f t="shared" si="3"/>
        <v>1.885714286</v>
      </c>
      <c r="G709" s="1">
        <v>35.0</v>
      </c>
      <c r="H709" s="1">
        <v>2.0</v>
      </c>
      <c r="I709" s="1">
        <v>4.0</v>
      </c>
      <c r="J709" s="1">
        <v>6.0</v>
      </c>
      <c r="K709" s="1">
        <v>44.0</v>
      </c>
      <c r="L709" s="1">
        <v>0.0</v>
      </c>
      <c r="M709" s="1">
        <v>1.0</v>
      </c>
      <c r="N709" s="1">
        <v>0.0</v>
      </c>
      <c r="O709" s="1">
        <v>0.0</v>
      </c>
      <c r="P709" s="1">
        <v>48.0</v>
      </c>
      <c r="Q709" s="1">
        <v>22.0</v>
      </c>
    </row>
    <row r="710">
      <c r="A710" s="1">
        <f t="shared" si="1"/>
        <v>707</v>
      </c>
      <c r="B710" s="1" t="s">
        <v>2116</v>
      </c>
      <c r="C710" s="1" t="s">
        <v>1069</v>
      </c>
      <c r="D710" s="1" t="s">
        <v>36</v>
      </c>
      <c r="E710" s="15">
        <f t="shared" si="2"/>
        <v>66</v>
      </c>
      <c r="F710" s="16">
        <f t="shared" si="3"/>
        <v>1.609756098</v>
      </c>
      <c r="G710" s="1">
        <v>41.0</v>
      </c>
      <c r="H710" s="1">
        <v>3.0</v>
      </c>
      <c r="I710" s="1">
        <v>1.0</v>
      </c>
      <c r="J710" s="1">
        <v>4.0</v>
      </c>
      <c r="K710" s="1">
        <v>55.0</v>
      </c>
      <c r="L710" s="1">
        <v>0.0</v>
      </c>
      <c r="M710" s="1">
        <v>0.0</v>
      </c>
      <c r="N710" s="1">
        <v>0.0</v>
      </c>
      <c r="O710" s="1">
        <v>0.0</v>
      </c>
      <c r="P710" s="1">
        <v>78.0</v>
      </c>
      <c r="Q710" s="1">
        <v>5.0</v>
      </c>
    </row>
    <row r="711">
      <c r="A711" s="1">
        <f t="shared" si="1"/>
        <v>709</v>
      </c>
      <c r="B711" s="1" t="s">
        <v>1825</v>
      </c>
      <c r="C711" s="1" t="s">
        <v>1156</v>
      </c>
      <c r="D711" s="1" t="s">
        <v>31</v>
      </c>
      <c r="E711" s="15">
        <f t="shared" si="2"/>
        <v>65.5</v>
      </c>
      <c r="F711" s="16">
        <f t="shared" si="3"/>
        <v>2.183333333</v>
      </c>
      <c r="G711" s="1">
        <v>30.0</v>
      </c>
      <c r="H711" s="1">
        <v>5.0</v>
      </c>
      <c r="I711" s="1">
        <v>2.0</v>
      </c>
      <c r="J711" s="1">
        <v>7.0</v>
      </c>
      <c r="K711" s="1">
        <v>44.0</v>
      </c>
      <c r="L711" s="1">
        <v>0.0</v>
      </c>
      <c r="M711" s="1">
        <v>0.0</v>
      </c>
      <c r="N711" s="1">
        <v>0.0</v>
      </c>
      <c r="O711" s="1">
        <v>0.0</v>
      </c>
      <c r="P711" s="1">
        <v>42.0</v>
      </c>
      <c r="Q711" s="1">
        <v>9.0</v>
      </c>
    </row>
    <row r="712">
      <c r="A712" s="1">
        <f t="shared" si="1"/>
        <v>710</v>
      </c>
      <c r="B712" s="1" t="s">
        <v>2149</v>
      </c>
      <c r="C712" s="1" t="s">
        <v>1032</v>
      </c>
      <c r="D712" s="1" t="s">
        <v>5</v>
      </c>
      <c r="E712" s="15">
        <f t="shared" si="2"/>
        <v>65.1</v>
      </c>
      <c r="F712" s="16">
        <f t="shared" si="3"/>
        <v>4.65</v>
      </c>
      <c r="G712" s="1">
        <v>14.0</v>
      </c>
      <c r="R712" s="1">
        <v>8.0</v>
      </c>
      <c r="S712" s="1">
        <v>43.0</v>
      </c>
      <c r="T712" s="12">
        <v>342.0</v>
      </c>
      <c r="U712" s="1">
        <v>1.0</v>
      </c>
    </row>
    <row r="713">
      <c r="A713" s="1">
        <f t="shared" si="1"/>
        <v>711</v>
      </c>
      <c r="B713" s="1" t="s">
        <v>1784</v>
      </c>
      <c r="C713" s="1" t="s">
        <v>1097</v>
      </c>
      <c r="D713" s="1" t="s">
        <v>31</v>
      </c>
      <c r="E713" s="15">
        <f t="shared" si="2"/>
        <v>65</v>
      </c>
      <c r="F713" s="16">
        <f t="shared" si="3"/>
        <v>1.666666667</v>
      </c>
      <c r="G713" s="1">
        <v>39.0</v>
      </c>
      <c r="H713" s="1">
        <v>1.0</v>
      </c>
      <c r="I713" s="1">
        <v>4.0</v>
      </c>
      <c r="J713" s="1">
        <v>5.0</v>
      </c>
      <c r="K713" s="1">
        <v>36.0</v>
      </c>
      <c r="L713" s="1">
        <v>0.0</v>
      </c>
      <c r="M713" s="1">
        <v>0.0</v>
      </c>
      <c r="N713" s="1">
        <v>0.0</v>
      </c>
      <c r="O713" s="1">
        <v>0.0</v>
      </c>
      <c r="P713" s="1">
        <v>70.0</v>
      </c>
      <c r="Q713" s="1">
        <v>26.0</v>
      </c>
    </row>
    <row r="714">
      <c r="A714" s="1">
        <f t="shared" si="1"/>
        <v>712</v>
      </c>
      <c r="B714" s="1" t="s">
        <v>1602</v>
      </c>
      <c r="C714" s="1" t="s">
        <v>1048</v>
      </c>
      <c r="D714" s="1" t="s">
        <v>31</v>
      </c>
      <c r="E714" s="15">
        <f t="shared" si="2"/>
        <v>64.5</v>
      </c>
      <c r="F714" s="16">
        <f t="shared" si="3"/>
        <v>3.225</v>
      </c>
      <c r="G714" s="1">
        <v>20.0</v>
      </c>
      <c r="H714" s="1">
        <v>3.0</v>
      </c>
      <c r="I714" s="1">
        <v>5.0</v>
      </c>
      <c r="J714" s="1">
        <v>8.0</v>
      </c>
      <c r="K714" s="1">
        <v>32.0</v>
      </c>
      <c r="L714" s="1">
        <v>0.0</v>
      </c>
      <c r="M714" s="1">
        <v>0.0</v>
      </c>
      <c r="N714" s="1">
        <v>0.0</v>
      </c>
      <c r="O714" s="1">
        <v>0.0</v>
      </c>
      <c r="P714" s="1">
        <v>48.0</v>
      </c>
      <c r="Q714" s="1">
        <v>16.0</v>
      </c>
    </row>
    <row r="715">
      <c r="A715" s="1">
        <f t="shared" si="1"/>
        <v>713</v>
      </c>
      <c r="B715" s="1" t="s">
        <v>1809</v>
      </c>
      <c r="C715" s="1" t="s">
        <v>1069</v>
      </c>
      <c r="D715" s="1" t="s">
        <v>31</v>
      </c>
      <c r="E715" s="15">
        <f t="shared" si="2"/>
        <v>64</v>
      </c>
      <c r="F715" s="16">
        <f t="shared" si="3"/>
        <v>2.285714286</v>
      </c>
      <c r="G715" s="1">
        <v>28.0</v>
      </c>
      <c r="H715" s="1">
        <v>5.0</v>
      </c>
      <c r="I715" s="1">
        <v>5.0</v>
      </c>
      <c r="J715" s="1">
        <v>10.0</v>
      </c>
      <c r="K715" s="1">
        <v>33.0</v>
      </c>
      <c r="L715" s="1">
        <v>0.0</v>
      </c>
      <c r="M715" s="1">
        <v>0.0</v>
      </c>
      <c r="N715" s="1">
        <v>0.0</v>
      </c>
      <c r="O715" s="1">
        <v>0.0</v>
      </c>
      <c r="P715" s="1">
        <v>24.0</v>
      </c>
      <c r="Q715" s="1">
        <v>8.0</v>
      </c>
    </row>
    <row r="716">
      <c r="A716" s="1">
        <f t="shared" si="1"/>
        <v>714</v>
      </c>
      <c r="B716" s="1" t="s">
        <v>2325</v>
      </c>
      <c r="C716" s="1" t="s">
        <v>1097</v>
      </c>
      <c r="D716" s="1" t="s">
        <v>31</v>
      </c>
      <c r="E716" s="15">
        <f t="shared" si="2"/>
        <v>63.5</v>
      </c>
      <c r="F716" s="16">
        <f t="shared" si="3"/>
        <v>2.351851852</v>
      </c>
      <c r="G716" s="1">
        <v>27.0</v>
      </c>
      <c r="H716" s="1">
        <v>4.0</v>
      </c>
      <c r="I716" s="1">
        <v>3.0</v>
      </c>
      <c r="J716" s="1">
        <v>7.0</v>
      </c>
      <c r="K716" s="1">
        <v>33.0</v>
      </c>
      <c r="L716" s="1">
        <v>0.0</v>
      </c>
      <c r="M716" s="1">
        <v>0.0</v>
      </c>
      <c r="N716" s="1">
        <v>0.0</v>
      </c>
      <c r="O716" s="1">
        <v>0.0</v>
      </c>
      <c r="P716" s="1">
        <v>66.0</v>
      </c>
      <c r="Q716" s="1">
        <v>7.0</v>
      </c>
    </row>
    <row r="717">
      <c r="A717" s="1">
        <f t="shared" si="1"/>
        <v>714</v>
      </c>
      <c r="B717" s="1" t="s">
        <v>2277</v>
      </c>
      <c r="C717" s="1" t="s">
        <v>1172</v>
      </c>
      <c r="D717" s="1" t="s">
        <v>31</v>
      </c>
      <c r="E717" s="15">
        <f t="shared" si="2"/>
        <v>63.5</v>
      </c>
      <c r="F717" s="16">
        <f t="shared" si="3"/>
        <v>1.221153846</v>
      </c>
      <c r="G717" s="1">
        <v>52.0</v>
      </c>
      <c r="H717" s="1">
        <v>4.0</v>
      </c>
      <c r="I717" s="1">
        <v>3.0</v>
      </c>
      <c r="J717" s="1">
        <v>7.0</v>
      </c>
      <c r="K717" s="1">
        <v>41.0</v>
      </c>
      <c r="L717" s="1">
        <v>0.0</v>
      </c>
      <c r="M717" s="1">
        <v>1.0</v>
      </c>
      <c r="N717" s="1">
        <v>0.0</v>
      </c>
      <c r="O717" s="1">
        <v>0.0</v>
      </c>
      <c r="P717" s="1">
        <v>26.0</v>
      </c>
      <c r="Q717" s="1">
        <v>19.0</v>
      </c>
    </row>
    <row r="718">
      <c r="A718" s="1">
        <f t="shared" si="1"/>
        <v>714</v>
      </c>
      <c r="B718" s="1" t="s">
        <v>2124</v>
      </c>
      <c r="C718" s="1" t="s">
        <v>1175</v>
      </c>
      <c r="D718" s="1" t="s">
        <v>66</v>
      </c>
      <c r="E718" s="15">
        <f t="shared" si="2"/>
        <v>63.5</v>
      </c>
      <c r="F718" s="16">
        <f t="shared" si="3"/>
        <v>1.763888889</v>
      </c>
      <c r="G718" s="1">
        <v>36.0</v>
      </c>
      <c r="H718" s="1">
        <v>1.0</v>
      </c>
      <c r="I718" s="1">
        <v>1.0</v>
      </c>
      <c r="J718" s="1">
        <v>2.0</v>
      </c>
      <c r="K718" s="1">
        <v>25.0</v>
      </c>
      <c r="L718" s="1">
        <v>0.0</v>
      </c>
      <c r="M718" s="1">
        <v>0.0</v>
      </c>
      <c r="N718" s="1">
        <v>0.0</v>
      </c>
      <c r="O718" s="1">
        <v>0.0</v>
      </c>
      <c r="P718" s="1">
        <v>96.0</v>
      </c>
      <c r="Q718" s="1">
        <v>39.0</v>
      </c>
    </row>
    <row r="719">
      <c r="A719" s="1">
        <f t="shared" si="1"/>
        <v>717</v>
      </c>
      <c r="B719" s="1" t="s">
        <v>2326</v>
      </c>
      <c r="C719" s="1" t="s">
        <v>1067</v>
      </c>
      <c r="D719" s="1" t="s">
        <v>66</v>
      </c>
      <c r="E719" s="15">
        <f t="shared" si="2"/>
        <v>63.25</v>
      </c>
      <c r="F719" s="16">
        <f t="shared" si="3"/>
        <v>1.709459459</v>
      </c>
      <c r="G719" s="1">
        <v>37.0</v>
      </c>
      <c r="H719" s="1">
        <v>2.0</v>
      </c>
      <c r="I719" s="1">
        <v>6.0</v>
      </c>
      <c r="J719" s="1">
        <v>8.0</v>
      </c>
      <c r="K719" s="1">
        <v>35.0</v>
      </c>
      <c r="L719" s="1">
        <v>0.0</v>
      </c>
      <c r="M719" s="1">
        <v>2.0</v>
      </c>
      <c r="N719" s="1">
        <v>0.0</v>
      </c>
      <c r="O719" s="1">
        <v>0.0</v>
      </c>
      <c r="P719" s="1">
        <v>11.0</v>
      </c>
      <c r="Q719" s="1">
        <v>32.0</v>
      </c>
    </row>
    <row r="720">
      <c r="A720" s="1">
        <f t="shared" si="1"/>
        <v>718</v>
      </c>
      <c r="B720" s="1" t="s">
        <v>1680</v>
      </c>
      <c r="C720" s="1" t="s">
        <v>1078</v>
      </c>
      <c r="D720" s="1" t="s">
        <v>66</v>
      </c>
      <c r="E720" s="15">
        <f t="shared" si="2"/>
        <v>62.75</v>
      </c>
      <c r="F720" s="16">
        <f t="shared" si="3"/>
        <v>2.163793103</v>
      </c>
      <c r="G720" s="1">
        <v>29.0</v>
      </c>
      <c r="H720" s="1">
        <v>1.0</v>
      </c>
      <c r="I720" s="1">
        <v>2.0</v>
      </c>
      <c r="J720" s="1">
        <v>3.0</v>
      </c>
      <c r="K720" s="1">
        <v>50.0</v>
      </c>
      <c r="L720" s="1">
        <v>0.0</v>
      </c>
      <c r="M720" s="1">
        <v>0.0</v>
      </c>
      <c r="N720" s="1">
        <v>0.0</v>
      </c>
      <c r="O720" s="1">
        <v>0.0</v>
      </c>
      <c r="P720" s="1">
        <v>33.0</v>
      </c>
      <c r="Q720" s="1">
        <v>38.0</v>
      </c>
    </row>
    <row r="721">
      <c r="A721" s="1">
        <f t="shared" si="1"/>
        <v>719</v>
      </c>
      <c r="B721" s="1" t="s">
        <v>2215</v>
      </c>
      <c r="C721" s="1" t="s">
        <v>1076</v>
      </c>
      <c r="D721" s="1" t="s">
        <v>5</v>
      </c>
      <c r="E721" s="15">
        <f t="shared" si="2"/>
        <v>62.4</v>
      </c>
      <c r="F721" s="16">
        <f t="shared" si="3"/>
        <v>3.12</v>
      </c>
      <c r="G721" s="1">
        <v>20.0</v>
      </c>
      <c r="N721" s="12"/>
      <c r="R721" s="1">
        <v>3.0</v>
      </c>
      <c r="S721" s="1">
        <v>62.0</v>
      </c>
      <c r="T721" s="12">
        <v>488.0</v>
      </c>
      <c r="U721" s="1">
        <v>0.0</v>
      </c>
    </row>
    <row r="722">
      <c r="A722" s="1">
        <f t="shared" si="1"/>
        <v>720</v>
      </c>
      <c r="B722" s="1" t="s">
        <v>2207</v>
      </c>
      <c r="C722" s="1" t="s">
        <v>1156</v>
      </c>
      <c r="D722" s="1" t="s">
        <v>66</v>
      </c>
      <c r="E722" s="15">
        <f t="shared" si="2"/>
        <v>62.25</v>
      </c>
      <c r="F722" s="16">
        <f t="shared" si="3"/>
        <v>1.638157895</v>
      </c>
      <c r="G722" s="1">
        <v>38.0</v>
      </c>
      <c r="H722" s="1">
        <v>2.0</v>
      </c>
      <c r="I722" s="1">
        <v>7.0</v>
      </c>
      <c r="J722" s="1">
        <v>9.0</v>
      </c>
      <c r="K722" s="1">
        <v>18.0</v>
      </c>
      <c r="L722" s="1">
        <v>0.0</v>
      </c>
      <c r="M722" s="1">
        <v>0.0</v>
      </c>
      <c r="N722" s="1">
        <v>0.0</v>
      </c>
      <c r="O722" s="1">
        <v>0.0</v>
      </c>
      <c r="P722" s="1">
        <v>27.0</v>
      </c>
      <c r="Q722" s="1">
        <v>33.0</v>
      </c>
    </row>
    <row r="723">
      <c r="A723" s="1">
        <f t="shared" si="1"/>
        <v>721</v>
      </c>
      <c r="B723" s="1" t="s">
        <v>2111</v>
      </c>
      <c r="C723" s="1" t="s">
        <v>1046</v>
      </c>
      <c r="D723" s="1" t="s">
        <v>5</v>
      </c>
      <c r="E723" s="15">
        <f t="shared" si="2"/>
        <v>61.8</v>
      </c>
      <c r="F723" s="16">
        <f t="shared" si="3"/>
        <v>3.635294118</v>
      </c>
      <c r="G723" s="1">
        <v>17.0</v>
      </c>
      <c r="R723" s="1">
        <v>4.0</v>
      </c>
      <c r="S723" s="1">
        <v>39.0</v>
      </c>
      <c r="T723" s="12">
        <v>361.0</v>
      </c>
      <c r="U723" s="1">
        <v>0.0</v>
      </c>
    </row>
    <row r="724">
      <c r="A724" s="1">
        <f t="shared" si="1"/>
        <v>722</v>
      </c>
      <c r="B724" s="1" t="s">
        <v>1792</v>
      </c>
      <c r="C724" s="1" t="s">
        <v>1175</v>
      </c>
      <c r="D724" s="1" t="s">
        <v>28</v>
      </c>
      <c r="E724" s="15">
        <f t="shared" si="2"/>
        <v>61.5</v>
      </c>
      <c r="F724" s="16">
        <f t="shared" si="3"/>
        <v>1.430232558</v>
      </c>
      <c r="G724" s="1">
        <v>43.0</v>
      </c>
      <c r="H724" s="1">
        <v>1.0</v>
      </c>
      <c r="I724" s="1">
        <v>2.0</v>
      </c>
      <c r="J724" s="1">
        <v>3.0</v>
      </c>
      <c r="K724" s="1">
        <v>36.0</v>
      </c>
      <c r="L724" s="1">
        <v>0.0</v>
      </c>
      <c r="M724" s="1">
        <v>0.0</v>
      </c>
      <c r="N724" s="1">
        <v>0.0</v>
      </c>
      <c r="O724" s="1">
        <v>0.0</v>
      </c>
      <c r="P724" s="1">
        <v>104.0</v>
      </c>
      <c r="Q724" s="1">
        <v>14.0</v>
      </c>
    </row>
    <row r="725">
      <c r="A725" s="1">
        <f t="shared" si="1"/>
        <v>723</v>
      </c>
      <c r="B725" s="1" t="s">
        <v>2068</v>
      </c>
      <c r="C725" s="1" t="s">
        <v>1080</v>
      </c>
      <c r="D725" s="1" t="s">
        <v>31</v>
      </c>
      <c r="E725" s="15">
        <f t="shared" si="2"/>
        <v>61.25</v>
      </c>
      <c r="F725" s="16">
        <f t="shared" si="3"/>
        <v>1.493902439</v>
      </c>
      <c r="G725" s="1">
        <v>41.0</v>
      </c>
      <c r="H725" s="1">
        <v>2.0</v>
      </c>
      <c r="I725" s="1">
        <v>4.0</v>
      </c>
      <c r="J725" s="1">
        <v>6.0</v>
      </c>
      <c r="K725" s="1">
        <v>35.0</v>
      </c>
      <c r="L725" s="1">
        <v>0.0</v>
      </c>
      <c r="M725" s="1">
        <v>0.0</v>
      </c>
      <c r="N725" s="1">
        <v>0.0</v>
      </c>
      <c r="O725" s="1">
        <v>0.0</v>
      </c>
      <c r="P725" s="1">
        <v>45.0</v>
      </c>
      <c r="Q725" s="1">
        <v>23.0</v>
      </c>
    </row>
    <row r="726">
      <c r="A726" s="1">
        <f t="shared" si="1"/>
        <v>724</v>
      </c>
      <c r="B726" s="1" t="s">
        <v>2009</v>
      </c>
      <c r="C726" s="1" t="s">
        <v>1097</v>
      </c>
      <c r="D726" s="1" t="s">
        <v>66</v>
      </c>
      <c r="E726" s="15">
        <f t="shared" si="2"/>
        <v>61</v>
      </c>
      <c r="F726" s="16">
        <f t="shared" si="3"/>
        <v>1.694444444</v>
      </c>
      <c r="G726" s="1">
        <v>36.0</v>
      </c>
      <c r="H726" s="1">
        <v>2.0</v>
      </c>
      <c r="I726" s="1">
        <v>8.0</v>
      </c>
      <c r="J726" s="1">
        <v>10.0</v>
      </c>
      <c r="K726" s="1">
        <v>26.0</v>
      </c>
      <c r="L726" s="1">
        <v>0.0</v>
      </c>
      <c r="M726" s="1">
        <v>3.0</v>
      </c>
      <c r="N726" s="1">
        <v>0.0</v>
      </c>
      <c r="O726" s="1">
        <v>0.0</v>
      </c>
      <c r="P726" s="1">
        <v>14.0</v>
      </c>
      <c r="Q726" s="1">
        <v>23.0</v>
      </c>
    </row>
    <row r="727">
      <c r="A727" s="1">
        <f t="shared" si="1"/>
        <v>724</v>
      </c>
      <c r="B727" s="1" t="s">
        <v>2231</v>
      </c>
      <c r="C727" s="1" t="s">
        <v>1175</v>
      </c>
      <c r="D727" s="1" t="s">
        <v>28</v>
      </c>
      <c r="E727" s="15">
        <f t="shared" si="2"/>
        <v>61</v>
      </c>
      <c r="F727" s="16">
        <f t="shared" si="3"/>
        <v>1.794117647</v>
      </c>
      <c r="G727" s="1">
        <v>34.0</v>
      </c>
      <c r="H727" s="1">
        <v>3.0</v>
      </c>
      <c r="I727" s="1">
        <v>2.0</v>
      </c>
      <c r="J727" s="1">
        <v>5.0</v>
      </c>
      <c r="K727" s="1">
        <v>30.0</v>
      </c>
      <c r="L727" s="1">
        <v>0.0</v>
      </c>
      <c r="M727" s="1">
        <v>0.0</v>
      </c>
      <c r="N727" s="1">
        <v>0.0</v>
      </c>
      <c r="O727" s="1">
        <v>0.0</v>
      </c>
      <c r="P727" s="1">
        <v>84.0</v>
      </c>
      <c r="Q727" s="1">
        <v>11.0</v>
      </c>
    </row>
    <row r="728">
      <c r="A728" s="1">
        <f t="shared" si="1"/>
        <v>726</v>
      </c>
      <c r="B728" s="1" t="s">
        <v>2327</v>
      </c>
      <c r="C728" s="1" t="s">
        <v>1097</v>
      </c>
      <c r="D728" s="1" t="s">
        <v>31</v>
      </c>
      <c r="E728" s="15">
        <f t="shared" si="2"/>
        <v>60.75</v>
      </c>
      <c r="F728" s="16">
        <f t="shared" si="3"/>
        <v>2.43</v>
      </c>
      <c r="G728" s="1">
        <v>25.0</v>
      </c>
      <c r="H728" s="1">
        <v>4.0</v>
      </c>
      <c r="I728" s="1">
        <v>5.0</v>
      </c>
      <c r="J728" s="1">
        <v>9.0</v>
      </c>
      <c r="K728" s="1">
        <v>27.0</v>
      </c>
      <c r="L728" s="1">
        <v>0.0</v>
      </c>
      <c r="M728" s="1">
        <v>1.0</v>
      </c>
      <c r="N728" s="1">
        <v>0.0</v>
      </c>
      <c r="O728" s="1">
        <v>0.0</v>
      </c>
      <c r="P728" s="1">
        <v>35.0</v>
      </c>
      <c r="Q728" s="1">
        <v>11.0</v>
      </c>
    </row>
    <row r="729">
      <c r="A729" s="1">
        <f t="shared" si="1"/>
        <v>727</v>
      </c>
      <c r="B729" s="1" t="s">
        <v>2328</v>
      </c>
      <c r="C729" s="1" t="s">
        <v>1048</v>
      </c>
      <c r="D729" s="1" t="s">
        <v>31</v>
      </c>
      <c r="E729" s="15">
        <f t="shared" si="2"/>
        <v>60.5</v>
      </c>
      <c r="F729" s="16">
        <f t="shared" si="3"/>
        <v>1.779411765</v>
      </c>
      <c r="G729" s="1">
        <v>34.0</v>
      </c>
      <c r="H729" s="1">
        <v>5.0</v>
      </c>
      <c r="I729" s="1">
        <v>5.0</v>
      </c>
      <c r="J729" s="1">
        <v>10.0</v>
      </c>
      <c r="K729" s="1">
        <v>26.0</v>
      </c>
      <c r="L729" s="1">
        <v>3.0</v>
      </c>
      <c r="M729" s="1">
        <v>0.0</v>
      </c>
      <c r="N729" s="1">
        <v>0.0</v>
      </c>
      <c r="O729" s="1">
        <v>0.0</v>
      </c>
      <c r="P729" s="1">
        <v>20.0</v>
      </c>
      <c r="Q729" s="1">
        <v>10.0</v>
      </c>
    </row>
    <row r="730">
      <c r="A730" s="1">
        <f t="shared" si="1"/>
        <v>728</v>
      </c>
      <c r="B730" s="1" t="s">
        <v>2329</v>
      </c>
      <c r="C730" s="1" t="s">
        <v>1091</v>
      </c>
      <c r="D730" s="1" t="s">
        <v>66</v>
      </c>
      <c r="E730" s="15">
        <f t="shared" si="2"/>
        <v>60</v>
      </c>
      <c r="F730" s="16">
        <f t="shared" si="3"/>
        <v>1.538461538</v>
      </c>
      <c r="G730" s="1">
        <v>39.0</v>
      </c>
      <c r="H730" s="1">
        <v>1.0</v>
      </c>
      <c r="I730" s="1">
        <v>2.0</v>
      </c>
      <c r="J730" s="1">
        <v>3.0</v>
      </c>
      <c r="K730" s="1">
        <v>30.0</v>
      </c>
      <c r="L730" s="1">
        <v>0.0</v>
      </c>
      <c r="M730" s="1">
        <v>0.0</v>
      </c>
      <c r="N730" s="1">
        <v>0.0</v>
      </c>
      <c r="O730" s="1">
        <v>0.0</v>
      </c>
      <c r="P730" s="1">
        <v>74.0</v>
      </c>
      <c r="Q730" s="1">
        <v>32.0</v>
      </c>
    </row>
    <row r="731">
      <c r="A731" s="1">
        <f t="shared" si="1"/>
        <v>729</v>
      </c>
      <c r="B731" s="1" t="s">
        <v>2189</v>
      </c>
      <c r="C731" s="1" t="s">
        <v>1097</v>
      </c>
      <c r="D731" s="1" t="s">
        <v>66</v>
      </c>
      <c r="E731" s="15">
        <f t="shared" si="2"/>
        <v>59.75</v>
      </c>
      <c r="F731" s="16">
        <f t="shared" si="3"/>
        <v>2.489583333</v>
      </c>
      <c r="G731" s="1">
        <v>24.0</v>
      </c>
      <c r="H731" s="1">
        <v>2.0</v>
      </c>
      <c r="I731" s="1">
        <v>4.0</v>
      </c>
      <c r="J731" s="1">
        <v>6.0</v>
      </c>
      <c r="K731" s="1">
        <v>30.0</v>
      </c>
      <c r="L731" s="1">
        <v>0.0</v>
      </c>
      <c r="M731" s="1">
        <v>1.0</v>
      </c>
      <c r="N731" s="1">
        <v>0.0</v>
      </c>
      <c r="O731" s="1">
        <v>0.0</v>
      </c>
      <c r="P731" s="1">
        <v>15.0</v>
      </c>
      <c r="Q731" s="1">
        <v>40.0</v>
      </c>
    </row>
    <row r="732">
      <c r="A732" s="1">
        <f t="shared" si="1"/>
        <v>730</v>
      </c>
      <c r="B732" s="1" t="s">
        <v>2114</v>
      </c>
      <c r="C732" s="1" t="s">
        <v>1082</v>
      </c>
      <c r="D732" s="1" t="s">
        <v>31</v>
      </c>
      <c r="E732" s="15">
        <f t="shared" si="2"/>
        <v>59.5</v>
      </c>
      <c r="F732" s="16">
        <f t="shared" si="3"/>
        <v>1.803030303</v>
      </c>
      <c r="G732" s="1">
        <v>33.0</v>
      </c>
      <c r="H732" s="1">
        <v>3.0</v>
      </c>
      <c r="I732" s="1">
        <v>6.0</v>
      </c>
      <c r="J732" s="1">
        <v>9.0</v>
      </c>
      <c r="K732" s="1">
        <v>34.0</v>
      </c>
      <c r="L732" s="1">
        <v>0.0</v>
      </c>
      <c r="M732" s="1">
        <v>1.0</v>
      </c>
      <c r="N732" s="1">
        <v>0.0</v>
      </c>
      <c r="O732" s="1">
        <v>0.0</v>
      </c>
      <c r="P732" s="1">
        <v>20.0</v>
      </c>
      <c r="Q732" s="1">
        <v>12.0</v>
      </c>
    </row>
    <row r="733">
      <c r="A733" s="1">
        <f t="shared" si="1"/>
        <v>731</v>
      </c>
      <c r="B733" s="1" t="s">
        <v>2330</v>
      </c>
      <c r="C733" s="1" t="s">
        <v>1036</v>
      </c>
      <c r="D733" s="1" t="s">
        <v>36</v>
      </c>
      <c r="E733" s="15">
        <f t="shared" si="2"/>
        <v>59.25</v>
      </c>
      <c r="F733" s="16">
        <f t="shared" si="3"/>
        <v>1.692857143</v>
      </c>
      <c r="G733" s="1">
        <v>35.0</v>
      </c>
      <c r="H733" s="1">
        <v>2.0</v>
      </c>
      <c r="I733" s="1">
        <v>3.0</v>
      </c>
      <c r="J733" s="1">
        <v>5.0</v>
      </c>
      <c r="K733" s="1">
        <v>38.0</v>
      </c>
      <c r="L733" s="1">
        <v>0.0</v>
      </c>
      <c r="M733" s="1">
        <v>0.0</v>
      </c>
      <c r="N733" s="1">
        <v>0.0</v>
      </c>
      <c r="O733" s="1">
        <v>1.0</v>
      </c>
      <c r="P733" s="1">
        <v>41.0</v>
      </c>
      <c r="Q733" s="1">
        <v>20.0</v>
      </c>
    </row>
    <row r="734">
      <c r="A734" s="1">
        <f t="shared" si="1"/>
        <v>732</v>
      </c>
      <c r="B734" s="1" t="s">
        <v>1592</v>
      </c>
      <c r="C734" s="1" t="s">
        <v>1042</v>
      </c>
      <c r="D734" s="1" t="s">
        <v>5</v>
      </c>
      <c r="E734" s="15">
        <f t="shared" si="2"/>
        <v>59.1</v>
      </c>
      <c r="F734" s="16">
        <f t="shared" si="3"/>
        <v>3.476470588</v>
      </c>
      <c r="G734" s="1">
        <v>17.0</v>
      </c>
      <c r="R734" s="1">
        <v>6.0</v>
      </c>
      <c r="S734" s="1">
        <v>49.0</v>
      </c>
      <c r="T734" s="12">
        <v>382.0</v>
      </c>
      <c r="U734" s="1">
        <v>0.0</v>
      </c>
    </row>
    <row r="735">
      <c r="A735" s="1">
        <f t="shared" si="1"/>
        <v>733</v>
      </c>
      <c r="B735" s="1" t="s">
        <v>1713</v>
      </c>
      <c r="C735" s="1" t="s">
        <v>1087</v>
      </c>
      <c r="D735" s="1" t="s">
        <v>28</v>
      </c>
      <c r="E735" s="15">
        <f t="shared" si="2"/>
        <v>59</v>
      </c>
      <c r="F735" s="16">
        <f t="shared" si="3"/>
        <v>1.84375</v>
      </c>
      <c r="G735" s="1">
        <v>32.0</v>
      </c>
      <c r="H735" s="1">
        <v>2.0</v>
      </c>
      <c r="I735" s="1">
        <v>5.0</v>
      </c>
      <c r="J735" s="1">
        <v>7.0</v>
      </c>
      <c r="K735" s="1">
        <v>9.0</v>
      </c>
      <c r="L735" s="1">
        <v>0.0</v>
      </c>
      <c r="M735" s="1">
        <v>0.0</v>
      </c>
      <c r="N735" s="1">
        <v>0.0</v>
      </c>
      <c r="O735" s="1">
        <v>0.0</v>
      </c>
      <c r="P735" s="1">
        <v>90.0</v>
      </c>
      <c r="Q735" s="1">
        <v>16.0</v>
      </c>
    </row>
    <row r="736">
      <c r="A736" s="1">
        <f t="shared" si="1"/>
        <v>734</v>
      </c>
      <c r="B736" s="1" t="s">
        <v>2052</v>
      </c>
      <c r="C736" s="1" t="s">
        <v>1172</v>
      </c>
      <c r="D736" s="1" t="s">
        <v>31</v>
      </c>
      <c r="E736" s="15">
        <f t="shared" si="2"/>
        <v>58.5</v>
      </c>
      <c r="F736" s="16">
        <f t="shared" si="3"/>
        <v>2.166666667</v>
      </c>
      <c r="G736" s="1">
        <v>27.0</v>
      </c>
      <c r="H736" s="1">
        <v>3.0</v>
      </c>
      <c r="I736" s="1">
        <v>0.0</v>
      </c>
      <c r="J736" s="1">
        <v>3.0</v>
      </c>
      <c r="K736" s="1">
        <v>32.0</v>
      </c>
      <c r="L736" s="1">
        <v>0.0</v>
      </c>
      <c r="M736" s="1">
        <v>0.0</v>
      </c>
      <c r="N736" s="1">
        <v>0.0</v>
      </c>
      <c r="O736" s="1">
        <v>0.0</v>
      </c>
      <c r="P736" s="1">
        <v>88.0</v>
      </c>
      <c r="Q736" s="1">
        <v>14.0</v>
      </c>
    </row>
    <row r="737">
      <c r="A737" s="1">
        <f t="shared" si="1"/>
        <v>734</v>
      </c>
      <c r="B737" s="1" t="s">
        <v>2331</v>
      </c>
      <c r="C737" s="1" t="s">
        <v>1116</v>
      </c>
      <c r="D737" s="1" t="s">
        <v>28</v>
      </c>
      <c r="E737" s="15">
        <f t="shared" si="2"/>
        <v>58.5</v>
      </c>
      <c r="F737" s="16">
        <f t="shared" si="3"/>
        <v>1.103773585</v>
      </c>
      <c r="G737" s="1">
        <v>53.0</v>
      </c>
      <c r="H737" s="1">
        <v>2.0</v>
      </c>
      <c r="I737" s="1">
        <v>1.0</v>
      </c>
      <c r="J737" s="1">
        <v>3.0</v>
      </c>
      <c r="K737" s="1">
        <v>43.0</v>
      </c>
      <c r="L737" s="1">
        <v>0.0</v>
      </c>
      <c r="M737" s="1">
        <v>0.0</v>
      </c>
      <c r="N737" s="1">
        <v>0.0</v>
      </c>
      <c r="O737" s="1">
        <v>0.0</v>
      </c>
      <c r="P737" s="1">
        <v>72.0</v>
      </c>
      <c r="Q737" s="1">
        <v>14.0</v>
      </c>
    </row>
    <row r="738">
      <c r="A738" s="1">
        <f t="shared" si="1"/>
        <v>734</v>
      </c>
      <c r="B738" s="1" t="s">
        <v>2174</v>
      </c>
      <c r="C738" s="1" t="s">
        <v>1065</v>
      </c>
      <c r="D738" s="1" t="s">
        <v>36</v>
      </c>
      <c r="E738" s="15">
        <f t="shared" si="2"/>
        <v>58.5</v>
      </c>
      <c r="F738" s="16">
        <f t="shared" si="3"/>
        <v>1.828125</v>
      </c>
      <c r="G738" s="1">
        <v>32.0</v>
      </c>
      <c r="H738" s="1">
        <v>1.0</v>
      </c>
      <c r="I738" s="1">
        <v>5.0</v>
      </c>
      <c r="J738" s="1">
        <v>6.0</v>
      </c>
      <c r="K738" s="1">
        <v>38.0</v>
      </c>
      <c r="L738" s="1">
        <v>0.0</v>
      </c>
      <c r="M738" s="1">
        <v>0.0</v>
      </c>
      <c r="N738" s="1">
        <v>0.0</v>
      </c>
      <c r="O738" s="1">
        <v>0.0</v>
      </c>
      <c r="P738" s="1">
        <v>56.0</v>
      </c>
      <c r="Q738" s="1">
        <v>12.0</v>
      </c>
    </row>
    <row r="739">
      <c r="A739" s="1">
        <f t="shared" si="1"/>
        <v>737</v>
      </c>
      <c r="B739" s="1" t="s">
        <v>2332</v>
      </c>
      <c r="C739" s="1" t="s">
        <v>1065</v>
      </c>
      <c r="D739" s="1" t="s">
        <v>66</v>
      </c>
      <c r="E739" s="15">
        <f t="shared" si="2"/>
        <v>58.25</v>
      </c>
      <c r="F739" s="16">
        <f t="shared" si="3"/>
        <v>1.532894737</v>
      </c>
      <c r="G739" s="1">
        <v>38.0</v>
      </c>
      <c r="H739" s="1">
        <v>1.0</v>
      </c>
      <c r="I739" s="1">
        <v>5.0</v>
      </c>
      <c r="J739" s="1">
        <v>6.0</v>
      </c>
      <c r="K739" s="1">
        <v>28.0</v>
      </c>
      <c r="L739" s="1">
        <v>0.0</v>
      </c>
      <c r="M739" s="1">
        <v>0.0</v>
      </c>
      <c r="N739" s="1">
        <v>0.0</v>
      </c>
      <c r="O739" s="1">
        <v>0.0</v>
      </c>
      <c r="P739" s="1">
        <v>27.0</v>
      </c>
      <c r="Q739" s="1">
        <v>36.0</v>
      </c>
    </row>
    <row r="740">
      <c r="A740" s="1">
        <f t="shared" si="1"/>
        <v>737</v>
      </c>
      <c r="B740" s="1" t="s">
        <v>1383</v>
      </c>
      <c r="C740" s="1" t="s">
        <v>1106</v>
      </c>
      <c r="D740" s="1" t="s">
        <v>36</v>
      </c>
      <c r="E740" s="15">
        <f t="shared" si="2"/>
        <v>58.25</v>
      </c>
      <c r="F740" s="16">
        <f t="shared" si="3"/>
        <v>2.080357143</v>
      </c>
      <c r="G740" s="1">
        <v>28.0</v>
      </c>
      <c r="H740" s="1">
        <v>2.0</v>
      </c>
      <c r="I740" s="1">
        <v>0.0</v>
      </c>
      <c r="J740" s="1">
        <v>2.0</v>
      </c>
      <c r="K740" s="1">
        <v>43.0</v>
      </c>
      <c r="L740" s="1">
        <v>0.0</v>
      </c>
      <c r="M740" s="1">
        <v>0.0</v>
      </c>
      <c r="N740" s="1">
        <v>0.0</v>
      </c>
      <c r="O740" s="1">
        <v>0.0</v>
      </c>
      <c r="P740" s="1">
        <v>69.0</v>
      </c>
      <c r="Q740" s="1">
        <v>21.0</v>
      </c>
    </row>
    <row r="741">
      <c r="A741" s="1">
        <f t="shared" si="1"/>
        <v>739</v>
      </c>
      <c r="B741" s="1" t="s">
        <v>2333</v>
      </c>
      <c r="C741" s="1" t="s">
        <v>1175</v>
      </c>
      <c r="D741" s="1" t="s">
        <v>31</v>
      </c>
      <c r="E741" s="15">
        <f t="shared" si="2"/>
        <v>57</v>
      </c>
      <c r="F741" s="16">
        <f t="shared" si="3"/>
        <v>1.78125</v>
      </c>
      <c r="G741" s="1">
        <v>32.0</v>
      </c>
      <c r="H741" s="1">
        <v>5.0</v>
      </c>
      <c r="I741" s="1">
        <v>3.0</v>
      </c>
      <c r="J741" s="1">
        <v>8.0</v>
      </c>
      <c r="K741" s="1">
        <v>32.0</v>
      </c>
      <c r="L741" s="1">
        <v>0.0</v>
      </c>
      <c r="M741" s="1">
        <v>0.0</v>
      </c>
      <c r="N741" s="1">
        <v>0.0</v>
      </c>
      <c r="O741" s="1">
        <v>0.0</v>
      </c>
      <c r="P741" s="1">
        <v>20.0</v>
      </c>
      <c r="Q741" s="1">
        <v>9.0</v>
      </c>
    </row>
    <row r="742">
      <c r="A742" s="1">
        <f t="shared" si="1"/>
        <v>740</v>
      </c>
      <c r="B742" s="1" t="s">
        <v>2067</v>
      </c>
      <c r="C742" s="1" t="s">
        <v>1570</v>
      </c>
      <c r="D742" s="1" t="s">
        <v>66</v>
      </c>
      <c r="E742" s="15">
        <f t="shared" si="2"/>
        <v>56.75</v>
      </c>
      <c r="F742" s="16">
        <f t="shared" si="3"/>
        <v>1.533783784</v>
      </c>
      <c r="G742" s="1">
        <v>37.0</v>
      </c>
      <c r="H742" s="1">
        <v>0.0</v>
      </c>
      <c r="I742" s="1">
        <v>7.0</v>
      </c>
      <c r="J742" s="1">
        <v>7.0</v>
      </c>
      <c r="K742" s="1">
        <v>27.0</v>
      </c>
      <c r="L742" s="1">
        <v>0.0</v>
      </c>
      <c r="M742" s="1">
        <v>1.0</v>
      </c>
      <c r="N742" s="1">
        <v>0.0</v>
      </c>
      <c r="O742" s="1">
        <v>0.0</v>
      </c>
      <c r="P742" s="1">
        <v>13.0</v>
      </c>
      <c r="Q742" s="1">
        <v>38.0</v>
      </c>
    </row>
    <row r="743">
      <c r="A743" s="1">
        <f t="shared" si="1"/>
        <v>741</v>
      </c>
      <c r="B743" s="1" t="s">
        <v>1473</v>
      </c>
      <c r="C743" s="1" t="s">
        <v>1082</v>
      </c>
      <c r="D743" s="1" t="s">
        <v>36</v>
      </c>
      <c r="E743" s="15">
        <f t="shared" si="2"/>
        <v>56</v>
      </c>
      <c r="F743" s="16">
        <f t="shared" si="3"/>
        <v>1.555555556</v>
      </c>
      <c r="G743" s="1">
        <v>36.0</v>
      </c>
      <c r="H743" s="1">
        <v>3.0</v>
      </c>
      <c r="I743" s="1">
        <v>3.0</v>
      </c>
      <c r="J743" s="1">
        <v>6.0</v>
      </c>
      <c r="K743" s="1">
        <v>45.0</v>
      </c>
      <c r="L743" s="1">
        <v>0.0</v>
      </c>
      <c r="M743" s="1">
        <v>0.0</v>
      </c>
      <c r="N743" s="1">
        <v>0.0</v>
      </c>
      <c r="O743" s="1">
        <v>0.0</v>
      </c>
      <c r="P743" s="1">
        <v>16.0</v>
      </c>
      <c r="Q743" s="1">
        <v>14.0</v>
      </c>
    </row>
    <row r="744">
      <c r="A744" s="1">
        <f t="shared" si="1"/>
        <v>741</v>
      </c>
      <c r="B744" s="1" t="s">
        <v>2334</v>
      </c>
      <c r="C744" s="1" t="s">
        <v>1040</v>
      </c>
      <c r="D744" s="1" t="s">
        <v>31</v>
      </c>
      <c r="E744" s="15">
        <f t="shared" si="2"/>
        <v>56</v>
      </c>
      <c r="F744" s="16">
        <f t="shared" si="3"/>
        <v>1.302325581</v>
      </c>
      <c r="G744" s="1">
        <v>43.0</v>
      </c>
      <c r="H744" s="1">
        <v>2.0</v>
      </c>
      <c r="I744" s="1">
        <v>3.0</v>
      </c>
      <c r="J744" s="1">
        <v>5.0</v>
      </c>
      <c r="K744" s="1">
        <v>25.0</v>
      </c>
      <c r="L744" s="1">
        <v>0.0</v>
      </c>
      <c r="M744" s="1">
        <v>0.0</v>
      </c>
      <c r="N744" s="1">
        <v>0.0</v>
      </c>
      <c r="O744" s="1">
        <v>1.0</v>
      </c>
      <c r="P744" s="1">
        <v>50.0</v>
      </c>
      <c r="Q744" s="1">
        <v>22.0</v>
      </c>
    </row>
    <row r="745">
      <c r="A745" s="1">
        <f t="shared" si="1"/>
        <v>743</v>
      </c>
      <c r="B745" s="1" t="s">
        <v>2178</v>
      </c>
      <c r="C745" s="1" t="s">
        <v>1030</v>
      </c>
      <c r="D745" s="1" t="s">
        <v>66</v>
      </c>
      <c r="E745" s="15">
        <f t="shared" si="2"/>
        <v>55.5</v>
      </c>
      <c r="F745" s="16">
        <f t="shared" si="3"/>
        <v>1.5</v>
      </c>
      <c r="G745" s="1">
        <v>37.0</v>
      </c>
      <c r="H745" s="1">
        <v>0.0</v>
      </c>
      <c r="I745" s="1">
        <v>4.0</v>
      </c>
      <c r="J745" s="1">
        <v>4.0</v>
      </c>
      <c r="K745" s="1">
        <v>26.0</v>
      </c>
      <c r="L745" s="1">
        <v>0.0</v>
      </c>
      <c r="M745" s="1">
        <v>0.0</v>
      </c>
      <c r="N745" s="1">
        <v>0.0</v>
      </c>
      <c r="O745" s="1">
        <v>1.0</v>
      </c>
      <c r="P745" s="1">
        <v>32.0</v>
      </c>
      <c r="Q745" s="1">
        <v>41.0</v>
      </c>
    </row>
    <row r="746">
      <c r="A746" s="1">
        <f t="shared" si="1"/>
        <v>744</v>
      </c>
      <c r="B746" s="1" t="s">
        <v>1410</v>
      </c>
      <c r="C746" s="1" t="s">
        <v>1078</v>
      </c>
      <c r="D746" s="1" t="s">
        <v>31</v>
      </c>
      <c r="E746" s="15">
        <f t="shared" si="2"/>
        <v>55</v>
      </c>
      <c r="F746" s="16">
        <f t="shared" si="3"/>
        <v>2.2</v>
      </c>
      <c r="G746" s="1">
        <v>25.0</v>
      </c>
      <c r="H746" s="1">
        <v>5.0</v>
      </c>
      <c r="I746" s="1">
        <v>2.0</v>
      </c>
      <c r="J746" s="1">
        <v>7.0</v>
      </c>
      <c r="K746" s="1">
        <v>41.0</v>
      </c>
      <c r="L746" s="1">
        <v>2.0</v>
      </c>
      <c r="M746" s="1">
        <v>0.0</v>
      </c>
      <c r="N746" s="1">
        <v>0.0</v>
      </c>
      <c r="O746" s="1">
        <v>0.0</v>
      </c>
      <c r="P746" s="1">
        <v>6.0</v>
      </c>
      <c r="Q746" s="1">
        <v>9.0</v>
      </c>
    </row>
    <row r="747">
      <c r="A747" s="1">
        <f t="shared" si="1"/>
        <v>745</v>
      </c>
      <c r="B747" s="1" t="s">
        <v>1756</v>
      </c>
      <c r="C747" s="1" t="s">
        <v>1046</v>
      </c>
      <c r="D747" s="1" t="s">
        <v>5</v>
      </c>
      <c r="E747" s="15">
        <f t="shared" si="2"/>
        <v>54.6</v>
      </c>
      <c r="F747" s="16">
        <f t="shared" si="3"/>
        <v>9.1</v>
      </c>
      <c r="G747" s="1">
        <v>6.0</v>
      </c>
      <c r="R747" s="1">
        <v>3.0</v>
      </c>
      <c r="S747" s="1">
        <v>11.0</v>
      </c>
      <c r="T747" s="12">
        <v>207.0</v>
      </c>
      <c r="U747" s="1">
        <v>0.0</v>
      </c>
    </row>
    <row r="748">
      <c r="A748" s="1">
        <f t="shared" si="1"/>
        <v>746</v>
      </c>
      <c r="B748" s="1" t="s">
        <v>1603</v>
      </c>
      <c r="C748" s="1" t="s">
        <v>1091</v>
      </c>
      <c r="D748" s="1" t="s">
        <v>28</v>
      </c>
      <c r="E748" s="15">
        <f t="shared" si="2"/>
        <v>54.25</v>
      </c>
      <c r="F748" s="16">
        <f t="shared" si="3"/>
        <v>3.390625</v>
      </c>
      <c r="G748" s="1">
        <v>16.0</v>
      </c>
      <c r="H748" s="1">
        <v>5.0</v>
      </c>
      <c r="I748" s="1">
        <v>4.0</v>
      </c>
      <c r="J748" s="1">
        <v>9.0</v>
      </c>
      <c r="K748" s="1">
        <v>23.0</v>
      </c>
      <c r="L748" s="1">
        <v>1.0</v>
      </c>
      <c r="M748" s="1">
        <v>0.0</v>
      </c>
      <c r="N748" s="1">
        <v>0.0</v>
      </c>
      <c r="O748" s="1">
        <v>0.0</v>
      </c>
      <c r="P748" s="1">
        <v>21.0</v>
      </c>
      <c r="Q748" s="1">
        <v>6.0</v>
      </c>
    </row>
    <row r="749">
      <c r="A749" s="1">
        <f t="shared" si="1"/>
        <v>747</v>
      </c>
      <c r="B749" s="1" t="s">
        <v>1196</v>
      </c>
      <c r="C749" s="1" t="s">
        <v>1085</v>
      </c>
      <c r="D749" s="1" t="s">
        <v>66</v>
      </c>
      <c r="E749" s="15">
        <f t="shared" si="2"/>
        <v>54</v>
      </c>
      <c r="F749" s="16">
        <f t="shared" si="3"/>
        <v>1.588235294</v>
      </c>
      <c r="G749" s="1">
        <v>34.0</v>
      </c>
      <c r="H749" s="1">
        <v>1.0</v>
      </c>
      <c r="I749" s="1">
        <v>3.0</v>
      </c>
      <c r="J749" s="1">
        <v>4.0</v>
      </c>
      <c r="K749" s="1">
        <v>36.0</v>
      </c>
      <c r="L749" s="1">
        <v>0.0</v>
      </c>
      <c r="M749" s="1">
        <v>0.0</v>
      </c>
      <c r="N749" s="1">
        <v>0.0</v>
      </c>
      <c r="O749" s="1">
        <v>0.0</v>
      </c>
      <c r="P749" s="1">
        <v>30.0</v>
      </c>
      <c r="Q749" s="1">
        <v>30.0</v>
      </c>
    </row>
    <row r="750">
      <c r="A750" s="1">
        <f t="shared" si="1"/>
        <v>747</v>
      </c>
      <c r="B750" s="1" t="s">
        <v>1174</v>
      </c>
      <c r="C750" s="1" t="s">
        <v>1076</v>
      </c>
      <c r="D750" s="1" t="s">
        <v>28</v>
      </c>
      <c r="E750" s="15">
        <f t="shared" si="2"/>
        <v>54</v>
      </c>
      <c r="F750" s="16">
        <f t="shared" si="3"/>
        <v>3.857142857</v>
      </c>
      <c r="G750" s="1">
        <v>14.0</v>
      </c>
      <c r="H750" s="1">
        <v>3.0</v>
      </c>
      <c r="I750" s="1">
        <v>5.0</v>
      </c>
      <c r="J750" s="1">
        <v>8.0</v>
      </c>
      <c r="K750" s="1">
        <v>36.0</v>
      </c>
      <c r="L750" s="1">
        <v>0.0</v>
      </c>
      <c r="M750" s="1">
        <v>0.0</v>
      </c>
      <c r="N750" s="1">
        <v>0.0</v>
      </c>
      <c r="O750" s="1">
        <v>0.0</v>
      </c>
      <c r="P750" s="1">
        <v>16.0</v>
      </c>
      <c r="Q750" s="1">
        <v>7.0</v>
      </c>
    </row>
    <row r="751">
      <c r="A751" s="1">
        <f t="shared" si="1"/>
        <v>749</v>
      </c>
      <c r="B751" s="1" t="s">
        <v>1434</v>
      </c>
      <c r="C751" s="1" t="s">
        <v>1111</v>
      </c>
      <c r="D751" s="1" t="s">
        <v>31</v>
      </c>
      <c r="E751" s="15">
        <f t="shared" si="2"/>
        <v>53.25</v>
      </c>
      <c r="F751" s="16">
        <f t="shared" si="3"/>
        <v>2.535714286</v>
      </c>
      <c r="G751" s="1">
        <v>21.0</v>
      </c>
      <c r="H751" s="1">
        <v>4.0</v>
      </c>
      <c r="I751" s="1">
        <v>2.0</v>
      </c>
      <c r="J751" s="1">
        <v>6.0</v>
      </c>
      <c r="K751" s="1">
        <v>36.0</v>
      </c>
      <c r="L751" s="1">
        <v>0.0</v>
      </c>
      <c r="M751" s="1">
        <v>0.0</v>
      </c>
      <c r="N751" s="1">
        <v>0.0</v>
      </c>
      <c r="O751" s="1">
        <v>0.0</v>
      </c>
      <c r="P751" s="1">
        <v>31.0</v>
      </c>
      <c r="Q751" s="1">
        <v>7.0</v>
      </c>
    </row>
    <row r="752">
      <c r="A752" s="1">
        <f t="shared" si="1"/>
        <v>749</v>
      </c>
      <c r="B752" s="1" t="s">
        <v>1433</v>
      </c>
      <c r="C752" s="1" t="s">
        <v>1172</v>
      </c>
      <c r="D752" s="1" t="s">
        <v>31</v>
      </c>
      <c r="E752" s="15">
        <f t="shared" si="2"/>
        <v>53.25</v>
      </c>
      <c r="F752" s="16">
        <f t="shared" si="3"/>
        <v>2.048076923</v>
      </c>
      <c r="G752" s="1">
        <v>26.0</v>
      </c>
      <c r="H752" s="1">
        <v>3.0</v>
      </c>
      <c r="I752" s="1">
        <v>4.0</v>
      </c>
      <c r="J752" s="1">
        <v>7.0</v>
      </c>
      <c r="K752" s="1">
        <v>30.0</v>
      </c>
      <c r="L752" s="1">
        <v>0.0</v>
      </c>
      <c r="M752" s="1">
        <v>2.0</v>
      </c>
      <c r="N752" s="1">
        <v>0.0</v>
      </c>
      <c r="O752" s="1">
        <v>0.0</v>
      </c>
      <c r="P752" s="1">
        <v>37.0</v>
      </c>
      <c r="Q752" s="1">
        <v>7.0</v>
      </c>
    </row>
    <row r="753">
      <c r="A753" s="1">
        <f t="shared" si="1"/>
        <v>751</v>
      </c>
      <c r="B753" s="1" t="s">
        <v>2335</v>
      </c>
      <c r="C753" s="1" t="s">
        <v>1120</v>
      </c>
      <c r="D753" s="1" t="s">
        <v>31</v>
      </c>
      <c r="E753" s="15">
        <f t="shared" si="2"/>
        <v>52.5</v>
      </c>
      <c r="F753" s="16">
        <f t="shared" si="3"/>
        <v>2.019230769</v>
      </c>
      <c r="G753" s="1">
        <v>26.0</v>
      </c>
      <c r="H753" s="1">
        <v>4.0</v>
      </c>
      <c r="I753" s="1">
        <v>2.0</v>
      </c>
      <c r="J753" s="1">
        <v>6.0</v>
      </c>
      <c r="K753" s="1">
        <v>15.0</v>
      </c>
      <c r="L753" s="1">
        <v>0.0</v>
      </c>
      <c r="M753" s="1">
        <v>0.0</v>
      </c>
      <c r="N753" s="1">
        <v>0.0</v>
      </c>
      <c r="O753" s="1">
        <v>1.0</v>
      </c>
      <c r="P753" s="1">
        <v>36.0</v>
      </c>
      <c r="Q753" s="1">
        <v>20.0</v>
      </c>
    </row>
    <row r="754">
      <c r="A754" s="1">
        <f t="shared" si="1"/>
        <v>752</v>
      </c>
      <c r="B754" s="1" t="s">
        <v>1615</v>
      </c>
      <c r="C754" s="1" t="s">
        <v>1065</v>
      </c>
      <c r="D754" s="1" t="s">
        <v>66</v>
      </c>
      <c r="E754" s="15">
        <f t="shared" si="2"/>
        <v>52.25</v>
      </c>
      <c r="F754" s="16">
        <f t="shared" si="3"/>
        <v>1.801724138</v>
      </c>
      <c r="G754" s="1">
        <v>29.0</v>
      </c>
      <c r="H754" s="1">
        <v>0.0</v>
      </c>
      <c r="I754" s="1">
        <v>6.0</v>
      </c>
      <c r="J754" s="1">
        <v>6.0</v>
      </c>
      <c r="K754" s="1">
        <v>27.0</v>
      </c>
      <c r="L754" s="1">
        <v>0.0</v>
      </c>
      <c r="M754" s="1">
        <v>1.0</v>
      </c>
      <c r="N754" s="1">
        <v>0.0</v>
      </c>
      <c r="O754" s="1">
        <v>0.0</v>
      </c>
      <c r="P754" s="1">
        <v>27.0</v>
      </c>
      <c r="Q754" s="1">
        <v>28.0</v>
      </c>
    </row>
    <row r="755">
      <c r="A755" s="1">
        <f t="shared" si="1"/>
        <v>753</v>
      </c>
      <c r="B755" s="1" t="s">
        <v>1726</v>
      </c>
      <c r="C755" s="1" t="s">
        <v>1175</v>
      </c>
      <c r="D755" s="1" t="s">
        <v>36</v>
      </c>
      <c r="E755" s="15">
        <f t="shared" si="2"/>
        <v>52</v>
      </c>
      <c r="F755" s="16">
        <f t="shared" si="3"/>
        <v>2.476190476</v>
      </c>
      <c r="G755" s="1">
        <v>21.0</v>
      </c>
      <c r="H755" s="1">
        <v>3.0</v>
      </c>
      <c r="I755" s="1">
        <v>3.0</v>
      </c>
      <c r="J755" s="1">
        <v>6.0</v>
      </c>
      <c r="K755" s="1">
        <v>36.0</v>
      </c>
      <c r="L755" s="1">
        <v>2.0</v>
      </c>
      <c r="M755" s="1">
        <v>2.0</v>
      </c>
      <c r="N755" s="1">
        <v>0.0</v>
      </c>
      <c r="O755" s="1">
        <v>0.0</v>
      </c>
      <c r="P755" s="1">
        <v>28.0</v>
      </c>
      <c r="Q755" s="1">
        <v>9.0</v>
      </c>
    </row>
    <row r="756">
      <c r="A756" s="1">
        <f t="shared" si="1"/>
        <v>753</v>
      </c>
      <c r="B756" s="1" t="s">
        <v>2064</v>
      </c>
      <c r="C756" s="1" t="s">
        <v>1146</v>
      </c>
      <c r="D756" s="1" t="s">
        <v>36</v>
      </c>
      <c r="E756" s="15">
        <f t="shared" si="2"/>
        <v>52</v>
      </c>
      <c r="F756" s="16">
        <f t="shared" si="3"/>
        <v>2.260869565</v>
      </c>
      <c r="G756" s="1">
        <v>23.0</v>
      </c>
      <c r="H756" s="1">
        <v>2.0</v>
      </c>
      <c r="I756" s="1">
        <v>6.0</v>
      </c>
      <c r="J756" s="1">
        <v>8.0</v>
      </c>
      <c r="K756" s="1">
        <v>31.0</v>
      </c>
      <c r="L756" s="1">
        <v>0.0</v>
      </c>
      <c r="M756" s="1">
        <v>0.0</v>
      </c>
      <c r="N756" s="1">
        <v>0.0</v>
      </c>
      <c r="O756" s="1">
        <v>0.0</v>
      </c>
      <c r="P756" s="1">
        <v>18.0</v>
      </c>
      <c r="Q756" s="1">
        <v>10.0</v>
      </c>
    </row>
    <row r="757">
      <c r="A757" s="1">
        <f t="shared" si="1"/>
        <v>755</v>
      </c>
      <c r="B757" s="1" t="s">
        <v>2336</v>
      </c>
      <c r="C757" s="1" t="s">
        <v>1175</v>
      </c>
      <c r="D757" s="1" t="s">
        <v>66</v>
      </c>
      <c r="E757" s="15">
        <f t="shared" si="2"/>
        <v>51.5</v>
      </c>
      <c r="F757" s="16">
        <f t="shared" si="3"/>
        <v>1.320512821</v>
      </c>
      <c r="G757" s="1">
        <v>39.0</v>
      </c>
      <c r="H757" s="1">
        <v>1.0</v>
      </c>
      <c r="I757" s="1">
        <v>5.0</v>
      </c>
      <c r="J757" s="1">
        <v>6.0</v>
      </c>
      <c r="K757" s="1">
        <v>36.0</v>
      </c>
      <c r="L757" s="1">
        <v>0.0</v>
      </c>
      <c r="M757" s="1">
        <v>2.0</v>
      </c>
      <c r="N757" s="1">
        <v>0.0</v>
      </c>
      <c r="O757" s="1">
        <v>0.0</v>
      </c>
      <c r="P757" s="1">
        <v>12.0</v>
      </c>
      <c r="Q757" s="1">
        <v>22.0</v>
      </c>
    </row>
    <row r="758">
      <c r="A758" s="1">
        <f t="shared" si="1"/>
        <v>755</v>
      </c>
      <c r="B758" s="1" t="s">
        <v>1752</v>
      </c>
      <c r="C758" s="1" t="s">
        <v>1097</v>
      </c>
      <c r="D758" s="1" t="s">
        <v>66</v>
      </c>
      <c r="E758" s="15">
        <f t="shared" si="2"/>
        <v>51.5</v>
      </c>
      <c r="F758" s="16">
        <f t="shared" si="3"/>
        <v>1.560606061</v>
      </c>
      <c r="G758" s="1">
        <v>33.0</v>
      </c>
      <c r="H758" s="1">
        <v>0.0</v>
      </c>
      <c r="I758" s="1">
        <v>5.0</v>
      </c>
      <c r="J758" s="1">
        <v>5.0</v>
      </c>
      <c r="K758" s="1">
        <v>33.0</v>
      </c>
      <c r="L758" s="1">
        <v>0.0</v>
      </c>
      <c r="M758" s="1">
        <v>0.0</v>
      </c>
      <c r="N758" s="1">
        <v>0.0</v>
      </c>
      <c r="O758" s="1">
        <v>0.0</v>
      </c>
      <c r="P758" s="1">
        <v>40.0</v>
      </c>
      <c r="Q758" s="1">
        <v>20.0</v>
      </c>
    </row>
    <row r="759">
      <c r="A759" s="1">
        <f t="shared" si="1"/>
        <v>757</v>
      </c>
      <c r="B759" s="1" t="s">
        <v>2337</v>
      </c>
      <c r="C759" s="1" t="s">
        <v>1570</v>
      </c>
      <c r="D759" s="1" t="s">
        <v>28</v>
      </c>
      <c r="E759" s="15">
        <f t="shared" si="2"/>
        <v>51.25</v>
      </c>
      <c r="F759" s="16">
        <f t="shared" si="3"/>
        <v>2.135416667</v>
      </c>
      <c r="G759" s="1">
        <v>24.0</v>
      </c>
      <c r="H759" s="1">
        <v>2.0</v>
      </c>
      <c r="I759" s="1">
        <v>5.0</v>
      </c>
      <c r="J759" s="1">
        <v>7.0</v>
      </c>
      <c r="K759" s="1">
        <v>33.0</v>
      </c>
      <c r="L759" s="1">
        <v>0.0</v>
      </c>
      <c r="M759" s="1">
        <v>0.0</v>
      </c>
      <c r="N759" s="1">
        <v>0.0</v>
      </c>
      <c r="O759" s="1">
        <v>0.0</v>
      </c>
      <c r="P759" s="1">
        <v>23.0</v>
      </c>
      <c r="Q759" s="1">
        <v>10.0</v>
      </c>
    </row>
    <row r="760">
      <c r="A760" s="1">
        <f t="shared" si="1"/>
        <v>758</v>
      </c>
      <c r="B760" s="1" t="s">
        <v>1499</v>
      </c>
      <c r="C760" s="1" t="s">
        <v>1116</v>
      </c>
      <c r="D760" s="1" t="s">
        <v>28</v>
      </c>
      <c r="E760" s="15">
        <f t="shared" si="2"/>
        <v>50.75</v>
      </c>
      <c r="F760" s="16">
        <f t="shared" si="3"/>
        <v>1.87962963</v>
      </c>
      <c r="G760" s="1">
        <v>27.0</v>
      </c>
      <c r="H760" s="1">
        <v>2.0</v>
      </c>
      <c r="I760" s="1">
        <v>3.0</v>
      </c>
      <c r="J760" s="1">
        <v>5.0</v>
      </c>
      <c r="K760" s="1">
        <v>33.0</v>
      </c>
      <c r="L760" s="1">
        <v>0.0</v>
      </c>
      <c r="M760" s="1">
        <v>0.0</v>
      </c>
      <c r="N760" s="1">
        <v>0.0</v>
      </c>
      <c r="O760" s="1">
        <v>0.0</v>
      </c>
      <c r="P760" s="1">
        <v>49.0</v>
      </c>
      <c r="Q760" s="1">
        <v>8.0</v>
      </c>
    </row>
    <row r="761">
      <c r="A761" s="1">
        <f t="shared" si="1"/>
        <v>759</v>
      </c>
      <c r="B761" s="1" t="s">
        <v>1907</v>
      </c>
      <c r="C761" s="1" t="s">
        <v>1111</v>
      </c>
      <c r="D761" s="1" t="s">
        <v>66</v>
      </c>
      <c r="E761" s="15">
        <f t="shared" si="2"/>
        <v>50.25</v>
      </c>
      <c r="F761" s="16">
        <f t="shared" si="3"/>
        <v>1.5703125</v>
      </c>
      <c r="G761" s="1">
        <v>32.0</v>
      </c>
      <c r="H761" s="1">
        <v>1.0</v>
      </c>
      <c r="I761" s="1">
        <v>2.0</v>
      </c>
      <c r="J761" s="1">
        <v>3.0</v>
      </c>
      <c r="K761" s="1">
        <v>24.0</v>
      </c>
      <c r="L761" s="1">
        <v>0.0</v>
      </c>
      <c r="M761" s="1">
        <v>0.0</v>
      </c>
      <c r="N761" s="1">
        <v>0.0</v>
      </c>
      <c r="O761" s="1">
        <v>0.0</v>
      </c>
      <c r="P761" s="1">
        <v>39.0</v>
      </c>
      <c r="Q761" s="1">
        <v>36.0</v>
      </c>
    </row>
    <row r="762">
      <c r="A762" s="1">
        <f t="shared" si="1"/>
        <v>760</v>
      </c>
      <c r="B762" s="1" t="s">
        <v>2059</v>
      </c>
      <c r="C762" s="1" t="s">
        <v>1034</v>
      </c>
      <c r="D762" s="1" t="s">
        <v>31</v>
      </c>
      <c r="E762" s="15">
        <f t="shared" si="2"/>
        <v>50</v>
      </c>
      <c r="F762" s="16">
        <f t="shared" si="3"/>
        <v>1.020408163</v>
      </c>
      <c r="G762" s="1">
        <v>49.0</v>
      </c>
      <c r="H762" s="1">
        <v>0.0</v>
      </c>
      <c r="I762" s="1">
        <v>4.0</v>
      </c>
      <c r="J762" s="1">
        <v>4.0</v>
      </c>
      <c r="K762" s="1">
        <v>36.0</v>
      </c>
      <c r="L762" s="1">
        <v>0.0</v>
      </c>
      <c r="M762" s="1">
        <v>0.0</v>
      </c>
      <c r="N762" s="1">
        <v>0.0</v>
      </c>
      <c r="O762" s="1">
        <v>0.0</v>
      </c>
      <c r="P762" s="1">
        <v>46.0</v>
      </c>
      <c r="Q762" s="1">
        <v>17.0</v>
      </c>
    </row>
    <row r="763">
      <c r="A763" s="1">
        <f t="shared" si="1"/>
        <v>761</v>
      </c>
      <c r="B763" s="1" t="s">
        <v>2042</v>
      </c>
      <c r="C763" s="1" t="s">
        <v>1085</v>
      </c>
      <c r="D763" s="1" t="s">
        <v>36</v>
      </c>
      <c r="E763" s="15">
        <f t="shared" si="2"/>
        <v>49.75</v>
      </c>
      <c r="F763" s="16">
        <f t="shared" si="3"/>
        <v>1.507575758</v>
      </c>
      <c r="G763" s="1">
        <v>33.0</v>
      </c>
      <c r="H763" s="1">
        <v>2.0</v>
      </c>
      <c r="I763" s="1">
        <v>2.0</v>
      </c>
      <c r="J763" s="1">
        <v>4.0</v>
      </c>
      <c r="K763" s="1">
        <v>42.0</v>
      </c>
      <c r="L763" s="1">
        <v>0.0</v>
      </c>
      <c r="M763" s="1">
        <v>0.0</v>
      </c>
      <c r="N763" s="1">
        <v>0.0</v>
      </c>
      <c r="O763" s="1">
        <v>0.0</v>
      </c>
      <c r="P763" s="1">
        <v>25.0</v>
      </c>
      <c r="Q763" s="1">
        <v>15.0</v>
      </c>
    </row>
    <row r="764">
      <c r="A764" s="1">
        <f t="shared" si="1"/>
        <v>762</v>
      </c>
      <c r="B764" s="1" t="s">
        <v>1841</v>
      </c>
      <c r="C764" s="1" t="s">
        <v>1052</v>
      </c>
      <c r="D764" s="1" t="s">
        <v>66</v>
      </c>
      <c r="E764" s="15">
        <f t="shared" si="2"/>
        <v>49.25</v>
      </c>
      <c r="F764" s="16">
        <f t="shared" si="3"/>
        <v>1.894230769</v>
      </c>
      <c r="G764" s="1">
        <v>26.0</v>
      </c>
      <c r="H764" s="1">
        <v>1.0</v>
      </c>
      <c r="I764" s="1">
        <v>4.0</v>
      </c>
      <c r="J764" s="1">
        <v>5.0</v>
      </c>
      <c r="K764" s="1">
        <v>27.0</v>
      </c>
      <c r="L764" s="1">
        <v>0.0</v>
      </c>
      <c r="M764" s="1">
        <v>0.0</v>
      </c>
      <c r="N764" s="1">
        <v>0.0</v>
      </c>
      <c r="O764" s="1">
        <v>0.0</v>
      </c>
      <c r="P764" s="1">
        <v>27.0</v>
      </c>
      <c r="Q764" s="1">
        <v>25.0</v>
      </c>
    </row>
    <row r="765">
      <c r="A765" s="1">
        <f t="shared" si="1"/>
        <v>763</v>
      </c>
      <c r="B765" s="1" t="s">
        <v>2338</v>
      </c>
      <c r="C765" s="1" t="s">
        <v>1080</v>
      </c>
      <c r="D765" s="1" t="s">
        <v>31</v>
      </c>
      <c r="E765" s="15">
        <f t="shared" si="2"/>
        <v>49</v>
      </c>
      <c r="F765" s="16">
        <f t="shared" si="3"/>
        <v>1.96</v>
      </c>
      <c r="G765" s="1">
        <v>25.0</v>
      </c>
      <c r="H765" s="1">
        <v>2.0</v>
      </c>
      <c r="I765" s="1">
        <v>5.0</v>
      </c>
      <c r="J765" s="1">
        <v>7.0</v>
      </c>
      <c r="K765" s="1">
        <v>34.0</v>
      </c>
      <c r="L765" s="1">
        <v>0.0</v>
      </c>
      <c r="M765" s="1">
        <v>1.0</v>
      </c>
      <c r="N765" s="1">
        <v>0.0</v>
      </c>
      <c r="O765" s="1">
        <v>0.0</v>
      </c>
      <c r="P765" s="1">
        <v>26.0</v>
      </c>
      <c r="Q765" s="1">
        <v>3.0</v>
      </c>
    </row>
    <row r="766">
      <c r="A766" s="1">
        <f t="shared" si="1"/>
        <v>764</v>
      </c>
      <c r="B766" s="1" t="s">
        <v>1966</v>
      </c>
      <c r="C766" s="1" t="s">
        <v>1042</v>
      </c>
      <c r="D766" s="1" t="s">
        <v>66</v>
      </c>
      <c r="E766" s="15">
        <f t="shared" si="2"/>
        <v>48.5</v>
      </c>
      <c r="F766" s="16">
        <f t="shared" si="3"/>
        <v>1.796296296</v>
      </c>
      <c r="G766" s="1">
        <v>27.0</v>
      </c>
      <c r="H766" s="1">
        <v>1.0</v>
      </c>
      <c r="I766" s="1">
        <v>3.0</v>
      </c>
      <c r="J766" s="1">
        <v>4.0</v>
      </c>
      <c r="K766" s="1">
        <v>28.0</v>
      </c>
      <c r="L766" s="1">
        <v>0.0</v>
      </c>
      <c r="M766" s="1">
        <v>0.0</v>
      </c>
      <c r="N766" s="1">
        <v>0.0</v>
      </c>
      <c r="O766" s="1">
        <v>0.0</v>
      </c>
      <c r="P766" s="1">
        <v>50.0</v>
      </c>
      <c r="Q766" s="1">
        <v>17.0</v>
      </c>
    </row>
    <row r="767">
      <c r="A767" s="1">
        <f t="shared" si="1"/>
        <v>765</v>
      </c>
      <c r="B767" s="1" t="s">
        <v>2105</v>
      </c>
      <c r="C767" s="1" t="s">
        <v>1069</v>
      </c>
      <c r="D767" s="1" t="s">
        <v>66</v>
      </c>
      <c r="E767" s="15">
        <f t="shared" si="2"/>
        <v>48</v>
      </c>
      <c r="F767" s="16">
        <f t="shared" si="3"/>
        <v>4.363636364</v>
      </c>
      <c r="G767" s="1">
        <v>11.0</v>
      </c>
      <c r="H767" s="1">
        <v>2.0</v>
      </c>
      <c r="I767" s="1">
        <v>4.0</v>
      </c>
      <c r="J767" s="1">
        <v>6.0</v>
      </c>
      <c r="K767" s="1">
        <v>24.0</v>
      </c>
      <c r="L767" s="1">
        <v>1.0</v>
      </c>
      <c r="M767" s="1">
        <v>1.0</v>
      </c>
      <c r="N767" s="1">
        <v>0.0</v>
      </c>
      <c r="O767" s="1">
        <v>0.0</v>
      </c>
      <c r="P767" s="1">
        <v>26.0</v>
      </c>
      <c r="Q767" s="1">
        <v>17.0</v>
      </c>
    </row>
    <row r="768">
      <c r="A768" s="1">
        <f t="shared" si="1"/>
        <v>766</v>
      </c>
      <c r="B768" s="1" t="s">
        <v>1238</v>
      </c>
      <c r="C768" s="1" t="s">
        <v>1067</v>
      </c>
      <c r="D768" s="1" t="s">
        <v>5</v>
      </c>
      <c r="E768" s="15">
        <f t="shared" si="2"/>
        <v>47.7</v>
      </c>
      <c r="F768" s="16">
        <f t="shared" si="3"/>
        <v>5.3</v>
      </c>
      <c r="G768" s="1">
        <v>9.0</v>
      </c>
      <c r="R768" s="1">
        <v>2.0</v>
      </c>
      <c r="S768" s="1">
        <v>23.0</v>
      </c>
      <c r="T768" s="12">
        <v>254.0</v>
      </c>
      <c r="U768" s="1">
        <v>0.0</v>
      </c>
    </row>
    <row r="769">
      <c r="A769" s="1">
        <f t="shared" si="1"/>
        <v>767</v>
      </c>
      <c r="B769" s="1" t="s">
        <v>2107</v>
      </c>
      <c r="C769" s="1" t="s">
        <v>1082</v>
      </c>
      <c r="D769" s="1" t="s">
        <v>66</v>
      </c>
      <c r="E769" s="15">
        <f t="shared" si="2"/>
        <v>47.5</v>
      </c>
      <c r="F769" s="16">
        <f t="shared" si="3"/>
        <v>2.794117647</v>
      </c>
      <c r="G769" s="1">
        <v>17.0</v>
      </c>
      <c r="H769" s="1">
        <v>1.0</v>
      </c>
      <c r="I769" s="1">
        <v>3.0</v>
      </c>
      <c r="J769" s="1">
        <v>4.0</v>
      </c>
      <c r="K769" s="1">
        <v>29.0</v>
      </c>
      <c r="L769" s="1">
        <v>0.0</v>
      </c>
      <c r="M769" s="1">
        <v>0.0</v>
      </c>
      <c r="N769" s="1">
        <v>0.0</v>
      </c>
      <c r="O769" s="1">
        <v>0.0</v>
      </c>
      <c r="P769" s="1">
        <v>36.0</v>
      </c>
      <c r="Q769" s="1">
        <v>21.0</v>
      </c>
    </row>
    <row r="770">
      <c r="A770" s="1">
        <f t="shared" si="1"/>
        <v>768</v>
      </c>
      <c r="B770" s="1" t="s">
        <v>2339</v>
      </c>
      <c r="C770" s="1" t="s">
        <v>1175</v>
      </c>
      <c r="D770" s="1" t="s">
        <v>31</v>
      </c>
      <c r="E770" s="15">
        <f t="shared" si="2"/>
        <v>46.5</v>
      </c>
      <c r="F770" s="16">
        <f t="shared" si="3"/>
        <v>2.447368421</v>
      </c>
      <c r="G770" s="1">
        <v>19.0</v>
      </c>
      <c r="H770" s="1">
        <v>0.0</v>
      </c>
      <c r="I770" s="1">
        <v>8.0</v>
      </c>
      <c r="J770" s="1">
        <v>8.0</v>
      </c>
      <c r="K770" s="1">
        <v>31.0</v>
      </c>
      <c r="L770" s="1">
        <v>0.0</v>
      </c>
      <c r="M770" s="1">
        <v>0.0</v>
      </c>
      <c r="N770" s="1">
        <v>0.0</v>
      </c>
      <c r="O770" s="1">
        <v>0.0</v>
      </c>
      <c r="P770" s="1">
        <v>20.0</v>
      </c>
      <c r="Q770" s="1">
        <v>4.0</v>
      </c>
    </row>
    <row r="771">
      <c r="A771" s="1">
        <f t="shared" si="1"/>
        <v>769</v>
      </c>
      <c r="B771" s="1" t="s">
        <v>1321</v>
      </c>
      <c r="C771" s="1" t="s">
        <v>1052</v>
      </c>
      <c r="D771" s="1" t="s">
        <v>31</v>
      </c>
      <c r="E771" s="15">
        <f t="shared" si="2"/>
        <v>46</v>
      </c>
      <c r="F771" s="16">
        <f t="shared" si="3"/>
        <v>2.090909091</v>
      </c>
      <c r="G771" s="1">
        <v>22.0</v>
      </c>
      <c r="H771" s="1">
        <v>3.0</v>
      </c>
      <c r="I771" s="1">
        <v>2.0</v>
      </c>
      <c r="J771" s="1">
        <v>5.0</v>
      </c>
      <c r="K771" s="1">
        <v>40.0</v>
      </c>
      <c r="L771" s="1">
        <v>0.0</v>
      </c>
      <c r="M771" s="1">
        <v>0.0</v>
      </c>
      <c r="N771" s="1">
        <v>0.0</v>
      </c>
      <c r="O771" s="1">
        <v>0.0</v>
      </c>
      <c r="P771" s="1">
        <v>12.0</v>
      </c>
      <c r="Q771" s="1">
        <v>7.0</v>
      </c>
    </row>
    <row r="772">
      <c r="A772" s="1">
        <f t="shared" si="1"/>
        <v>770</v>
      </c>
      <c r="B772" s="1" t="s">
        <v>1817</v>
      </c>
      <c r="C772" s="1" t="s">
        <v>1038</v>
      </c>
      <c r="D772" s="1" t="s">
        <v>31</v>
      </c>
      <c r="E772" s="15">
        <f t="shared" si="2"/>
        <v>45.5</v>
      </c>
      <c r="F772" s="16">
        <f t="shared" si="3"/>
        <v>2.275</v>
      </c>
      <c r="G772" s="1">
        <v>20.0</v>
      </c>
      <c r="H772" s="1">
        <v>2.0</v>
      </c>
      <c r="I772" s="1">
        <v>4.0</v>
      </c>
      <c r="J772" s="1">
        <v>6.0</v>
      </c>
      <c r="K772" s="1">
        <v>25.0</v>
      </c>
      <c r="L772" s="1">
        <v>0.0</v>
      </c>
      <c r="M772" s="1">
        <v>0.0</v>
      </c>
      <c r="N772" s="1">
        <v>0.0</v>
      </c>
      <c r="O772" s="1">
        <v>0.0</v>
      </c>
      <c r="P772" s="1">
        <v>32.0</v>
      </c>
      <c r="Q772" s="1">
        <v>8.0</v>
      </c>
    </row>
    <row r="773">
      <c r="A773" s="1">
        <f t="shared" si="1"/>
        <v>771</v>
      </c>
      <c r="B773" s="1" t="s">
        <v>2155</v>
      </c>
      <c r="C773" s="1" t="s">
        <v>1042</v>
      </c>
      <c r="D773" s="1" t="s">
        <v>36</v>
      </c>
      <c r="E773" s="15">
        <f t="shared" si="2"/>
        <v>44.75</v>
      </c>
      <c r="F773" s="16">
        <f t="shared" si="3"/>
        <v>1.945652174</v>
      </c>
      <c r="G773" s="1">
        <v>23.0</v>
      </c>
      <c r="H773" s="1">
        <v>3.0</v>
      </c>
      <c r="I773" s="1">
        <v>3.0</v>
      </c>
      <c r="J773" s="1">
        <v>6.0</v>
      </c>
      <c r="K773" s="1">
        <v>26.0</v>
      </c>
      <c r="L773" s="1">
        <v>0.0</v>
      </c>
      <c r="M773" s="1">
        <v>0.0</v>
      </c>
      <c r="N773" s="1">
        <v>0.0</v>
      </c>
      <c r="O773" s="1">
        <v>0.0</v>
      </c>
      <c r="P773" s="1">
        <v>29.0</v>
      </c>
      <c r="Q773" s="1">
        <v>4.0</v>
      </c>
    </row>
    <row r="774">
      <c r="A774" s="1">
        <f t="shared" si="1"/>
        <v>771</v>
      </c>
      <c r="B774" s="1" t="s">
        <v>1867</v>
      </c>
      <c r="C774" s="1" t="s">
        <v>1080</v>
      </c>
      <c r="D774" s="1" t="s">
        <v>36</v>
      </c>
      <c r="E774" s="15">
        <f t="shared" si="2"/>
        <v>44.75</v>
      </c>
      <c r="F774" s="16">
        <f t="shared" si="3"/>
        <v>1.491666667</v>
      </c>
      <c r="G774" s="1">
        <v>30.0</v>
      </c>
      <c r="H774" s="1">
        <v>2.0</v>
      </c>
      <c r="I774" s="1">
        <v>4.0</v>
      </c>
      <c r="J774" s="1">
        <v>6.0</v>
      </c>
      <c r="K774" s="1">
        <v>30.0</v>
      </c>
      <c r="L774" s="1">
        <v>0.0</v>
      </c>
      <c r="M774" s="1">
        <v>0.0</v>
      </c>
      <c r="N774" s="1">
        <v>0.0</v>
      </c>
      <c r="O774" s="1">
        <v>0.0</v>
      </c>
      <c r="P774" s="1">
        <v>13.0</v>
      </c>
      <c r="Q774" s="1">
        <v>11.0</v>
      </c>
    </row>
    <row r="775">
      <c r="A775" s="1">
        <f t="shared" si="1"/>
        <v>773</v>
      </c>
      <c r="B775" s="1" t="s">
        <v>2340</v>
      </c>
      <c r="C775" s="1" t="s">
        <v>1076</v>
      </c>
      <c r="D775" s="1" t="s">
        <v>5</v>
      </c>
      <c r="E775" s="15">
        <f t="shared" si="2"/>
        <v>44.4</v>
      </c>
      <c r="F775" s="16">
        <f t="shared" si="3"/>
        <v>4.44</v>
      </c>
      <c r="G775" s="1">
        <v>10.0</v>
      </c>
      <c r="R775" s="1">
        <v>4.0</v>
      </c>
      <c r="S775" s="1">
        <v>26.0</v>
      </c>
      <c r="T775" s="12">
        <v>238.0</v>
      </c>
      <c r="U775" s="1">
        <v>0.0</v>
      </c>
    </row>
    <row r="776">
      <c r="A776" s="1">
        <f t="shared" si="1"/>
        <v>774</v>
      </c>
      <c r="B776" s="1" t="s">
        <v>1358</v>
      </c>
      <c r="C776" s="1" t="s">
        <v>1146</v>
      </c>
      <c r="D776" s="1" t="s">
        <v>31</v>
      </c>
      <c r="E776" s="15">
        <f t="shared" si="2"/>
        <v>44.25</v>
      </c>
      <c r="F776" s="16">
        <f t="shared" si="3"/>
        <v>4.425</v>
      </c>
      <c r="G776" s="1">
        <v>10.0</v>
      </c>
      <c r="H776" s="1">
        <v>3.0</v>
      </c>
      <c r="I776" s="1">
        <v>6.0</v>
      </c>
      <c r="J776" s="1">
        <v>9.0</v>
      </c>
      <c r="K776" s="1">
        <v>18.0</v>
      </c>
      <c r="L776" s="1">
        <v>2.0</v>
      </c>
      <c r="M776" s="1">
        <v>2.0</v>
      </c>
      <c r="N776" s="1">
        <v>0.0</v>
      </c>
      <c r="O776" s="1">
        <v>0.0</v>
      </c>
      <c r="P776" s="1">
        <v>7.0</v>
      </c>
      <c r="Q776" s="1">
        <v>4.0</v>
      </c>
    </row>
    <row r="777">
      <c r="A777" s="1">
        <f t="shared" si="1"/>
        <v>774</v>
      </c>
      <c r="B777" s="1" t="s">
        <v>2341</v>
      </c>
      <c r="C777" s="1" t="s">
        <v>1091</v>
      </c>
      <c r="D777" s="1" t="s">
        <v>31</v>
      </c>
      <c r="E777" s="15">
        <f t="shared" si="2"/>
        <v>44.25</v>
      </c>
      <c r="F777" s="16">
        <f t="shared" si="3"/>
        <v>1.340909091</v>
      </c>
      <c r="G777" s="1">
        <v>33.0</v>
      </c>
      <c r="H777" s="1">
        <v>1.0</v>
      </c>
      <c r="I777" s="1">
        <v>2.0</v>
      </c>
      <c r="J777" s="1">
        <v>3.0</v>
      </c>
      <c r="K777" s="1">
        <v>23.0</v>
      </c>
      <c r="L777" s="1">
        <v>0.0</v>
      </c>
      <c r="M777" s="1">
        <v>0.0</v>
      </c>
      <c r="N777" s="1">
        <v>0.0</v>
      </c>
      <c r="O777" s="1">
        <v>0.0</v>
      </c>
      <c r="P777" s="1">
        <v>49.0</v>
      </c>
      <c r="Q777" s="1">
        <v>20.0</v>
      </c>
    </row>
    <row r="778">
      <c r="A778" s="1">
        <f t="shared" si="1"/>
        <v>776</v>
      </c>
      <c r="B778" s="1" t="s">
        <v>2224</v>
      </c>
      <c r="C778" s="1" t="s">
        <v>1032</v>
      </c>
      <c r="D778" s="1" t="s">
        <v>28</v>
      </c>
      <c r="E778" s="15">
        <f t="shared" si="2"/>
        <v>43</v>
      </c>
      <c r="F778" s="16">
        <f t="shared" si="3"/>
        <v>1.72</v>
      </c>
      <c r="G778" s="1">
        <v>25.0</v>
      </c>
      <c r="H778" s="1">
        <v>1.0</v>
      </c>
      <c r="I778" s="1">
        <v>3.0</v>
      </c>
      <c r="J778" s="1">
        <v>4.0</v>
      </c>
      <c r="K778" s="1">
        <v>29.0</v>
      </c>
      <c r="L778" s="1">
        <v>0.0</v>
      </c>
      <c r="M778" s="1">
        <v>0.0</v>
      </c>
      <c r="N778" s="1">
        <v>0.0</v>
      </c>
      <c r="O778" s="1">
        <v>0.0</v>
      </c>
      <c r="P778" s="1">
        <v>50.0</v>
      </c>
      <c r="Q778" s="1">
        <v>5.0</v>
      </c>
    </row>
    <row r="779">
      <c r="A779" s="1">
        <f t="shared" si="1"/>
        <v>777</v>
      </c>
      <c r="B779" s="1" t="s">
        <v>2342</v>
      </c>
      <c r="C779" s="1" t="s">
        <v>1085</v>
      </c>
      <c r="D779" s="1" t="s">
        <v>66</v>
      </c>
      <c r="E779" s="15">
        <f t="shared" si="2"/>
        <v>42.75</v>
      </c>
      <c r="F779" s="16">
        <f t="shared" si="3"/>
        <v>1.3359375</v>
      </c>
      <c r="G779" s="1">
        <v>32.0</v>
      </c>
      <c r="H779" s="1">
        <v>1.0</v>
      </c>
      <c r="I779" s="1">
        <v>3.0</v>
      </c>
      <c r="J779" s="1">
        <v>4.0</v>
      </c>
      <c r="K779" s="1">
        <v>26.0</v>
      </c>
      <c r="L779" s="1">
        <v>0.0</v>
      </c>
      <c r="M779" s="1">
        <v>0.0</v>
      </c>
      <c r="N779" s="1">
        <v>0.0</v>
      </c>
      <c r="O779" s="1">
        <v>0.0</v>
      </c>
      <c r="P779" s="1">
        <v>15.0</v>
      </c>
      <c r="Q779" s="1">
        <v>25.0</v>
      </c>
    </row>
    <row r="780">
      <c r="A780" s="1">
        <f t="shared" si="1"/>
        <v>778</v>
      </c>
      <c r="B780" s="1" t="s">
        <v>1958</v>
      </c>
      <c r="C780" s="1" t="s">
        <v>1106</v>
      </c>
      <c r="D780" s="1" t="s">
        <v>66</v>
      </c>
      <c r="E780" s="15">
        <f t="shared" si="2"/>
        <v>42.5</v>
      </c>
      <c r="F780" s="16">
        <f t="shared" si="3"/>
        <v>2.361111111</v>
      </c>
      <c r="G780" s="1">
        <v>18.0</v>
      </c>
      <c r="H780" s="1">
        <v>2.0</v>
      </c>
      <c r="I780" s="1">
        <v>5.0</v>
      </c>
      <c r="J780" s="1">
        <v>7.0</v>
      </c>
      <c r="K780" s="1">
        <v>18.0</v>
      </c>
      <c r="L780" s="1">
        <v>0.0</v>
      </c>
      <c r="M780" s="1">
        <v>0.0</v>
      </c>
      <c r="N780" s="1">
        <v>0.0</v>
      </c>
      <c r="O780" s="1">
        <v>0.0</v>
      </c>
      <c r="P780" s="1">
        <v>6.0</v>
      </c>
      <c r="Q780" s="1">
        <v>16.0</v>
      </c>
    </row>
    <row r="781">
      <c r="A781" s="1">
        <f t="shared" si="1"/>
        <v>779</v>
      </c>
      <c r="B781" s="1" t="s">
        <v>2164</v>
      </c>
      <c r="C781" s="1" t="s">
        <v>1087</v>
      </c>
      <c r="D781" s="1" t="s">
        <v>66</v>
      </c>
      <c r="E781" s="15">
        <f t="shared" si="2"/>
        <v>41.75</v>
      </c>
      <c r="F781" s="16">
        <f t="shared" si="3"/>
        <v>1.988095238</v>
      </c>
      <c r="G781" s="1">
        <v>21.0</v>
      </c>
      <c r="H781" s="1">
        <v>1.0</v>
      </c>
      <c r="I781" s="1">
        <v>4.0</v>
      </c>
      <c r="J781" s="1">
        <v>5.0</v>
      </c>
      <c r="K781" s="1">
        <v>24.0</v>
      </c>
      <c r="L781" s="1">
        <v>0.0</v>
      </c>
      <c r="M781" s="1">
        <v>2.0</v>
      </c>
      <c r="N781" s="1">
        <v>0.0</v>
      </c>
      <c r="O781" s="1">
        <v>0.0</v>
      </c>
      <c r="P781" s="1">
        <v>7.0</v>
      </c>
      <c r="Q781" s="1">
        <v>23.0</v>
      </c>
    </row>
    <row r="782">
      <c r="A782" s="1">
        <f t="shared" si="1"/>
        <v>779</v>
      </c>
      <c r="B782" s="1" t="s">
        <v>2343</v>
      </c>
      <c r="C782" s="1" t="s">
        <v>1036</v>
      </c>
      <c r="D782" s="1" t="s">
        <v>28</v>
      </c>
      <c r="E782" s="15">
        <f t="shared" si="2"/>
        <v>41.75</v>
      </c>
      <c r="F782" s="16">
        <f t="shared" si="3"/>
        <v>1.815217391</v>
      </c>
      <c r="G782" s="1">
        <v>23.0</v>
      </c>
      <c r="H782" s="1">
        <v>4.0</v>
      </c>
      <c r="I782" s="1">
        <v>1.0</v>
      </c>
      <c r="J782" s="1">
        <v>5.0</v>
      </c>
      <c r="K782" s="1">
        <v>24.0</v>
      </c>
      <c r="L782" s="1">
        <v>0.0</v>
      </c>
      <c r="M782" s="1">
        <v>0.0</v>
      </c>
      <c r="N782" s="1">
        <v>0.0</v>
      </c>
      <c r="O782" s="1">
        <v>0.0</v>
      </c>
      <c r="P782" s="1">
        <v>29.0</v>
      </c>
      <c r="Q782" s="1">
        <v>3.0</v>
      </c>
    </row>
    <row r="783">
      <c r="A783" s="1">
        <f t="shared" si="1"/>
        <v>781</v>
      </c>
      <c r="B783" s="1" t="s">
        <v>1251</v>
      </c>
      <c r="C783" s="1" t="s">
        <v>1106</v>
      </c>
      <c r="D783" s="1" t="s">
        <v>5</v>
      </c>
      <c r="E783" s="15">
        <f t="shared" si="2"/>
        <v>41.4</v>
      </c>
      <c r="F783" s="16">
        <f t="shared" si="3"/>
        <v>8.28</v>
      </c>
      <c r="G783" s="1">
        <v>5.0</v>
      </c>
      <c r="R783" s="1">
        <v>5.0</v>
      </c>
      <c r="S783" s="1">
        <v>5.0</v>
      </c>
      <c r="T783" s="12">
        <v>113.0</v>
      </c>
      <c r="U783" s="1">
        <v>0.0</v>
      </c>
    </row>
    <row r="784">
      <c r="A784" s="1">
        <f t="shared" si="1"/>
        <v>782</v>
      </c>
      <c r="B784" s="1" t="s">
        <v>2187</v>
      </c>
      <c r="C784" s="1" t="s">
        <v>1067</v>
      </c>
      <c r="D784" s="1" t="s">
        <v>5</v>
      </c>
      <c r="E784" s="15">
        <f t="shared" si="2"/>
        <v>40.8</v>
      </c>
      <c r="F784" s="16">
        <f t="shared" si="3"/>
        <v>3.4</v>
      </c>
      <c r="G784" s="1">
        <v>12.0</v>
      </c>
      <c r="R784" s="1">
        <v>1.0</v>
      </c>
      <c r="S784" s="1">
        <v>38.0</v>
      </c>
      <c r="T784" s="12">
        <v>316.0</v>
      </c>
      <c r="U784" s="1">
        <v>0.0</v>
      </c>
    </row>
    <row r="785">
      <c r="A785" s="1">
        <f t="shared" si="1"/>
        <v>783</v>
      </c>
      <c r="B785" s="1" t="s">
        <v>1635</v>
      </c>
      <c r="C785" s="1" t="s">
        <v>1040</v>
      </c>
      <c r="D785" s="1" t="s">
        <v>66</v>
      </c>
      <c r="E785" s="15">
        <f t="shared" si="2"/>
        <v>40.75</v>
      </c>
      <c r="F785" s="16">
        <f t="shared" si="3"/>
        <v>1.63</v>
      </c>
      <c r="G785" s="1">
        <v>25.0</v>
      </c>
      <c r="H785" s="1">
        <v>1.0</v>
      </c>
      <c r="I785" s="1">
        <v>3.0</v>
      </c>
      <c r="J785" s="1">
        <v>4.0</v>
      </c>
      <c r="K785" s="1">
        <v>32.0</v>
      </c>
      <c r="L785" s="1">
        <v>1.0</v>
      </c>
      <c r="M785" s="1">
        <v>1.0</v>
      </c>
      <c r="N785" s="1">
        <v>0.0</v>
      </c>
      <c r="O785" s="1">
        <v>0.0</v>
      </c>
      <c r="P785" s="1">
        <v>15.0</v>
      </c>
      <c r="Q785" s="1">
        <v>15.0</v>
      </c>
    </row>
    <row r="786">
      <c r="A786" s="1">
        <f t="shared" si="1"/>
        <v>784</v>
      </c>
      <c r="B786" s="1" t="s">
        <v>2129</v>
      </c>
      <c r="C786" s="1" t="s">
        <v>1052</v>
      </c>
      <c r="D786" s="1" t="s">
        <v>66</v>
      </c>
      <c r="E786" s="15">
        <f t="shared" si="2"/>
        <v>40.25</v>
      </c>
      <c r="F786" s="16">
        <f t="shared" si="3"/>
        <v>1.677083333</v>
      </c>
      <c r="G786" s="1">
        <v>24.0</v>
      </c>
      <c r="H786" s="1">
        <v>0.0</v>
      </c>
      <c r="I786" s="1">
        <v>4.0</v>
      </c>
      <c r="J786" s="1">
        <v>4.0</v>
      </c>
      <c r="K786" s="1">
        <v>24.0</v>
      </c>
      <c r="L786" s="1">
        <v>0.0</v>
      </c>
      <c r="M786" s="1">
        <v>0.0</v>
      </c>
      <c r="N786" s="1">
        <v>0.0</v>
      </c>
      <c r="O786" s="1">
        <v>1.0</v>
      </c>
      <c r="P786" s="1">
        <v>19.0</v>
      </c>
      <c r="Q786" s="1">
        <v>19.0</v>
      </c>
    </row>
    <row r="787">
      <c r="A787" s="1">
        <f t="shared" si="1"/>
        <v>785</v>
      </c>
      <c r="B787" s="1" t="s">
        <v>2344</v>
      </c>
      <c r="C787" s="1" t="s">
        <v>1111</v>
      </c>
      <c r="D787" s="1" t="s">
        <v>31</v>
      </c>
      <c r="E787" s="15">
        <f t="shared" si="2"/>
        <v>40</v>
      </c>
      <c r="F787" s="16">
        <f t="shared" si="3"/>
        <v>1.212121212</v>
      </c>
      <c r="G787" s="1">
        <v>33.0</v>
      </c>
      <c r="H787" s="1">
        <v>1.0</v>
      </c>
      <c r="I787" s="1">
        <v>1.0</v>
      </c>
      <c r="J787" s="1">
        <v>2.0</v>
      </c>
      <c r="K787" s="1">
        <v>24.0</v>
      </c>
      <c r="L787" s="1">
        <v>0.0</v>
      </c>
      <c r="M787" s="1">
        <v>0.0</v>
      </c>
      <c r="N787" s="1">
        <v>0.0</v>
      </c>
      <c r="O787" s="1">
        <v>0.0</v>
      </c>
      <c r="P787" s="1">
        <v>50.0</v>
      </c>
      <c r="Q787" s="1">
        <v>16.0</v>
      </c>
    </row>
    <row r="788">
      <c r="A788" s="1">
        <f t="shared" si="1"/>
        <v>786</v>
      </c>
      <c r="B788" s="1" t="s">
        <v>1372</v>
      </c>
      <c r="C788" s="1" t="s">
        <v>1116</v>
      </c>
      <c r="D788" s="1" t="s">
        <v>28</v>
      </c>
      <c r="E788" s="15">
        <f t="shared" si="2"/>
        <v>39.75</v>
      </c>
      <c r="F788" s="16">
        <f t="shared" si="3"/>
        <v>2.208333333</v>
      </c>
      <c r="G788" s="1">
        <v>18.0</v>
      </c>
      <c r="H788" s="1">
        <v>2.0</v>
      </c>
      <c r="I788" s="1">
        <v>5.0</v>
      </c>
      <c r="J788" s="1">
        <v>7.0</v>
      </c>
      <c r="K788" s="1">
        <v>21.0</v>
      </c>
      <c r="L788" s="1">
        <v>0.0</v>
      </c>
      <c r="M788" s="1">
        <v>1.0</v>
      </c>
      <c r="N788" s="1">
        <v>0.0</v>
      </c>
      <c r="O788" s="1">
        <v>0.0</v>
      </c>
      <c r="P788" s="1">
        <v>17.0</v>
      </c>
      <c r="Q788" s="1">
        <v>2.0</v>
      </c>
    </row>
    <row r="789">
      <c r="A789" s="1">
        <f t="shared" si="1"/>
        <v>787</v>
      </c>
      <c r="B789" s="1" t="s">
        <v>2071</v>
      </c>
      <c r="C789" s="1" t="s">
        <v>1082</v>
      </c>
      <c r="D789" s="1" t="s">
        <v>28</v>
      </c>
      <c r="E789" s="15">
        <f t="shared" si="2"/>
        <v>39.5</v>
      </c>
      <c r="F789" s="16">
        <f t="shared" si="3"/>
        <v>3.291666667</v>
      </c>
      <c r="G789" s="1">
        <v>12.0</v>
      </c>
      <c r="H789" s="1">
        <v>4.0</v>
      </c>
      <c r="I789" s="1">
        <v>3.0</v>
      </c>
      <c r="J789" s="1">
        <v>7.0</v>
      </c>
      <c r="K789" s="1">
        <v>21.0</v>
      </c>
      <c r="L789" s="1">
        <v>1.0</v>
      </c>
      <c r="M789" s="1">
        <v>0.0</v>
      </c>
      <c r="N789" s="1">
        <v>0.0</v>
      </c>
      <c r="O789" s="1">
        <v>0.0</v>
      </c>
      <c r="P789" s="1">
        <v>2.0</v>
      </c>
      <c r="Q789" s="1">
        <v>3.0</v>
      </c>
    </row>
    <row r="790">
      <c r="A790" s="1">
        <f t="shared" si="1"/>
        <v>788</v>
      </c>
      <c r="B790" s="1" t="s">
        <v>1369</v>
      </c>
      <c r="C790" s="1" t="s">
        <v>1042</v>
      </c>
      <c r="D790" s="1" t="s">
        <v>31</v>
      </c>
      <c r="E790" s="15">
        <f t="shared" si="2"/>
        <v>39</v>
      </c>
      <c r="F790" s="16">
        <f t="shared" si="3"/>
        <v>1.444444444</v>
      </c>
      <c r="G790" s="1">
        <v>27.0</v>
      </c>
      <c r="H790" s="1">
        <v>1.0</v>
      </c>
      <c r="I790" s="1">
        <v>6.0</v>
      </c>
      <c r="J790" s="1">
        <v>7.0</v>
      </c>
      <c r="K790" s="1">
        <v>25.0</v>
      </c>
      <c r="L790" s="1">
        <v>1.0</v>
      </c>
      <c r="M790" s="1">
        <v>3.0</v>
      </c>
      <c r="N790" s="1">
        <v>0.0</v>
      </c>
      <c r="O790" s="1">
        <v>0.0</v>
      </c>
      <c r="P790" s="1">
        <v>4.0</v>
      </c>
      <c r="Q790" s="1">
        <v>6.0</v>
      </c>
    </row>
    <row r="791">
      <c r="A791" s="1">
        <f t="shared" si="1"/>
        <v>788</v>
      </c>
      <c r="B791" s="1" t="s">
        <v>2160</v>
      </c>
      <c r="C791" s="1" t="s">
        <v>1036</v>
      </c>
      <c r="D791" s="1" t="s">
        <v>66</v>
      </c>
      <c r="E791" s="15">
        <f t="shared" si="2"/>
        <v>39</v>
      </c>
      <c r="F791" s="16">
        <f t="shared" si="3"/>
        <v>1.95</v>
      </c>
      <c r="G791" s="1">
        <v>20.0</v>
      </c>
      <c r="H791" s="1">
        <v>0.0</v>
      </c>
      <c r="I791" s="1">
        <v>1.0</v>
      </c>
      <c r="J791" s="1">
        <v>1.0</v>
      </c>
      <c r="K791" s="1">
        <v>12.0</v>
      </c>
      <c r="L791" s="1">
        <v>0.0</v>
      </c>
      <c r="M791" s="1">
        <v>0.0</v>
      </c>
      <c r="N791" s="1">
        <v>0.0</v>
      </c>
      <c r="O791" s="1">
        <v>0.0</v>
      </c>
      <c r="P791" s="1">
        <v>82.0</v>
      </c>
      <c r="Q791" s="1">
        <v>19.0</v>
      </c>
    </row>
    <row r="792">
      <c r="A792" s="1">
        <f t="shared" si="1"/>
        <v>790</v>
      </c>
      <c r="B792" s="1" t="s">
        <v>1643</v>
      </c>
      <c r="C792" s="1" t="s">
        <v>1044</v>
      </c>
      <c r="D792" s="1" t="s">
        <v>31</v>
      </c>
      <c r="E792" s="15">
        <f t="shared" si="2"/>
        <v>38.25</v>
      </c>
      <c r="F792" s="16">
        <f t="shared" si="3"/>
        <v>2.390625</v>
      </c>
      <c r="G792" s="1">
        <v>16.0</v>
      </c>
      <c r="H792" s="1">
        <v>2.0</v>
      </c>
      <c r="I792" s="1">
        <v>2.0</v>
      </c>
      <c r="J792" s="1">
        <v>4.0</v>
      </c>
      <c r="K792" s="1">
        <v>11.0</v>
      </c>
      <c r="L792" s="1">
        <v>0.0</v>
      </c>
      <c r="M792" s="1">
        <v>0.0</v>
      </c>
      <c r="N792" s="1">
        <v>0.0</v>
      </c>
      <c r="O792" s="1">
        <v>0.0</v>
      </c>
      <c r="P792" s="1">
        <v>51.0</v>
      </c>
      <c r="Q792" s="1">
        <v>10.0</v>
      </c>
    </row>
    <row r="793">
      <c r="A793" s="1">
        <f t="shared" si="1"/>
        <v>791</v>
      </c>
      <c r="B793" s="1" t="s">
        <v>1835</v>
      </c>
      <c r="C793" s="1" t="s">
        <v>1082</v>
      </c>
      <c r="D793" s="1" t="s">
        <v>28</v>
      </c>
      <c r="E793" s="15">
        <f t="shared" si="2"/>
        <v>38</v>
      </c>
      <c r="F793" s="16">
        <f t="shared" si="3"/>
        <v>1.652173913</v>
      </c>
      <c r="G793" s="1">
        <v>23.0</v>
      </c>
      <c r="H793" s="1">
        <v>2.0</v>
      </c>
      <c r="I793" s="1">
        <v>2.0</v>
      </c>
      <c r="J793" s="1">
        <v>4.0</v>
      </c>
      <c r="K793" s="1">
        <v>29.0</v>
      </c>
      <c r="L793" s="1">
        <v>0.0</v>
      </c>
      <c r="M793" s="1">
        <v>0.0</v>
      </c>
      <c r="N793" s="1">
        <v>0.0</v>
      </c>
      <c r="O793" s="1">
        <v>0.0</v>
      </c>
      <c r="P793" s="1">
        <v>18.0</v>
      </c>
      <c r="Q793" s="1">
        <v>8.0</v>
      </c>
    </row>
    <row r="794">
      <c r="A794" s="1">
        <f t="shared" si="1"/>
        <v>792</v>
      </c>
      <c r="B794" s="1" t="s">
        <v>2345</v>
      </c>
      <c r="C794" s="1" t="s">
        <v>1076</v>
      </c>
      <c r="D794" s="1" t="s">
        <v>5</v>
      </c>
      <c r="E794" s="15">
        <f t="shared" si="2"/>
        <v>37.8</v>
      </c>
      <c r="F794" s="16">
        <f t="shared" si="3"/>
        <v>3.436363636</v>
      </c>
      <c r="G794" s="1">
        <v>11.0</v>
      </c>
      <c r="R794" s="1">
        <v>4.0</v>
      </c>
      <c r="S794" s="1">
        <v>38.0</v>
      </c>
      <c r="T794" s="12">
        <v>276.0</v>
      </c>
      <c r="U794" s="1">
        <v>0.0</v>
      </c>
    </row>
    <row r="795">
      <c r="A795" s="1">
        <f t="shared" si="1"/>
        <v>793</v>
      </c>
      <c r="B795" s="1" t="s">
        <v>1882</v>
      </c>
      <c r="C795" s="1" t="s">
        <v>1091</v>
      </c>
      <c r="D795" s="1" t="s">
        <v>66</v>
      </c>
      <c r="E795" s="15">
        <f t="shared" si="2"/>
        <v>37.5</v>
      </c>
      <c r="F795" s="16">
        <f t="shared" si="3"/>
        <v>2.5</v>
      </c>
      <c r="G795" s="1">
        <v>15.0</v>
      </c>
      <c r="H795" s="1">
        <v>2.0</v>
      </c>
      <c r="I795" s="1">
        <v>2.0</v>
      </c>
      <c r="J795" s="1">
        <v>4.0</v>
      </c>
      <c r="K795" s="1">
        <v>16.0</v>
      </c>
      <c r="L795" s="1">
        <v>0.0</v>
      </c>
      <c r="M795" s="1">
        <v>0.0</v>
      </c>
      <c r="N795" s="1">
        <v>0.0</v>
      </c>
      <c r="O795" s="1">
        <v>0.0</v>
      </c>
      <c r="P795" s="1">
        <v>24.0</v>
      </c>
      <c r="Q795" s="1">
        <v>17.0</v>
      </c>
    </row>
    <row r="796">
      <c r="A796" s="1">
        <f t="shared" si="1"/>
        <v>794</v>
      </c>
      <c r="B796" s="1" t="s">
        <v>2245</v>
      </c>
      <c r="C796" s="1" t="s">
        <v>1067</v>
      </c>
      <c r="D796" s="1" t="s">
        <v>28</v>
      </c>
      <c r="E796" s="15">
        <f t="shared" si="2"/>
        <v>37.25</v>
      </c>
      <c r="F796" s="16">
        <f t="shared" si="3"/>
        <v>2.069444444</v>
      </c>
      <c r="G796" s="1">
        <v>18.0</v>
      </c>
      <c r="H796" s="1">
        <v>2.0</v>
      </c>
      <c r="I796" s="1">
        <v>3.0</v>
      </c>
      <c r="J796" s="1">
        <v>5.0</v>
      </c>
      <c r="K796" s="1">
        <v>23.0</v>
      </c>
      <c r="L796" s="1">
        <v>0.0</v>
      </c>
      <c r="M796" s="1">
        <v>1.0</v>
      </c>
      <c r="N796" s="1">
        <v>0.0</v>
      </c>
      <c r="O796" s="1">
        <v>0.0</v>
      </c>
      <c r="P796" s="1">
        <v>17.0</v>
      </c>
      <c r="Q796" s="1">
        <v>7.0</v>
      </c>
    </row>
    <row r="797">
      <c r="A797" s="1">
        <f t="shared" si="1"/>
        <v>795</v>
      </c>
      <c r="B797" s="1" t="s">
        <v>1254</v>
      </c>
      <c r="C797" s="1" t="s">
        <v>1111</v>
      </c>
      <c r="D797" s="1" t="s">
        <v>28</v>
      </c>
      <c r="E797" s="15">
        <f t="shared" si="2"/>
        <v>37</v>
      </c>
      <c r="F797" s="16">
        <f t="shared" si="3"/>
        <v>1.608695652</v>
      </c>
      <c r="G797" s="1">
        <v>23.0</v>
      </c>
      <c r="H797" s="1">
        <v>1.0</v>
      </c>
      <c r="I797" s="1">
        <v>5.0</v>
      </c>
      <c r="J797" s="1">
        <v>6.0</v>
      </c>
      <c r="K797" s="1">
        <v>21.0</v>
      </c>
      <c r="L797" s="1">
        <v>0.0</v>
      </c>
      <c r="M797" s="1">
        <v>1.0</v>
      </c>
      <c r="N797" s="1">
        <v>0.0</v>
      </c>
      <c r="O797" s="1">
        <v>0.0</v>
      </c>
      <c r="P797" s="1">
        <v>12.0</v>
      </c>
      <c r="Q797" s="1">
        <v>8.0</v>
      </c>
    </row>
    <row r="798">
      <c r="A798" s="1">
        <f t="shared" si="1"/>
        <v>796</v>
      </c>
      <c r="B798" s="1" t="s">
        <v>1519</v>
      </c>
      <c r="C798" s="1" t="s">
        <v>1116</v>
      </c>
      <c r="D798" s="1" t="s">
        <v>66</v>
      </c>
      <c r="E798" s="15">
        <f t="shared" si="2"/>
        <v>36.75</v>
      </c>
      <c r="F798" s="16">
        <f t="shared" si="3"/>
        <v>2.45</v>
      </c>
      <c r="G798" s="1">
        <v>15.0</v>
      </c>
      <c r="H798" s="1">
        <v>0.0</v>
      </c>
      <c r="I798" s="1">
        <v>5.0</v>
      </c>
      <c r="J798" s="1">
        <v>5.0</v>
      </c>
      <c r="K798" s="1">
        <v>14.0</v>
      </c>
      <c r="L798" s="1">
        <v>0.0</v>
      </c>
      <c r="M798" s="1">
        <v>0.0</v>
      </c>
      <c r="N798" s="1">
        <v>0.0</v>
      </c>
      <c r="O798" s="1">
        <v>0.0</v>
      </c>
      <c r="P798" s="1">
        <v>21.0</v>
      </c>
      <c r="Q798" s="1">
        <v>19.0</v>
      </c>
    </row>
    <row r="799">
      <c r="A799" s="1">
        <f t="shared" si="1"/>
        <v>797</v>
      </c>
      <c r="B799" s="1" t="s">
        <v>2139</v>
      </c>
      <c r="C799" s="1" t="s">
        <v>1175</v>
      </c>
      <c r="D799" s="1" t="s">
        <v>31</v>
      </c>
      <c r="E799" s="15">
        <f t="shared" si="2"/>
        <v>36.5</v>
      </c>
      <c r="F799" s="16">
        <f t="shared" si="3"/>
        <v>1.25862069</v>
      </c>
      <c r="G799" s="1">
        <v>29.0</v>
      </c>
      <c r="H799" s="1">
        <v>0.0</v>
      </c>
      <c r="I799" s="1">
        <v>2.0</v>
      </c>
      <c r="J799" s="1">
        <v>2.0</v>
      </c>
      <c r="K799" s="1">
        <v>24.0</v>
      </c>
      <c r="L799" s="1">
        <v>0.0</v>
      </c>
      <c r="M799" s="1">
        <v>0.0</v>
      </c>
      <c r="N799" s="1">
        <v>0.0</v>
      </c>
      <c r="O799" s="1">
        <v>0.0</v>
      </c>
      <c r="P799" s="1">
        <v>54.0</v>
      </c>
      <c r="Q799" s="1">
        <v>10.0</v>
      </c>
    </row>
    <row r="800">
      <c r="A800" s="1">
        <f t="shared" si="1"/>
        <v>798</v>
      </c>
      <c r="B800" s="1" t="s">
        <v>1889</v>
      </c>
      <c r="C800" s="1" t="s">
        <v>1120</v>
      </c>
      <c r="D800" s="1" t="s">
        <v>31</v>
      </c>
      <c r="E800" s="15">
        <f t="shared" si="2"/>
        <v>36.25</v>
      </c>
      <c r="F800" s="16">
        <f t="shared" si="3"/>
        <v>1.342592593</v>
      </c>
      <c r="G800" s="1">
        <v>27.0</v>
      </c>
      <c r="H800" s="1">
        <v>0.0</v>
      </c>
      <c r="I800" s="1">
        <v>6.0</v>
      </c>
      <c r="J800" s="1">
        <v>6.0</v>
      </c>
      <c r="K800" s="1">
        <v>17.0</v>
      </c>
      <c r="L800" s="1">
        <v>0.0</v>
      </c>
      <c r="M800" s="1">
        <v>0.0</v>
      </c>
      <c r="N800" s="1">
        <v>0.0</v>
      </c>
      <c r="O800" s="1">
        <v>0.0</v>
      </c>
      <c r="P800" s="1">
        <v>21.0</v>
      </c>
      <c r="Q800" s="1">
        <v>9.0</v>
      </c>
    </row>
    <row r="801">
      <c r="A801" s="1">
        <f t="shared" si="1"/>
        <v>798</v>
      </c>
      <c r="B801" s="1" t="s">
        <v>2346</v>
      </c>
      <c r="C801" s="1" t="s">
        <v>1106</v>
      </c>
      <c r="D801" s="1" t="s">
        <v>36</v>
      </c>
      <c r="E801" s="15">
        <f t="shared" si="2"/>
        <v>36.25</v>
      </c>
      <c r="F801" s="16">
        <f t="shared" si="3"/>
        <v>1.907894737</v>
      </c>
      <c r="G801" s="1">
        <v>19.0</v>
      </c>
      <c r="H801" s="1">
        <v>2.0</v>
      </c>
      <c r="I801" s="1">
        <v>2.0</v>
      </c>
      <c r="J801" s="1">
        <v>4.0</v>
      </c>
      <c r="K801" s="1">
        <v>31.0</v>
      </c>
      <c r="L801" s="1">
        <v>1.0</v>
      </c>
      <c r="M801" s="1">
        <v>1.0</v>
      </c>
      <c r="N801" s="1">
        <v>0.0</v>
      </c>
      <c r="O801" s="1">
        <v>0.0</v>
      </c>
      <c r="P801" s="1">
        <v>17.0</v>
      </c>
      <c r="Q801" s="1">
        <v>3.0</v>
      </c>
    </row>
    <row r="802">
      <c r="A802" s="1">
        <f t="shared" si="1"/>
        <v>800</v>
      </c>
      <c r="B802" s="1" t="s">
        <v>1530</v>
      </c>
      <c r="C802" s="1" t="s">
        <v>1076</v>
      </c>
      <c r="D802" s="1" t="s">
        <v>66</v>
      </c>
      <c r="E802" s="15">
        <f t="shared" si="2"/>
        <v>36</v>
      </c>
      <c r="F802" s="16">
        <f t="shared" si="3"/>
        <v>2.117647059</v>
      </c>
      <c r="G802" s="1">
        <v>17.0</v>
      </c>
      <c r="H802" s="1">
        <v>1.0</v>
      </c>
      <c r="I802" s="1">
        <v>3.0</v>
      </c>
      <c r="J802" s="1">
        <v>4.0</v>
      </c>
      <c r="K802" s="1">
        <v>16.0</v>
      </c>
      <c r="L802" s="1">
        <v>0.0</v>
      </c>
      <c r="M802" s="1">
        <v>0.0</v>
      </c>
      <c r="N802" s="1">
        <v>0.0</v>
      </c>
      <c r="O802" s="1">
        <v>0.0</v>
      </c>
      <c r="P802" s="1">
        <v>28.0</v>
      </c>
      <c r="Q802" s="1">
        <v>15.0</v>
      </c>
    </row>
    <row r="803">
      <c r="A803" s="1">
        <f t="shared" si="1"/>
        <v>801</v>
      </c>
      <c r="B803" s="1" t="s">
        <v>2347</v>
      </c>
      <c r="C803" s="1" t="s">
        <v>1097</v>
      </c>
      <c r="D803" s="1" t="s">
        <v>31</v>
      </c>
      <c r="E803" s="15">
        <f t="shared" si="2"/>
        <v>35.5</v>
      </c>
      <c r="F803" s="16">
        <f t="shared" si="3"/>
        <v>1.479166667</v>
      </c>
      <c r="G803" s="1">
        <v>24.0</v>
      </c>
      <c r="H803" s="1">
        <v>0.0</v>
      </c>
      <c r="I803" s="1">
        <v>2.0</v>
      </c>
      <c r="J803" s="1">
        <v>2.0</v>
      </c>
      <c r="K803" s="1">
        <v>16.0</v>
      </c>
      <c r="L803" s="1">
        <v>0.0</v>
      </c>
      <c r="M803" s="1">
        <v>0.0</v>
      </c>
      <c r="N803" s="1">
        <v>0.0</v>
      </c>
      <c r="O803" s="1">
        <v>0.0</v>
      </c>
      <c r="P803" s="1">
        <v>58.0</v>
      </c>
      <c r="Q803" s="1">
        <v>14.0</v>
      </c>
    </row>
    <row r="804">
      <c r="A804" s="1">
        <f t="shared" si="1"/>
        <v>802</v>
      </c>
      <c r="B804" s="1" t="s">
        <v>1873</v>
      </c>
      <c r="C804" s="1" t="s">
        <v>1087</v>
      </c>
      <c r="D804" s="1" t="s">
        <v>31</v>
      </c>
      <c r="E804" s="15">
        <f t="shared" si="2"/>
        <v>35.25</v>
      </c>
      <c r="F804" s="16">
        <f t="shared" si="3"/>
        <v>2.073529412</v>
      </c>
      <c r="G804" s="1">
        <v>17.0</v>
      </c>
      <c r="H804" s="1">
        <v>2.0</v>
      </c>
      <c r="I804" s="1">
        <v>5.0</v>
      </c>
      <c r="J804" s="1">
        <v>7.0</v>
      </c>
      <c r="K804" s="1">
        <v>14.0</v>
      </c>
      <c r="L804" s="1">
        <v>0.0</v>
      </c>
      <c r="M804" s="1">
        <v>0.0</v>
      </c>
      <c r="N804" s="1">
        <v>0.0</v>
      </c>
      <c r="O804" s="1">
        <v>0.0</v>
      </c>
      <c r="P804" s="1">
        <v>3.0</v>
      </c>
      <c r="Q804" s="1">
        <v>7.0</v>
      </c>
    </row>
    <row r="805">
      <c r="A805" s="1">
        <f t="shared" si="1"/>
        <v>803</v>
      </c>
      <c r="B805" s="1" t="s">
        <v>2348</v>
      </c>
      <c r="C805" s="1" t="s">
        <v>1097</v>
      </c>
      <c r="D805" s="1" t="s">
        <v>66</v>
      </c>
      <c r="E805" s="15">
        <f t="shared" si="2"/>
        <v>35</v>
      </c>
      <c r="F805" s="16">
        <f t="shared" si="3"/>
        <v>2.692307692</v>
      </c>
      <c r="G805" s="1">
        <v>13.0</v>
      </c>
      <c r="H805" s="1">
        <v>0.0</v>
      </c>
      <c r="I805" s="1">
        <v>6.0</v>
      </c>
      <c r="J805" s="1">
        <v>6.0</v>
      </c>
      <c r="K805" s="1">
        <v>14.0</v>
      </c>
      <c r="L805" s="1">
        <v>0.0</v>
      </c>
      <c r="M805" s="1">
        <v>1.0</v>
      </c>
      <c r="N805" s="1">
        <v>0.0</v>
      </c>
      <c r="O805" s="1">
        <v>0.0</v>
      </c>
      <c r="P805" s="1">
        <v>6.0</v>
      </c>
      <c r="Q805" s="1">
        <v>17.0</v>
      </c>
    </row>
    <row r="806">
      <c r="A806" s="1">
        <f t="shared" si="1"/>
        <v>804</v>
      </c>
      <c r="B806" s="1" t="s">
        <v>1763</v>
      </c>
      <c r="C806" s="1" t="s">
        <v>1034</v>
      </c>
      <c r="D806" s="1" t="s">
        <v>31</v>
      </c>
      <c r="E806" s="15">
        <f t="shared" si="2"/>
        <v>34.5</v>
      </c>
      <c r="F806" s="16">
        <f t="shared" si="3"/>
        <v>2.15625</v>
      </c>
      <c r="G806" s="1">
        <v>16.0</v>
      </c>
      <c r="H806" s="1">
        <v>3.0</v>
      </c>
      <c r="I806" s="1">
        <v>3.0</v>
      </c>
      <c r="J806" s="1">
        <v>6.0</v>
      </c>
      <c r="K806" s="1">
        <v>16.0</v>
      </c>
      <c r="L806" s="1">
        <v>0.0</v>
      </c>
      <c r="M806" s="1">
        <v>1.0</v>
      </c>
      <c r="N806" s="1">
        <v>0.0</v>
      </c>
      <c r="O806" s="1">
        <v>0.0</v>
      </c>
      <c r="P806" s="1">
        <v>10.0</v>
      </c>
      <c r="Q806" s="1">
        <v>3.0</v>
      </c>
    </row>
    <row r="807">
      <c r="A807" s="1">
        <f t="shared" si="1"/>
        <v>804</v>
      </c>
      <c r="B807" s="1" t="s">
        <v>1516</v>
      </c>
      <c r="C807" s="1" t="s">
        <v>1073</v>
      </c>
      <c r="D807" s="1" t="s">
        <v>66</v>
      </c>
      <c r="E807" s="15">
        <f t="shared" si="2"/>
        <v>34.5</v>
      </c>
      <c r="F807" s="16">
        <f t="shared" si="3"/>
        <v>2.15625</v>
      </c>
      <c r="G807" s="1">
        <v>16.0</v>
      </c>
      <c r="H807" s="1">
        <v>0.0</v>
      </c>
      <c r="I807" s="1">
        <v>3.0</v>
      </c>
      <c r="J807" s="1">
        <v>3.0</v>
      </c>
      <c r="K807" s="1">
        <v>25.0</v>
      </c>
      <c r="L807" s="1">
        <v>0.0</v>
      </c>
      <c r="M807" s="1">
        <v>0.0</v>
      </c>
      <c r="N807" s="1">
        <v>0.0</v>
      </c>
      <c r="O807" s="1">
        <v>0.0</v>
      </c>
      <c r="P807" s="1">
        <v>32.0</v>
      </c>
      <c r="Q807" s="1">
        <v>10.0</v>
      </c>
    </row>
    <row r="808">
      <c r="A808" s="1">
        <f t="shared" si="1"/>
        <v>806</v>
      </c>
      <c r="B808" s="1" t="s">
        <v>2261</v>
      </c>
      <c r="C808" s="1" t="s">
        <v>1044</v>
      </c>
      <c r="D808" s="1" t="s">
        <v>66</v>
      </c>
      <c r="E808" s="15">
        <f t="shared" si="2"/>
        <v>34.25</v>
      </c>
      <c r="F808" s="16">
        <f t="shared" si="3"/>
        <v>2.140625</v>
      </c>
      <c r="G808" s="1">
        <v>16.0</v>
      </c>
      <c r="H808" s="1">
        <v>0.0</v>
      </c>
      <c r="I808" s="1">
        <v>5.0</v>
      </c>
      <c r="J808" s="1">
        <v>5.0</v>
      </c>
      <c r="K808" s="1">
        <v>18.0</v>
      </c>
      <c r="L808" s="1">
        <v>0.0</v>
      </c>
      <c r="M808" s="1">
        <v>1.0</v>
      </c>
      <c r="N808" s="1">
        <v>0.0</v>
      </c>
      <c r="O808" s="1">
        <v>0.0</v>
      </c>
      <c r="P808" s="1">
        <v>23.0</v>
      </c>
      <c r="Q808" s="1">
        <v>9.0</v>
      </c>
    </row>
    <row r="809">
      <c r="A809" s="1">
        <f t="shared" si="1"/>
        <v>807</v>
      </c>
      <c r="B809" s="1" t="s">
        <v>2138</v>
      </c>
      <c r="C809" s="1" t="s">
        <v>1076</v>
      </c>
      <c r="D809" s="1" t="s">
        <v>66</v>
      </c>
      <c r="E809" s="15">
        <f t="shared" si="2"/>
        <v>34</v>
      </c>
      <c r="F809" s="16">
        <f t="shared" si="3"/>
        <v>1.259259259</v>
      </c>
      <c r="G809" s="1">
        <v>27.0</v>
      </c>
      <c r="H809" s="1">
        <v>0.0</v>
      </c>
      <c r="I809" s="1">
        <v>4.0</v>
      </c>
      <c r="J809" s="1">
        <v>4.0</v>
      </c>
      <c r="K809" s="1">
        <v>18.0</v>
      </c>
      <c r="L809" s="1">
        <v>0.0</v>
      </c>
      <c r="M809" s="1">
        <v>0.0</v>
      </c>
      <c r="N809" s="1">
        <v>0.0</v>
      </c>
      <c r="O809" s="1">
        <v>0.0</v>
      </c>
      <c r="P809" s="1">
        <v>24.0</v>
      </c>
      <c r="Q809" s="1">
        <v>14.0</v>
      </c>
    </row>
    <row r="810">
      <c r="A810" s="1">
        <f t="shared" si="1"/>
        <v>808</v>
      </c>
      <c r="B810" s="1" t="s">
        <v>2349</v>
      </c>
      <c r="C810" s="1" t="s">
        <v>1156</v>
      </c>
      <c r="D810" s="1" t="s">
        <v>5</v>
      </c>
      <c r="E810" s="15">
        <f t="shared" si="2"/>
        <v>33.9</v>
      </c>
      <c r="F810" s="16">
        <f t="shared" si="3"/>
        <v>5.65</v>
      </c>
      <c r="G810" s="1">
        <v>6.0</v>
      </c>
      <c r="R810" s="1">
        <v>3.0</v>
      </c>
      <c r="S810" s="1">
        <v>21.0</v>
      </c>
      <c r="T810" s="12">
        <v>188.0</v>
      </c>
      <c r="U810" s="1">
        <v>0.0</v>
      </c>
    </row>
    <row r="811">
      <c r="A811" s="1">
        <f t="shared" si="1"/>
        <v>809</v>
      </c>
      <c r="B811" s="1" t="s">
        <v>1668</v>
      </c>
      <c r="C811" s="1" t="s">
        <v>1040</v>
      </c>
      <c r="D811" s="1" t="s">
        <v>28</v>
      </c>
      <c r="E811" s="15">
        <f t="shared" si="2"/>
        <v>33.75</v>
      </c>
      <c r="F811" s="16">
        <f t="shared" si="3"/>
        <v>2.410714286</v>
      </c>
      <c r="G811" s="1">
        <v>14.0</v>
      </c>
      <c r="H811" s="1">
        <v>0.0</v>
      </c>
      <c r="I811" s="1">
        <v>4.0</v>
      </c>
      <c r="J811" s="1">
        <v>4.0</v>
      </c>
      <c r="K811" s="1">
        <v>17.0</v>
      </c>
      <c r="L811" s="1">
        <v>0.0</v>
      </c>
      <c r="M811" s="1">
        <v>0.0</v>
      </c>
      <c r="N811" s="1">
        <v>0.0</v>
      </c>
      <c r="O811" s="1">
        <v>0.0</v>
      </c>
      <c r="P811" s="1">
        <v>37.0</v>
      </c>
      <c r="Q811" s="1">
        <v>8.0</v>
      </c>
    </row>
    <row r="812">
      <c r="A812" s="1">
        <f t="shared" si="1"/>
        <v>810</v>
      </c>
      <c r="B812" s="1" t="s">
        <v>2201</v>
      </c>
      <c r="C812" s="1" t="s">
        <v>1116</v>
      </c>
      <c r="D812" s="1" t="s">
        <v>66</v>
      </c>
      <c r="E812" s="15">
        <f t="shared" si="2"/>
        <v>33.25</v>
      </c>
      <c r="F812" s="16">
        <f t="shared" si="3"/>
        <v>2.770833333</v>
      </c>
      <c r="G812" s="1">
        <v>12.0</v>
      </c>
      <c r="H812" s="1">
        <v>0.0</v>
      </c>
      <c r="I812" s="1">
        <v>5.0</v>
      </c>
      <c r="J812" s="1">
        <v>5.0</v>
      </c>
      <c r="K812" s="1">
        <v>25.0</v>
      </c>
      <c r="L812" s="1">
        <v>0.0</v>
      </c>
      <c r="M812" s="1">
        <v>0.0</v>
      </c>
      <c r="N812" s="1">
        <v>0.0</v>
      </c>
      <c r="O812" s="1">
        <v>0.0</v>
      </c>
      <c r="P812" s="1">
        <v>9.0</v>
      </c>
      <c r="Q812" s="1">
        <v>7.0</v>
      </c>
    </row>
    <row r="813">
      <c r="A813" s="1">
        <f t="shared" si="1"/>
        <v>810</v>
      </c>
      <c r="B813" s="1" t="s">
        <v>2036</v>
      </c>
      <c r="C813" s="1" t="s">
        <v>1067</v>
      </c>
      <c r="D813" s="1" t="s">
        <v>28</v>
      </c>
      <c r="E813" s="15">
        <f t="shared" si="2"/>
        <v>33.25</v>
      </c>
      <c r="F813" s="16">
        <f t="shared" si="3"/>
        <v>1.75</v>
      </c>
      <c r="G813" s="1">
        <v>19.0</v>
      </c>
      <c r="H813" s="1">
        <v>2.0</v>
      </c>
      <c r="I813" s="1">
        <v>4.0</v>
      </c>
      <c r="J813" s="1">
        <v>6.0</v>
      </c>
      <c r="K813" s="1">
        <v>14.0</v>
      </c>
      <c r="L813" s="1">
        <v>0.0</v>
      </c>
      <c r="M813" s="1">
        <v>1.0</v>
      </c>
      <c r="N813" s="1">
        <v>0.0</v>
      </c>
      <c r="O813" s="1">
        <v>0.0</v>
      </c>
      <c r="P813" s="1">
        <v>17.0</v>
      </c>
      <c r="Q813" s="1">
        <v>2.0</v>
      </c>
    </row>
    <row r="814">
      <c r="A814" s="1">
        <f t="shared" si="1"/>
        <v>812</v>
      </c>
      <c r="B814" s="1" t="s">
        <v>2350</v>
      </c>
      <c r="C814" s="1" t="s">
        <v>1067</v>
      </c>
      <c r="D814" s="1" t="s">
        <v>31</v>
      </c>
      <c r="E814" s="15">
        <f t="shared" si="2"/>
        <v>33</v>
      </c>
      <c r="F814" s="16">
        <f t="shared" si="3"/>
        <v>1.833333333</v>
      </c>
      <c r="G814" s="1">
        <v>18.0</v>
      </c>
      <c r="H814" s="1">
        <v>2.0</v>
      </c>
      <c r="I814" s="1">
        <v>2.0</v>
      </c>
      <c r="J814" s="1">
        <v>4.0</v>
      </c>
      <c r="K814" s="1">
        <v>23.0</v>
      </c>
      <c r="L814" s="1">
        <v>0.0</v>
      </c>
      <c r="M814" s="1">
        <v>0.0</v>
      </c>
      <c r="N814" s="1">
        <v>0.0</v>
      </c>
      <c r="O814" s="1">
        <v>0.0</v>
      </c>
      <c r="P814" s="1">
        <v>14.0</v>
      </c>
      <c r="Q814" s="1">
        <v>6.0</v>
      </c>
    </row>
    <row r="815">
      <c r="A815" s="1">
        <f t="shared" si="1"/>
        <v>812</v>
      </c>
      <c r="B815" s="1" t="s">
        <v>2191</v>
      </c>
      <c r="C815" s="1" t="s">
        <v>1172</v>
      </c>
      <c r="D815" s="1" t="s">
        <v>36</v>
      </c>
      <c r="E815" s="15">
        <f t="shared" si="2"/>
        <v>33</v>
      </c>
      <c r="F815" s="16">
        <f t="shared" si="3"/>
        <v>1.571428571</v>
      </c>
      <c r="G815" s="1">
        <v>21.0</v>
      </c>
      <c r="H815" s="1">
        <v>0.0</v>
      </c>
      <c r="I815" s="1">
        <v>2.0</v>
      </c>
      <c r="J815" s="1">
        <v>2.0</v>
      </c>
      <c r="K815" s="1">
        <v>12.0</v>
      </c>
      <c r="L815" s="1">
        <v>0.0</v>
      </c>
      <c r="M815" s="1">
        <v>0.0</v>
      </c>
      <c r="N815" s="1">
        <v>0.0</v>
      </c>
      <c r="O815" s="1">
        <v>0.0</v>
      </c>
      <c r="P815" s="1">
        <v>60.0</v>
      </c>
      <c r="Q815" s="1">
        <v>12.0</v>
      </c>
    </row>
    <row r="816">
      <c r="A816" s="1">
        <f t="shared" si="1"/>
        <v>814</v>
      </c>
      <c r="B816" s="1" t="s">
        <v>1798</v>
      </c>
      <c r="C816" s="1" t="s">
        <v>1052</v>
      </c>
      <c r="D816" s="1" t="s">
        <v>36</v>
      </c>
      <c r="E816" s="15">
        <f t="shared" si="2"/>
        <v>32.75</v>
      </c>
      <c r="F816" s="16">
        <f t="shared" si="3"/>
        <v>1.926470588</v>
      </c>
      <c r="G816" s="1">
        <v>17.0</v>
      </c>
      <c r="H816" s="1">
        <v>2.0</v>
      </c>
      <c r="I816" s="1">
        <v>4.0</v>
      </c>
      <c r="J816" s="1">
        <v>6.0</v>
      </c>
      <c r="K816" s="1">
        <v>9.0</v>
      </c>
      <c r="L816" s="1">
        <v>0.0</v>
      </c>
      <c r="M816" s="1">
        <v>0.0</v>
      </c>
      <c r="N816" s="1">
        <v>0.0</v>
      </c>
      <c r="O816" s="1">
        <v>0.0</v>
      </c>
      <c r="P816" s="1">
        <v>23.0</v>
      </c>
      <c r="Q816" s="1">
        <v>3.0</v>
      </c>
    </row>
    <row r="817">
      <c r="A817" s="1">
        <f t="shared" si="1"/>
        <v>815</v>
      </c>
      <c r="B817" s="1" t="s">
        <v>1921</v>
      </c>
      <c r="C817" s="1" t="s">
        <v>1036</v>
      </c>
      <c r="D817" s="1" t="s">
        <v>66</v>
      </c>
      <c r="E817" s="15">
        <f t="shared" si="2"/>
        <v>32.5</v>
      </c>
      <c r="F817" s="16">
        <f t="shared" si="3"/>
        <v>1.413043478</v>
      </c>
      <c r="G817" s="1">
        <v>23.0</v>
      </c>
      <c r="H817" s="1">
        <v>1.0</v>
      </c>
      <c r="I817" s="1">
        <v>2.0</v>
      </c>
      <c r="J817" s="1">
        <v>3.0</v>
      </c>
      <c r="K817" s="1">
        <v>29.0</v>
      </c>
      <c r="L817" s="1">
        <v>0.0</v>
      </c>
      <c r="M817" s="1">
        <v>0.0</v>
      </c>
      <c r="N817" s="1">
        <v>0.0</v>
      </c>
      <c r="O817" s="1">
        <v>0.0</v>
      </c>
      <c r="P817" s="1">
        <v>10.0</v>
      </c>
      <c r="Q817" s="1">
        <v>10.0</v>
      </c>
    </row>
    <row r="818">
      <c r="A818" s="1">
        <f t="shared" si="1"/>
        <v>816</v>
      </c>
      <c r="B818" s="1" t="s">
        <v>1688</v>
      </c>
      <c r="C818" s="1" t="s">
        <v>1106</v>
      </c>
      <c r="D818" s="1" t="s">
        <v>66</v>
      </c>
      <c r="E818" s="15">
        <f t="shared" si="2"/>
        <v>32.25</v>
      </c>
      <c r="F818" s="16">
        <f t="shared" si="3"/>
        <v>1.697368421</v>
      </c>
      <c r="G818" s="1">
        <v>19.0</v>
      </c>
      <c r="H818" s="1">
        <v>0.0</v>
      </c>
      <c r="I818" s="1">
        <v>6.0</v>
      </c>
      <c r="J818" s="1">
        <v>6.0</v>
      </c>
      <c r="K818" s="1">
        <v>14.0</v>
      </c>
      <c r="L818" s="1">
        <v>0.0</v>
      </c>
      <c r="M818" s="1">
        <v>3.0</v>
      </c>
      <c r="N818" s="1">
        <v>0.0</v>
      </c>
      <c r="O818" s="1">
        <v>0.0</v>
      </c>
      <c r="P818" s="1">
        <v>5.0</v>
      </c>
      <c r="Q818" s="1">
        <v>12.0</v>
      </c>
    </row>
    <row r="819">
      <c r="A819" s="1">
        <f t="shared" si="1"/>
        <v>817</v>
      </c>
      <c r="B819" s="1" t="s">
        <v>2351</v>
      </c>
      <c r="C819" s="1" t="s">
        <v>1036</v>
      </c>
      <c r="D819" s="1" t="s">
        <v>66</v>
      </c>
      <c r="E819" s="15">
        <f t="shared" si="2"/>
        <v>31.75</v>
      </c>
      <c r="F819" s="16">
        <f t="shared" si="3"/>
        <v>1.671052632</v>
      </c>
      <c r="G819" s="1">
        <v>19.0</v>
      </c>
      <c r="H819" s="1">
        <v>0.0</v>
      </c>
      <c r="I819" s="1">
        <v>4.0</v>
      </c>
      <c r="J819" s="1">
        <v>4.0</v>
      </c>
      <c r="K819" s="1">
        <v>11.0</v>
      </c>
      <c r="L819" s="1">
        <v>0.0</v>
      </c>
      <c r="M819" s="1">
        <v>0.0</v>
      </c>
      <c r="N819" s="1">
        <v>0.0</v>
      </c>
      <c r="O819" s="1">
        <v>0.0</v>
      </c>
      <c r="P819" s="1">
        <v>21.0</v>
      </c>
      <c r="Q819" s="1">
        <v>18.0</v>
      </c>
    </row>
    <row r="820">
      <c r="A820" s="1">
        <f t="shared" si="1"/>
        <v>818</v>
      </c>
      <c r="B820" s="1" t="s">
        <v>2238</v>
      </c>
      <c r="C820" s="1" t="s">
        <v>1111</v>
      </c>
      <c r="D820" s="1" t="s">
        <v>31</v>
      </c>
      <c r="E820" s="15">
        <f t="shared" si="2"/>
        <v>31.5</v>
      </c>
      <c r="F820" s="16">
        <f t="shared" si="3"/>
        <v>3.15</v>
      </c>
      <c r="G820" s="1">
        <v>10.0</v>
      </c>
      <c r="H820" s="1">
        <v>2.0</v>
      </c>
      <c r="I820" s="1">
        <v>2.0</v>
      </c>
      <c r="J820" s="1">
        <v>4.0</v>
      </c>
      <c r="K820" s="1">
        <v>14.0</v>
      </c>
      <c r="L820" s="1">
        <v>0.0</v>
      </c>
      <c r="M820" s="1">
        <v>0.0</v>
      </c>
      <c r="N820" s="1">
        <v>0.0</v>
      </c>
      <c r="O820" s="1">
        <v>0.0</v>
      </c>
      <c r="P820" s="1">
        <v>26.0</v>
      </c>
      <c r="Q820" s="1">
        <v>6.0</v>
      </c>
    </row>
    <row r="821">
      <c r="A821" s="1">
        <f t="shared" si="1"/>
        <v>819</v>
      </c>
      <c r="B821" s="1" t="s">
        <v>1425</v>
      </c>
      <c r="C821" s="1" t="s">
        <v>1111</v>
      </c>
      <c r="D821" s="1" t="s">
        <v>31</v>
      </c>
      <c r="E821" s="15">
        <f t="shared" si="2"/>
        <v>31.25</v>
      </c>
      <c r="F821" s="16">
        <f t="shared" si="3"/>
        <v>3.125</v>
      </c>
      <c r="G821" s="1">
        <v>10.0</v>
      </c>
      <c r="H821" s="1">
        <v>2.0</v>
      </c>
      <c r="I821" s="1">
        <v>1.0</v>
      </c>
      <c r="J821" s="1">
        <v>3.0</v>
      </c>
      <c r="K821" s="1">
        <v>13.0</v>
      </c>
      <c r="L821" s="1">
        <v>0.0</v>
      </c>
      <c r="M821" s="1">
        <v>0.0</v>
      </c>
      <c r="N821" s="1">
        <v>0.0</v>
      </c>
      <c r="O821" s="1">
        <v>0.0</v>
      </c>
      <c r="P821" s="1">
        <v>33.0</v>
      </c>
      <c r="Q821" s="1">
        <v>9.0</v>
      </c>
    </row>
    <row r="822">
      <c r="A822" s="1">
        <f t="shared" si="1"/>
        <v>819</v>
      </c>
      <c r="B822" s="1" t="s">
        <v>1959</v>
      </c>
      <c r="C822" s="1" t="s">
        <v>1111</v>
      </c>
      <c r="D822" s="1" t="s">
        <v>31</v>
      </c>
      <c r="E822" s="15">
        <f t="shared" si="2"/>
        <v>31.25</v>
      </c>
      <c r="F822" s="16">
        <f t="shared" si="3"/>
        <v>2.403846154</v>
      </c>
      <c r="G822" s="1">
        <v>13.0</v>
      </c>
      <c r="H822" s="1">
        <v>2.0</v>
      </c>
      <c r="I822" s="1">
        <v>1.0</v>
      </c>
      <c r="J822" s="1">
        <v>3.0</v>
      </c>
      <c r="K822" s="1">
        <v>22.0</v>
      </c>
      <c r="L822" s="1">
        <v>0.0</v>
      </c>
      <c r="M822" s="1">
        <v>0.0</v>
      </c>
      <c r="N822" s="1">
        <v>0.0</v>
      </c>
      <c r="O822" s="1">
        <v>0.0</v>
      </c>
      <c r="P822" s="1">
        <v>25.0</v>
      </c>
      <c r="Q822" s="1">
        <v>4.0</v>
      </c>
    </row>
    <row r="823">
      <c r="A823" s="1">
        <f t="shared" si="1"/>
        <v>821</v>
      </c>
      <c r="B823" s="1" t="s">
        <v>2352</v>
      </c>
      <c r="C823" s="1" t="s">
        <v>1111</v>
      </c>
      <c r="D823" s="1" t="s">
        <v>36</v>
      </c>
      <c r="E823" s="15">
        <f t="shared" si="2"/>
        <v>30.75</v>
      </c>
      <c r="F823" s="16">
        <f t="shared" si="3"/>
        <v>2.5625</v>
      </c>
      <c r="G823" s="1">
        <v>12.0</v>
      </c>
      <c r="H823" s="1">
        <v>0.0</v>
      </c>
      <c r="I823" s="1">
        <v>1.0</v>
      </c>
      <c r="J823" s="1">
        <v>1.0</v>
      </c>
      <c r="K823" s="1">
        <v>23.0</v>
      </c>
      <c r="L823" s="1">
        <v>0.0</v>
      </c>
      <c r="M823" s="1">
        <v>0.0</v>
      </c>
      <c r="N823" s="1">
        <v>0.0</v>
      </c>
      <c r="O823" s="1">
        <v>0.0</v>
      </c>
      <c r="P823" s="1">
        <v>47.0</v>
      </c>
      <c r="Q823" s="1">
        <v>9.0</v>
      </c>
    </row>
    <row r="824">
      <c r="A824" s="1">
        <f t="shared" si="1"/>
        <v>822</v>
      </c>
      <c r="B824" s="1" t="s">
        <v>1981</v>
      </c>
      <c r="C824" s="1" t="s">
        <v>1046</v>
      </c>
      <c r="D824" s="1" t="s">
        <v>31</v>
      </c>
      <c r="E824" s="15">
        <f t="shared" si="2"/>
        <v>30.5</v>
      </c>
      <c r="F824" s="16">
        <f t="shared" si="3"/>
        <v>1.386363636</v>
      </c>
      <c r="G824" s="1">
        <v>22.0</v>
      </c>
      <c r="H824" s="1">
        <v>2.0</v>
      </c>
      <c r="I824" s="1">
        <v>2.0</v>
      </c>
      <c r="J824" s="1">
        <v>4.0</v>
      </c>
      <c r="K824" s="1">
        <v>17.0</v>
      </c>
      <c r="L824" s="1">
        <v>0.0</v>
      </c>
      <c r="M824" s="1">
        <v>0.0</v>
      </c>
      <c r="N824" s="1">
        <v>0.0</v>
      </c>
      <c r="O824" s="1">
        <v>0.0</v>
      </c>
      <c r="P824" s="1">
        <v>10.0</v>
      </c>
      <c r="Q824" s="1">
        <v>9.0</v>
      </c>
    </row>
    <row r="825">
      <c r="A825" s="1">
        <f t="shared" si="1"/>
        <v>822</v>
      </c>
      <c r="B825" s="1" t="s">
        <v>1627</v>
      </c>
      <c r="C825" s="1" t="s">
        <v>1040</v>
      </c>
      <c r="D825" s="1" t="s">
        <v>36</v>
      </c>
      <c r="E825" s="15">
        <f t="shared" si="2"/>
        <v>30.5</v>
      </c>
      <c r="F825" s="16">
        <f t="shared" si="3"/>
        <v>1.386363636</v>
      </c>
      <c r="G825" s="1">
        <v>22.0</v>
      </c>
      <c r="H825" s="1">
        <v>1.0</v>
      </c>
      <c r="I825" s="1">
        <v>1.0</v>
      </c>
      <c r="J825" s="1">
        <v>2.0</v>
      </c>
      <c r="K825" s="1">
        <v>34.0</v>
      </c>
      <c r="L825" s="1">
        <v>0.0</v>
      </c>
      <c r="M825" s="1">
        <v>0.0</v>
      </c>
      <c r="N825" s="1">
        <v>0.0</v>
      </c>
      <c r="O825" s="1">
        <v>0.0</v>
      </c>
      <c r="P825" s="1">
        <v>8.0</v>
      </c>
      <c r="Q825" s="1">
        <v>8.0</v>
      </c>
    </row>
    <row r="826">
      <c r="A826" s="1">
        <f t="shared" si="1"/>
        <v>824</v>
      </c>
      <c r="B826" s="1" t="s">
        <v>1727</v>
      </c>
      <c r="C826" s="1" t="s">
        <v>1067</v>
      </c>
      <c r="D826" s="1" t="s">
        <v>31</v>
      </c>
      <c r="E826" s="15">
        <f t="shared" si="2"/>
        <v>30.25</v>
      </c>
      <c r="F826" s="16">
        <f t="shared" si="3"/>
        <v>1.592105263</v>
      </c>
      <c r="G826" s="1">
        <v>19.0</v>
      </c>
      <c r="H826" s="1">
        <v>2.0</v>
      </c>
      <c r="I826" s="1">
        <v>3.0</v>
      </c>
      <c r="J826" s="1">
        <v>5.0</v>
      </c>
      <c r="K826" s="1">
        <v>14.0</v>
      </c>
      <c r="L826" s="1">
        <v>0.0</v>
      </c>
      <c r="M826" s="1">
        <v>0.0</v>
      </c>
      <c r="N826" s="1">
        <v>0.0</v>
      </c>
      <c r="O826" s="1">
        <v>0.0</v>
      </c>
      <c r="P826" s="1">
        <v>5.0</v>
      </c>
      <c r="Q826" s="1">
        <v>8.0</v>
      </c>
    </row>
    <row r="827">
      <c r="A827" s="1">
        <f t="shared" si="1"/>
        <v>824</v>
      </c>
      <c r="B827" s="1" t="s">
        <v>2353</v>
      </c>
      <c r="C827" s="1" t="s">
        <v>1036</v>
      </c>
      <c r="D827" s="1" t="s">
        <v>31</v>
      </c>
      <c r="E827" s="15">
        <f t="shared" si="2"/>
        <v>30.25</v>
      </c>
      <c r="F827" s="16">
        <f t="shared" si="3"/>
        <v>1.315217391</v>
      </c>
      <c r="G827" s="1">
        <v>23.0</v>
      </c>
      <c r="H827" s="1">
        <v>1.0</v>
      </c>
      <c r="I827" s="1">
        <v>3.0</v>
      </c>
      <c r="J827" s="1">
        <v>4.0</v>
      </c>
      <c r="K827" s="1">
        <v>21.0</v>
      </c>
      <c r="L827" s="1">
        <v>0.0</v>
      </c>
      <c r="M827" s="1">
        <v>0.0</v>
      </c>
      <c r="N827" s="1">
        <v>0.0</v>
      </c>
      <c r="O827" s="1">
        <v>0.0</v>
      </c>
      <c r="P827" s="1">
        <v>13.0</v>
      </c>
      <c r="Q827" s="1">
        <v>6.0</v>
      </c>
    </row>
    <row r="828">
      <c r="A828" s="1">
        <f t="shared" si="1"/>
        <v>826</v>
      </c>
      <c r="B828" s="1" t="s">
        <v>2076</v>
      </c>
      <c r="C828" s="1" t="s">
        <v>1030</v>
      </c>
      <c r="D828" s="1" t="s">
        <v>28</v>
      </c>
      <c r="E828" s="15">
        <f t="shared" si="2"/>
        <v>29.75</v>
      </c>
      <c r="F828" s="16">
        <f t="shared" si="3"/>
        <v>1.4875</v>
      </c>
      <c r="G828" s="1">
        <v>20.0</v>
      </c>
      <c r="H828" s="1">
        <v>0.0</v>
      </c>
      <c r="I828" s="1">
        <v>3.0</v>
      </c>
      <c r="J828" s="1">
        <v>3.0</v>
      </c>
      <c r="K828" s="1">
        <v>19.0</v>
      </c>
      <c r="L828" s="1">
        <v>0.0</v>
      </c>
      <c r="M828" s="1">
        <v>0.0</v>
      </c>
      <c r="N828" s="1">
        <v>0.0</v>
      </c>
      <c r="O828" s="1">
        <v>0.0</v>
      </c>
      <c r="P828" s="1">
        <v>27.0</v>
      </c>
      <c r="Q828" s="1">
        <v>9.0</v>
      </c>
    </row>
    <row r="829">
      <c r="A829" s="1">
        <f t="shared" si="1"/>
        <v>827</v>
      </c>
      <c r="B829" s="1" t="s">
        <v>1565</v>
      </c>
      <c r="C829" s="1" t="s">
        <v>1054</v>
      </c>
      <c r="D829" s="1" t="s">
        <v>66</v>
      </c>
      <c r="E829" s="15">
        <f t="shared" si="2"/>
        <v>29.5</v>
      </c>
      <c r="F829" s="16">
        <f t="shared" si="3"/>
        <v>1.966666667</v>
      </c>
      <c r="G829" s="1">
        <v>15.0</v>
      </c>
      <c r="H829" s="1">
        <v>2.0</v>
      </c>
      <c r="I829" s="1">
        <v>2.0</v>
      </c>
      <c r="J829" s="1">
        <v>4.0</v>
      </c>
      <c r="K829" s="1">
        <v>17.0</v>
      </c>
      <c r="L829" s="1">
        <v>0.0</v>
      </c>
      <c r="M829" s="1">
        <v>0.0</v>
      </c>
      <c r="N829" s="1">
        <v>0.0</v>
      </c>
      <c r="O829" s="1">
        <v>0.0</v>
      </c>
      <c r="P829" s="1">
        <v>12.0</v>
      </c>
      <c r="Q829" s="1">
        <v>6.0</v>
      </c>
    </row>
    <row r="830">
      <c r="A830" s="1">
        <f t="shared" si="1"/>
        <v>828</v>
      </c>
      <c r="B830" s="1" t="s">
        <v>2220</v>
      </c>
      <c r="C830" s="1" t="s">
        <v>1172</v>
      </c>
      <c r="D830" s="1" t="s">
        <v>66</v>
      </c>
      <c r="E830" s="15">
        <f t="shared" si="2"/>
        <v>29.25</v>
      </c>
      <c r="F830" s="16">
        <f t="shared" si="3"/>
        <v>1.95</v>
      </c>
      <c r="G830" s="1">
        <v>15.0</v>
      </c>
      <c r="H830" s="1">
        <v>1.0</v>
      </c>
      <c r="I830" s="1">
        <v>0.0</v>
      </c>
      <c r="J830" s="1">
        <v>1.0</v>
      </c>
      <c r="K830" s="1">
        <v>18.0</v>
      </c>
      <c r="L830" s="1">
        <v>0.0</v>
      </c>
      <c r="M830" s="1">
        <v>0.0</v>
      </c>
      <c r="N830" s="1">
        <v>0.0</v>
      </c>
      <c r="O830" s="1">
        <v>0.0</v>
      </c>
      <c r="P830" s="1">
        <v>21.0</v>
      </c>
      <c r="Q830" s="1">
        <v>21.0</v>
      </c>
    </row>
    <row r="831">
      <c r="A831" s="1">
        <f t="shared" si="1"/>
        <v>828</v>
      </c>
      <c r="B831" s="1" t="s">
        <v>1735</v>
      </c>
      <c r="C831" s="1" t="s">
        <v>1097</v>
      </c>
      <c r="D831" s="1" t="s">
        <v>28</v>
      </c>
      <c r="E831" s="15">
        <f t="shared" si="2"/>
        <v>29.25</v>
      </c>
      <c r="F831" s="16">
        <f t="shared" si="3"/>
        <v>2.089285714</v>
      </c>
      <c r="G831" s="1">
        <v>14.0</v>
      </c>
      <c r="H831" s="1">
        <v>2.0</v>
      </c>
      <c r="I831" s="1">
        <v>3.0</v>
      </c>
      <c r="J831" s="1">
        <v>5.0</v>
      </c>
      <c r="K831" s="1">
        <v>16.0</v>
      </c>
      <c r="L831" s="1">
        <v>0.0</v>
      </c>
      <c r="M831" s="1">
        <v>0.0</v>
      </c>
      <c r="N831" s="1">
        <v>0.0</v>
      </c>
      <c r="O831" s="1">
        <v>0.0</v>
      </c>
      <c r="P831" s="1">
        <v>5.0</v>
      </c>
      <c r="Q831" s="1">
        <v>4.0</v>
      </c>
    </row>
    <row r="832">
      <c r="A832" s="1">
        <f t="shared" si="1"/>
        <v>828</v>
      </c>
      <c r="B832" s="1" t="s">
        <v>2259</v>
      </c>
      <c r="C832" s="1" t="s">
        <v>1078</v>
      </c>
      <c r="D832" s="1" t="s">
        <v>28</v>
      </c>
      <c r="E832" s="15">
        <f t="shared" si="2"/>
        <v>29.25</v>
      </c>
      <c r="F832" s="16">
        <f t="shared" si="3"/>
        <v>1.4625</v>
      </c>
      <c r="G832" s="1">
        <v>20.0</v>
      </c>
      <c r="H832" s="1">
        <v>1.0</v>
      </c>
      <c r="I832" s="1">
        <v>1.0</v>
      </c>
      <c r="J832" s="1">
        <v>2.0</v>
      </c>
      <c r="K832" s="1">
        <v>29.0</v>
      </c>
      <c r="L832" s="1">
        <v>0.0</v>
      </c>
      <c r="M832" s="1">
        <v>1.0</v>
      </c>
      <c r="N832" s="1">
        <v>0.0</v>
      </c>
      <c r="O832" s="1">
        <v>0.0</v>
      </c>
      <c r="P832" s="1">
        <v>23.0</v>
      </c>
      <c r="Q832" s="1">
        <v>3.0</v>
      </c>
    </row>
    <row r="833">
      <c r="A833" s="1">
        <f t="shared" si="1"/>
        <v>828</v>
      </c>
      <c r="B833" s="1" t="s">
        <v>2268</v>
      </c>
      <c r="C833" s="1" t="s">
        <v>1036</v>
      </c>
      <c r="D833" s="1" t="s">
        <v>28</v>
      </c>
      <c r="E833" s="15">
        <f t="shared" si="2"/>
        <v>29.25</v>
      </c>
      <c r="F833" s="16">
        <f t="shared" si="3"/>
        <v>1.00862069</v>
      </c>
      <c r="G833" s="1">
        <v>29.0</v>
      </c>
      <c r="H833" s="1">
        <v>1.0</v>
      </c>
      <c r="I833" s="1">
        <v>1.0</v>
      </c>
      <c r="J833" s="1">
        <v>2.0</v>
      </c>
      <c r="K833" s="1">
        <v>18.0</v>
      </c>
      <c r="L833" s="1">
        <v>0.0</v>
      </c>
      <c r="M833" s="1">
        <v>0.0</v>
      </c>
      <c r="N833" s="1">
        <v>0.0</v>
      </c>
      <c r="O833" s="1">
        <v>0.0</v>
      </c>
      <c r="P833" s="1">
        <v>45.0</v>
      </c>
      <c r="Q833" s="1">
        <v>3.0</v>
      </c>
    </row>
    <row r="834">
      <c r="A834" s="1">
        <f t="shared" si="1"/>
        <v>832</v>
      </c>
      <c r="B834" s="1" t="s">
        <v>1613</v>
      </c>
      <c r="C834" s="1" t="s">
        <v>1032</v>
      </c>
      <c r="D834" s="1" t="s">
        <v>5</v>
      </c>
      <c r="E834" s="15">
        <f t="shared" si="2"/>
        <v>29.1</v>
      </c>
      <c r="F834" s="16">
        <f t="shared" si="3"/>
        <v>7.275</v>
      </c>
      <c r="G834" s="1">
        <v>4.0</v>
      </c>
      <c r="R834" s="1">
        <v>3.0</v>
      </c>
      <c r="S834" s="1">
        <v>11.0</v>
      </c>
      <c r="T834" s="12">
        <v>112.0</v>
      </c>
      <c r="U834" s="1">
        <v>1.0</v>
      </c>
    </row>
    <row r="835">
      <c r="A835" s="1">
        <f t="shared" si="1"/>
        <v>833</v>
      </c>
      <c r="B835" s="1" t="s">
        <v>2128</v>
      </c>
      <c r="C835" s="1" t="s">
        <v>1042</v>
      </c>
      <c r="D835" s="1" t="s">
        <v>66</v>
      </c>
      <c r="E835" s="15">
        <f t="shared" si="2"/>
        <v>29</v>
      </c>
      <c r="F835" s="16">
        <f t="shared" si="3"/>
        <v>1.526315789</v>
      </c>
      <c r="G835" s="1">
        <v>19.0</v>
      </c>
      <c r="H835" s="1">
        <v>0.0</v>
      </c>
      <c r="I835" s="1">
        <v>1.0</v>
      </c>
      <c r="J835" s="1">
        <v>1.0</v>
      </c>
      <c r="K835" s="1">
        <v>13.0</v>
      </c>
      <c r="L835" s="1">
        <v>0.0</v>
      </c>
      <c r="M835" s="1">
        <v>0.0</v>
      </c>
      <c r="N835" s="1">
        <v>0.0</v>
      </c>
      <c r="O835" s="1">
        <v>0.0</v>
      </c>
      <c r="P835" s="1">
        <v>36.0</v>
      </c>
      <c r="Q835" s="1">
        <v>21.0</v>
      </c>
    </row>
    <row r="836">
      <c r="A836" s="1">
        <f t="shared" si="1"/>
        <v>834</v>
      </c>
      <c r="B836" s="1" t="s">
        <v>2130</v>
      </c>
      <c r="C836" s="1" t="s">
        <v>1172</v>
      </c>
      <c r="D836" s="1" t="s">
        <v>5</v>
      </c>
      <c r="E836" s="15">
        <f t="shared" si="2"/>
        <v>28.8</v>
      </c>
      <c r="F836" s="16">
        <f t="shared" si="3"/>
        <v>3.6</v>
      </c>
      <c r="G836" s="1">
        <v>8.0</v>
      </c>
      <c r="R836" s="1">
        <v>1.0</v>
      </c>
      <c r="S836" s="1">
        <v>22.0</v>
      </c>
      <c r="T836" s="12">
        <v>196.0</v>
      </c>
      <c r="U836" s="1">
        <v>0.0</v>
      </c>
    </row>
    <row r="837">
      <c r="A837" s="1">
        <f t="shared" si="1"/>
        <v>835</v>
      </c>
      <c r="B837" s="1" t="s">
        <v>2354</v>
      </c>
      <c r="C837" s="1" t="s">
        <v>1091</v>
      </c>
      <c r="D837" s="1" t="s">
        <v>28</v>
      </c>
      <c r="E837" s="15">
        <f t="shared" si="2"/>
        <v>28.5</v>
      </c>
      <c r="F837" s="16">
        <f t="shared" si="3"/>
        <v>2.85</v>
      </c>
      <c r="G837" s="1">
        <v>10.0</v>
      </c>
      <c r="H837" s="1">
        <v>1.0</v>
      </c>
      <c r="I837" s="1">
        <v>3.0</v>
      </c>
      <c r="J837" s="1">
        <v>4.0</v>
      </c>
      <c r="K837" s="1">
        <v>14.0</v>
      </c>
      <c r="L837" s="1">
        <v>0.0</v>
      </c>
      <c r="M837" s="1">
        <v>2.0</v>
      </c>
      <c r="N837" s="1">
        <v>0.0</v>
      </c>
      <c r="O837" s="1">
        <v>0.0</v>
      </c>
      <c r="P837" s="1">
        <v>16.0</v>
      </c>
      <c r="Q837" s="1">
        <v>8.0</v>
      </c>
    </row>
    <row r="838">
      <c r="A838" s="1">
        <f t="shared" si="1"/>
        <v>836</v>
      </c>
      <c r="B838" s="1" t="s">
        <v>1891</v>
      </c>
      <c r="C838" s="1" t="s">
        <v>1078</v>
      </c>
      <c r="D838" s="1" t="s">
        <v>66</v>
      </c>
      <c r="E838" s="15">
        <f t="shared" si="2"/>
        <v>28</v>
      </c>
      <c r="F838" s="16">
        <f t="shared" si="3"/>
        <v>1.473684211</v>
      </c>
      <c r="G838" s="1">
        <v>19.0</v>
      </c>
      <c r="H838" s="1">
        <v>0.0</v>
      </c>
      <c r="I838" s="1">
        <v>2.0</v>
      </c>
      <c r="J838" s="1">
        <v>2.0</v>
      </c>
      <c r="K838" s="1">
        <v>15.0</v>
      </c>
      <c r="L838" s="1">
        <v>0.0</v>
      </c>
      <c r="M838" s="1">
        <v>0.0</v>
      </c>
      <c r="N838" s="1">
        <v>0.0</v>
      </c>
      <c r="O838" s="1">
        <v>0.0</v>
      </c>
      <c r="P838" s="1">
        <v>16.0</v>
      </c>
      <c r="Q838" s="1">
        <v>21.0</v>
      </c>
    </row>
    <row r="839">
      <c r="A839" s="1">
        <f t="shared" si="1"/>
        <v>837</v>
      </c>
      <c r="B839" s="1" t="s">
        <v>2280</v>
      </c>
      <c r="C839" s="1" t="s">
        <v>1085</v>
      </c>
      <c r="D839" s="1" t="s">
        <v>5</v>
      </c>
      <c r="E839" s="15">
        <f t="shared" si="2"/>
        <v>27.9</v>
      </c>
      <c r="F839" s="16">
        <f t="shared" si="3"/>
        <v>3.1</v>
      </c>
      <c r="G839" s="1">
        <v>9.0</v>
      </c>
      <c r="R839" s="1">
        <v>3.0</v>
      </c>
      <c r="S839" s="1">
        <v>28.0</v>
      </c>
      <c r="T839" s="12">
        <v>203.0</v>
      </c>
      <c r="U839" s="1">
        <v>0.0</v>
      </c>
    </row>
    <row r="840">
      <c r="A840" s="1">
        <f t="shared" si="1"/>
        <v>838</v>
      </c>
      <c r="B840" s="1" t="s">
        <v>1896</v>
      </c>
      <c r="C840" s="1" t="s">
        <v>1156</v>
      </c>
      <c r="D840" s="1" t="s">
        <v>66</v>
      </c>
      <c r="E840" s="15">
        <f t="shared" si="2"/>
        <v>27.75</v>
      </c>
      <c r="F840" s="16">
        <f t="shared" si="3"/>
        <v>3.964285714</v>
      </c>
      <c r="G840" s="1">
        <v>7.0</v>
      </c>
      <c r="H840" s="1">
        <v>1.0</v>
      </c>
      <c r="I840" s="1">
        <v>2.0</v>
      </c>
      <c r="J840" s="1">
        <v>3.0</v>
      </c>
      <c r="K840" s="1">
        <v>13.0</v>
      </c>
      <c r="L840" s="1">
        <v>1.0</v>
      </c>
      <c r="M840" s="1">
        <v>0.0</v>
      </c>
      <c r="N840" s="1">
        <v>0.0</v>
      </c>
      <c r="O840" s="1">
        <v>0.0</v>
      </c>
      <c r="P840" s="1">
        <v>19.0</v>
      </c>
      <c r="Q840" s="1">
        <v>12.0</v>
      </c>
    </row>
    <row r="841">
      <c r="A841" s="1">
        <f t="shared" si="1"/>
        <v>839</v>
      </c>
      <c r="B841" s="1" t="s">
        <v>2355</v>
      </c>
      <c r="C841" s="1" t="s">
        <v>1082</v>
      </c>
      <c r="D841" s="1" t="s">
        <v>66</v>
      </c>
      <c r="E841" s="15">
        <f t="shared" si="2"/>
        <v>27.5</v>
      </c>
      <c r="F841" s="16">
        <f t="shared" si="3"/>
        <v>1.833333333</v>
      </c>
      <c r="G841" s="1">
        <v>15.0</v>
      </c>
      <c r="H841" s="1">
        <v>1.0</v>
      </c>
      <c r="I841" s="1">
        <v>1.0</v>
      </c>
      <c r="J841" s="1">
        <v>2.0</v>
      </c>
      <c r="K841" s="1">
        <v>10.0</v>
      </c>
      <c r="L841" s="1">
        <v>0.0</v>
      </c>
      <c r="M841" s="1">
        <v>0.0</v>
      </c>
      <c r="N841" s="1">
        <v>0.0</v>
      </c>
      <c r="O841" s="1">
        <v>0.0</v>
      </c>
      <c r="P841" s="1">
        <v>22.0</v>
      </c>
      <c r="Q841" s="1">
        <v>19.0</v>
      </c>
    </row>
    <row r="842">
      <c r="A842" s="1">
        <f t="shared" si="1"/>
        <v>840</v>
      </c>
      <c r="B842" s="1" t="s">
        <v>1956</v>
      </c>
      <c r="C842" s="1" t="s">
        <v>1175</v>
      </c>
      <c r="D842" s="1" t="s">
        <v>31</v>
      </c>
      <c r="E842" s="15">
        <f t="shared" si="2"/>
        <v>27.25</v>
      </c>
      <c r="F842" s="16">
        <f t="shared" si="3"/>
        <v>1.946428571</v>
      </c>
      <c r="G842" s="1">
        <v>14.0</v>
      </c>
      <c r="H842" s="1">
        <v>1.0</v>
      </c>
      <c r="I842" s="1">
        <v>1.0</v>
      </c>
      <c r="J842" s="1">
        <v>2.0</v>
      </c>
      <c r="K842" s="1">
        <v>25.0</v>
      </c>
      <c r="L842" s="1">
        <v>0.0</v>
      </c>
      <c r="M842" s="1">
        <v>1.0</v>
      </c>
      <c r="N842" s="1">
        <v>0.0</v>
      </c>
      <c r="O842" s="1">
        <v>0.0</v>
      </c>
      <c r="P842" s="1">
        <v>13.0</v>
      </c>
      <c r="Q842" s="1">
        <v>8.0</v>
      </c>
    </row>
    <row r="843">
      <c r="A843" s="1">
        <f t="shared" si="1"/>
        <v>841</v>
      </c>
      <c r="B843" s="1" t="s">
        <v>1762</v>
      </c>
      <c r="C843" s="1" t="s">
        <v>1065</v>
      </c>
      <c r="D843" s="1" t="s">
        <v>31</v>
      </c>
      <c r="E843" s="15">
        <f t="shared" si="2"/>
        <v>26.75</v>
      </c>
      <c r="F843" s="16">
        <f t="shared" si="3"/>
        <v>1.486111111</v>
      </c>
      <c r="G843" s="1">
        <v>18.0</v>
      </c>
      <c r="H843" s="1">
        <v>1.0</v>
      </c>
      <c r="I843" s="1">
        <v>2.0</v>
      </c>
      <c r="J843" s="1">
        <v>3.0</v>
      </c>
      <c r="K843" s="1">
        <v>17.0</v>
      </c>
      <c r="L843" s="1">
        <v>0.0</v>
      </c>
      <c r="M843" s="1">
        <v>0.0</v>
      </c>
      <c r="N843" s="1">
        <v>0.0</v>
      </c>
      <c r="O843" s="1">
        <v>0.0</v>
      </c>
      <c r="P843" s="1">
        <v>19.0</v>
      </c>
      <c r="Q843" s="1">
        <v>6.0</v>
      </c>
    </row>
    <row r="844">
      <c r="A844" s="1">
        <f t="shared" si="1"/>
        <v>842</v>
      </c>
      <c r="B844" s="1" t="s">
        <v>2150</v>
      </c>
      <c r="C844" s="1" t="s">
        <v>1038</v>
      </c>
      <c r="D844" s="1" t="s">
        <v>66</v>
      </c>
      <c r="E844" s="15">
        <f t="shared" si="2"/>
        <v>26.5</v>
      </c>
      <c r="F844" s="16">
        <f t="shared" si="3"/>
        <v>2.65</v>
      </c>
      <c r="G844" s="1">
        <v>10.0</v>
      </c>
      <c r="H844" s="1">
        <v>0.0</v>
      </c>
      <c r="I844" s="1">
        <v>3.0</v>
      </c>
      <c r="J844" s="1">
        <v>3.0</v>
      </c>
      <c r="K844" s="1">
        <v>13.0</v>
      </c>
      <c r="L844" s="1">
        <v>0.0</v>
      </c>
      <c r="M844" s="1">
        <v>0.0</v>
      </c>
      <c r="N844" s="1">
        <v>0.0</v>
      </c>
      <c r="O844" s="1">
        <v>0.0</v>
      </c>
      <c r="P844" s="1">
        <v>24.0</v>
      </c>
      <c r="Q844" s="1">
        <v>10.0</v>
      </c>
    </row>
    <row r="845">
      <c r="A845" s="1">
        <f t="shared" si="1"/>
        <v>843</v>
      </c>
      <c r="B845" s="1" t="s">
        <v>1862</v>
      </c>
      <c r="C845" s="1" t="s">
        <v>1038</v>
      </c>
      <c r="D845" s="1" t="s">
        <v>31</v>
      </c>
      <c r="E845" s="15">
        <f t="shared" si="2"/>
        <v>26.25</v>
      </c>
      <c r="F845" s="16">
        <f t="shared" si="3"/>
        <v>1.75</v>
      </c>
      <c r="G845" s="1">
        <v>15.0</v>
      </c>
      <c r="H845" s="1">
        <v>0.0</v>
      </c>
      <c r="I845" s="1">
        <v>3.0</v>
      </c>
      <c r="J845" s="1">
        <v>3.0</v>
      </c>
      <c r="K845" s="1">
        <v>21.0</v>
      </c>
      <c r="L845" s="1">
        <v>0.0</v>
      </c>
      <c r="M845" s="1">
        <v>0.0</v>
      </c>
      <c r="N845" s="1">
        <v>0.0</v>
      </c>
      <c r="O845" s="1">
        <v>0.0</v>
      </c>
      <c r="P845" s="1">
        <v>17.0</v>
      </c>
      <c r="Q845" s="1">
        <v>5.0</v>
      </c>
    </row>
    <row r="846">
      <c r="A846" s="1">
        <f t="shared" si="1"/>
        <v>844</v>
      </c>
      <c r="B846" s="1" t="s">
        <v>2095</v>
      </c>
      <c r="C846" s="1" t="s">
        <v>1046</v>
      </c>
      <c r="D846" s="1" t="s">
        <v>31</v>
      </c>
      <c r="E846" s="15">
        <f t="shared" si="2"/>
        <v>25.75</v>
      </c>
      <c r="F846" s="16">
        <f t="shared" si="3"/>
        <v>2.340909091</v>
      </c>
      <c r="G846" s="1">
        <v>11.0</v>
      </c>
      <c r="H846" s="1">
        <v>2.0</v>
      </c>
      <c r="I846" s="1">
        <v>1.0</v>
      </c>
      <c r="J846" s="1">
        <v>3.0</v>
      </c>
      <c r="K846" s="1">
        <v>17.0</v>
      </c>
      <c r="L846" s="1">
        <v>1.0</v>
      </c>
      <c r="M846" s="1">
        <v>0.0</v>
      </c>
      <c r="N846" s="1">
        <v>0.0</v>
      </c>
      <c r="O846" s="1">
        <v>0.0</v>
      </c>
      <c r="P846" s="1">
        <v>9.0</v>
      </c>
      <c r="Q846" s="1">
        <v>6.0</v>
      </c>
    </row>
    <row r="847">
      <c r="A847" s="1">
        <f t="shared" si="1"/>
        <v>844</v>
      </c>
      <c r="B847" s="1" t="s">
        <v>1580</v>
      </c>
      <c r="C847" s="1" t="s">
        <v>1091</v>
      </c>
      <c r="D847" s="1" t="s">
        <v>36</v>
      </c>
      <c r="E847" s="15">
        <f t="shared" si="2"/>
        <v>25.75</v>
      </c>
      <c r="F847" s="16">
        <f t="shared" si="3"/>
        <v>2.575</v>
      </c>
      <c r="G847" s="1">
        <v>10.0</v>
      </c>
      <c r="H847" s="1">
        <v>0.0</v>
      </c>
      <c r="I847" s="1">
        <v>4.0</v>
      </c>
      <c r="J847" s="1">
        <v>4.0</v>
      </c>
      <c r="K847" s="1">
        <v>18.0</v>
      </c>
      <c r="L847" s="1">
        <v>0.0</v>
      </c>
      <c r="M847" s="1">
        <v>1.0</v>
      </c>
      <c r="N847" s="1">
        <v>0.0</v>
      </c>
      <c r="O847" s="1">
        <v>0.0</v>
      </c>
      <c r="P847" s="1">
        <v>15.0</v>
      </c>
      <c r="Q847" s="1">
        <v>2.0</v>
      </c>
    </row>
    <row r="848">
      <c r="A848" s="1">
        <f t="shared" si="1"/>
        <v>846</v>
      </c>
      <c r="B848" s="1" t="s">
        <v>1983</v>
      </c>
      <c r="C848" s="1" t="s">
        <v>1146</v>
      </c>
      <c r="D848" s="1" t="s">
        <v>66</v>
      </c>
      <c r="E848" s="15">
        <f t="shared" si="2"/>
        <v>25.5</v>
      </c>
      <c r="F848" s="16">
        <f t="shared" si="3"/>
        <v>2.318181818</v>
      </c>
      <c r="G848" s="1">
        <v>11.0</v>
      </c>
      <c r="H848" s="1">
        <v>0.0</v>
      </c>
      <c r="I848" s="1">
        <v>4.0</v>
      </c>
      <c r="J848" s="1">
        <v>4.0</v>
      </c>
      <c r="K848" s="1">
        <v>8.0</v>
      </c>
      <c r="L848" s="1">
        <v>0.0</v>
      </c>
      <c r="M848" s="1">
        <v>0.0</v>
      </c>
      <c r="N848" s="1">
        <v>0.0</v>
      </c>
      <c r="O848" s="1">
        <v>0.0</v>
      </c>
      <c r="P848" s="1">
        <v>10.0</v>
      </c>
      <c r="Q848" s="1">
        <v>14.0</v>
      </c>
    </row>
    <row r="849">
      <c r="A849" s="1">
        <f t="shared" si="1"/>
        <v>847</v>
      </c>
      <c r="B849" s="1" t="s">
        <v>2040</v>
      </c>
      <c r="C849" s="1" t="s">
        <v>1087</v>
      </c>
      <c r="D849" s="1" t="s">
        <v>66</v>
      </c>
      <c r="E849" s="15">
        <f t="shared" si="2"/>
        <v>25.25</v>
      </c>
      <c r="F849" s="16">
        <f t="shared" si="3"/>
        <v>1.578125</v>
      </c>
      <c r="G849" s="1">
        <v>16.0</v>
      </c>
      <c r="H849" s="1">
        <v>1.0</v>
      </c>
      <c r="I849" s="1">
        <v>0.0</v>
      </c>
      <c r="J849" s="1">
        <v>1.0</v>
      </c>
      <c r="K849" s="1">
        <v>22.0</v>
      </c>
      <c r="L849" s="1">
        <v>0.0</v>
      </c>
      <c r="M849" s="1">
        <v>0.0</v>
      </c>
      <c r="N849" s="1">
        <v>0.0</v>
      </c>
      <c r="O849" s="1">
        <v>0.0</v>
      </c>
      <c r="P849" s="1">
        <v>15.0</v>
      </c>
      <c r="Q849" s="1">
        <v>12.0</v>
      </c>
    </row>
    <row r="850">
      <c r="A850" s="1">
        <f t="shared" si="1"/>
        <v>847</v>
      </c>
      <c r="B850" s="1" t="s">
        <v>1507</v>
      </c>
      <c r="C850" s="1" t="s">
        <v>1172</v>
      </c>
      <c r="D850" s="1" t="s">
        <v>66</v>
      </c>
      <c r="E850" s="15">
        <f t="shared" si="2"/>
        <v>25.25</v>
      </c>
      <c r="F850" s="16">
        <f t="shared" si="3"/>
        <v>1.683333333</v>
      </c>
      <c r="G850" s="1">
        <v>15.0</v>
      </c>
      <c r="H850" s="1">
        <v>1.0</v>
      </c>
      <c r="I850" s="1">
        <v>1.0</v>
      </c>
      <c r="J850" s="1">
        <v>2.0</v>
      </c>
      <c r="K850" s="1">
        <v>12.0</v>
      </c>
      <c r="L850" s="1">
        <v>0.0</v>
      </c>
      <c r="M850" s="1">
        <v>0.0</v>
      </c>
      <c r="N850" s="1">
        <v>0.0</v>
      </c>
      <c r="O850" s="1">
        <v>0.0</v>
      </c>
      <c r="P850" s="1">
        <v>15.0</v>
      </c>
      <c r="Q850" s="1">
        <v>16.0</v>
      </c>
    </row>
    <row r="851">
      <c r="A851" s="1">
        <f t="shared" si="1"/>
        <v>849</v>
      </c>
      <c r="B851" s="1" t="s">
        <v>2234</v>
      </c>
      <c r="C851" s="1" t="s">
        <v>1116</v>
      </c>
      <c r="D851" s="1" t="s">
        <v>31</v>
      </c>
      <c r="E851" s="15">
        <f t="shared" si="2"/>
        <v>25</v>
      </c>
      <c r="F851" s="16">
        <f t="shared" si="3"/>
        <v>1.923076923</v>
      </c>
      <c r="G851" s="1">
        <v>13.0</v>
      </c>
      <c r="H851" s="1">
        <v>1.0</v>
      </c>
      <c r="I851" s="1">
        <v>1.0</v>
      </c>
      <c r="J851" s="1">
        <v>2.0</v>
      </c>
      <c r="K851" s="1">
        <v>18.0</v>
      </c>
      <c r="L851" s="1">
        <v>0.0</v>
      </c>
      <c r="M851" s="1">
        <v>0.0</v>
      </c>
      <c r="N851" s="1">
        <v>0.0</v>
      </c>
      <c r="O851" s="1">
        <v>0.0</v>
      </c>
      <c r="P851" s="1">
        <v>14.0</v>
      </c>
      <c r="Q851" s="1">
        <v>10.0</v>
      </c>
    </row>
    <row r="852">
      <c r="A852" s="1">
        <f t="shared" si="1"/>
        <v>850</v>
      </c>
      <c r="B852" s="1" t="s">
        <v>2356</v>
      </c>
      <c r="C852" s="1" t="s">
        <v>1116</v>
      </c>
      <c r="D852" s="1" t="s">
        <v>31</v>
      </c>
      <c r="E852" s="15">
        <f t="shared" si="2"/>
        <v>24.75</v>
      </c>
      <c r="F852" s="16">
        <f t="shared" si="3"/>
        <v>0.99</v>
      </c>
      <c r="G852" s="1">
        <v>25.0</v>
      </c>
      <c r="H852" s="1">
        <v>2.0</v>
      </c>
      <c r="I852" s="1">
        <v>1.0</v>
      </c>
      <c r="J852" s="1">
        <v>3.0</v>
      </c>
      <c r="K852" s="1">
        <v>14.0</v>
      </c>
      <c r="L852" s="1">
        <v>0.0</v>
      </c>
      <c r="M852" s="1">
        <v>0.0</v>
      </c>
      <c r="N852" s="1">
        <v>0.0</v>
      </c>
      <c r="O852" s="1">
        <v>0.0</v>
      </c>
      <c r="P852" s="1">
        <v>11.0</v>
      </c>
      <c r="Q852" s="1">
        <v>6.0</v>
      </c>
    </row>
    <row r="853">
      <c r="A853" s="1">
        <f t="shared" si="1"/>
        <v>850</v>
      </c>
      <c r="B853" s="1" t="s">
        <v>1888</v>
      </c>
      <c r="C853" s="1" t="s">
        <v>1156</v>
      </c>
      <c r="D853" s="1" t="s">
        <v>36</v>
      </c>
      <c r="E853" s="15">
        <f t="shared" si="2"/>
        <v>24.75</v>
      </c>
      <c r="F853" s="16">
        <f t="shared" si="3"/>
        <v>1.903846154</v>
      </c>
      <c r="G853" s="1">
        <v>13.0</v>
      </c>
      <c r="H853" s="1">
        <v>1.0</v>
      </c>
      <c r="I853" s="1">
        <v>2.0</v>
      </c>
      <c r="J853" s="1">
        <v>3.0</v>
      </c>
      <c r="K853" s="1">
        <v>13.0</v>
      </c>
      <c r="L853" s="1">
        <v>0.0</v>
      </c>
      <c r="M853" s="1">
        <v>0.0</v>
      </c>
      <c r="N853" s="1">
        <v>0.0</v>
      </c>
      <c r="O853" s="1">
        <v>0.0</v>
      </c>
      <c r="P853" s="1">
        <v>27.0</v>
      </c>
      <c r="Q853" s="1">
        <v>2.0</v>
      </c>
    </row>
    <row r="854">
      <c r="A854" s="1">
        <f t="shared" si="1"/>
        <v>852</v>
      </c>
      <c r="B854" s="1" t="s">
        <v>2054</v>
      </c>
      <c r="C854" s="1" t="s">
        <v>1091</v>
      </c>
      <c r="D854" s="1" t="s">
        <v>5</v>
      </c>
      <c r="E854" s="15">
        <f t="shared" si="2"/>
        <v>24.3</v>
      </c>
      <c r="F854" s="16">
        <f t="shared" si="3"/>
        <v>4.86</v>
      </c>
      <c r="G854" s="1">
        <v>5.0</v>
      </c>
      <c r="R854" s="1">
        <v>0.0</v>
      </c>
      <c r="S854" s="1">
        <v>16.0</v>
      </c>
      <c r="T854" s="12">
        <v>161.0</v>
      </c>
      <c r="U854" s="1">
        <v>0.0</v>
      </c>
    </row>
    <row r="855">
      <c r="A855" s="1">
        <f t="shared" si="1"/>
        <v>853</v>
      </c>
      <c r="B855" s="1" t="s">
        <v>1977</v>
      </c>
      <c r="C855" s="1" t="s">
        <v>1038</v>
      </c>
      <c r="D855" s="1" t="s">
        <v>31</v>
      </c>
      <c r="E855" s="15">
        <f t="shared" si="2"/>
        <v>24.25</v>
      </c>
      <c r="F855" s="16">
        <f t="shared" si="3"/>
        <v>2.204545455</v>
      </c>
      <c r="G855" s="1">
        <v>11.0</v>
      </c>
      <c r="H855" s="1">
        <v>3.0</v>
      </c>
      <c r="I855" s="1">
        <v>0.0</v>
      </c>
      <c r="J855" s="1">
        <v>3.0</v>
      </c>
      <c r="K855" s="1">
        <v>12.0</v>
      </c>
      <c r="L855" s="1">
        <v>0.0</v>
      </c>
      <c r="M855" s="1">
        <v>0.0</v>
      </c>
      <c r="N855" s="1">
        <v>0.0</v>
      </c>
      <c r="O855" s="1">
        <v>0.0</v>
      </c>
      <c r="P855" s="1">
        <v>15.0</v>
      </c>
      <c r="Q855" s="1">
        <v>2.0</v>
      </c>
    </row>
    <row r="856">
      <c r="A856" s="1">
        <f t="shared" si="1"/>
        <v>853</v>
      </c>
      <c r="B856" s="1" t="s">
        <v>1747</v>
      </c>
      <c r="C856" s="1" t="s">
        <v>1175</v>
      </c>
      <c r="D856" s="1" t="s">
        <v>28</v>
      </c>
      <c r="E856" s="15">
        <f t="shared" si="2"/>
        <v>24.25</v>
      </c>
      <c r="F856" s="16">
        <f t="shared" si="3"/>
        <v>3.03125</v>
      </c>
      <c r="G856" s="1">
        <v>8.0</v>
      </c>
      <c r="H856" s="1">
        <v>0.0</v>
      </c>
      <c r="I856" s="1">
        <v>5.0</v>
      </c>
      <c r="J856" s="1">
        <v>5.0</v>
      </c>
      <c r="K856" s="1">
        <v>13.0</v>
      </c>
      <c r="L856" s="1">
        <v>0.0</v>
      </c>
      <c r="M856" s="1">
        <v>1.0</v>
      </c>
      <c r="N856" s="1">
        <v>0.0</v>
      </c>
      <c r="O856" s="1">
        <v>0.0</v>
      </c>
      <c r="P856" s="1">
        <v>3.0</v>
      </c>
      <c r="Q856" s="1">
        <v>4.0</v>
      </c>
    </row>
    <row r="857">
      <c r="A857" s="1">
        <f t="shared" si="1"/>
        <v>853</v>
      </c>
      <c r="B857" s="1" t="s">
        <v>2357</v>
      </c>
      <c r="C857" s="1" t="s">
        <v>1044</v>
      </c>
      <c r="D857" s="1" t="s">
        <v>36</v>
      </c>
      <c r="E857" s="15">
        <f t="shared" si="2"/>
        <v>24.25</v>
      </c>
      <c r="F857" s="16">
        <f t="shared" si="3"/>
        <v>1.426470588</v>
      </c>
      <c r="G857" s="1">
        <v>17.0</v>
      </c>
      <c r="H857" s="1">
        <v>1.0</v>
      </c>
      <c r="I857" s="1">
        <v>2.0</v>
      </c>
      <c r="J857" s="1">
        <v>3.0</v>
      </c>
      <c r="K857" s="1">
        <v>17.0</v>
      </c>
      <c r="L857" s="1">
        <v>0.0</v>
      </c>
      <c r="M857" s="1">
        <v>0.0</v>
      </c>
      <c r="N857" s="1">
        <v>0.0</v>
      </c>
      <c r="O857" s="1">
        <v>0.0</v>
      </c>
      <c r="P857" s="1">
        <v>11.0</v>
      </c>
      <c r="Q857" s="1">
        <v>5.0</v>
      </c>
    </row>
    <row r="858">
      <c r="A858" s="1">
        <f t="shared" si="1"/>
        <v>856</v>
      </c>
      <c r="B858" s="1" t="s">
        <v>2166</v>
      </c>
      <c r="C858" s="1" t="s">
        <v>1048</v>
      </c>
      <c r="D858" s="1" t="s">
        <v>66</v>
      </c>
      <c r="E858" s="15">
        <f t="shared" si="2"/>
        <v>24</v>
      </c>
      <c r="F858" s="16">
        <f t="shared" si="3"/>
        <v>2.4</v>
      </c>
      <c r="G858" s="1">
        <v>10.0</v>
      </c>
      <c r="H858" s="1">
        <v>1.0</v>
      </c>
      <c r="I858" s="1">
        <v>1.0</v>
      </c>
      <c r="J858" s="1">
        <v>2.0</v>
      </c>
      <c r="K858" s="1">
        <v>11.0</v>
      </c>
      <c r="L858" s="1">
        <v>0.0</v>
      </c>
      <c r="M858" s="1">
        <v>0.0</v>
      </c>
      <c r="N858" s="1">
        <v>0.0</v>
      </c>
      <c r="O858" s="1">
        <v>0.0</v>
      </c>
      <c r="P858" s="1">
        <v>10.0</v>
      </c>
      <c r="Q858" s="1">
        <v>17.0</v>
      </c>
    </row>
    <row r="859">
      <c r="A859" s="1">
        <f t="shared" si="1"/>
        <v>856</v>
      </c>
      <c r="B859" s="1" t="s">
        <v>2358</v>
      </c>
      <c r="C859" s="1" t="s">
        <v>1076</v>
      </c>
      <c r="D859" s="1" t="s">
        <v>66</v>
      </c>
      <c r="E859" s="15">
        <f t="shared" si="2"/>
        <v>24</v>
      </c>
      <c r="F859" s="16">
        <f t="shared" si="3"/>
        <v>0.96</v>
      </c>
      <c r="G859" s="1">
        <v>25.0</v>
      </c>
      <c r="H859" s="1">
        <v>0.0</v>
      </c>
      <c r="I859" s="1">
        <v>0.0</v>
      </c>
      <c r="J859" s="1">
        <v>0.0</v>
      </c>
      <c r="K859" s="1">
        <v>12.0</v>
      </c>
      <c r="L859" s="1">
        <v>0.0</v>
      </c>
      <c r="M859" s="1">
        <v>0.0</v>
      </c>
      <c r="N859" s="1">
        <v>0.0</v>
      </c>
      <c r="O859" s="1">
        <v>0.0</v>
      </c>
      <c r="P859" s="1">
        <v>58.0</v>
      </c>
      <c r="Q859" s="1">
        <v>7.0</v>
      </c>
    </row>
    <row r="860">
      <c r="A860" s="1">
        <f t="shared" si="1"/>
        <v>856</v>
      </c>
      <c r="B860" s="1" t="s">
        <v>1960</v>
      </c>
      <c r="C860" s="1" t="s">
        <v>1076</v>
      </c>
      <c r="D860" s="1" t="s">
        <v>28</v>
      </c>
      <c r="E860" s="15">
        <f t="shared" si="2"/>
        <v>24</v>
      </c>
      <c r="F860" s="16">
        <f t="shared" si="3"/>
        <v>3.428571429</v>
      </c>
      <c r="G860" s="1">
        <v>7.0</v>
      </c>
      <c r="H860" s="1">
        <v>3.0</v>
      </c>
      <c r="I860" s="1">
        <v>1.0</v>
      </c>
      <c r="J860" s="1">
        <v>4.0</v>
      </c>
      <c r="K860" s="1">
        <v>10.0</v>
      </c>
      <c r="L860" s="1">
        <v>0.0</v>
      </c>
      <c r="M860" s="1">
        <v>0.0</v>
      </c>
      <c r="N860" s="1">
        <v>0.0</v>
      </c>
      <c r="O860" s="1">
        <v>0.0</v>
      </c>
      <c r="P860" s="1">
        <v>8.0</v>
      </c>
      <c r="Q860" s="1">
        <v>1.0</v>
      </c>
    </row>
    <row r="861">
      <c r="A861" s="1">
        <f t="shared" si="1"/>
        <v>859</v>
      </c>
      <c r="B861" s="1" t="s">
        <v>2169</v>
      </c>
      <c r="C861" s="1" t="s">
        <v>1040</v>
      </c>
      <c r="D861" s="1" t="s">
        <v>66</v>
      </c>
      <c r="E861" s="15">
        <f t="shared" si="2"/>
        <v>23.75</v>
      </c>
      <c r="F861" s="16">
        <f t="shared" si="3"/>
        <v>1.397058824</v>
      </c>
      <c r="G861" s="1">
        <v>17.0</v>
      </c>
      <c r="H861" s="1">
        <v>0.0</v>
      </c>
      <c r="I861" s="1">
        <v>1.0</v>
      </c>
      <c r="J861" s="1">
        <v>1.0</v>
      </c>
      <c r="K861" s="1">
        <v>12.0</v>
      </c>
      <c r="L861" s="1">
        <v>0.0</v>
      </c>
      <c r="M861" s="1">
        <v>0.0</v>
      </c>
      <c r="N861" s="1">
        <v>0.0</v>
      </c>
      <c r="O861" s="1">
        <v>0.0</v>
      </c>
      <c r="P861" s="1">
        <v>7.0</v>
      </c>
      <c r="Q861" s="1">
        <v>26.0</v>
      </c>
    </row>
    <row r="862">
      <c r="A862" s="1">
        <f t="shared" si="1"/>
        <v>860</v>
      </c>
      <c r="B862" s="1" t="s">
        <v>2359</v>
      </c>
      <c r="C862" s="1" t="s">
        <v>1065</v>
      </c>
      <c r="D862" s="1" t="s">
        <v>66</v>
      </c>
      <c r="E862" s="15">
        <f t="shared" si="2"/>
        <v>23.5</v>
      </c>
      <c r="F862" s="16">
        <f t="shared" si="3"/>
        <v>2.35</v>
      </c>
      <c r="G862" s="1">
        <v>10.0</v>
      </c>
      <c r="H862" s="1">
        <v>1.0</v>
      </c>
      <c r="I862" s="1">
        <v>1.0</v>
      </c>
      <c r="J862" s="1">
        <v>2.0</v>
      </c>
      <c r="K862" s="1">
        <v>16.0</v>
      </c>
      <c r="L862" s="1">
        <v>0.0</v>
      </c>
      <c r="M862" s="1">
        <v>0.0</v>
      </c>
      <c r="N862" s="1">
        <v>0.0</v>
      </c>
      <c r="O862" s="1">
        <v>0.0</v>
      </c>
      <c r="P862" s="1">
        <v>18.0</v>
      </c>
      <c r="Q862" s="1">
        <v>7.0</v>
      </c>
    </row>
    <row r="863">
      <c r="A863" s="1">
        <f t="shared" si="1"/>
        <v>860</v>
      </c>
      <c r="B863" s="1" t="s">
        <v>2360</v>
      </c>
      <c r="C863" s="1" t="s">
        <v>1085</v>
      </c>
      <c r="D863" s="1" t="s">
        <v>28</v>
      </c>
      <c r="E863" s="15">
        <f t="shared" si="2"/>
        <v>23.5</v>
      </c>
      <c r="F863" s="16">
        <f t="shared" si="3"/>
        <v>1.02173913</v>
      </c>
      <c r="G863" s="1">
        <v>23.0</v>
      </c>
      <c r="H863" s="1">
        <v>0.0</v>
      </c>
      <c r="I863" s="1">
        <v>3.0</v>
      </c>
      <c r="J863" s="1">
        <v>3.0</v>
      </c>
      <c r="K863" s="1">
        <v>14.0</v>
      </c>
      <c r="L863" s="1">
        <v>0.0</v>
      </c>
      <c r="M863" s="1">
        <v>0.0</v>
      </c>
      <c r="N863" s="1">
        <v>0.0</v>
      </c>
      <c r="O863" s="1">
        <v>0.0</v>
      </c>
      <c r="P863" s="1">
        <v>12.0</v>
      </c>
      <c r="Q863" s="1">
        <v>9.0</v>
      </c>
    </row>
    <row r="864">
      <c r="A864" s="1">
        <f t="shared" si="1"/>
        <v>862</v>
      </c>
      <c r="B864" s="1" t="s">
        <v>1827</v>
      </c>
      <c r="C864" s="1" t="s">
        <v>1082</v>
      </c>
      <c r="D864" s="1" t="s">
        <v>28</v>
      </c>
      <c r="E864" s="15">
        <f t="shared" si="2"/>
        <v>23.25</v>
      </c>
      <c r="F864" s="16">
        <f t="shared" si="3"/>
        <v>2.325</v>
      </c>
      <c r="G864" s="1">
        <v>10.0</v>
      </c>
      <c r="H864" s="1">
        <v>2.0</v>
      </c>
      <c r="I864" s="1">
        <v>2.0</v>
      </c>
      <c r="J864" s="1">
        <v>4.0</v>
      </c>
      <c r="K864" s="1">
        <v>11.0</v>
      </c>
      <c r="L864" s="1">
        <v>0.0</v>
      </c>
      <c r="M864" s="1">
        <v>0.0</v>
      </c>
      <c r="N864" s="1">
        <v>0.0</v>
      </c>
      <c r="O864" s="1">
        <v>0.0</v>
      </c>
      <c r="P864" s="1">
        <v>7.0</v>
      </c>
      <c r="Q864" s="1">
        <v>2.0</v>
      </c>
    </row>
    <row r="865">
      <c r="A865" s="1">
        <f t="shared" si="1"/>
        <v>862</v>
      </c>
      <c r="B865" s="1" t="s">
        <v>1853</v>
      </c>
      <c r="C865" s="1" t="s">
        <v>1046</v>
      </c>
      <c r="D865" s="1" t="s">
        <v>36</v>
      </c>
      <c r="E865" s="15">
        <f t="shared" si="2"/>
        <v>23.25</v>
      </c>
      <c r="F865" s="16">
        <f t="shared" si="3"/>
        <v>1.788461538</v>
      </c>
      <c r="G865" s="1">
        <v>13.0</v>
      </c>
      <c r="H865" s="1">
        <v>0.0</v>
      </c>
      <c r="I865" s="1">
        <v>0.0</v>
      </c>
      <c r="J865" s="1">
        <v>0.0</v>
      </c>
      <c r="K865" s="1">
        <v>13.0</v>
      </c>
      <c r="L865" s="1">
        <v>0.0</v>
      </c>
      <c r="M865" s="1">
        <v>0.0</v>
      </c>
      <c r="N865" s="1">
        <v>0.0</v>
      </c>
      <c r="O865" s="1">
        <v>0.0</v>
      </c>
      <c r="P865" s="1">
        <v>49.0</v>
      </c>
      <c r="Q865" s="1">
        <v>9.0</v>
      </c>
    </row>
    <row r="866">
      <c r="A866" s="1">
        <f t="shared" si="1"/>
        <v>864</v>
      </c>
      <c r="B866" s="1" t="s">
        <v>1306</v>
      </c>
      <c r="C866" s="1" t="s">
        <v>1065</v>
      </c>
      <c r="D866" s="1" t="s">
        <v>31</v>
      </c>
      <c r="E866" s="15">
        <f t="shared" si="2"/>
        <v>23</v>
      </c>
      <c r="F866" s="16">
        <f t="shared" si="3"/>
        <v>2.555555556</v>
      </c>
      <c r="G866" s="1">
        <v>9.0</v>
      </c>
      <c r="H866" s="1">
        <v>2.0</v>
      </c>
      <c r="I866" s="1">
        <v>1.0</v>
      </c>
      <c r="J866" s="1">
        <v>3.0</v>
      </c>
      <c r="K866" s="1">
        <v>12.0</v>
      </c>
      <c r="L866" s="1">
        <v>0.0</v>
      </c>
      <c r="M866" s="1">
        <v>1.0</v>
      </c>
      <c r="N866" s="1">
        <v>0.0</v>
      </c>
      <c r="O866" s="1">
        <v>0.0</v>
      </c>
      <c r="P866" s="1">
        <v>8.0</v>
      </c>
      <c r="Q866" s="1">
        <v>6.0</v>
      </c>
    </row>
    <row r="867">
      <c r="A867" s="1">
        <f t="shared" si="1"/>
        <v>865</v>
      </c>
      <c r="B867" s="1" t="s">
        <v>2361</v>
      </c>
      <c r="C867" s="1" t="s">
        <v>1091</v>
      </c>
      <c r="D867" s="1" t="s">
        <v>66</v>
      </c>
      <c r="E867" s="15">
        <f t="shared" si="2"/>
        <v>22.75</v>
      </c>
      <c r="F867" s="16">
        <f t="shared" si="3"/>
        <v>5.6875</v>
      </c>
      <c r="G867" s="1">
        <v>4.0</v>
      </c>
      <c r="H867" s="1">
        <v>1.0</v>
      </c>
      <c r="I867" s="1">
        <v>4.0</v>
      </c>
      <c r="J867" s="1">
        <v>5.0</v>
      </c>
      <c r="K867" s="1">
        <v>6.0</v>
      </c>
      <c r="L867" s="1">
        <v>0.0</v>
      </c>
      <c r="M867" s="1">
        <v>2.0</v>
      </c>
      <c r="N867" s="1">
        <v>0.0</v>
      </c>
      <c r="O867" s="1">
        <v>0.0</v>
      </c>
      <c r="P867" s="1">
        <v>1.0</v>
      </c>
      <c r="Q867" s="1">
        <v>6.0</v>
      </c>
    </row>
    <row r="868">
      <c r="A868" s="1">
        <f t="shared" si="1"/>
        <v>866</v>
      </c>
      <c r="B868" s="1" t="s">
        <v>2267</v>
      </c>
      <c r="C868" s="1" t="s">
        <v>1146</v>
      </c>
      <c r="D868" s="1" t="s">
        <v>66</v>
      </c>
      <c r="E868" s="15">
        <f t="shared" si="2"/>
        <v>22.25</v>
      </c>
      <c r="F868" s="16">
        <f t="shared" si="3"/>
        <v>2.022727273</v>
      </c>
      <c r="G868" s="1">
        <v>11.0</v>
      </c>
      <c r="H868" s="1">
        <v>0.0</v>
      </c>
      <c r="I868" s="1">
        <v>3.0</v>
      </c>
      <c r="J868" s="1">
        <v>3.0</v>
      </c>
      <c r="K868" s="1">
        <v>11.0</v>
      </c>
      <c r="L868" s="1">
        <v>0.0</v>
      </c>
      <c r="M868" s="1">
        <v>0.0</v>
      </c>
      <c r="N868" s="1">
        <v>0.0</v>
      </c>
      <c r="O868" s="1">
        <v>0.0</v>
      </c>
      <c r="P868" s="1">
        <v>5.0</v>
      </c>
      <c r="Q868" s="1">
        <v>13.0</v>
      </c>
    </row>
    <row r="869">
      <c r="A869" s="1">
        <f t="shared" si="1"/>
        <v>867</v>
      </c>
      <c r="B869" s="1" t="s">
        <v>2005</v>
      </c>
      <c r="C869" s="1" t="s">
        <v>1111</v>
      </c>
      <c r="D869" s="1" t="s">
        <v>66</v>
      </c>
      <c r="E869" s="15">
        <f t="shared" si="2"/>
        <v>22</v>
      </c>
      <c r="F869" s="16">
        <f t="shared" si="3"/>
        <v>1.375</v>
      </c>
      <c r="G869" s="1">
        <v>16.0</v>
      </c>
      <c r="H869" s="1">
        <v>0.0</v>
      </c>
      <c r="I869" s="1">
        <v>0.0</v>
      </c>
      <c r="J869" s="1">
        <v>0.0</v>
      </c>
      <c r="K869" s="1">
        <v>14.0</v>
      </c>
      <c r="L869" s="1">
        <v>0.0</v>
      </c>
      <c r="M869" s="1">
        <v>0.0</v>
      </c>
      <c r="N869" s="1">
        <v>0.0</v>
      </c>
      <c r="O869" s="1">
        <v>0.0</v>
      </c>
      <c r="P869" s="1">
        <v>14.0</v>
      </c>
      <c r="Q869" s="1">
        <v>23.0</v>
      </c>
    </row>
    <row r="870">
      <c r="A870" s="1">
        <f t="shared" si="1"/>
        <v>868</v>
      </c>
      <c r="B870" s="1" t="s">
        <v>2362</v>
      </c>
      <c r="C870" s="1" t="s">
        <v>1067</v>
      </c>
      <c r="D870" s="1" t="s">
        <v>5</v>
      </c>
      <c r="E870" s="15">
        <f t="shared" si="2"/>
        <v>21.9</v>
      </c>
      <c r="F870" s="16">
        <f t="shared" si="3"/>
        <v>10.95</v>
      </c>
      <c r="G870" s="1">
        <v>2.0</v>
      </c>
      <c r="R870" s="1">
        <v>2.0</v>
      </c>
      <c r="S870" s="1">
        <v>4.0</v>
      </c>
      <c r="T870" s="12">
        <v>73.0</v>
      </c>
      <c r="U870" s="1">
        <v>0.0</v>
      </c>
    </row>
    <row r="871">
      <c r="A871" s="1">
        <f t="shared" si="1"/>
        <v>869</v>
      </c>
      <c r="B871" s="1" t="s">
        <v>1363</v>
      </c>
      <c r="C871" s="1" t="s">
        <v>1067</v>
      </c>
      <c r="D871" s="1" t="s">
        <v>66</v>
      </c>
      <c r="E871" s="15">
        <f t="shared" si="2"/>
        <v>21.75</v>
      </c>
      <c r="F871" s="16">
        <f t="shared" si="3"/>
        <v>2.71875</v>
      </c>
      <c r="G871" s="1">
        <v>8.0</v>
      </c>
      <c r="H871" s="1">
        <v>2.0</v>
      </c>
      <c r="I871" s="1">
        <v>1.0</v>
      </c>
      <c r="J871" s="1">
        <v>3.0</v>
      </c>
      <c r="K871" s="1">
        <v>10.0</v>
      </c>
      <c r="L871" s="1">
        <v>0.0</v>
      </c>
      <c r="M871" s="1">
        <v>0.0</v>
      </c>
      <c r="N871" s="1">
        <v>0.0</v>
      </c>
      <c r="O871" s="1">
        <v>0.0</v>
      </c>
      <c r="P871" s="1">
        <v>1.0</v>
      </c>
      <c r="Q871" s="1">
        <v>9.0</v>
      </c>
    </row>
    <row r="872">
      <c r="A872" s="1">
        <f t="shared" si="1"/>
        <v>869</v>
      </c>
      <c r="B872" s="1" t="s">
        <v>1260</v>
      </c>
      <c r="C872" s="1" t="s">
        <v>1078</v>
      </c>
      <c r="D872" s="1" t="s">
        <v>66</v>
      </c>
      <c r="E872" s="15">
        <f t="shared" si="2"/>
        <v>21.75</v>
      </c>
      <c r="F872" s="16">
        <f t="shared" si="3"/>
        <v>3.625</v>
      </c>
      <c r="G872" s="1">
        <v>6.0</v>
      </c>
      <c r="H872" s="1">
        <v>0.0</v>
      </c>
      <c r="I872" s="1">
        <v>2.0</v>
      </c>
      <c r="J872" s="1">
        <v>2.0</v>
      </c>
      <c r="K872" s="1">
        <v>18.0</v>
      </c>
      <c r="L872" s="1">
        <v>0.0</v>
      </c>
      <c r="M872" s="1">
        <v>1.0</v>
      </c>
      <c r="N872" s="1">
        <v>0.0</v>
      </c>
      <c r="O872" s="1">
        <v>0.0</v>
      </c>
      <c r="P872" s="1">
        <v>9.0</v>
      </c>
      <c r="Q872" s="1">
        <v>9.0</v>
      </c>
    </row>
    <row r="873">
      <c r="A873" s="1">
        <f t="shared" si="1"/>
        <v>869</v>
      </c>
      <c r="B873" s="1" t="s">
        <v>2249</v>
      </c>
      <c r="C873" s="1" t="s">
        <v>1120</v>
      </c>
      <c r="D873" s="1" t="s">
        <v>28</v>
      </c>
      <c r="E873" s="15">
        <f t="shared" si="2"/>
        <v>21.75</v>
      </c>
      <c r="F873" s="16">
        <f t="shared" si="3"/>
        <v>1.45</v>
      </c>
      <c r="G873" s="1">
        <v>15.0</v>
      </c>
      <c r="H873" s="1">
        <v>1.0</v>
      </c>
      <c r="I873" s="1">
        <v>3.0</v>
      </c>
      <c r="J873" s="1">
        <v>4.0</v>
      </c>
      <c r="K873" s="1">
        <v>10.0</v>
      </c>
      <c r="L873" s="1">
        <v>1.0</v>
      </c>
      <c r="M873" s="1">
        <v>1.0</v>
      </c>
      <c r="N873" s="1">
        <v>0.0</v>
      </c>
      <c r="O873" s="1">
        <v>0.0</v>
      </c>
      <c r="P873" s="1">
        <v>9.0</v>
      </c>
      <c r="Q873" s="1">
        <v>2.0</v>
      </c>
    </row>
    <row r="874">
      <c r="A874" s="1">
        <f t="shared" si="1"/>
        <v>872</v>
      </c>
      <c r="B874" s="1" t="s">
        <v>1636</v>
      </c>
      <c r="C874" s="1" t="s">
        <v>1097</v>
      </c>
      <c r="D874" s="1" t="s">
        <v>5</v>
      </c>
      <c r="E874" s="15">
        <f t="shared" si="2"/>
        <v>21.6</v>
      </c>
      <c r="F874" s="16">
        <f t="shared" si="3"/>
        <v>1.8</v>
      </c>
      <c r="G874" s="1">
        <v>12.0</v>
      </c>
      <c r="R874" s="1">
        <v>1.0</v>
      </c>
      <c r="S874" s="1">
        <v>40.0</v>
      </c>
      <c r="T874" s="12">
        <v>262.0</v>
      </c>
      <c r="U874" s="1">
        <v>0.0</v>
      </c>
    </row>
    <row r="875">
      <c r="A875" s="1">
        <f t="shared" si="1"/>
        <v>873</v>
      </c>
      <c r="B875" s="1" t="s">
        <v>1323</v>
      </c>
      <c r="C875" s="1" t="s">
        <v>1082</v>
      </c>
      <c r="D875" s="1" t="s">
        <v>31</v>
      </c>
      <c r="E875" s="15">
        <f t="shared" si="2"/>
        <v>21.5</v>
      </c>
      <c r="F875" s="16">
        <f t="shared" si="3"/>
        <v>1.791666667</v>
      </c>
      <c r="G875" s="1">
        <v>12.0</v>
      </c>
      <c r="H875" s="1">
        <v>1.0</v>
      </c>
      <c r="I875" s="1">
        <v>0.0</v>
      </c>
      <c r="J875" s="1">
        <v>1.0</v>
      </c>
      <c r="K875" s="1">
        <v>10.0</v>
      </c>
      <c r="L875" s="1">
        <v>0.0</v>
      </c>
      <c r="M875" s="1">
        <v>0.0</v>
      </c>
      <c r="N875" s="1">
        <v>0.0</v>
      </c>
      <c r="O875" s="1">
        <v>0.0</v>
      </c>
      <c r="P875" s="1">
        <v>34.0</v>
      </c>
      <c r="Q875" s="1">
        <v>7.0</v>
      </c>
    </row>
    <row r="876">
      <c r="A876" s="1">
        <f t="shared" si="1"/>
        <v>874</v>
      </c>
      <c r="B876" s="1" t="s">
        <v>2363</v>
      </c>
      <c r="C876" s="1" t="s">
        <v>1175</v>
      </c>
      <c r="D876" s="1" t="s">
        <v>5</v>
      </c>
      <c r="E876" s="15">
        <f t="shared" si="2"/>
        <v>21.3</v>
      </c>
      <c r="F876" s="16">
        <f t="shared" si="3"/>
        <v>3.042857143</v>
      </c>
      <c r="G876" s="1">
        <v>7.0</v>
      </c>
      <c r="R876" s="1">
        <v>1.0</v>
      </c>
      <c r="S876" s="1">
        <v>15.0</v>
      </c>
      <c r="T876" s="12">
        <v>136.0</v>
      </c>
      <c r="U876" s="1">
        <v>0.0</v>
      </c>
    </row>
    <row r="877">
      <c r="A877" s="1">
        <f t="shared" si="1"/>
        <v>875</v>
      </c>
      <c r="B877" s="1" t="s">
        <v>1657</v>
      </c>
      <c r="C877" s="1" t="s">
        <v>1076</v>
      </c>
      <c r="D877" s="1" t="s">
        <v>28</v>
      </c>
      <c r="E877" s="15">
        <f t="shared" si="2"/>
        <v>21</v>
      </c>
      <c r="F877" s="16">
        <f t="shared" si="3"/>
        <v>2.333333333</v>
      </c>
      <c r="G877" s="1">
        <v>9.0</v>
      </c>
      <c r="H877" s="1">
        <v>1.0</v>
      </c>
      <c r="I877" s="1">
        <v>1.0</v>
      </c>
      <c r="J877" s="1">
        <v>2.0</v>
      </c>
      <c r="K877" s="1">
        <v>14.0</v>
      </c>
      <c r="L877" s="1">
        <v>0.0</v>
      </c>
      <c r="M877" s="1">
        <v>0.0</v>
      </c>
      <c r="N877" s="1">
        <v>0.0</v>
      </c>
      <c r="O877" s="1">
        <v>0.0</v>
      </c>
      <c r="P877" s="1">
        <v>20.0</v>
      </c>
      <c r="Q877" s="1">
        <v>3.0</v>
      </c>
    </row>
    <row r="878">
      <c r="A878" s="1">
        <f t="shared" si="1"/>
        <v>876</v>
      </c>
      <c r="B878" s="1" t="s">
        <v>1632</v>
      </c>
      <c r="C878" s="1" t="s">
        <v>1156</v>
      </c>
      <c r="D878" s="1" t="s">
        <v>5</v>
      </c>
      <c r="E878" s="15">
        <f t="shared" si="2"/>
        <v>20.7</v>
      </c>
      <c r="F878" s="16">
        <f t="shared" si="3"/>
        <v>5.175</v>
      </c>
      <c r="G878" s="1">
        <v>4.0</v>
      </c>
      <c r="R878" s="1">
        <v>0.0</v>
      </c>
      <c r="S878" s="1">
        <v>7.0</v>
      </c>
      <c r="T878" s="12">
        <v>104.0</v>
      </c>
      <c r="U878" s="1">
        <v>0.0</v>
      </c>
    </row>
    <row r="879">
      <c r="A879" s="1">
        <f t="shared" si="1"/>
        <v>876</v>
      </c>
      <c r="B879" s="1" t="s">
        <v>1964</v>
      </c>
      <c r="C879" s="1" t="s">
        <v>1052</v>
      </c>
      <c r="D879" s="1" t="s">
        <v>5</v>
      </c>
      <c r="E879" s="15">
        <f t="shared" si="2"/>
        <v>20.7</v>
      </c>
      <c r="F879" s="16">
        <f t="shared" si="3"/>
        <v>10.35</v>
      </c>
      <c r="G879" s="1">
        <v>2.0</v>
      </c>
      <c r="R879" s="1">
        <v>1.0</v>
      </c>
      <c r="S879" s="1">
        <v>4.0</v>
      </c>
      <c r="T879" s="12">
        <v>79.0</v>
      </c>
      <c r="U879" s="1">
        <v>0.0</v>
      </c>
    </row>
    <row r="880">
      <c r="A880" s="1">
        <f t="shared" si="1"/>
        <v>878</v>
      </c>
      <c r="B880" s="1" t="s">
        <v>2239</v>
      </c>
      <c r="C880" s="1" t="s">
        <v>1030</v>
      </c>
      <c r="D880" s="1" t="s">
        <v>31</v>
      </c>
      <c r="E880" s="15">
        <f t="shared" si="2"/>
        <v>20.25</v>
      </c>
      <c r="F880" s="16">
        <f t="shared" si="3"/>
        <v>1.125</v>
      </c>
      <c r="G880" s="1">
        <v>18.0</v>
      </c>
      <c r="H880" s="1">
        <v>0.0</v>
      </c>
      <c r="I880" s="1">
        <v>0.0</v>
      </c>
      <c r="J880" s="1">
        <v>0.0</v>
      </c>
      <c r="K880" s="1">
        <v>23.0</v>
      </c>
      <c r="L880" s="1">
        <v>0.0</v>
      </c>
      <c r="M880" s="1">
        <v>0.0</v>
      </c>
      <c r="N880" s="1">
        <v>0.0</v>
      </c>
      <c r="O880" s="1">
        <v>0.0</v>
      </c>
      <c r="P880" s="1">
        <v>31.0</v>
      </c>
      <c r="Q880" s="1">
        <v>2.0</v>
      </c>
    </row>
    <row r="881">
      <c r="A881" s="1">
        <f t="shared" si="1"/>
        <v>879</v>
      </c>
      <c r="B881" s="1" t="s">
        <v>2274</v>
      </c>
      <c r="C881" s="1" t="s">
        <v>1034</v>
      </c>
      <c r="D881" s="1" t="s">
        <v>28</v>
      </c>
      <c r="E881" s="15">
        <f t="shared" si="2"/>
        <v>20</v>
      </c>
      <c r="F881" s="16">
        <f t="shared" si="3"/>
        <v>2</v>
      </c>
      <c r="G881" s="1">
        <v>10.0</v>
      </c>
      <c r="H881" s="1">
        <v>1.0</v>
      </c>
      <c r="I881" s="1">
        <v>0.0</v>
      </c>
      <c r="J881" s="1">
        <v>1.0</v>
      </c>
      <c r="K881" s="1">
        <v>14.0</v>
      </c>
      <c r="L881" s="1">
        <v>0.0</v>
      </c>
      <c r="M881" s="1">
        <v>0.0</v>
      </c>
      <c r="N881" s="1">
        <v>0.0</v>
      </c>
      <c r="O881" s="1">
        <v>0.0</v>
      </c>
      <c r="P881" s="1">
        <v>24.0</v>
      </c>
      <c r="Q881" s="1">
        <v>5.0</v>
      </c>
    </row>
    <row r="882">
      <c r="A882" s="1">
        <f t="shared" si="1"/>
        <v>880</v>
      </c>
      <c r="B882" s="1" t="s">
        <v>2276</v>
      </c>
      <c r="C882" s="1" t="s">
        <v>1091</v>
      </c>
      <c r="D882" s="1" t="s">
        <v>31</v>
      </c>
      <c r="E882" s="15">
        <f t="shared" si="2"/>
        <v>19.5</v>
      </c>
      <c r="F882" s="16">
        <f t="shared" si="3"/>
        <v>3.25</v>
      </c>
      <c r="G882" s="1">
        <v>6.0</v>
      </c>
      <c r="H882" s="1">
        <v>1.0</v>
      </c>
      <c r="I882" s="1">
        <v>2.0</v>
      </c>
      <c r="J882" s="1">
        <v>3.0</v>
      </c>
      <c r="K882" s="1">
        <v>10.0</v>
      </c>
      <c r="L882" s="1">
        <v>0.0</v>
      </c>
      <c r="M882" s="1">
        <v>0.0</v>
      </c>
      <c r="N882" s="1">
        <v>0.0</v>
      </c>
      <c r="O882" s="1">
        <v>0.0</v>
      </c>
      <c r="P882" s="1">
        <v>12.0</v>
      </c>
      <c r="Q882" s="1">
        <v>2.0</v>
      </c>
    </row>
    <row r="883">
      <c r="A883" s="1">
        <f t="shared" si="1"/>
        <v>880</v>
      </c>
      <c r="B883" s="1" t="s">
        <v>1931</v>
      </c>
      <c r="C883" s="1" t="s">
        <v>1046</v>
      </c>
      <c r="D883" s="1" t="s">
        <v>31</v>
      </c>
      <c r="E883" s="15">
        <f t="shared" si="2"/>
        <v>19.5</v>
      </c>
      <c r="F883" s="16">
        <f t="shared" si="3"/>
        <v>1.083333333</v>
      </c>
      <c r="G883" s="1">
        <v>18.0</v>
      </c>
      <c r="H883" s="1">
        <v>0.0</v>
      </c>
      <c r="I883" s="1">
        <v>2.0</v>
      </c>
      <c r="J883" s="1">
        <v>2.0</v>
      </c>
      <c r="K883" s="1">
        <v>21.0</v>
      </c>
      <c r="L883" s="1">
        <v>0.0</v>
      </c>
      <c r="M883" s="1">
        <v>1.0</v>
      </c>
      <c r="N883" s="1">
        <v>0.0</v>
      </c>
      <c r="O883" s="1">
        <v>0.0</v>
      </c>
      <c r="P883" s="1">
        <v>6.0</v>
      </c>
      <c r="Q883" s="1">
        <v>3.0</v>
      </c>
    </row>
    <row r="884">
      <c r="A884" s="1">
        <f t="shared" si="1"/>
        <v>880</v>
      </c>
      <c r="B884" s="1" t="s">
        <v>1617</v>
      </c>
      <c r="C884" s="1" t="s">
        <v>1046</v>
      </c>
      <c r="D884" s="1" t="s">
        <v>66</v>
      </c>
      <c r="E884" s="15">
        <f t="shared" si="2"/>
        <v>19.5</v>
      </c>
      <c r="F884" s="16">
        <f t="shared" si="3"/>
        <v>2.4375</v>
      </c>
      <c r="G884" s="1">
        <v>8.0</v>
      </c>
      <c r="H884" s="1">
        <v>0.0</v>
      </c>
      <c r="I884" s="1">
        <v>2.0</v>
      </c>
      <c r="J884" s="1">
        <v>2.0</v>
      </c>
      <c r="K884" s="1">
        <v>6.0</v>
      </c>
      <c r="L884" s="1">
        <v>0.0</v>
      </c>
      <c r="M884" s="1">
        <v>0.0</v>
      </c>
      <c r="N884" s="1">
        <v>0.0</v>
      </c>
      <c r="O884" s="1">
        <v>0.0</v>
      </c>
      <c r="P884" s="1">
        <v>20.0</v>
      </c>
      <c r="Q884" s="1">
        <v>11.0</v>
      </c>
    </row>
    <row r="885">
      <c r="A885" s="1">
        <f t="shared" si="1"/>
        <v>883</v>
      </c>
      <c r="B885" s="1" t="s">
        <v>1380</v>
      </c>
      <c r="C885" s="1" t="s">
        <v>1080</v>
      </c>
      <c r="D885" s="1" t="s">
        <v>31</v>
      </c>
      <c r="E885" s="15">
        <f t="shared" si="2"/>
        <v>19.25</v>
      </c>
      <c r="F885" s="16">
        <f t="shared" si="3"/>
        <v>2.75</v>
      </c>
      <c r="G885" s="1">
        <v>7.0</v>
      </c>
      <c r="H885" s="1">
        <v>2.0</v>
      </c>
      <c r="I885" s="1">
        <v>0.0</v>
      </c>
      <c r="J885" s="1">
        <v>2.0</v>
      </c>
      <c r="K885" s="1">
        <v>11.0</v>
      </c>
      <c r="L885" s="1">
        <v>0.0</v>
      </c>
      <c r="M885" s="1">
        <v>0.0</v>
      </c>
      <c r="N885" s="1">
        <v>0.0</v>
      </c>
      <c r="O885" s="1">
        <v>0.0</v>
      </c>
      <c r="P885" s="1">
        <v>17.0</v>
      </c>
      <c r="Q885" s="1">
        <v>1.0</v>
      </c>
    </row>
    <row r="886">
      <c r="A886" s="1">
        <f t="shared" si="1"/>
        <v>883</v>
      </c>
      <c r="B886" s="1" t="s">
        <v>2364</v>
      </c>
      <c r="C886" s="1" t="s">
        <v>1078</v>
      </c>
      <c r="D886" s="1" t="s">
        <v>36</v>
      </c>
      <c r="E886" s="15">
        <f t="shared" si="2"/>
        <v>19.25</v>
      </c>
      <c r="F886" s="16">
        <f t="shared" si="3"/>
        <v>3.208333333</v>
      </c>
      <c r="G886" s="1">
        <v>6.0</v>
      </c>
      <c r="H886" s="1">
        <v>2.0</v>
      </c>
      <c r="I886" s="1">
        <v>0.0</v>
      </c>
      <c r="J886" s="1">
        <v>2.0</v>
      </c>
      <c r="K886" s="1">
        <v>15.0</v>
      </c>
      <c r="L886" s="1">
        <v>2.0</v>
      </c>
      <c r="M886" s="1">
        <v>0.0</v>
      </c>
      <c r="N886" s="1">
        <v>0.0</v>
      </c>
      <c r="O886" s="1">
        <v>0.0</v>
      </c>
      <c r="P886" s="1">
        <v>11.0</v>
      </c>
      <c r="Q886" s="1">
        <v>0.0</v>
      </c>
    </row>
    <row r="887">
      <c r="A887" s="1">
        <f t="shared" si="1"/>
        <v>885</v>
      </c>
      <c r="B887" s="1" t="s">
        <v>1287</v>
      </c>
      <c r="C887" s="1" t="s">
        <v>1175</v>
      </c>
      <c r="D887" s="1" t="s">
        <v>28</v>
      </c>
      <c r="E887" s="15">
        <f t="shared" si="2"/>
        <v>19</v>
      </c>
      <c r="F887" s="16">
        <f t="shared" si="3"/>
        <v>2.111111111</v>
      </c>
      <c r="G887" s="1">
        <v>9.0</v>
      </c>
      <c r="H887" s="1">
        <v>0.0</v>
      </c>
      <c r="I887" s="1">
        <v>4.0</v>
      </c>
      <c r="J887" s="1">
        <v>4.0</v>
      </c>
      <c r="K887" s="1">
        <v>8.0</v>
      </c>
      <c r="L887" s="1">
        <v>0.0</v>
      </c>
      <c r="M887" s="1">
        <v>3.0</v>
      </c>
      <c r="N887" s="1">
        <v>0.0</v>
      </c>
      <c r="O887" s="1">
        <v>0.0</v>
      </c>
      <c r="P887" s="1">
        <v>4.0</v>
      </c>
      <c r="Q887" s="1">
        <v>4.0</v>
      </c>
    </row>
    <row r="888">
      <c r="A888" s="1">
        <f t="shared" si="1"/>
        <v>886</v>
      </c>
      <c r="B888" s="1" t="s">
        <v>1962</v>
      </c>
      <c r="C888" s="1" t="s">
        <v>1106</v>
      </c>
      <c r="D888" s="1" t="s">
        <v>28</v>
      </c>
      <c r="E888" s="15">
        <f t="shared" si="2"/>
        <v>18.25</v>
      </c>
      <c r="F888" s="16">
        <f t="shared" si="3"/>
        <v>1.303571429</v>
      </c>
      <c r="G888" s="1">
        <v>14.0</v>
      </c>
      <c r="H888" s="1">
        <v>0.0</v>
      </c>
      <c r="I888" s="1">
        <v>2.0</v>
      </c>
      <c r="J888" s="1">
        <v>2.0</v>
      </c>
      <c r="K888" s="1">
        <v>14.0</v>
      </c>
      <c r="L888" s="1">
        <v>0.0</v>
      </c>
      <c r="M888" s="1">
        <v>0.0</v>
      </c>
      <c r="N888" s="1">
        <v>0.0</v>
      </c>
      <c r="O888" s="1">
        <v>0.0</v>
      </c>
      <c r="P888" s="1">
        <v>19.0</v>
      </c>
      <c r="Q888" s="1">
        <v>1.0</v>
      </c>
    </row>
    <row r="889">
      <c r="A889" s="1">
        <f t="shared" si="1"/>
        <v>887</v>
      </c>
      <c r="B889" s="1" t="s">
        <v>1564</v>
      </c>
      <c r="C889" s="1" t="s">
        <v>1069</v>
      </c>
      <c r="D889" s="1" t="s">
        <v>66</v>
      </c>
      <c r="E889" s="15">
        <f t="shared" si="2"/>
        <v>18</v>
      </c>
      <c r="F889" s="16">
        <f t="shared" si="3"/>
        <v>2</v>
      </c>
      <c r="G889" s="1">
        <v>9.0</v>
      </c>
      <c r="H889" s="1">
        <v>0.0</v>
      </c>
      <c r="I889" s="1">
        <v>2.0</v>
      </c>
      <c r="J889" s="1">
        <v>2.0</v>
      </c>
      <c r="K889" s="1">
        <v>11.0</v>
      </c>
      <c r="L889" s="1">
        <v>0.0</v>
      </c>
      <c r="M889" s="1">
        <v>0.0</v>
      </c>
      <c r="N889" s="1">
        <v>0.0</v>
      </c>
      <c r="O889" s="1">
        <v>0.0</v>
      </c>
      <c r="P889" s="1">
        <v>8.0</v>
      </c>
      <c r="Q889" s="1">
        <v>9.0</v>
      </c>
    </row>
    <row r="890">
      <c r="A890" s="1">
        <f t="shared" si="1"/>
        <v>887</v>
      </c>
      <c r="B890" s="1" t="s">
        <v>1665</v>
      </c>
      <c r="C890" s="1" t="s">
        <v>1048</v>
      </c>
      <c r="D890" s="1" t="s">
        <v>5</v>
      </c>
      <c r="E890" s="15">
        <f t="shared" si="2"/>
        <v>18</v>
      </c>
      <c r="F890" s="16">
        <f t="shared" si="3"/>
        <v>1.636363636</v>
      </c>
      <c r="G890" s="1">
        <v>11.0</v>
      </c>
      <c r="R890" s="1">
        <v>3.0</v>
      </c>
      <c r="S890" s="1">
        <v>39.0</v>
      </c>
      <c r="T890" s="12">
        <v>225.0</v>
      </c>
      <c r="U890" s="1">
        <v>0.0</v>
      </c>
    </row>
    <row r="891">
      <c r="A891" s="1">
        <f t="shared" si="1"/>
        <v>889</v>
      </c>
      <c r="B891" s="1" t="s">
        <v>1637</v>
      </c>
      <c r="C891" s="1" t="s">
        <v>1097</v>
      </c>
      <c r="D891" s="1" t="s">
        <v>66</v>
      </c>
      <c r="E891" s="15">
        <f t="shared" si="2"/>
        <v>17.75</v>
      </c>
      <c r="F891" s="16">
        <f t="shared" si="3"/>
        <v>2.535714286</v>
      </c>
      <c r="G891" s="1">
        <v>7.0</v>
      </c>
      <c r="H891" s="1">
        <v>1.0</v>
      </c>
      <c r="I891" s="1">
        <v>1.0</v>
      </c>
      <c r="J891" s="1">
        <v>2.0</v>
      </c>
      <c r="K891" s="1">
        <v>13.0</v>
      </c>
      <c r="L891" s="1">
        <v>0.0</v>
      </c>
      <c r="M891" s="1">
        <v>0.0</v>
      </c>
      <c r="N891" s="1">
        <v>0.0</v>
      </c>
      <c r="O891" s="1">
        <v>0.0</v>
      </c>
      <c r="P891" s="1">
        <v>5.0</v>
      </c>
      <c r="Q891" s="1">
        <v>5.0</v>
      </c>
    </row>
    <row r="892">
      <c r="A892" s="1">
        <f t="shared" si="1"/>
        <v>889</v>
      </c>
      <c r="B892" s="1" t="s">
        <v>2172</v>
      </c>
      <c r="C892" s="1" t="s">
        <v>1078</v>
      </c>
      <c r="D892" s="1" t="s">
        <v>66</v>
      </c>
      <c r="E892" s="15">
        <f t="shared" si="2"/>
        <v>17.75</v>
      </c>
      <c r="F892" s="16">
        <f t="shared" si="3"/>
        <v>1.972222222</v>
      </c>
      <c r="G892" s="1">
        <v>9.0</v>
      </c>
      <c r="H892" s="1">
        <v>1.0</v>
      </c>
      <c r="I892" s="1">
        <v>1.0</v>
      </c>
      <c r="J892" s="1">
        <v>2.0</v>
      </c>
      <c r="K892" s="1">
        <v>5.0</v>
      </c>
      <c r="L892" s="1">
        <v>0.0</v>
      </c>
      <c r="M892" s="1">
        <v>0.0</v>
      </c>
      <c r="N892" s="1">
        <v>0.0</v>
      </c>
      <c r="O892" s="1">
        <v>0.0</v>
      </c>
      <c r="P892" s="1">
        <v>5.0</v>
      </c>
      <c r="Q892" s="1">
        <v>13.0</v>
      </c>
    </row>
    <row r="893">
      <c r="A893" s="1">
        <f t="shared" si="1"/>
        <v>889</v>
      </c>
      <c r="B893" s="1" t="s">
        <v>2365</v>
      </c>
      <c r="C893" s="1" t="s">
        <v>1048</v>
      </c>
      <c r="D893" s="1" t="s">
        <v>66</v>
      </c>
      <c r="E893" s="15">
        <f t="shared" si="2"/>
        <v>17.75</v>
      </c>
      <c r="F893" s="16">
        <f t="shared" si="3"/>
        <v>1.972222222</v>
      </c>
      <c r="G893" s="1">
        <v>9.0</v>
      </c>
      <c r="H893" s="1">
        <v>0.0</v>
      </c>
      <c r="I893" s="1">
        <v>1.0</v>
      </c>
      <c r="J893" s="1">
        <v>1.0</v>
      </c>
      <c r="K893" s="1">
        <v>9.0</v>
      </c>
      <c r="L893" s="1">
        <v>0.0</v>
      </c>
      <c r="M893" s="1">
        <v>0.0</v>
      </c>
      <c r="N893" s="1">
        <v>0.0</v>
      </c>
      <c r="O893" s="1">
        <v>0.0</v>
      </c>
      <c r="P893" s="1">
        <v>25.0</v>
      </c>
      <c r="Q893" s="1">
        <v>8.0</v>
      </c>
    </row>
    <row r="894">
      <c r="A894" s="1">
        <f t="shared" si="1"/>
        <v>892</v>
      </c>
      <c r="B894" s="1" t="s">
        <v>1768</v>
      </c>
      <c r="C894" s="1" t="s">
        <v>1040</v>
      </c>
      <c r="D894" s="1" t="s">
        <v>66</v>
      </c>
      <c r="E894" s="15">
        <f t="shared" si="2"/>
        <v>17.5</v>
      </c>
      <c r="F894" s="16">
        <f t="shared" si="3"/>
        <v>1.458333333</v>
      </c>
      <c r="G894" s="1">
        <v>12.0</v>
      </c>
      <c r="H894" s="1">
        <v>0.0</v>
      </c>
      <c r="I894" s="1">
        <v>2.0</v>
      </c>
      <c r="J894" s="1">
        <v>2.0</v>
      </c>
      <c r="K894" s="1">
        <v>8.0</v>
      </c>
      <c r="L894" s="1">
        <v>0.0</v>
      </c>
      <c r="M894" s="1">
        <v>0.0</v>
      </c>
      <c r="N894" s="1">
        <v>0.0</v>
      </c>
      <c r="O894" s="1">
        <v>0.0</v>
      </c>
      <c r="P894" s="1">
        <v>4.0</v>
      </c>
      <c r="Q894" s="1">
        <v>13.0</v>
      </c>
    </row>
    <row r="895">
      <c r="A895" s="1">
        <f t="shared" si="1"/>
        <v>892</v>
      </c>
      <c r="B895" s="1" t="s">
        <v>2366</v>
      </c>
      <c r="C895" s="1" t="s">
        <v>1120</v>
      </c>
      <c r="D895" s="1" t="s">
        <v>66</v>
      </c>
      <c r="E895" s="15">
        <f t="shared" si="2"/>
        <v>17.5</v>
      </c>
      <c r="F895" s="16">
        <f t="shared" si="3"/>
        <v>0.9722222222</v>
      </c>
      <c r="G895" s="1">
        <v>18.0</v>
      </c>
      <c r="H895" s="1">
        <v>0.0</v>
      </c>
      <c r="I895" s="1">
        <v>0.0</v>
      </c>
      <c r="J895" s="1">
        <v>0.0</v>
      </c>
      <c r="K895" s="1">
        <v>18.0</v>
      </c>
      <c r="L895" s="1">
        <v>0.0</v>
      </c>
      <c r="M895" s="1">
        <v>0.0</v>
      </c>
      <c r="N895" s="1">
        <v>0.0</v>
      </c>
      <c r="O895" s="1">
        <v>0.0</v>
      </c>
      <c r="P895" s="1">
        <v>14.0</v>
      </c>
      <c r="Q895" s="1">
        <v>10.0</v>
      </c>
    </row>
    <row r="896">
      <c r="A896" s="1">
        <f t="shared" si="1"/>
        <v>894</v>
      </c>
      <c r="B896" s="1" t="s">
        <v>1437</v>
      </c>
      <c r="C896" s="1" t="s">
        <v>1065</v>
      </c>
      <c r="D896" s="1" t="s">
        <v>5</v>
      </c>
      <c r="E896" s="15">
        <f t="shared" si="2"/>
        <v>17.4</v>
      </c>
      <c r="F896" s="16">
        <f t="shared" si="3"/>
        <v>4.35</v>
      </c>
      <c r="G896" s="1">
        <v>4.0</v>
      </c>
      <c r="R896" s="1">
        <v>1.0</v>
      </c>
      <c r="S896" s="1">
        <v>10.0</v>
      </c>
      <c r="T896" s="12">
        <v>98.0</v>
      </c>
      <c r="U896" s="1">
        <v>0.0</v>
      </c>
    </row>
    <row r="897">
      <c r="A897" s="1">
        <f t="shared" si="1"/>
        <v>895</v>
      </c>
      <c r="B897" s="1" t="s">
        <v>2367</v>
      </c>
      <c r="C897" s="1" t="s">
        <v>1040</v>
      </c>
      <c r="D897" s="1" t="s">
        <v>31</v>
      </c>
      <c r="E897" s="15">
        <f t="shared" si="2"/>
        <v>17.25</v>
      </c>
      <c r="F897" s="16">
        <f t="shared" si="3"/>
        <v>1.916666667</v>
      </c>
      <c r="G897" s="1">
        <v>9.0</v>
      </c>
      <c r="H897" s="1">
        <v>1.0</v>
      </c>
      <c r="I897" s="1">
        <v>2.0</v>
      </c>
      <c r="J897" s="1">
        <v>3.0</v>
      </c>
      <c r="K897" s="1">
        <v>7.0</v>
      </c>
      <c r="L897" s="1">
        <v>0.0</v>
      </c>
      <c r="M897" s="1">
        <v>1.0</v>
      </c>
      <c r="N897" s="1">
        <v>0.0</v>
      </c>
      <c r="O897" s="1">
        <v>0.0</v>
      </c>
      <c r="P897" s="1">
        <v>9.0</v>
      </c>
      <c r="Q897" s="1">
        <v>2.0</v>
      </c>
    </row>
    <row r="898">
      <c r="A898" s="1">
        <f t="shared" si="1"/>
        <v>896</v>
      </c>
      <c r="B898" s="1" t="s">
        <v>2196</v>
      </c>
      <c r="C898" s="1" t="s">
        <v>1036</v>
      </c>
      <c r="D898" s="1" t="s">
        <v>31</v>
      </c>
      <c r="E898" s="15">
        <f t="shared" si="2"/>
        <v>17</v>
      </c>
      <c r="F898" s="16">
        <f t="shared" si="3"/>
        <v>2.125</v>
      </c>
      <c r="G898" s="1">
        <v>8.0</v>
      </c>
      <c r="H898" s="1">
        <v>1.0</v>
      </c>
      <c r="I898" s="1">
        <v>1.0</v>
      </c>
      <c r="J898" s="1">
        <v>2.0</v>
      </c>
      <c r="K898" s="1">
        <v>7.0</v>
      </c>
      <c r="L898" s="1">
        <v>0.0</v>
      </c>
      <c r="M898" s="1">
        <v>0.0</v>
      </c>
      <c r="N898" s="1">
        <v>0.0</v>
      </c>
      <c r="O898" s="1">
        <v>0.0</v>
      </c>
      <c r="P898" s="1">
        <v>22.0</v>
      </c>
      <c r="Q898" s="1">
        <v>1.0</v>
      </c>
    </row>
    <row r="899">
      <c r="A899" s="1">
        <f t="shared" si="1"/>
        <v>896</v>
      </c>
      <c r="B899" s="1" t="s">
        <v>1658</v>
      </c>
      <c r="C899" s="1" t="s">
        <v>1097</v>
      </c>
      <c r="D899" s="1" t="s">
        <v>66</v>
      </c>
      <c r="E899" s="15">
        <f t="shared" si="2"/>
        <v>17</v>
      </c>
      <c r="F899" s="16">
        <f t="shared" si="3"/>
        <v>1.7</v>
      </c>
      <c r="G899" s="1">
        <v>10.0</v>
      </c>
      <c r="H899" s="1">
        <v>1.0</v>
      </c>
      <c r="I899" s="1">
        <v>0.0</v>
      </c>
      <c r="J899" s="1">
        <v>1.0</v>
      </c>
      <c r="K899" s="1">
        <v>9.0</v>
      </c>
      <c r="L899" s="1">
        <v>0.0</v>
      </c>
      <c r="M899" s="1">
        <v>0.0</v>
      </c>
      <c r="N899" s="1">
        <v>0.0</v>
      </c>
      <c r="O899" s="1">
        <v>0.0</v>
      </c>
      <c r="P899" s="1">
        <v>10.0</v>
      </c>
      <c r="Q899" s="1">
        <v>11.0</v>
      </c>
    </row>
    <row r="900">
      <c r="A900" s="1">
        <f t="shared" si="1"/>
        <v>896</v>
      </c>
      <c r="B900" s="1" t="s">
        <v>1352</v>
      </c>
      <c r="C900" s="1" t="s">
        <v>1030</v>
      </c>
      <c r="D900" s="1" t="s">
        <v>28</v>
      </c>
      <c r="E900" s="15">
        <f t="shared" si="2"/>
        <v>17</v>
      </c>
      <c r="F900" s="16">
        <f t="shared" si="3"/>
        <v>1.545454545</v>
      </c>
      <c r="G900" s="1">
        <v>11.0</v>
      </c>
      <c r="H900" s="1">
        <v>1.0</v>
      </c>
      <c r="I900" s="1">
        <v>1.0</v>
      </c>
      <c r="J900" s="1">
        <v>2.0</v>
      </c>
      <c r="K900" s="1">
        <v>9.0</v>
      </c>
      <c r="L900" s="1">
        <v>0.0</v>
      </c>
      <c r="M900" s="1">
        <v>0.0</v>
      </c>
      <c r="N900" s="1">
        <v>0.0</v>
      </c>
      <c r="O900" s="1">
        <v>0.0</v>
      </c>
      <c r="P900" s="1">
        <v>12.0</v>
      </c>
      <c r="Q900" s="1">
        <v>4.0</v>
      </c>
    </row>
    <row r="901">
      <c r="A901" s="1">
        <f t="shared" si="1"/>
        <v>896</v>
      </c>
      <c r="B901" s="1" t="s">
        <v>2109</v>
      </c>
      <c r="C901" s="1" t="s">
        <v>1073</v>
      </c>
      <c r="D901" s="1" t="s">
        <v>28</v>
      </c>
      <c r="E901" s="15">
        <f t="shared" si="2"/>
        <v>17</v>
      </c>
      <c r="F901" s="16">
        <f t="shared" si="3"/>
        <v>2.428571429</v>
      </c>
      <c r="G901" s="1">
        <v>7.0</v>
      </c>
      <c r="H901" s="1">
        <v>1.0</v>
      </c>
      <c r="I901" s="1">
        <v>2.0</v>
      </c>
      <c r="J901" s="1">
        <v>3.0</v>
      </c>
      <c r="K901" s="1">
        <v>10.0</v>
      </c>
      <c r="L901" s="1">
        <v>0.0</v>
      </c>
      <c r="M901" s="1">
        <v>0.0</v>
      </c>
      <c r="N901" s="1">
        <v>0.0</v>
      </c>
      <c r="O901" s="1">
        <v>0.0</v>
      </c>
      <c r="P901" s="1">
        <v>4.0</v>
      </c>
      <c r="Q901" s="1">
        <v>1.0</v>
      </c>
    </row>
    <row r="902">
      <c r="A902" s="1">
        <f t="shared" si="1"/>
        <v>900</v>
      </c>
      <c r="B902" s="1" t="s">
        <v>2368</v>
      </c>
      <c r="C902" s="1" t="s">
        <v>1082</v>
      </c>
      <c r="D902" s="1" t="s">
        <v>5</v>
      </c>
      <c r="E902" s="15">
        <f t="shared" si="2"/>
        <v>16.8</v>
      </c>
      <c r="F902" s="16">
        <f t="shared" si="3"/>
        <v>4.2</v>
      </c>
      <c r="G902" s="1">
        <v>4.0</v>
      </c>
      <c r="R902" s="1">
        <v>1.0</v>
      </c>
      <c r="S902" s="1">
        <v>5.0</v>
      </c>
      <c r="T902" s="12">
        <v>61.0</v>
      </c>
      <c r="U902" s="1">
        <v>1.0</v>
      </c>
    </row>
    <row r="903">
      <c r="A903" s="1">
        <f t="shared" si="1"/>
        <v>901</v>
      </c>
      <c r="B903" s="1" t="s">
        <v>2369</v>
      </c>
      <c r="C903" s="1" t="s">
        <v>1042</v>
      </c>
      <c r="D903" s="1" t="s">
        <v>66</v>
      </c>
      <c r="E903" s="15">
        <f t="shared" si="2"/>
        <v>16.5</v>
      </c>
      <c r="F903" s="16">
        <f t="shared" si="3"/>
        <v>2.0625</v>
      </c>
      <c r="G903" s="1">
        <v>8.0</v>
      </c>
      <c r="H903" s="1">
        <v>0.0</v>
      </c>
      <c r="I903" s="1">
        <v>3.0</v>
      </c>
      <c r="J903" s="1">
        <v>3.0</v>
      </c>
      <c r="K903" s="1">
        <v>5.0</v>
      </c>
      <c r="L903" s="1">
        <v>0.0</v>
      </c>
      <c r="M903" s="1">
        <v>0.0</v>
      </c>
      <c r="N903" s="1">
        <v>0.0</v>
      </c>
      <c r="O903" s="1">
        <v>0.0</v>
      </c>
      <c r="P903" s="1">
        <v>12.0</v>
      </c>
      <c r="Q903" s="1">
        <v>4.0</v>
      </c>
    </row>
    <row r="904">
      <c r="A904" s="1">
        <f t="shared" si="1"/>
        <v>901</v>
      </c>
      <c r="B904" s="1" t="s">
        <v>1392</v>
      </c>
      <c r="C904" s="1" t="s">
        <v>1073</v>
      </c>
      <c r="D904" s="1" t="s">
        <v>5</v>
      </c>
      <c r="E904" s="15">
        <f t="shared" si="2"/>
        <v>16.5</v>
      </c>
      <c r="F904" s="16">
        <f t="shared" si="3"/>
        <v>5.5</v>
      </c>
      <c r="G904" s="1">
        <v>3.0</v>
      </c>
      <c r="R904" s="1">
        <v>3.0</v>
      </c>
      <c r="S904" s="1">
        <v>6.0</v>
      </c>
      <c r="T904" s="12">
        <v>55.0</v>
      </c>
      <c r="U904" s="1">
        <v>0.0</v>
      </c>
    </row>
    <row r="905">
      <c r="A905" s="1">
        <f t="shared" si="1"/>
        <v>903</v>
      </c>
      <c r="B905" s="1" t="s">
        <v>2370</v>
      </c>
      <c r="C905" s="1" t="s">
        <v>1065</v>
      </c>
      <c r="D905" s="1" t="s">
        <v>66</v>
      </c>
      <c r="E905" s="15">
        <f t="shared" si="2"/>
        <v>16.25</v>
      </c>
      <c r="F905" s="16">
        <f t="shared" si="3"/>
        <v>2.321428571</v>
      </c>
      <c r="G905" s="1">
        <v>7.0</v>
      </c>
      <c r="H905" s="1">
        <v>0.0</v>
      </c>
      <c r="I905" s="1">
        <v>1.0</v>
      </c>
      <c r="J905" s="1">
        <v>1.0</v>
      </c>
      <c r="K905" s="1">
        <v>7.0</v>
      </c>
      <c r="L905" s="1">
        <v>0.0</v>
      </c>
      <c r="M905" s="1">
        <v>0.0</v>
      </c>
      <c r="N905" s="1">
        <v>0.0</v>
      </c>
      <c r="O905" s="1">
        <v>1.0</v>
      </c>
      <c r="P905" s="1">
        <v>9.0</v>
      </c>
      <c r="Q905" s="1">
        <v>11.0</v>
      </c>
    </row>
    <row r="906">
      <c r="A906" s="1">
        <f t="shared" si="1"/>
        <v>904</v>
      </c>
      <c r="B906" s="1" t="s">
        <v>2371</v>
      </c>
      <c r="C906" s="1" t="s">
        <v>1111</v>
      </c>
      <c r="D906" s="1" t="s">
        <v>5</v>
      </c>
      <c r="E906" s="15">
        <f t="shared" si="2"/>
        <v>15.3</v>
      </c>
      <c r="F906" s="16">
        <f t="shared" si="3"/>
        <v>2.55</v>
      </c>
      <c r="G906" s="1">
        <v>6.0</v>
      </c>
      <c r="R906" s="1">
        <v>2.0</v>
      </c>
      <c r="S906" s="1">
        <v>21.0</v>
      </c>
      <c r="T906" s="12">
        <v>136.0</v>
      </c>
      <c r="U906" s="1">
        <v>0.0</v>
      </c>
    </row>
    <row r="907">
      <c r="A907" s="1">
        <f t="shared" si="1"/>
        <v>905</v>
      </c>
      <c r="B907" s="1" t="s">
        <v>1579</v>
      </c>
      <c r="C907" s="1" t="s">
        <v>1040</v>
      </c>
      <c r="D907" s="1" t="s">
        <v>66</v>
      </c>
      <c r="E907" s="15">
        <f t="shared" si="2"/>
        <v>15.25</v>
      </c>
      <c r="F907" s="16">
        <f t="shared" si="3"/>
        <v>2.178571429</v>
      </c>
      <c r="G907" s="1">
        <v>7.0</v>
      </c>
      <c r="H907" s="1">
        <v>1.0</v>
      </c>
      <c r="I907" s="1">
        <v>0.0</v>
      </c>
      <c r="J907" s="1">
        <v>1.0</v>
      </c>
      <c r="K907" s="1">
        <v>5.0</v>
      </c>
      <c r="L907" s="1">
        <v>0.0</v>
      </c>
      <c r="M907" s="1">
        <v>0.0</v>
      </c>
      <c r="N907" s="1">
        <v>0.0</v>
      </c>
      <c r="O907" s="1">
        <v>0.0</v>
      </c>
      <c r="P907" s="1">
        <v>17.0</v>
      </c>
      <c r="Q907" s="1">
        <v>8.0</v>
      </c>
    </row>
    <row r="908">
      <c r="A908" s="1">
        <f t="shared" si="1"/>
        <v>906</v>
      </c>
      <c r="B908" s="1" t="s">
        <v>2144</v>
      </c>
      <c r="C908" s="1" t="s">
        <v>1032</v>
      </c>
      <c r="D908" s="1" t="s">
        <v>28</v>
      </c>
      <c r="E908" s="15">
        <f t="shared" si="2"/>
        <v>15</v>
      </c>
      <c r="F908" s="16">
        <f t="shared" si="3"/>
        <v>1.5</v>
      </c>
      <c r="G908" s="1">
        <v>10.0</v>
      </c>
      <c r="H908" s="1">
        <v>1.0</v>
      </c>
      <c r="I908" s="1">
        <v>0.0</v>
      </c>
      <c r="J908" s="1">
        <v>1.0</v>
      </c>
      <c r="K908" s="1">
        <v>14.0</v>
      </c>
      <c r="L908" s="1">
        <v>0.0</v>
      </c>
      <c r="M908" s="1">
        <v>0.0</v>
      </c>
      <c r="N908" s="1">
        <v>0.0</v>
      </c>
      <c r="O908" s="1">
        <v>0.0</v>
      </c>
      <c r="P908" s="1">
        <v>10.0</v>
      </c>
      <c r="Q908" s="1">
        <v>2.0</v>
      </c>
    </row>
    <row r="909">
      <c r="A909" s="1">
        <f t="shared" si="1"/>
        <v>906</v>
      </c>
      <c r="B909" s="1" t="s">
        <v>2372</v>
      </c>
      <c r="C909" s="1" t="s">
        <v>1097</v>
      </c>
      <c r="D909" s="1" t="s">
        <v>5</v>
      </c>
      <c r="E909" s="15">
        <f t="shared" si="2"/>
        <v>15</v>
      </c>
      <c r="F909" s="16">
        <f t="shared" si="3"/>
        <v>3</v>
      </c>
      <c r="G909" s="1">
        <v>5.0</v>
      </c>
      <c r="R909" s="1">
        <v>1.0</v>
      </c>
      <c r="S909" s="1">
        <v>18.0</v>
      </c>
      <c r="T909" s="12">
        <v>130.0</v>
      </c>
      <c r="U909" s="1">
        <v>0.0</v>
      </c>
    </row>
    <row r="910">
      <c r="A910" s="1">
        <f t="shared" si="1"/>
        <v>908</v>
      </c>
      <c r="B910" s="1" t="s">
        <v>2373</v>
      </c>
      <c r="C910" s="1" t="s">
        <v>1570</v>
      </c>
      <c r="D910" s="1" t="s">
        <v>66</v>
      </c>
      <c r="E910" s="15">
        <f t="shared" si="2"/>
        <v>14.75</v>
      </c>
      <c r="F910" s="16">
        <f t="shared" si="3"/>
        <v>1.340909091</v>
      </c>
      <c r="G910" s="1">
        <v>11.0</v>
      </c>
      <c r="H910" s="1">
        <v>0.0</v>
      </c>
      <c r="I910" s="1">
        <v>0.0</v>
      </c>
      <c r="J910" s="1">
        <v>0.0</v>
      </c>
      <c r="K910" s="1">
        <v>9.0</v>
      </c>
      <c r="L910" s="1">
        <v>0.0</v>
      </c>
      <c r="M910" s="1">
        <v>0.0</v>
      </c>
      <c r="N910" s="1">
        <v>0.0</v>
      </c>
      <c r="O910" s="1">
        <v>0.0</v>
      </c>
      <c r="P910" s="1">
        <v>21.0</v>
      </c>
      <c r="Q910" s="1">
        <v>10.0</v>
      </c>
    </row>
    <row r="911">
      <c r="A911" s="1">
        <f t="shared" si="1"/>
        <v>908</v>
      </c>
      <c r="B911" s="1" t="s">
        <v>1778</v>
      </c>
      <c r="C911" s="1" t="s">
        <v>1080</v>
      </c>
      <c r="D911" s="1" t="s">
        <v>66</v>
      </c>
      <c r="E911" s="15">
        <f t="shared" si="2"/>
        <v>14.75</v>
      </c>
      <c r="F911" s="16">
        <f t="shared" si="3"/>
        <v>1.340909091</v>
      </c>
      <c r="G911" s="1">
        <v>11.0</v>
      </c>
      <c r="H911" s="1">
        <v>0.0</v>
      </c>
      <c r="I911" s="1">
        <v>1.0</v>
      </c>
      <c r="J911" s="1">
        <v>1.0</v>
      </c>
      <c r="K911" s="1">
        <v>15.0</v>
      </c>
      <c r="L911" s="1">
        <v>0.0</v>
      </c>
      <c r="M911" s="1">
        <v>0.0</v>
      </c>
      <c r="N911" s="1">
        <v>0.0</v>
      </c>
      <c r="O911" s="1">
        <v>0.0</v>
      </c>
      <c r="P911" s="1">
        <v>5.0</v>
      </c>
      <c r="Q911" s="1">
        <v>6.0</v>
      </c>
    </row>
    <row r="912">
      <c r="A912" s="1">
        <f t="shared" si="1"/>
        <v>908</v>
      </c>
      <c r="B912" s="1" t="s">
        <v>2223</v>
      </c>
      <c r="C912" s="1" t="s">
        <v>1078</v>
      </c>
      <c r="D912" s="1" t="s">
        <v>66</v>
      </c>
      <c r="E912" s="15">
        <f t="shared" si="2"/>
        <v>14.75</v>
      </c>
      <c r="F912" s="16">
        <f t="shared" si="3"/>
        <v>1.84375</v>
      </c>
      <c r="G912" s="1">
        <v>8.0</v>
      </c>
      <c r="H912" s="1">
        <v>0.0</v>
      </c>
      <c r="I912" s="1">
        <v>2.0</v>
      </c>
      <c r="J912" s="1">
        <v>2.0</v>
      </c>
      <c r="K912" s="1">
        <v>9.0</v>
      </c>
      <c r="L912" s="1">
        <v>0.0</v>
      </c>
      <c r="M912" s="1">
        <v>0.0</v>
      </c>
      <c r="N912" s="1">
        <v>0.0</v>
      </c>
      <c r="O912" s="1">
        <v>0.0</v>
      </c>
      <c r="P912" s="1">
        <v>7.0</v>
      </c>
      <c r="Q912" s="1">
        <v>5.0</v>
      </c>
    </row>
    <row r="913">
      <c r="A913" s="1">
        <f t="shared" si="1"/>
        <v>911</v>
      </c>
      <c r="B913" s="1" t="s">
        <v>1594</v>
      </c>
      <c r="C913" s="1" t="s">
        <v>1076</v>
      </c>
      <c r="D913" s="1" t="s">
        <v>66</v>
      </c>
      <c r="E913" s="15">
        <f t="shared" si="2"/>
        <v>14.5</v>
      </c>
      <c r="F913" s="16">
        <f t="shared" si="3"/>
        <v>2.9</v>
      </c>
      <c r="G913" s="1">
        <v>5.0</v>
      </c>
      <c r="H913" s="1">
        <v>1.0</v>
      </c>
      <c r="I913" s="1">
        <v>1.0</v>
      </c>
      <c r="J913" s="1">
        <v>2.0</v>
      </c>
      <c r="K913" s="1">
        <v>5.0</v>
      </c>
      <c r="L913" s="1">
        <v>0.0</v>
      </c>
      <c r="M913" s="1">
        <v>0.0</v>
      </c>
      <c r="N913" s="1">
        <v>0.0</v>
      </c>
      <c r="O913" s="1">
        <v>0.0</v>
      </c>
      <c r="P913" s="1">
        <v>16.0</v>
      </c>
      <c r="Q913" s="1">
        <v>1.0</v>
      </c>
    </row>
    <row r="914">
      <c r="A914" s="1">
        <f t="shared" si="1"/>
        <v>911</v>
      </c>
      <c r="B914" s="1" t="s">
        <v>1241</v>
      </c>
      <c r="C914" s="1" t="s">
        <v>1106</v>
      </c>
      <c r="D914" s="1" t="s">
        <v>28</v>
      </c>
      <c r="E914" s="15">
        <f t="shared" si="2"/>
        <v>14.5</v>
      </c>
      <c r="F914" s="16">
        <f t="shared" si="3"/>
        <v>1.611111111</v>
      </c>
      <c r="G914" s="1">
        <v>9.0</v>
      </c>
      <c r="H914" s="1">
        <v>1.0</v>
      </c>
      <c r="I914" s="1">
        <v>1.0</v>
      </c>
      <c r="J914" s="1">
        <v>2.0</v>
      </c>
      <c r="K914" s="1">
        <v>8.0</v>
      </c>
      <c r="L914" s="1">
        <v>0.0</v>
      </c>
      <c r="M914" s="1">
        <v>0.0</v>
      </c>
      <c r="N914" s="1">
        <v>0.0</v>
      </c>
      <c r="O914" s="1">
        <v>0.0</v>
      </c>
      <c r="P914" s="1">
        <v>10.0</v>
      </c>
      <c r="Q914" s="1">
        <v>1.0</v>
      </c>
    </row>
    <row r="915">
      <c r="A915" s="1">
        <f t="shared" si="1"/>
        <v>911</v>
      </c>
      <c r="B915" s="1" t="s">
        <v>2374</v>
      </c>
      <c r="C915" s="1" t="s">
        <v>1172</v>
      </c>
      <c r="D915" s="1" t="s">
        <v>28</v>
      </c>
      <c r="E915" s="15">
        <f t="shared" si="2"/>
        <v>14.5</v>
      </c>
      <c r="F915" s="16">
        <f t="shared" si="3"/>
        <v>0.9666666667</v>
      </c>
      <c r="G915" s="1">
        <v>15.0</v>
      </c>
      <c r="H915" s="1">
        <v>0.0</v>
      </c>
      <c r="I915" s="1">
        <v>1.0</v>
      </c>
      <c r="J915" s="1">
        <v>1.0</v>
      </c>
      <c r="K915" s="1">
        <v>13.0</v>
      </c>
      <c r="L915" s="1">
        <v>0.0</v>
      </c>
      <c r="M915" s="1">
        <v>0.0</v>
      </c>
      <c r="N915" s="1">
        <v>0.0</v>
      </c>
      <c r="O915" s="1">
        <v>0.0</v>
      </c>
      <c r="P915" s="1">
        <v>12.0</v>
      </c>
      <c r="Q915" s="1">
        <v>4.0</v>
      </c>
    </row>
    <row r="916">
      <c r="A916" s="1">
        <f t="shared" si="1"/>
        <v>914</v>
      </c>
      <c r="B916" s="1" t="s">
        <v>1469</v>
      </c>
      <c r="C916" s="1" t="s">
        <v>1076</v>
      </c>
      <c r="D916" s="1" t="s">
        <v>36</v>
      </c>
      <c r="E916" s="15">
        <f t="shared" si="2"/>
        <v>14.25</v>
      </c>
      <c r="F916" s="16">
        <f t="shared" si="3"/>
        <v>1.583333333</v>
      </c>
      <c r="G916" s="1">
        <v>9.0</v>
      </c>
      <c r="H916" s="1">
        <v>0.0</v>
      </c>
      <c r="I916" s="1">
        <v>2.0</v>
      </c>
      <c r="J916" s="1">
        <v>2.0</v>
      </c>
      <c r="K916" s="1">
        <v>12.0</v>
      </c>
      <c r="L916" s="1">
        <v>0.0</v>
      </c>
      <c r="M916" s="1">
        <v>1.0</v>
      </c>
      <c r="N916" s="1">
        <v>0.0</v>
      </c>
      <c r="O916" s="1">
        <v>0.0</v>
      </c>
      <c r="P916" s="1">
        <v>5.0</v>
      </c>
      <c r="Q916" s="1">
        <v>2.0</v>
      </c>
    </row>
    <row r="917">
      <c r="A917" s="1">
        <f t="shared" si="1"/>
        <v>915</v>
      </c>
      <c r="B917" s="1" t="s">
        <v>1521</v>
      </c>
      <c r="C917" s="1" t="s">
        <v>1073</v>
      </c>
      <c r="D917" s="1" t="s">
        <v>31</v>
      </c>
      <c r="E917" s="15">
        <f t="shared" si="2"/>
        <v>14</v>
      </c>
      <c r="F917" s="16">
        <f t="shared" si="3"/>
        <v>7</v>
      </c>
      <c r="G917" s="1">
        <v>2.0</v>
      </c>
      <c r="H917" s="1">
        <v>2.0</v>
      </c>
      <c r="I917" s="1">
        <v>0.0</v>
      </c>
      <c r="J917" s="1">
        <v>2.0</v>
      </c>
      <c r="K917" s="1">
        <v>6.0</v>
      </c>
      <c r="L917" s="1">
        <v>0.0</v>
      </c>
      <c r="M917" s="1">
        <v>0.0</v>
      </c>
      <c r="N917" s="1">
        <v>0.0</v>
      </c>
      <c r="O917" s="1">
        <v>0.0</v>
      </c>
      <c r="P917" s="1">
        <v>4.0</v>
      </c>
      <c r="Q917" s="1">
        <v>2.0</v>
      </c>
    </row>
    <row r="918">
      <c r="A918" s="1">
        <f t="shared" si="1"/>
        <v>915</v>
      </c>
      <c r="B918" s="1" t="s">
        <v>2195</v>
      </c>
      <c r="C918" s="1" t="s">
        <v>1087</v>
      </c>
      <c r="D918" s="1" t="s">
        <v>31</v>
      </c>
      <c r="E918" s="15">
        <f t="shared" si="2"/>
        <v>14</v>
      </c>
      <c r="F918" s="16">
        <f t="shared" si="3"/>
        <v>1.75</v>
      </c>
      <c r="G918" s="1">
        <v>8.0</v>
      </c>
      <c r="H918" s="1">
        <v>0.0</v>
      </c>
      <c r="I918" s="1">
        <v>2.0</v>
      </c>
      <c r="J918" s="1">
        <v>2.0</v>
      </c>
      <c r="K918" s="1">
        <v>8.0</v>
      </c>
      <c r="L918" s="1">
        <v>0.0</v>
      </c>
      <c r="M918" s="1">
        <v>0.0</v>
      </c>
      <c r="N918" s="1">
        <v>0.0</v>
      </c>
      <c r="O918" s="1">
        <v>0.0</v>
      </c>
      <c r="P918" s="1">
        <v>8.0</v>
      </c>
      <c r="Q918" s="1">
        <v>4.0</v>
      </c>
    </row>
    <row r="919">
      <c r="A919" s="1">
        <f t="shared" si="1"/>
        <v>915</v>
      </c>
      <c r="B919" s="1" t="s">
        <v>2173</v>
      </c>
      <c r="C919" s="1" t="s">
        <v>1038</v>
      </c>
      <c r="D919" s="1" t="s">
        <v>36</v>
      </c>
      <c r="E919" s="15">
        <f t="shared" si="2"/>
        <v>14</v>
      </c>
      <c r="F919" s="16">
        <f t="shared" si="3"/>
        <v>2</v>
      </c>
      <c r="G919" s="1">
        <v>7.0</v>
      </c>
      <c r="H919" s="1">
        <v>1.0</v>
      </c>
      <c r="I919" s="1">
        <v>0.0</v>
      </c>
      <c r="J919" s="1">
        <v>1.0</v>
      </c>
      <c r="K919" s="1">
        <v>10.0</v>
      </c>
      <c r="L919" s="1">
        <v>0.0</v>
      </c>
      <c r="M919" s="1">
        <v>0.0</v>
      </c>
      <c r="N919" s="1">
        <v>0.0</v>
      </c>
      <c r="O919" s="1">
        <v>0.0</v>
      </c>
      <c r="P919" s="1">
        <v>8.0</v>
      </c>
      <c r="Q919" s="1">
        <v>5.0</v>
      </c>
    </row>
    <row r="920">
      <c r="A920" s="1">
        <f t="shared" si="1"/>
        <v>915</v>
      </c>
      <c r="B920" s="1" t="s">
        <v>1645</v>
      </c>
      <c r="C920" s="1" t="s">
        <v>1046</v>
      </c>
      <c r="D920" s="1" t="s">
        <v>36</v>
      </c>
      <c r="E920" s="15">
        <f t="shared" si="2"/>
        <v>14</v>
      </c>
      <c r="F920" s="16">
        <f t="shared" si="3"/>
        <v>1</v>
      </c>
      <c r="G920" s="1">
        <v>14.0</v>
      </c>
      <c r="H920" s="1">
        <v>0.0</v>
      </c>
      <c r="I920" s="1">
        <v>0.0</v>
      </c>
      <c r="J920" s="1">
        <v>0.0</v>
      </c>
      <c r="K920" s="1">
        <v>16.0</v>
      </c>
      <c r="L920" s="1">
        <v>0.0</v>
      </c>
      <c r="M920" s="1">
        <v>0.0</v>
      </c>
      <c r="N920" s="1">
        <v>0.0</v>
      </c>
      <c r="O920" s="1">
        <v>0.0</v>
      </c>
      <c r="P920" s="1">
        <v>12.0</v>
      </c>
      <c r="Q920" s="1">
        <v>6.0</v>
      </c>
    </row>
    <row r="921">
      <c r="A921" s="1">
        <f t="shared" si="1"/>
        <v>919</v>
      </c>
      <c r="B921" s="1" t="s">
        <v>2047</v>
      </c>
      <c r="C921" s="1" t="s">
        <v>1146</v>
      </c>
      <c r="D921" s="1" t="s">
        <v>66</v>
      </c>
      <c r="E921" s="15">
        <f t="shared" si="2"/>
        <v>13.75</v>
      </c>
      <c r="F921" s="16">
        <f t="shared" si="3"/>
        <v>1.527777778</v>
      </c>
      <c r="G921" s="1">
        <v>9.0</v>
      </c>
      <c r="H921" s="1">
        <v>0.0</v>
      </c>
      <c r="I921" s="1">
        <v>0.0</v>
      </c>
      <c r="J921" s="1">
        <v>0.0</v>
      </c>
      <c r="K921" s="1">
        <v>4.0</v>
      </c>
      <c r="L921" s="1">
        <v>0.0</v>
      </c>
      <c r="M921" s="1">
        <v>0.0</v>
      </c>
      <c r="N921" s="1">
        <v>0.0</v>
      </c>
      <c r="O921" s="1">
        <v>0.0</v>
      </c>
      <c r="P921" s="1">
        <v>19.0</v>
      </c>
      <c r="Q921" s="1">
        <v>14.0</v>
      </c>
    </row>
    <row r="922">
      <c r="A922" s="1">
        <f t="shared" si="1"/>
        <v>919</v>
      </c>
      <c r="B922" s="1" t="s">
        <v>1883</v>
      </c>
      <c r="C922" s="1" t="s">
        <v>1156</v>
      </c>
      <c r="D922" s="1" t="s">
        <v>36</v>
      </c>
      <c r="E922" s="15">
        <f t="shared" si="2"/>
        <v>13.75</v>
      </c>
      <c r="F922" s="16">
        <f t="shared" si="3"/>
        <v>2.291666667</v>
      </c>
      <c r="G922" s="1">
        <v>6.0</v>
      </c>
      <c r="H922" s="1">
        <v>1.0</v>
      </c>
      <c r="I922" s="1">
        <v>1.0</v>
      </c>
      <c r="J922" s="1">
        <v>2.0</v>
      </c>
      <c r="K922" s="1">
        <v>5.0</v>
      </c>
      <c r="L922" s="1">
        <v>0.0</v>
      </c>
      <c r="M922" s="1">
        <v>0.0</v>
      </c>
      <c r="N922" s="1">
        <v>0.0</v>
      </c>
      <c r="O922" s="1">
        <v>0.0</v>
      </c>
      <c r="P922" s="1">
        <v>7.0</v>
      </c>
      <c r="Q922" s="1">
        <v>4.0</v>
      </c>
    </row>
    <row r="923">
      <c r="A923" s="1">
        <f t="shared" si="1"/>
        <v>921</v>
      </c>
      <c r="B923" s="1" t="s">
        <v>2375</v>
      </c>
      <c r="C923" s="1" t="s">
        <v>1085</v>
      </c>
      <c r="D923" s="1" t="s">
        <v>31</v>
      </c>
      <c r="E923" s="15">
        <f t="shared" si="2"/>
        <v>13.5</v>
      </c>
      <c r="F923" s="16">
        <f t="shared" si="3"/>
        <v>1.928571429</v>
      </c>
      <c r="G923" s="1">
        <v>7.0</v>
      </c>
      <c r="H923" s="1">
        <v>1.0</v>
      </c>
      <c r="I923" s="1">
        <v>1.0</v>
      </c>
      <c r="J923" s="1">
        <v>2.0</v>
      </c>
      <c r="K923" s="1">
        <v>10.0</v>
      </c>
      <c r="L923" s="1">
        <v>0.0</v>
      </c>
      <c r="M923" s="1">
        <v>0.0</v>
      </c>
      <c r="N923" s="1">
        <v>0.0</v>
      </c>
      <c r="O923" s="1">
        <v>0.0</v>
      </c>
      <c r="P923" s="1">
        <v>4.0</v>
      </c>
      <c r="Q923" s="1">
        <v>0.0</v>
      </c>
    </row>
    <row r="924">
      <c r="A924" s="1">
        <f t="shared" si="1"/>
        <v>921</v>
      </c>
      <c r="B924" s="1" t="s">
        <v>1994</v>
      </c>
      <c r="C924" s="1" t="s">
        <v>1044</v>
      </c>
      <c r="D924" s="1" t="s">
        <v>36</v>
      </c>
      <c r="E924" s="15">
        <f t="shared" si="2"/>
        <v>13.5</v>
      </c>
      <c r="F924" s="16">
        <f t="shared" si="3"/>
        <v>1.928571429</v>
      </c>
      <c r="G924" s="1">
        <v>7.0</v>
      </c>
      <c r="H924" s="1">
        <v>0.0</v>
      </c>
      <c r="I924" s="1">
        <v>2.0</v>
      </c>
      <c r="J924" s="1">
        <v>2.0</v>
      </c>
      <c r="K924" s="1">
        <v>4.0</v>
      </c>
      <c r="L924" s="1">
        <v>0.0</v>
      </c>
      <c r="M924" s="1">
        <v>0.0</v>
      </c>
      <c r="N924" s="1">
        <v>0.0</v>
      </c>
      <c r="O924" s="1">
        <v>0.0</v>
      </c>
      <c r="P924" s="1">
        <v>14.0</v>
      </c>
      <c r="Q924" s="1">
        <v>4.0</v>
      </c>
    </row>
    <row r="925">
      <c r="A925" s="1">
        <f t="shared" si="1"/>
        <v>923</v>
      </c>
      <c r="B925" s="1" t="s">
        <v>2376</v>
      </c>
      <c r="C925" s="1" t="s">
        <v>1097</v>
      </c>
      <c r="D925" s="1" t="s">
        <v>31</v>
      </c>
      <c r="E925" s="15">
        <f t="shared" si="2"/>
        <v>13.25</v>
      </c>
      <c r="F925" s="16">
        <f t="shared" si="3"/>
        <v>2.208333333</v>
      </c>
      <c r="G925" s="1">
        <v>6.0</v>
      </c>
      <c r="H925" s="1">
        <v>1.0</v>
      </c>
      <c r="I925" s="1">
        <v>0.0</v>
      </c>
      <c r="J925" s="1">
        <v>1.0</v>
      </c>
      <c r="K925" s="1">
        <v>10.0</v>
      </c>
      <c r="L925" s="1">
        <v>0.0</v>
      </c>
      <c r="M925" s="1">
        <v>0.0</v>
      </c>
      <c r="N925" s="1">
        <v>0.0</v>
      </c>
      <c r="O925" s="1">
        <v>0.0</v>
      </c>
      <c r="P925" s="1">
        <v>7.0</v>
      </c>
      <c r="Q925" s="1">
        <v>4.0</v>
      </c>
    </row>
    <row r="926">
      <c r="A926" s="1">
        <f t="shared" si="1"/>
        <v>923</v>
      </c>
      <c r="B926" s="1" t="s">
        <v>2125</v>
      </c>
      <c r="C926" s="1" t="s">
        <v>1097</v>
      </c>
      <c r="D926" s="1" t="s">
        <v>28</v>
      </c>
      <c r="E926" s="15">
        <f t="shared" si="2"/>
        <v>13.25</v>
      </c>
      <c r="F926" s="16">
        <f t="shared" si="3"/>
        <v>1.204545455</v>
      </c>
      <c r="G926" s="1">
        <v>11.0</v>
      </c>
      <c r="H926" s="1">
        <v>0.0</v>
      </c>
      <c r="I926" s="1">
        <v>0.0</v>
      </c>
      <c r="J926" s="1">
        <v>0.0</v>
      </c>
      <c r="K926" s="1">
        <v>13.0</v>
      </c>
      <c r="L926" s="1">
        <v>0.0</v>
      </c>
      <c r="M926" s="1">
        <v>0.0</v>
      </c>
      <c r="N926" s="1">
        <v>0.0</v>
      </c>
      <c r="O926" s="1">
        <v>0.0</v>
      </c>
      <c r="P926" s="1">
        <v>17.0</v>
      </c>
      <c r="Q926" s="1">
        <v>5.0</v>
      </c>
    </row>
    <row r="927">
      <c r="A927" s="1">
        <f t="shared" si="1"/>
        <v>923</v>
      </c>
      <c r="B927" s="1" t="s">
        <v>1587</v>
      </c>
      <c r="C927" s="1" t="s">
        <v>1042</v>
      </c>
      <c r="D927" s="1" t="s">
        <v>36</v>
      </c>
      <c r="E927" s="15">
        <f t="shared" si="2"/>
        <v>13.25</v>
      </c>
      <c r="F927" s="16">
        <f t="shared" si="3"/>
        <v>1.325</v>
      </c>
      <c r="G927" s="1">
        <v>10.0</v>
      </c>
      <c r="H927" s="1">
        <v>0.0</v>
      </c>
      <c r="I927" s="1">
        <v>1.0</v>
      </c>
      <c r="J927" s="1">
        <v>1.0</v>
      </c>
      <c r="K927" s="1">
        <v>5.0</v>
      </c>
      <c r="L927" s="1">
        <v>0.0</v>
      </c>
      <c r="M927" s="1">
        <v>0.0</v>
      </c>
      <c r="N927" s="1">
        <v>0.0</v>
      </c>
      <c r="O927" s="1">
        <v>0.0</v>
      </c>
      <c r="P927" s="1">
        <v>23.0</v>
      </c>
      <c r="Q927" s="1">
        <v>4.0</v>
      </c>
    </row>
    <row r="928">
      <c r="A928" s="1">
        <f t="shared" si="1"/>
        <v>926</v>
      </c>
      <c r="B928" s="1" t="s">
        <v>1707</v>
      </c>
      <c r="C928" s="1" t="s">
        <v>1156</v>
      </c>
      <c r="D928" s="1" t="s">
        <v>31</v>
      </c>
      <c r="E928" s="15">
        <f t="shared" si="2"/>
        <v>13</v>
      </c>
      <c r="F928" s="16">
        <f t="shared" si="3"/>
        <v>1.444444444</v>
      </c>
      <c r="G928" s="1">
        <v>9.0</v>
      </c>
      <c r="H928" s="1">
        <v>0.0</v>
      </c>
      <c r="I928" s="1">
        <v>3.0</v>
      </c>
      <c r="J928" s="1">
        <v>3.0</v>
      </c>
      <c r="K928" s="1">
        <v>5.0</v>
      </c>
      <c r="L928" s="1">
        <v>0.0</v>
      </c>
      <c r="M928" s="1">
        <v>2.0</v>
      </c>
      <c r="N928" s="1">
        <v>0.0</v>
      </c>
      <c r="O928" s="1">
        <v>0.0</v>
      </c>
      <c r="P928" s="1">
        <v>4.0</v>
      </c>
      <c r="Q928" s="1">
        <v>1.0</v>
      </c>
    </row>
    <row r="929">
      <c r="A929" s="1">
        <f t="shared" si="1"/>
        <v>927</v>
      </c>
      <c r="B929" s="1" t="s">
        <v>1679</v>
      </c>
      <c r="C929" s="1" t="s">
        <v>1042</v>
      </c>
      <c r="D929" s="1" t="s">
        <v>31</v>
      </c>
      <c r="E929" s="15">
        <f t="shared" si="2"/>
        <v>12.75</v>
      </c>
      <c r="F929" s="16">
        <f t="shared" si="3"/>
        <v>1.59375</v>
      </c>
      <c r="G929" s="1">
        <v>8.0</v>
      </c>
      <c r="H929" s="1">
        <v>0.0</v>
      </c>
      <c r="I929" s="1">
        <v>1.0</v>
      </c>
      <c r="J929" s="1">
        <v>1.0</v>
      </c>
      <c r="K929" s="1">
        <v>9.0</v>
      </c>
      <c r="L929" s="1">
        <v>0.0</v>
      </c>
      <c r="M929" s="1">
        <v>0.0</v>
      </c>
      <c r="N929" s="1">
        <v>0.0</v>
      </c>
      <c r="O929" s="1">
        <v>0.0</v>
      </c>
      <c r="P929" s="1">
        <v>13.0</v>
      </c>
      <c r="Q929" s="1">
        <v>4.0</v>
      </c>
    </row>
    <row r="930">
      <c r="A930" s="1">
        <f t="shared" si="1"/>
        <v>927</v>
      </c>
      <c r="B930" s="1" t="s">
        <v>1571</v>
      </c>
      <c r="C930" s="1" t="s">
        <v>1091</v>
      </c>
      <c r="D930" s="1" t="s">
        <v>66</v>
      </c>
      <c r="E930" s="15">
        <f t="shared" si="2"/>
        <v>12.75</v>
      </c>
      <c r="F930" s="16">
        <f t="shared" si="3"/>
        <v>1.275</v>
      </c>
      <c r="G930" s="1">
        <v>10.0</v>
      </c>
      <c r="H930" s="1">
        <v>0.0</v>
      </c>
      <c r="I930" s="1">
        <v>0.0</v>
      </c>
      <c r="J930" s="1">
        <v>0.0</v>
      </c>
      <c r="K930" s="1">
        <v>4.0</v>
      </c>
      <c r="L930" s="1">
        <v>0.0</v>
      </c>
      <c r="M930" s="1">
        <v>0.0</v>
      </c>
      <c r="N930" s="1">
        <v>0.0</v>
      </c>
      <c r="O930" s="1">
        <v>0.0</v>
      </c>
      <c r="P930" s="1">
        <v>5.0</v>
      </c>
      <c r="Q930" s="1">
        <v>19.0</v>
      </c>
    </row>
    <row r="931">
      <c r="A931" s="1">
        <f t="shared" si="1"/>
        <v>927</v>
      </c>
      <c r="B931" s="1" t="s">
        <v>2099</v>
      </c>
      <c r="C931" s="1" t="s">
        <v>1036</v>
      </c>
      <c r="D931" s="1" t="s">
        <v>36</v>
      </c>
      <c r="E931" s="15">
        <f t="shared" si="2"/>
        <v>12.75</v>
      </c>
      <c r="F931" s="16">
        <f t="shared" si="3"/>
        <v>1.59375</v>
      </c>
      <c r="G931" s="1">
        <v>8.0</v>
      </c>
      <c r="H931" s="1">
        <v>0.0</v>
      </c>
      <c r="I931" s="1">
        <v>1.0</v>
      </c>
      <c r="J931" s="1">
        <v>1.0</v>
      </c>
      <c r="K931" s="1">
        <v>4.0</v>
      </c>
      <c r="L931" s="1">
        <v>0.0</v>
      </c>
      <c r="M931" s="1">
        <v>0.0</v>
      </c>
      <c r="N931" s="1">
        <v>0.0</v>
      </c>
      <c r="O931" s="1">
        <v>0.0</v>
      </c>
      <c r="P931" s="1">
        <v>27.0</v>
      </c>
      <c r="Q931" s="1">
        <v>2.0</v>
      </c>
    </row>
    <row r="932">
      <c r="A932" s="1">
        <f t="shared" si="1"/>
        <v>927</v>
      </c>
      <c r="B932" s="1" t="s">
        <v>2377</v>
      </c>
      <c r="C932" s="1" t="s">
        <v>1116</v>
      </c>
      <c r="D932" s="1" t="s">
        <v>36</v>
      </c>
      <c r="E932" s="15">
        <f t="shared" si="2"/>
        <v>12.75</v>
      </c>
      <c r="F932" s="16">
        <f t="shared" si="3"/>
        <v>0.796875</v>
      </c>
      <c r="G932" s="1">
        <v>16.0</v>
      </c>
      <c r="H932" s="1">
        <v>0.0</v>
      </c>
      <c r="I932" s="1">
        <v>0.0</v>
      </c>
      <c r="J932" s="1">
        <v>0.0</v>
      </c>
      <c r="K932" s="1">
        <v>9.0</v>
      </c>
      <c r="L932" s="1">
        <v>0.0</v>
      </c>
      <c r="M932" s="1">
        <v>0.0</v>
      </c>
      <c r="N932" s="1">
        <v>0.0</v>
      </c>
      <c r="O932" s="1">
        <v>0.0</v>
      </c>
      <c r="P932" s="1">
        <v>23.0</v>
      </c>
      <c r="Q932" s="1">
        <v>5.0</v>
      </c>
    </row>
    <row r="933">
      <c r="A933" s="1">
        <f t="shared" si="1"/>
        <v>931</v>
      </c>
      <c r="B933" s="1" t="s">
        <v>1739</v>
      </c>
      <c r="C933" s="1" t="s">
        <v>1030</v>
      </c>
      <c r="D933" s="1" t="s">
        <v>66</v>
      </c>
      <c r="E933" s="15">
        <f t="shared" si="2"/>
        <v>12.25</v>
      </c>
      <c r="F933" s="16">
        <f t="shared" si="3"/>
        <v>1.53125</v>
      </c>
      <c r="G933" s="1">
        <v>8.0</v>
      </c>
      <c r="H933" s="1">
        <v>0.0</v>
      </c>
      <c r="I933" s="1">
        <v>0.0</v>
      </c>
      <c r="J933" s="1">
        <v>0.0</v>
      </c>
      <c r="K933" s="1">
        <v>17.0</v>
      </c>
      <c r="L933" s="1">
        <v>0.0</v>
      </c>
      <c r="M933" s="1">
        <v>0.0</v>
      </c>
      <c r="N933" s="1">
        <v>0.0</v>
      </c>
      <c r="O933" s="1">
        <v>0.0</v>
      </c>
      <c r="P933" s="1">
        <v>9.0</v>
      </c>
      <c r="Q933" s="1">
        <v>3.0</v>
      </c>
    </row>
    <row r="934">
      <c r="A934" s="1">
        <f t="shared" si="1"/>
        <v>931</v>
      </c>
      <c r="B934" s="1" t="s">
        <v>1902</v>
      </c>
      <c r="C934" s="1" t="s">
        <v>1175</v>
      </c>
      <c r="D934" s="1" t="s">
        <v>66</v>
      </c>
      <c r="E934" s="15">
        <f t="shared" si="2"/>
        <v>12.25</v>
      </c>
      <c r="F934" s="16">
        <f t="shared" si="3"/>
        <v>1.361111111</v>
      </c>
      <c r="G934" s="1">
        <v>9.0</v>
      </c>
      <c r="H934" s="1">
        <v>0.0</v>
      </c>
      <c r="I934" s="1">
        <v>2.0</v>
      </c>
      <c r="J934" s="1">
        <v>2.0</v>
      </c>
      <c r="K934" s="1">
        <v>3.0</v>
      </c>
      <c r="L934" s="1">
        <v>0.0</v>
      </c>
      <c r="M934" s="1">
        <v>0.0</v>
      </c>
      <c r="N934" s="1">
        <v>0.0</v>
      </c>
      <c r="O934" s="1">
        <v>0.0</v>
      </c>
      <c r="P934" s="1">
        <v>5.0</v>
      </c>
      <c r="Q934" s="1">
        <v>7.0</v>
      </c>
    </row>
    <row r="935">
      <c r="A935" s="1">
        <f t="shared" si="1"/>
        <v>933</v>
      </c>
      <c r="B935" s="1" t="s">
        <v>2117</v>
      </c>
      <c r="C935" s="1" t="s">
        <v>1156</v>
      </c>
      <c r="D935" s="1" t="s">
        <v>66</v>
      </c>
      <c r="E935" s="15">
        <f t="shared" si="2"/>
        <v>12</v>
      </c>
      <c r="F935" s="16">
        <f t="shared" si="3"/>
        <v>1.714285714</v>
      </c>
      <c r="G935" s="1">
        <v>7.0</v>
      </c>
      <c r="H935" s="1">
        <v>0.0</v>
      </c>
      <c r="I935" s="1">
        <v>1.0</v>
      </c>
      <c r="J935" s="1">
        <v>1.0</v>
      </c>
      <c r="K935" s="1">
        <v>5.0</v>
      </c>
      <c r="L935" s="1">
        <v>0.0</v>
      </c>
      <c r="M935" s="1">
        <v>0.0</v>
      </c>
      <c r="N935" s="1">
        <v>0.0</v>
      </c>
      <c r="O935" s="1">
        <v>0.0</v>
      </c>
      <c r="P935" s="1">
        <v>8.0</v>
      </c>
      <c r="Q935" s="1">
        <v>9.0</v>
      </c>
    </row>
    <row r="936">
      <c r="A936" s="1">
        <f t="shared" si="1"/>
        <v>933</v>
      </c>
      <c r="B936" s="1" t="s">
        <v>1731</v>
      </c>
      <c r="C936" s="1" t="s">
        <v>1097</v>
      </c>
      <c r="D936" s="1" t="s">
        <v>28</v>
      </c>
      <c r="E936" s="15">
        <f t="shared" si="2"/>
        <v>12</v>
      </c>
      <c r="F936" s="16">
        <f t="shared" si="3"/>
        <v>3</v>
      </c>
      <c r="G936" s="1">
        <v>4.0</v>
      </c>
      <c r="H936" s="1">
        <v>1.0</v>
      </c>
      <c r="I936" s="1">
        <v>0.0</v>
      </c>
      <c r="J936" s="1">
        <v>1.0</v>
      </c>
      <c r="K936" s="1">
        <v>6.0</v>
      </c>
      <c r="L936" s="1">
        <v>0.0</v>
      </c>
      <c r="M936" s="1">
        <v>0.0</v>
      </c>
      <c r="N936" s="1">
        <v>0.0</v>
      </c>
      <c r="O936" s="1">
        <v>0.0</v>
      </c>
      <c r="P936" s="1">
        <v>12.0</v>
      </c>
      <c r="Q936" s="1">
        <v>3.0</v>
      </c>
    </row>
    <row r="937">
      <c r="A937" s="1">
        <f t="shared" si="1"/>
        <v>933</v>
      </c>
      <c r="B937" s="1" t="s">
        <v>1660</v>
      </c>
      <c r="C937" s="1" t="s">
        <v>1172</v>
      </c>
      <c r="D937" s="1" t="s">
        <v>36</v>
      </c>
      <c r="E937" s="15">
        <f t="shared" si="2"/>
        <v>12</v>
      </c>
      <c r="F937" s="16">
        <f t="shared" si="3"/>
        <v>1.090909091</v>
      </c>
      <c r="G937" s="1">
        <v>11.0</v>
      </c>
      <c r="H937" s="1">
        <v>0.0</v>
      </c>
      <c r="I937" s="1">
        <v>1.0</v>
      </c>
      <c r="J937" s="1">
        <v>1.0</v>
      </c>
      <c r="K937" s="1">
        <v>15.0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3.0</v>
      </c>
    </row>
    <row r="938">
      <c r="A938" s="1">
        <f t="shared" si="1"/>
        <v>936</v>
      </c>
      <c r="B938" s="1" t="s">
        <v>2212</v>
      </c>
      <c r="C938" s="1" t="s">
        <v>1032</v>
      </c>
      <c r="D938" s="1" t="s">
        <v>31</v>
      </c>
      <c r="E938" s="15">
        <f t="shared" si="2"/>
        <v>11.75</v>
      </c>
      <c r="F938" s="16">
        <f t="shared" si="3"/>
        <v>1.305555556</v>
      </c>
      <c r="G938" s="1">
        <v>9.0</v>
      </c>
      <c r="H938" s="1">
        <v>1.0</v>
      </c>
      <c r="I938" s="1">
        <v>0.0</v>
      </c>
      <c r="J938" s="1">
        <v>1.0</v>
      </c>
      <c r="K938" s="1">
        <v>8.0</v>
      </c>
      <c r="L938" s="1">
        <v>0.0</v>
      </c>
      <c r="M938" s="1">
        <v>0.0</v>
      </c>
      <c r="N938" s="1">
        <v>0.0</v>
      </c>
      <c r="O938" s="1">
        <v>0.0</v>
      </c>
      <c r="P938" s="1">
        <v>7.0</v>
      </c>
      <c r="Q938" s="1">
        <v>3.0</v>
      </c>
    </row>
    <row r="939">
      <c r="A939" s="1">
        <f t="shared" si="1"/>
        <v>936</v>
      </c>
      <c r="B939" s="1" t="s">
        <v>1906</v>
      </c>
      <c r="C939" s="1" t="s">
        <v>1156</v>
      </c>
      <c r="D939" s="1" t="s">
        <v>66</v>
      </c>
      <c r="E939" s="15">
        <f t="shared" si="2"/>
        <v>11.75</v>
      </c>
      <c r="F939" s="16">
        <f t="shared" si="3"/>
        <v>1.46875</v>
      </c>
      <c r="G939" s="1">
        <v>8.0</v>
      </c>
      <c r="H939" s="1">
        <v>1.0</v>
      </c>
      <c r="I939" s="1">
        <v>0.0</v>
      </c>
      <c r="J939" s="1">
        <v>1.0</v>
      </c>
      <c r="K939" s="1">
        <v>4.0</v>
      </c>
      <c r="L939" s="1">
        <v>0.0</v>
      </c>
      <c r="M939" s="1">
        <v>0.0</v>
      </c>
      <c r="N939" s="1">
        <v>0.0</v>
      </c>
      <c r="O939" s="1">
        <v>0.0</v>
      </c>
      <c r="P939" s="1">
        <v>9.0</v>
      </c>
      <c r="Q939" s="1">
        <v>6.0</v>
      </c>
    </row>
    <row r="940">
      <c r="A940" s="1">
        <f t="shared" si="1"/>
        <v>936</v>
      </c>
      <c r="B940" s="1" t="s">
        <v>2378</v>
      </c>
      <c r="C940" s="1" t="s">
        <v>1052</v>
      </c>
      <c r="D940" s="1" t="s">
        <v>36</v>
      </c>
      <c r="E940" s="15">
        <f t="shared" si="2"/>
        <v>11.75</v>
      </c>
      <c r="F940" s="16">
        <f t="shared" si="3"/>
        <v>1.958333333</v>
      </c>
      <c r="G940" s="1">
        <v>6.0</v>
      </c>
      <c r="H940" s="1">
        <v>1.0</v>
      </c>
      <c r="I940" s="1">
        <v>0.0</v>
      </c>
      <c r="J940" s="1">
        <v>1.0</v>
      </c>
      <c r="K940" s="1">
        <v>8.0</v>
      </c>
      <c r="L940" s="1">
        <v>0.0</v>
      </c>
      <c r="M940" s="1">
        <v>0.0</v>
      </c>
      <c r="N940" s="1">
        <v>0.0</v>
      </c>
      <c r="O940" s="1">
        <v>0.0</v>
      </c>
      <c r="P940" s="1">
        <v>9.0</v>
      </c>
      <c r="Q940" s="1">
        <v>2.0</v>
      </c>
    </row>
    <row r="941">
      <c r="A941" s="1">
        <f t="shared" si="1"/>
        <v>939</v>
      </c>
      <c r="B941" s="1" t="s">
        <v>1362</v>
      </c>
      <c r="C941" s="1" t="s">
        <v>1073</v>
      </c>
      <c r="D941" s="1" t="s">
        <v>5</v>
      </c>
      <c r="E941" s="15">
        <f t="shared" si="2"/>
        <v>11.7</v>
      </c>
      <c r="F941" s="16">
        <f t="shared" si="3"/>
        <v>5.85</v>
      </c>
      <c r="G941" s="1">
        <v>2.0</v>
      </c>
      <c r="R941" s="1">
        <v>1.0</v>
      </c>
      <c r="S941" s="1">
        <v>6.0</v>
      </c>
      <c r="T941" s="12">
        <v>59.0</v>
      </c>
      <c r="U941" s="1">
        <v>0.0</v>
      </c>
    </row>
    <row r="942">
      <c r="A942" s="1">
        <f t="shared" si="1"/>
        <v>939</v>
      </c>
      <c r="B942" s="1" t="s">
        <v>2379</v>
      </c>
      <c r="C942" s="1" t="s">
        <v>1078</v>
      </c>
      <c r="D942" s="1" t="s">
        <v>5</v>
      </c>
      <c r="E942" s="15">
        <f t="shared" si="2"/>
        <v>11.7</v>
      </c>
      <c r="F942" s="16">
        <f t="shared" si="3"/>
        <v>5.85</v>
      </c>
      <c r="G942" s="1">
        <v>2.0</v>
      </c>
      <c r="R942" s="1">
        <v>1.0</v>
      </c>
      <c r="S942" s="1">
        <v>3.0</v>
      </c>
      <c r="T942" s="12">
        <v>44.0</v>
      </c>
      <c r="U942" s="1">
        <v>0.0</v>
      </c>
    </row>
    <row r="943">
      <c r="A943" s="1">
        <f t="shared" si="1"/>
        <v>941</v>
      </c>
      <c r="B943" s="1" t="s">
        <v>2380</v>
      </c>
      <c r="C943" s="1" t="s">
        <v>1044</v>
      </c>
      <c r="D943" s="1" t="s">
        <v>31</v>
      </c>
      <c r="E943" s="15">
        <f t="shared" si="2"/>
        <v>11.5</v>
      </c>
      <c r="F943" s="16">
        <f t="shared" si="3"/>
        <v>1.277777778</v>
      </c>
      <c r="G943" s="1">
        <v>9.0</v>
      </c>
      <c r="H943" s="1">
        <v>0.0</v>
      </c>
      <c r="I943" s="1">
        <v>1.0</v>
      </c>
      <c r="J943" s="1">
        <v>1.0</v>
      </c>
      <c r="K943" s="1">
        <v>8.0</v>
      </c>
      <c r="L943" s="1">
        <v>0.0</v>
      </c>
      <c r="M943" s="1">
        <v>0.0</v>
      </c>
      <c r="N943" s="1">
        <v>0.0</v>
      </c>
      <c r="O943" s="1">
        <v>0.0</v>
      </c>
      <c r="P943" s="1">
        <v>12.0</v>
      </c>
      <c r="Q943" s="1">
        <v>3.0</v>
      </c>
    </row>
    <row r="944">
      <c r="A944" s="1">
        <f t="shared" si="1"/>
        <v>941</v>
      </c>
      <c r="B944" s="1" t="s">
        <v>2381</v>
      </c>
      <c r="C944" s="1" t="s">
        <v>1038</v>
      </c>
      <c r="D944" s="1" t="s">
        <v>66</v>
      </c>
      <c r="E944" s="15">
        <f t="shared" si="2"/>
        <v>11.5</v>
      </c>
      <c r="F944" s="16">
        <f t="shared" si="3"/>
        <v>1.916666667</v>
      </c>
      <c r="G944" s="1">
        <v>6.0</v>
      </c>
      <c r="H944" s="1">
        <v>1.0</v>
      </c>
      <c r="I944" s="1">
        <v>0.0</v>
      </c>
      <c r="J944" s="1">
        <v>1.0</v>
      </c>
      <c r="K944" s="1">
        <v>5.0</v>
      </c>
      <c r="L944" s="1">
        <v>1.0</v>
      </c>
      <c r="M944" s="1">
        <v>0.0</v>
      </c>
      <c r="N944" s="1">
        <v>0.0</v>
      </c>
      <c r="O944" s="1">
        <v>0.0</v>
      </c>
      <c r="P944" s="1">
        <v>8.0</v>
      </c>
      <c r="Q944" s="1">
        <v>5.0</v>
      </c>
    </row>
    <row r="945">
      <c r="A945" s="1">
        <f t="shared" si="1"/>
        <v>941</v>
      </c>
      <c r="B945" s="1" t="s">
        <v>2382</v>
      </c>
      <c r="C945" s="1" t="s">
        <v>1091</v>
      </c>
      <c r="D945" s="1" t="s">
        <v>66</v>
      </c>
      <c r="E945" s="15">
        <f t="shared" si="2"/>
        <v>11.5</v>
      </c>
      <c r="F945" s="16">
        <f t="shared" si="3"/>
        <v>2.3</v>
      </c>
      <c r="G945" s="1">
        <v>5.0</v>
      </c>
      <c r="H945" s="1">
        <v>0.0</v>
      </c>
      <c r="I945" s="1">
        <v>2.0</v>
      </c>
      <c r="J945" s="1">
        <v>2.0</v>
      </c>
      <c r="K945" s="1">
        <v>3.0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8.0</v>
      </c>
    </row>
    <row r="946">
      <c r="A946" s="1">
        <f t="shared" si="1"/>
        <v>944</v>
      </c>
      <c r="B946" s="1" t="s">
        <v>1925</v>
      </c>
      <c r="C946" s="1" t="s">
        <v>1085</v>
      </c>
      <c r="D946" s="1" t="s">
        <v>28</v>
      </c>
      <c r="E946" s="15">
        <f t="shared" si="2"/>
        <v>11.25</v>
      </c>
      <c r="F946" s="16">
        <f t="shared" si="3"/>
        <v>1.125</v>
      </c>
      <c r="G946" s="1">
        <v>10.0</v>
      </c>
      <c r="H946" s="1">
        <v>1.0</v>
      </c>
      <c r="I946" s="1">
        <v>0.0</v>
      </c>
      <c r="J946" s="1">
        <v>1.0</v>
      </c>
      <c r="K946" s="1">
        <v>5.0</v>
      </c>
      <c r="L946" s="1">
        <v>0.0</v>
      </c>
      <c r="M946" s="1">
        <v>0.0</v>
      </c>
      <c r="N946" s="1">
        <v>0.0</v>
      </c>
      <c r="O946" s="1">
        <v>0.0</v>
      </c>
      <c r="P946" s="1">
        <v>9.0</v>
      </c>
      <c r="Q946" s="1">
        <v>4.0</v>
      </c>
    </row>
    <row r="947">
      <c r="A947" s="1">
        <f t="shared" si="1"/>
        <v>945</v>
      </c>
      <c r="B947" s="1" t="s">
        <v>1670</v>
      </c>
      <c r="C947" s="1" t="s">
        <v>1067</v>
      </c>
      <c r="D947" s="1" t="s">
        <v>31</v>
      </c>
      <c r="E947" s="15">
        <f t="shared" si="2"/>
        <v>11</v>
      </c>
      <c r="F947" s="16">
        <f t="shared" si="3"/>
        <v>5.5</v>
      </c>
      <c r="G947" s="1">
        <v>2.0</v>
      </c>
      <c r="H947" s="1">
        <v>1.0</v>
      </c>
      <c r="I947" s="1">
        <v>1.0</v>
      </c>
      <c r="J947" s="1">
        <v>2.0</v>
      </c>
      <c r="K947" s="1">
        <v>6.0</v>
      </c>
      <c r="L947" s="1">
        <v>1.0</v>
      </c>
      <c r="M947" s="1">
        <v>0.0</v>
      </c>
      <c r="N947" s="1">
        <v>0.0</v>
      </c>
      <c r="O947" s="1">
        <v>0.0</v>
      </c>
      <c r="P947" s="1">
        <v>0.0</v>
      </c>
      <c r="Q947" s="1">
        <v>1.0</v>
      </c>
    </row>
    <row r="948">
      <c r="A948" s="1">
        <f t="shared" si="1"/>
        <v>945</v>
      </c>
      <c r="B948" s="1" t="s">
        <v>2243</v>
      </c>
      <c r="C948" s="1" t="s">
        <v>1091</v>
      </c>
      <c r="D948" s="1" t="s">
        <v>31</v>
      </c>
      <c r="E948" s="15">
        <f t="shared" si="2"/>
        <v>11</v>
      </c>
      <c r="F948" s="16">
        <f t="shared" si="3"/>
        <v>1</v>
      </c>
      <c r="G948" s="1">
        <v>11.0</v>
      </c>
      <c r="H948" s="1">
        <v>1.0</v>
      </c>
      <c r="I948" s="1">
        <v>0.0</v>
      </c>
      <c r="J948" s="1">
        <v>1.0</v>
      </c>
      <c r="K948" s="1">
        <v>8.0</v>
      </c>
      <c r="L948" s="1">
        <v>0.0</v>
      </c>
      <c r="M948" s="1">
        <v>0.0</v>
      </c>
      <c r="N948" s="1">
        <v>0.0</v>
      </c>
      <c r="O948" s="1">
        <v>0.0</v>
      </c>
      <c r="P948" s="1">
        <v>4.0</v>
      </c>
      <c r="Q948" s="1">
        <v>3.0</v>
      </c>
    </row>
    <row r="949">
      <c r="A949" s="1">
        <f t="shared" si="1"/>
        <v>947</v>
      </c>
      <c r="B949" s="1" t="s">
        <v>2221</v>
      </c>
      <c r="C949" s="1" t="s">
        <v>1087</v>
      </c>
      <c r="D949" s="1" t="s">
        <v>31</v>
      </c>
      <c r="E949" s="15">
        <f t="shared" si="2"/>
        <v>10.75</v>
      </c>
      <c r="F949" s="16">
        <f t="shared" si="3"/>
        <v>1.791666667</v>
      </c>
      <c r="G949" s="1">
        <v>6.0</v>
      </c>
      <c r="H949" s="1">
        <v>1.0</v>
      </c>
      <c r="I949" s="1">
        <v>0.0</v>
      </c>
      <c r="J949" s="1">
        <v>1.0</v>
      </c>
      <c r="K949" s="1">
        <v>6.0</v>
      </c>
      <c r="L949" s="1">
        <v>0.0</v>
      </c>
      <c r="M949" s="1">
        <v>0.0</v>
      </c>
      <c r="N949" s="1">
        <v>0.0</v>
      </c>
      <c r="O949" s="1">
        <v>0.0</v>
      </c>
      <c r="P949" s="1">
        <v>11.0</v>
      </c>
      <c r="Q949" s="1">
        <v>1.0</v>
      </c>
    </row>
    <row r="950">
      <c r="A950" s="1">
        <f t="shared" si="1"/>
        <v>947</v>
      </c>
      <c r="B950" s="1" t="s">
        <v>2383</v>
      </c>
      <c r="C950" s="1" t="s">
        <v>1570</v>
      </c>
      <c r="D950" s="1" t="s">
        <v>66</v>
      </c>
      <c r="E950" s="15">
        <f t="shared" si="2"/>
        <v>10.75</v>
      </c>
      <c r="F950" s="16">
        <f t="shared" si="3"/>
        <v>2.15</v>
      </c>
      <c r="G950" s="1">
        <v>5.0</v>
      </c>
      <c r="H950" s="1">
        <v>0.0</v>
      </c>
      <c r="I950" s="1">
        <v>1.0</v>
      </c>
      <c r="J950" s="1">
        <v>1.0</v>
      </c>
      <c r="K950" s="1">
        <v>7.0</v>
      </c>
      <c r="L950" s="1">
        <v>0.0</v>
      </c>
      <c r="M950" s="1">
        <v>0.0</v>
      </c>
      <c r="N950" s="1">
        <v>0.0</v>
      </c>
      <c r="O950" s="1">
        <v>0.0</v>
      </c>
      <c r="P950" s="1">
        <v>13.0</v>
      </c>
      <c r="Q950" s="1">
        <v>2.0</v>
      </c>
    </row>
    <row r="951">
      <c r="A951" s="1">
        <f t="shared" si="1"/>
        <v>949</v>
      </c>
      <c r="B951" s="1" t="s">
        <v>2216</v>
      </c>
      <c r="C951" s="1" t="s">
        <v>1120</v>
      </c>
      <c r="D951" s="1" t="s">
        <v>31</v>
      </c>
      <c r="E951" s="15">
        <f t="shared" si="2"/>
        <v>10.5</v>
      </c>
      <c r="F951" s="16">
        <f t="shared" si="3"/>
        <v>1.75</v>
      </c>
      <c r="G951" s="1">
        <v>6.0</v>
      </c>
      <c r="H951" s="1">
        <v>0.0</v>
      </c>
      <c r="I951" s="1">
        <v>2.0</v>
      </c>
      <c r="J951" s="1">
        <v>2.0</v>
      </c>
      <c r="K951" s="1">
        <v>5.0</v>
      </c>
      <c r="L951" s="1">
        <v>0.0</v>
      </c>
      <c r="M951" s="1">
        <v>0.0</v>
      </c>
      <c r="N951" s="1">
        <v>0.0</v>
      </c>
      <c r="O951" s="1">
        <v>0.0</v>
      </c>
      <c r="P951" s="1">
        <v>6.0</v>
      </c>
      <c r="Q951" s="1">
        <v>1.0</v>
      </c>
    </row>
    <row r="952">
      <c r="A952" s="1">
        <f t="shared" si="1"/>
        <v>949</v>
      </c>
      <c r="B952" s="1" t="s">
        <v>1274</v>
      </c>
      <c r="C952" s="1" t="s">
        <v>1042</v>
      </c>
      <c r="D952" s="1" t="s">
        <v>5</v>
      </c>
      <c r="E952" s="15">
        <f t="shared" si="2"/>
        <v>10.5</v>
      </c>
      <c r="F952" s="16">
        <f t="shared" si="3"/>
        <v>3.5</v>
      </c>
      <c r="G952" s="1">
        <v>3.0</v>
      </c>
      <c r="R952" s="1">
        <v>1.0</v>
      </c>
      <c r="S952" s="1">
        <v>11.0</v>
      </c>
      <c r="T952" s="12">
        <v>80.0</v>
      </c>
      <c r="U952" s="1">
        <v>0.0</v>
      </c>
    </row>
    <row r="953">
      <c r="A953" s="1">
        <f t="shared" si="1"/>
        <v>949</v>
      </c>
      <c r="B953" s="1" t="s">
        <v>1274</v>
      </c>
      <c r="C953" s="1" t="s">
        <v>1570</v>
      </c>
      <c r="D953" s="1" t="s">
        <v>5</v>
      </c>
      <c r="E953" s="15">
        <f t="shared" si="2"/>
        <v>10.5</v>
      </c>
      <c r="F953" s="16">
        <f t="shared" si="3"/>
        <v>3.5</v>
      </c>
      <c r="G953" s="1">
        <v>3.0</v>
      </c>
      <c r="R953" s="1">
        <v>1.0</v>
      </c>
      <c r="S953" s="1">
        <v>11.0</v>
      </c>
      <c r="T953" s="12">
        <v>80.0</v>
      </c>
      <c r="U953" s="1">
        <v>0.0</v>
      </c>
    </row>
    <row r="954">
      <c r="A954" s="1">
        <f t="shared" si="1"/>
        <v>952</v>
      </c>
      <c r="B954" s="1" t="s">
        <v>2384</v>
      </c>
      <c r="C954" s="1" t="s">
        <v>1048</v>
      </c>
      <c r="D954" s="1" t="s">
        <v>31</v>
      </c>
      <c r="E954" s="15">
        <f t="shared" si="2"/>
        <v>10.25</v>
      </c>
      <c r="F954" s="16">
        <f t="shared" si="3"/>
        <v>0.6833333333</v>
      </c>
      <c r="G954" s="1">
        <v>15.0</v>
      </c>
      <c r="H954" s="1">
        <v>0.0</v>
      </c>
      <c r="I954" s="1">
        <v>0.0</v>
      </c>
      <c r="J954" s="1">
        <v>0.0</v>
      </c>
      <c r="K954" s="1">
        <v>10.0</v>
      </c>
      <c r="L954" s="1">
        <v>0.0</v>
      </c>
      <c r="M954" s="1">
        <v>0.0</v>
      </c>
      <c r="N954" s="1">
        <v>0.0</v>
      </c>
      <c r="O954" s="1">
        <v>0.0</v>
      </c>
      <c r="P954" s="1">
        <v>17.0</v>
      </c>
      <c r="Q954" s="1">
        <v>2.0</v>
      </c>
    </row>
    <row r="955">
      <c r="A955" s="1">
        <f t="shared" si="1"/>
        <v>952</v>
      </c>
      <c r="B955" s="1" t="s">
        <v>2260</v>
      </c>
      <c r="C955" s="1" t="s">
        <v>1042</v>
      </c>
      <c r="D955" s="1" t="s">
        <v>66</v>
      </c>
      <c r="E955" s="15">
        <f t="shared" si="2"/>
        <v>10.25</v>
      </c>
      <c r="F955" s="16">
        <f t="shared" si="3"/>
        <v>1.708333333</v>
      </c>
      <c r="G955" s="1">
        <v>6.0</v>
      </c>
      <c r="H955" s="1">
        <v>0.0</v>
      </c>
      <c r="I955" s="1">
        <v>2.0</v>
      </c>
      <c r="J955" s="1">
        <v>2.0</v>
      </c>
      <c r="K955" s="1">
        <v>5.0</v>
      </c>
      <c r="L955" s="1">
        <v>0.0</v>
      </c>
      <c r="M955" s="1">
        <v>0.0</v>
      </c>
      <c r="N955" s="1">
        <v>0.0</v>
      </c>
      <c r="O955" s="1">
        <v>0.0</v>
      </c>
      <c r="P955" s="1">
        <v>5.0</v>
      </c>
      <c r="Q955" s="1">
        <v>1.0</v>
      </c>
    </row>
    <row r="956">
      <c r="A956" s="1">
        <f t="shared" si="1"/>
        <v>952</v>
      </c>
      <c r="B956" s="1" t="s">
        <v>2183</v>
      </c>
      <c r="C956" s="1" t="s">
        <v>1046</v>
      </c>
      <c r="D956" s="1" t="s">
        <v>66</v>
      </c>
      <c r="E956" s="15">
        <f t="shared" si="2"/>
        <v>10.25</v>
      </c>
      <c r="F956" s="16">
        <f t="shared" si="3"/>
        <v>1.138888889</v>
      </c>
      <c r="G956" s="1">
        <v>9.0</v>
      </c>
      <c r="H956" s="1">
        <v>0.0</v>
      </c>
      <c r="I956" s="1">
        <v>0.0</v>
      </c>
      <c r="J956" s="1">
        <v>0.0</v>
      </c>
      <c r="K956" s="1">
        <v>10.0</v>
      </c>
      <c r="L956" s="1">
        <v>0.0</v>
      </c>
      <c r="M956" s="1">
        <v>0.0</v>
      </c>
      <c r="N956" s="1">
        <v>0.0</v>
      </c>
      <c r="O956" s="1">
        <v>0.0</v>
      </c>
      <c r="P956" s="1">
        <v>5.0</v>
      </c>
      <c r="Q956" s="1">
        <v>8.0</v>
      </c>
    </row>
    <row r="957">
      <c r="A957" s="1">
        <f t="shared" si="1"/>
        <v>952</v>
      </c>
      <c r="B957" s="1" t="s">
        <v>2385</v>
      </c>
      <c r="C957" s="1" t="s">
        <v>1085</v>
      </c>
      <c r="D957" s="1" t="s">
        <v>28</v>
      </c>
      <c r="E957" s="15">
        <f t="shared" si="2"/>
        <v>10.25</v>
      </c>
      <c r="F957" s="16">
        <f t="shared" si="3"/>
        <v>1.708333333</v>
      </c>
      <c r="G957" s="1">
        <v>6.0</v>
      </c>
      <c r="H957" s="1">
        <v>1.0</v>
      </c>
      <c r="I957" s="1">
        <v>0.0</v>
      </c>
      <c r="J957" s="1">
        <v>1.0</v>
      </c>
      <c r="K957" s="1">
        <v>2.0</v>
      </c>
      <c r="L957" s="1">
        <v>0.0</v>
      </c>
      <c r="M957" s="1">
        <v>0.0</v>
      </c>
      <c r="N957" s="1">
        <v>0.0</v>
      </c>
      <c r="O957" s="1">
        <v>0.0</v>
      </c>
      <c r="P957" s="1">
        <v>13.0</v>
      </c>
      <c r="Q957" s="1">
        <v>3.0</v>
      </c>
    </row>
    <row r="958">
      <c r="A958" s="1">
        <f t="shared" si="1"/>
        <v>956</v>
      </c>
      <c r="B958" s="1" t="s">
        <v>2217</v>
      </c>
      <c r="C958" s="1" t="s">
        <v>1030</v>
      </c>
      <c r="D958" s="1" t="s">
        <v>28</v>
      </c>
      <c r="E958" s="15">
        <f t="shared" si="2"/>
        <v>9.75</v>
      </c>
      <c r="F958" s="16">
        <f t="shared" si="3"/>
        <v>0.975</v>
      </c>
      <c r="G958" s="1">
        <v>10.0</v>
      </c>
      <c r="H958" s="1">
        <v>0.0</v>
      </c>
      <c r="I958" s="1">
        <v>0.0</v>
      </c>
      <c r="J958" s="1">
        <v>0.0</v>
      </c>
      <c r="K958" s="1">
        <v>9.0</v>
      </c>
      <c r="L958" s="1">
        <v>0.0</v>
      </c>
      <c r="M958" s="1">
        <v>0.0</v>
      </c>
      <c r="N958" s="1">
        <v>0.0</v>
      </c>
      <c r="O958" s="1">
        <v>0.0</v>
      </c>
      <c r="P958" s="1">
        <v>9.0</v>
      </c>
      <c r="Q958" s="1">
        <v>6.0</v>
      </c>
    </row>
    <row r="959">
      <c r="A959" s="1">
        <f t="shared" si="1"/>
        <v>957</v>
      </c>
      <c r="B959" s="1" t="s">
        <v>1881</v>
      </c>
      <c r="C959" s="1" t="s">
        <v>1078</v>
      </c>
      <c r="D959" s="1" t="s">
        <v>31</v>
      </c>
      <c r="E959" s="15">
        <f t="shared" si="2"/>
        <v>9.5</v>
      </c>
      <c r="F959" s="16">
        <f t="shared" si="3"/>
        <v>1.1875</v>
      </c>
      <c r="G959" s="1">
        <v>8.0</v>
      </c>
      <c r="H959" s="1">
        <v>0.0</v>
      </c>
      <c r="I959" s="1">
        <v>0.0</v>
      </c>
      <c r="J959" s="1">
        <v>0.0</v>
      </c>
      <c r="K959" s="1">
        <v>13.0</v>
      </c>
      <c r="L959" s="1">
        <v>0.0</v>
      </c>
      <c r="M959" s="1">
        <v>0.0</v>
      </c>
      <c r="N959" s="1">
        <v>0.0</v>
      </c>
      <c r="O959" s="1">
        <v>0.0</v>
      </c>
      <c r="P959" s="1">
        <v>8.0</v>
      </c>
      <c r="Q959" s="1">
        <v>2.0</v>
      </c>
    </row>
    <row r="960">
      <c r="A960" s="1">
        <f t="shared" si="1"/>
        <v>957</v>
      </c>
      <c r="B960" s="1" t="s">
        <v>2386</v>
      </c>
      <c r="C960" s="1" t="s">
        <v>1146</v>
      </c>
      <c r="D960" s="1" t="s">
        <v>28</v>
      </c>
      <c r="E960" s="15">
        <f t="shared" si="2"/>
        <v>9.5</v>
      </c>
      <c r="F960" s="16">
        <f t="shared" si="3"/>
        <v>1.1875</v>
      </c>
      <c r="G960" s="1">
        <v>8.0</v>
      </c>
      <c r="H960" s="1">
        <v>0.0</v>
      </c>
      <c r="I960" s="1">
        <v>0.0</v>
      </c>
      <c r="J960" s="1">
        <v>0.0</v>
      </c>
      <c r="K960" s="1">
        <v>6.0</v>
      </c>
      <c r="L960" s="1">
        <v>0.0</v>
      </c>
      <c r="M960" s="1">
        <v>0.0</v>
      </c>
      <c r="N960" s="1">
        <v>0.0</v>
      </c>
      <c r="O960" s="1">
        <v>0.0</v>
      </c>
      <c r="P960" s="1">
        <v>22.0</v>
      </c>
      <c r="Q960" s="1">
        <v>2.0</v>
      </c>
    </row>
    <row r="961">
      <c r="A961" s="1">
        <f t="shared" si="1"/>
        <v>959</v>
      </c>
      <c r="B961" s="1" t="s">
        <v>1640</v>
      </c>
      <c r="C961" s="1" t="s">
        <v>1082</v>
      </c>
      <c r="D961" s="1" t="s">
        <v>31</v>
      </c>
      <c r="E961" s="15">
        <f t="shared" si="2"/>
        <v>9.25</v>
      </c>
      <c r="F961" s="16">
        <f t="shared" si="3"/>
        <v>1.541666667</v>
      </c>
      <c r="G961" s="1">
        <v>6.0</v>
      </c>
      <c r="H961" s="1">
        <v>1.0</v>
      </c>
      <c r="I961" s="1">
        <v>0.0</v>
      </c>
      <c r="J961" s="1">
        <v>1.0</v>
      </c>
      <c r="K961" s="1">
        <v>7.0</v>
      </c>
      <c r="L961" s="1">
        <v>0.0</v>
      </c>
      <c r="M961" s="1">
        <v>0.0</v>
      </c>
      <c r="N961" s="1">
        <v>0.0</v>
      </c>
      <c r="O961" s="1">
        <v>0.0</v>
      </c>
      <c r="P961" s="1">
        <v>1.0</v>
      </c>
      <c r="Q961" s="1">
        <v>2.0</v>
      </c>
    </row>
    <row r="962">
      <c r="A962" s="1">
        <f t="shared" si="1"/>
        <v>959</v>
      </c>
      <c r="B962" s="1" t="s">
        <v>2387</v>
      </c>
      <c r="C962" s="1" t="s">
        <v>1032</v>
      </c>
      <c r="D962" s="1" t="s">
        <v>66</v>
      </c>
      <c r="E962" s="15">
        <f t="shared" si="2"/>
        <v>9.25</v>
      </c>
      <c r="F962" s="16">
        <f t="shared" si="3"/>
        <v>3.083333333</v>
      </c>
      <c r="G962" s="1">
        <v>3.0</v>
      </c>
      <c r="H962" s="1">
        <v>0.0</v>
      </c>
      <c r="I962" s="1">
        <v>2.0</v>
      </c>
      <c r="J962" s="1">
        <v>2.0</v>
      </c>
      <c r="K962" s="1">
        <v>4.0</v>
      </c>
      <c r="L962" s="1">
        <v>0.0</v>
      </c>
      <c r="M962" s="1">
        <v>0.0</v>
      </c>
      <c r="N962" s="1">
        <v>0.0</v>
      </c>
      <c r="O962" s="1">
        <v>0.0</v>
      </c>
      <c r="P962" s="1">
        <v>1.0</v>
      </c>
      <c r="Q962" s="1">
        <v>2.0</v>
      </c>
    </row>
    <row r="963">
      <c r="A963" s="1">
        <f t="shared" si="1"/>
        <v>959</v>
      </c>
      <c r="B963" s="1" t="s">
        <v>1872</v>
      </c>
      <c r="C963" s="1" t="s">
        <v>1030</v>
      </c>
      <c r="D963" s="1" t="s">
        <v>28</v>
      </c>
      <c r="E963" s="15">
        <f t="shared" si="2"/>
        <v>9.25</v>
      </c>
      <c r="F963" s="16">
        <f t="shared" si="3"/>
        <v>1.85</v>
      </c>
      <c r="G963" s="1">
        <v>5.0</v>
      </c>
      <c r="H963" s="1">
        <v>1.0</v>
      </c>
      <c r="I963" s="1">
        <v>0.0</v>
      </c>
      <c r="J963" s="1">
        <v>1.0</v>
      </c>
      <c r="K963" s="1">
        <v>8.0</v>
      </c>
      <c r="L963" s="1">
        <v>0.0</v>
      </c>
      <c r="M963" s="1">
        <v>0.0</v>
      </c>
      <c r="N963" s="1">
        <v>0.0</v>
      </c>
      <c r="O963" s="1">
        <v>0.0</v>
      </c>
      <c r="P963" s="1">
        <v>1.0</v>
      </c>
      <c r="Q963" s="1">
        <v>1.0</v>
      </c>
    </row>
    <row r="964">
      <c r="A964" s="1">
        <f t="shared" si="1"/>
        <v>959</v>
      </c>
      <c r="B964" s="1" t="s">
        <v>2192</v>
      </c>
      <c r="C964" s="1" t="s">
        <v>1044</v>
      </c>
      <c r="D964" s="1" t="s">
        <v>28</v>
      </c>
      <c r="E964" s="15">
        <f t="shared" si="2"/>
        <v>9.25</v>
      </c>
      <c r="F964" s="16">
        <f t="shared" si="3"/>
        <v>1.15625</v>
      </c>
      <c r="G964" s="1">
        <v>8.0</v>
      </c>
      <c r="H964" s="1">
        <v>0.0</v>
      </c>
      <c r="I964" s="1">
        <v>0.0</v>
      </c>
      <c r="J964" s="1">
        <v>0.0</v>
      </c>
      <c r="K964" s="1">
        <v>8.0</v>
      </c>
      <c r="L964" s="1">
        <v>0.0</v>
      </c>
      <c r="M964" s="1">
        <v>0.0</v>
      </c>
      <c r="N964" s="1">
        <v>0.0</v>
      </c>
      <c r="O964" s="1">
        <v>0.0</v>
      </c>
      <c r="P964" s="1">
        <v>13.0</v>
      </c>
      <c r="Q964" s="1">
        <v>4.0</v>
      </c>
    </row>
    <row r="965">
      <c r="A965" s="1">
        <f t="shared" si="1"/>
        <v>959</v>
      </c>
      <c r="B965" s="1" t="s">
        <v>2388</v>
      </c>
      <c r="C965" s="1" t="s">
        <v>1172</v>
      </c>
      <c r="D965" s="1" t="s">
        <v>36</v>
      </c>
      <c r="E965" s="15">
        <f t="shared" si="2"/>
        <v>9.25</v>
      </c>
      <c r="F965" s="16">
        <f t="shared" si="3"/>
        <v>1.027777778</v>
      </c>
      <c r="G965" s="1">
        <v>9.0</v>
      </c>
      <c r="H965" s="1">
        <v>0.0</v>
      </c>
      <c r="I965" s="1">
        <v>1.0</v>
      </c>
      <c r="J965" s="1">
        <v>1.0</v>
      </c>
      <c r="K965" s="1">
        <v>6.0</v>
      </c>
      <c r="L965" s="1">
        <v>0.0</v>
      </c>
      <c r="M965" s="1">
        <v>0.0</v>
      </c>
      <c r="N965" s="1">
        <v>0.0</v>
      </c>
      <c r="O965" s="1">
        <v>0.0</v>
      </c>
      <c r="P965" s="1">
        <v>7.0</v>
      </c>
      <c r="Q965" s="1">
        <v>3.0</v>
      </c>
    </row>
    <row r="966">
      <c r="A966" s="1">
        <f t="shared" si="1"/>
        <v>964</v>
      </c>
      <c r="B966" s="1" t="s">
        <v>1998</v>
      </c>
      <c r="C966" s="1" t="s">
        <v>1067</v>
      </c>
      <c r="D966" s="1" t="s">
        <v>5</v>
      </c>
      <c r="E966" s="15">
        <f t="shared" si="2"/>
        <v>9</v>
      </c>
      <c r="F966" s="16">
        <f t="shared" si="3"/>
        <v>2.25</v>
      </c>
      <c r="G966" s="1">
        <v>4.0</v>
      </c>
      <c r="R966" s="1">
        <v>0.0</v>
      </c>
      <c r="S966" s="1">
        <v>17.0</v>
      </c>
      <c r="T966" s="12">
        <v>115.0</v>
      </c>
      <c r="U966" s="1">
        <v>0.0</v>
      </c>
    </row>
    <row r="967">
      <c r="A967" s="1">
        <f t="shared" si="1"/>
        <v>964</v>
      </c>
      <c r="B967" s="1" t="s">
        <v>1910</v>
      </c>
      <c r="C967" s="1" t="s">
        <v>1172</v>
      </c>
      <c r="D967" s="1" t="s">
        <v>66</v>
      </c>
      <c r="E967" s="15">
        <f t="shared" si="2"/>
        <v>9</v>
      </c>
      <c r="F967" s="16">
        <f t="shared" si="3"/>
        <v>1.125</v>
      </c>
      <c r="G967" s="1">
        <v>8.0</v>
      </c>
      <c r="H967" s="1">
        <v>0.0</v>
      </c>
      <c r="I967" s="1">
        <v>1.0</v>
      </c>
      <c r="J967" s="1">
        <v>1.0</v>
      </c>
      <c r="K967" s="1">
        <v>2.0</v>
      </c>
      <c r="L967" s="1">
        <v>0.0</v>
      </c>
      <c r="M967" s="1">
        <v>1.0</v>
      </c>
      <c r="N967" s="1">
        <v>0.0</v>
      </c>
      <c r="O967" s="1">
        <v>0.0</v>
      </c>
      <c r="P967" s="1">
        <v>2.0</v>
      </c>
      <c r="Q967" s="1">
        <v>9.0</v>
      </c>
    </row>
    <row r="968">
      <c r="A968" s="1">
        <f t="shared" si="1"/>
        <v>964</v>
      </c>
      <c r="B968" s="1" t="s">
        <v>2389</v>
      </c>
      <c r="C968" s="1" t="s">
        <v>1172</v>
      </c>
      <c r="D968" s="1" t="s">
        <v>66</v>
      </c>
      <c r="E968" s="15">
        <f t="shared" si="2"/>
        <v>9</v>
      </c>
      <c r="F968" s="16">
        <f t="shared" si="3"/>
        <v>1.5</v>
      </c>
      <c r="G968" s="1">
        <v>6.0</v>
      </c>
      <c r="H968" s="1">
        <v>0.0</v>
      </c>
      <c r="I968" s="1">
        <v>0.0</v>
      </c>
      <c r="J968" s="1">
        <v>0.0</v>
      </c>
      <c r="K968" s="1">
        <v>8.0</v>
      </c>
      <c r="L968" s="1">
        <v>0.0</v>
      </c>
      <c r="M968" s="1">
        <v>0.0</v>
      </c>
      <c r="N968" s="1">
        <v>0.0</v>
      </c>
      <c r="O968" s="1">
        <v>0.0</v>
      </c>
      <c r="P968" s="1">
        <v>2.0</v>
      </c>
      <c r="Q968" s="1">
        <v>9.0</v>
      </c>
    </row>
    <row r="969">
      <c r="A969" s="1">
        <f t="shared" si="1"/>
        <v>967</v>
      </c>
      <c r="B969" s="1" t="s">
        <v>1771</v>
      </c>
      <c r="C969" s="1" t="s">
        <v>1111</v>
      </c>
      <c r="D969" s="1" t="s">
        <v>66</v>
      </c>
      <c r="E969" s="15">
        <f t="shared" si="2"/>
        <v>8.75</v>
      </c>
      <c r="F969" s="16">
        <f t="shared" si="3"/>
        <v>1.458333333</v>
      </c>
      <c r="G969" s="1">
        <v>6.0</v>
      </c>
      <c r="H969" s="1">
        <v>0.0</v>
      </c>
      <c r="I969" s="1">
        <v>0.0</v>
      </c>
      <c r="J969" s="1">
        <v>0.0</v>
      </c>
      <c r="K969" s="1">
        <v>5.0</v>
      </c>
      <c r="L969" s="1">
        <v>0.0</v>
      </c>
      <c r="M969" s="1">
        <v>0.0</v>
      </c>
      <c r="N969" s="1">
        <v>0.0</v>
      </c>
      <c r="O969" s="1">
        <v>0.0</v>
      </c>
      <c r="P969" s="1">
        <v>7.0</v>
      </c>
      <c r="Q969" s="1">
        <v>9.0</v>
      </c>
    </row>
    <row r="970">
      <c r="A970" s="1">
        <f t="shared" si="1"/>
        <v>968</v>
      </c>
      <c r="B970" s="1" t="s">
        <v>2199</v>
      </c>
      <c r="C970" s="1" t="s">
        <v>1040</v>
      </c>
      <c r="D970" s="1" t="s">
        <v>5</v>
      </c>
      <c r="E970" s="15">
        <f t="shared" si="2"/>
        <v>8.7</v>
      </c>
      <c r="F970" s="16">
        <f t="shared" si="3"/>
        <v>8.7</v>
      </c>
      <c r="G970" s="1">
        <v>1.0</v>
      </c>
      <c r="R970" s="1">
        <v>1.0</v>
      </c>
      <c r="S970" s="1">
        <v>2.0</v>
      </c>
      <c r="T970" s="12">
        <v>29.0</v>
      </c>
      <c r="U970" s="1">
        <v>0.0</v>
      </c>
    </row>
    <row r="971">
      <c r="A971" s="1">
        <f t="shared" si="1"/>
        <v>969</v>
      </c>
      <c r="B971" s="1" t="s">
        <v>2079</v>
      </c>
      <c r="C971" s="1" t="s">
        <v>1073</v>
      </c>
      <c r="D971" s="1" t="s">
        <v>31</v>
      </c>
      <c r="E971" s="15">
        <f t="shared" si="2"/>
        <v>8.5</v>
      </c>
      <c r="F971" s="16">
        <f t="shared" si="3"/>
        <v>4.25</v>
      </c>
      <c r="G971" s="1">
        <v>2.0</v>
      </c>
      <c r="H971" s="1">
        <v>0.0</v>
      </c>
      <c r="I971" s="1">
        <v>2.0</v>
      </c>
      <c r="J971" s="1">
        <v>2.0</v>
      </c>
      <c r="K971" s="1">
        <v>4.0</v>
      </c>
      <c r="L971" s="1">
        <v>0.0</v>
      </c>
      <c r="M971" s="1">
        <v>2.0</v>
      </c>
      <c r="N971" s="1">
        <v>0.0</v>
      </c>
      <c r="O971" s="1">
        <v>0.0</v>
      </c>
      <c r="P971" s="1">
        <v>0.0</v>
      </c>
      <c r="Q971" s="1">
        <v>1.0</v>
      </c>
    </row>
    <row r="972">
      <c r="A972" s="1">
        <f t="shared" si="1"/>
        <v>969</v>
      </c>
      <c r="B972" s="1" t="s">
        <v>1517</v>
      </c>
      <c r="C972" s="1" t="s">
        <v>1044</v>
      </c>
      <c r="D972" s="1" t="s">
        <v>66</v>
      </c>
      <c r="E972" s="15">
        <f t="shared" si="2"/>
        <v>8.5</v>
      </c>
      <c r="F972" s="16">
        <f t="shared" si="3"/>
        <v>1.0625</v>
      </c>
      <c r="G972" s="1">
        <v>8.0</v>
      </c>
      <c r="H972" s="1">
        <v>0.0</v>
      </c>
      <c r="I972" s="1">
        <v>1.0</v>
      </c>
      <c r="J972" s="1">
        <v>1.0</v>
      </c>
      <c r="K972" s="1">
        <v>6.0</v>
      </c>
      <c r="L972" s="1">
        <v>0.0</v>
      </c>
      <c r="M972" s="1">
        <v>0.0</v>
      </c>
      <c r="N972" s="1">
        <v>0.0</v>
      </c>
      <c r="O972" s="1">
        <v>0.0</v>
      </c>
      <c r="P972" s="1">
        <v>4.0</v>
      </c>
      <c r="Q972" s="1">
        <v>3.0</v>
      </c>
    </row>
    <row r="973">
      <c r="A973" s="1">
        <f t="shared" si="1"/>
        <v>969</v>
      </c>
      <c r="B973" s="1" t="s">
        <v>1968</v>
      </c>
      <c r="C973" s="1" t="s">
        <v>1111</v>
      </c>
      <c r="D973" s="1" t="s">
        <v>28</v>
      </c>
      <c r="E973" s="15">
        <f t="shared" si="2"/>
        <v>8.5</v>
      </c>
      <c r="F973" s="16">
        <f t="shared" si="3"/>
        <v>2.125</v>
      </c>
      <c r="G973" s="1">
        <v>4.0</v>
      </c>
      <c r="H973" s="1">
        <v>1.0</v>
      </c>
      <c r="I973" s="1">
        <v>0.0</v>
      </c>
      <c r="J973" s="1">
        <v>1.0</v>
      </c>
      <c r="K973" s="1">
        <v>3.0</v>
      </c>
      <c r="L973" s="1">
        <v>0.0</v>
      </c>
      <c r="M973" s="1">
        <v>0.0</v>
      </c>
      <c r="N973" s="1">
        <v>0.0</v>
      </c>
      <c r="O973" s="1">
        <v>0.0</v>
      </c>
      <c r="P973" s="1">
        <v>10.0</v>
      </c>
      <c r="Q973" s="1">
        <v>0.0</v>
      </c>
    </row>
    <row r="974">
      <c r="A974" s="1">
        <f t="shared" si="1"/>
        <v>969</v>
      </c>
      <c r="B974" s="1" t="s">
        <v>1712</v>
      </c>
      <c r="C974" s="1" t="s">
        <v>1111</v>
      </c>
      <c r="D974" s="1" t="s">
        <v>36</v>
      </c>
      <c r="E974" s="15">
        <f t="shared" si="2"/>
        <v>8.5</v>
      </c>
      <c r="F974" s="16">
        <f t="shared" si="3"/>
        <v>0.7727272727</v>
      </c>
      <c r="G974" s="1">
        <v>11.0</v>
      </c>
      <c r="H974" s="1">
        <v>0.0</v>
      </c>
      <c r="I974" s="1">
        <v>0.0</v>
      </c>
      <c r="J974" s="1">
        <v>0.0</v>
      </c>
      <c r="K974" s="1">
        <v>3.0</v>
      </c>
      <c r="L974" s="1">
        <v>0.0</v>
      </c>
      <c r="M974" s="1">
        <v>0.0</v>
      </c>
      <c r="N974" s="1">
        <v>0.0</v>
      </c>
      <c r="O974" s="1">
        <v>0.0</v>
      </c>
      <c r="P974" s="1">
        <v>16.0</v>
      </c>
      <c r="Q974" s="1">
        <v>6.0</v>
      </c>
    </row>
    <row r="975">
      <c r="A975" s="1">
        <f t="shared" si="1"/>
        <v>973</v>
      </c>
      <c r="B975" s="1" t="s">
        <v>1666</v>
      </c>
      <c r="C975" s="1" t="s">
        <v>1120</v>
      </c>
      <c r="D975" s="1" t="s">
        <v>5</v>
      </c>
      <c r="E975" s="15">
        <f t="shared" si="2"/>
        <v>8.4</v>
      </c>
      <c r="F975" s="16">
        <f t="shared" si="3"/>
        <v>2.8</v>
      </c>
      <c r="G975" s="1">
        <v>3.0</v>
      </c>
      <c r="R975" s="1">
        <v>1.0</v>
      </c>
      <c r="S975" s="1">
        <v>9.0</v>
      </c>
      <c r="T975" s="12">
        <v>63.0</v>
      </c>
      <c r="U975" s="1">
        <v>0.0</v>
      </c>
    </row>
    <row r="976">
      <c r="A976" s="1">
        <f t="shared" si="1"/>
        <v>973</v>
      </c>
      <c r="B976" s="1" t="s">
        <v>1963</v>
      </c>
      <c r="C976" s="1" t="s">
        <v>1044</v>
      </c>
      <c r="D976" s="1" t="s">
        <v>5</v>
      </c>
      <c r="E976" s="15">
        <f t="shared" si="2"/>
        <v>8.4</v>
      </c>
      <c r="F976" s="16">
        <f t="shared" si="3"/>
        <v>4.2</v>
      </c>
      <c r="G976" s="1">
        <v>2.0</v>
      </c>
      <c r="R976" s="1">
        <v>1.0</v>
      </c>
      <c r="S976" s="1">
        <v>6.0</v>
      </c>
      <c r="T976" s="12">
        <v>48.0</v>
      </c>
      <c r="U976" s="1">
        <v>0.0</v>
      </c>
    </row>
    <row r="977">
      <c r="A977" s="1">
        <f t="shared" si="1"/>
        <v>975</v>
      </c>
      <c r="B977" s="1" t="s">
        <v>2214</v>
      </c>
      <c r="C977" s="1" t="s">
        <v>1065</v>
      </c>
      <c r="D977" s="1" t="s">
        <v>66</v>
      </c>
      <c r="E977" s="15">
        <f t="shared" si="2"/>
        <v>8.25</v>
      </c>
      <c r="F977" s="16">
        <f t="shared" si="3"/>
        <v>1.375</v>
      </c>
      <c r="G977" s="1">
        <v>6.0</v>
      </c>
      <c r="H977" s="1">
        <v>0.0</v>
      </c>
      <c r="I977" s="1">
        <v>1.0</v>
      </c>
      <c r="J977" s="1">
        <v>1.0</v>
      </c>
      <c r="K977" s="1">
        <v>5.0</v>
      </c>
      <c r="L977" s="1">
        <v>0.0</v>
      </c>
      <c r="M977" s="1">
        <v>0.0</v>
      </c>
      <c r="N977" s="1">
        <v>0.0</v>
      </c>
      <c r="O977" s="1">
        <v>0.0</v>
      </c>
      <c r="P977" s="1">
        <v>1.0</v>
      </c>
      <c r="Q977" s="1">
        <v>5.0</v>
      </c>
    </row>
    <row r="978">
      <c r="A978" s="1">
        <f t="shared" si="1"/>
        <v>975</v>
      </c>
      <c r="B978" s="1" t="s">
        <v>2078</v>
      </c>
      <c r="C978" s="1" t="s">
        <v>1146</v>
      </c>
      <c r="D978" s="1" t="s">
        <v>28</v>
      </c>
      <c r="E978" s="15">
        <f t="shared" si="2"/>
        <v>8.25</v>
      </c>
      <c r="F978" s="16">
        <f t="shared" si="3"/>
        <v>0.825</v>
      </c>
      <c r="G978" s="1">
        <v>10.0</v>
      </c>
      <c r="H978" s="1">
        <v>0.0</v>
      </c>
      <c r="I978" s="1">
        <v>0.0</v>
      </c>
      <c r="J978" s="1">
        <v>0.0</v>
      </c>
      <c r="K978" s="1">
        <v>8.0</v>
      </c>
      <c r="L978" s="1">
        <v>0.0</v>
      </c>
      <c r="M978" s="1">
        <v>0.0</v>
      </c>
      <c r="N978" s="1">
        <v>0.0</v>
      </c>
      <c r="O978" s="1">
        <v>0.0</v>
      </c>
      <c r="P978" s="1">
        <v>11.0</v>
      </c>
      <c r="Q978" s="1">
        <v>3.0</v>
      </c>
    </row>
    <row r="979">
      <c r="A979" s="1">
        <f t="shared" si="1"/>
        <v>975</v>
      </c>
      <c r="B979" s="1" t="s">
        <v>2390</v>
      </c>
      <c r="C979" s="1" t="s">
        <v>1087</v>
      </c>
      <c r="D979" s="1" t="s">
        <v>36</v>
      </c>
      <c r="E979" s="15">
        <f t="shared" si="2"/>
        <v>8.25</v>
      </c>
      <c r="F979" s="16">
        <f t="shared" si="3"/>
        <v>2.0625</v>
      </c>
      <c r="G979" s="1">
        <v>4.0</v>
      </c>
      <c r="H979" s="1">
        <v>0.0</v>
      </c>
      <c r="I979" s="1">
        <v>1.0</v>
      </c>
      <c r="J979" s="1">
        <v>1.0</v>
      </c>
      <c r="K979" s="1">
        <v>4.0</v>
      </c>
      <c r="L979" s="1">
        <v>0.0</v>
      </c>
      <c r="M979" s="1">
        <v>1.0</v>
      </c>
      <c r="N979" s="1">
        <v>0.0</v>
      </c>
      <c r="O979" s="1">
        <v>0.0</v>
      </c>
      <c r="P979" s="1">
        <v>9.0</v>
      </c>
      <c r="Q979" s="1">
        <v>2.0</v>
      </c>
    </row>
    <row r="980">
      <c r="A980" s="1">
        <f t="shared" si="1"/>
        <v>978</v>
      </c>
      <c r="B980" s="1" t="s">
        <v>2391</v>
      </c>
      <c r="C980" s="1" t="s">
        <v>1034</v>
      </c>
      <c r="D980" s="1" t="s">
        <v>66</v>
      </c>
      <c r="E980" s="15">
        <f t="shared" si="2"/>
        <v>8</v>
      </c>
      <c r="F980" s="16">
        <f t="shared" si="3"/>
        <v>0.8888888889</v>
      </c>
      <c r="G980" s="1">
        <v>9.0</v>
      </c>
      <c r="H980" s="1">
        <v>0.0</v>
      </c>
      <c r="I980" s="1">
        <v>0.0</v>
      </c>
      <c r="J980" s="1">
        <v>0.0</v>
      </c>
      <c r="K980" s="1">
        <v>4.0</v>
      </c>
      <c r="L980" s="1">
        <v>0.0</v>
      </c>
      <c r="M980" s="1">
        <v>0.0</v>
      </c>
      <c r="N980" s="1">
        <v>0.0</v>
      </c>
      <c r="O980" s="1">
        <v>0.0</v>
      </c>
      <c r="P980" s="1">
        <v>12.0</v>
      </c>
      <c r="Q980" s="1">
        <v>6.0</v>
      </c>
    </row>
    <row r="981">
      <c r="A981" s="1">
        <f t="shared" si="1"/>
        <v>979</v>
      </c>
      <c r="B981" s="1" t="s">
        <v>1842</v>
      </c>
      <c r="C981" s="1" t="s">
        <v>1111</v>
      </c>
      <c r="D981" s="1" t="s">
        <v>5</v>
      </c>
      <c r="E981" s="15">
        <f t="shared" si="2"/>
        <v>7.8</v>
      </c>
      <c r="F981" s="16">
        <f t="shared" si="3"/>
        <v>2.6</v>
      </c>
      <c r="G981" s="1">
        <v>3.0</v>
      </c>
      <c r="R981" s="1">
        <v>0.0</v>
      </c>
      <c r="S981" s="1">
        <v>13.0</v>
      </c>
      <c r="T981" s="12">
        <v>91.0</v>
      </c>
      <c r="U981" s="1">
        <v>0.0</v>
      </c>
    </row>
    <row r="982">
      <c r="A982" s="1">
        <f t="shared" si="1"/>
        <v>979</v>
      </c>
      <c r="B982" s="1" t="s">
        <v>2392</v>
      </c>
      <c r="C982" s="1" t="s">
        <v>1570</v>
      </c>
      <c r="D982" s="1" t="s">
        <v>5</v>
      </c>
      <c r="E982" s="15">
        <f t="shared" si="2"/>
        <v>7.8</v>
      </c>
      <c r="F982" s="16">
        <f t="shared" si="3"/>
        <v>1.95</v>
      </c>
      <c r="G982" s="1">
        <v>4.0</v>
      </c>
      <c r="R982" s="1">
        <v>2.0</v>
      </c>
      <c r="S982" s="1">
        <v>14.0</v>
      </c>
      <c r="T982" s="12">
        <v>76.0</v>
      </c>
      <c r="U982" s="1">
        <v>0.0</v>
      </c>
    </row>
    <row r="983">
      <c r="A983" s="1">
        <f t="shared" si="1"/>
        <v>981</v>
      </c>
      <c r="B983" s="1" t="s">
        <v>2393</v>
      </c>
      <c r="C983" s="1" t="s">
        <v>1065</v>
      </c>
      <c r="D983" s="1" t="s">
        <v>66</v>
      </c>
      <c r="E983" s="15">
        <f t="shared" si="2"/>
        <v>7.75</v>
      </c>
      <c r="F983" s="16">
        <f t="shared" si="3"/>
        <v>1.291666667</v>
      </c>
      <c r="G983" s="1">
        <v>6.0</v>
      </c>
      <c r="H983" s="1">
        <v>0.0</v>
      </c>
      <c r="I983" s="1">
        <v>0.0</v>
      </c>
      <c r="J983" s="1">
        <v>0.0</v>
      </c>
      <c r="K983" s="1">
        <v>6.0</v>
      </c>
      <c r="L983" s="1">
        <v>0.0</v>
      </c>
      <c r="M983" s="1">
        <v>0.0</v>
      </c>
      <c r="N983" s="1">
        <v>0.0</v>
      </c>
      <c r="O983" s="1">
        <v>0.0</v>
      </c>
      <c r="P983" s="1">
        <v>11.0</v>
      </c>
      <c r="Q983" s="1">
        <v>4.0</v>
      </c>
    </row>
    <row r="984">
      <c r="A984" s="1">
        <f t="shared" si="1"/>
        <v>981</v>
      </c>
      <c r="B984" s="1" t="s">
        <v>2394</v>
      </c>
      <c r="C984" s="1" t="s">
        <v>1040</v>
      </c>
      <c r="D984" s="1" t="s">
        <v>28</v>
      </c>
      <c r="E984" s="15">
        <f t="shared" si="2"/>
        <v>7.75</v>
      </c>
      <c r="F984" s="16">
        <f t="shared" si="3"/>
        <v>0.96875</v>
      </c>
      <c r="G984" s="1">
        <v>8.0</v>
      </c>
      <c r="H984" s="1">
        <v>0.0</v>
      </c>
      <c r="I984" s="1">
        <v>0.0</v>
      </c>
      <c r="J984" s="1">
        <v>0.0</v>
      </c>
      <c r="K984" s="1">
        <v>3.0</v>
      </c>
      <c r="L984" s="1">
        <v>0.0</v>
      </c>
      <c r="M984" s="1">
        <v>0.0</v>
      </c>
      <c r="N984" s="1">
        <v>0.0</v>
      </c>
      <c r="O984" s="1">
        <v>0.0</v>
      </c>
      <c r="P984" s="1">
        <v>15.0</v>
      </c>
      <c r="Q984" s="1">
        <v>5.0</v>
      </c>
    </row>
    <row r="985">
      <c r="A985" s="1">
        <f t="shared" si="1"/>
        <v>983</v>
      </c>
      <c r="B985" s="1" t="s">
        <v>2395</v>
      </c>
      <c r="C985" s="1" t="s">
        <v>1076</v>
      </c>
      <c r="D985" s="1" t="s">
        <v>31</v>
      </c>
      <c r="E985" s="15">
        <f t="shared" si="2"/>
        <v>7.5</v>
      </c>
      <c r="F985" s="16">
        <f t="shared" si="3"/>
        <v>0.9375</v>
      </c>
      <c r="G985" s="1">
        <v>8.0</v>
      </c>
      <c r="H985" s="1">
        <v>0.0</v>
      </c>
      <c r="I985" s="1">
        <v>0.0</v>
      </c>
      <c r="J985" s="1">
        <v>0.0</v>
      </c>
      <c r="K985" s="1">
        <v>4.0</v>
      </c>
      <c r="L985" s="1">
        <v>0.0</v>
      </c>
      <c r="M985" s="1">
        <v>0.0</v>
      </c>
      <c r="N985" s="1">
        <v>0.0</v>
      </c>
      <c r="O985" s="1">
        <v>0.0</v>
      </c>
      <c r="P985" s="1">
        <v>16.0</v>
      </c>
      <c r="Q985" s="1">
        <v>3.0</v>
      </c>
    </row>
    <row r="986">
      <c r="A986" s="1">
        <f t="shared" si="1"/>
        <v>983</v>
      </c>
      <c r="B986" s="1" t="s">
        <v>2396</v>
      </c>
      <c r="C986" s="1" t="s">
        <v>1067</v>
      </c>
      <c r="D986" s="1" t="s">
        <v>66</v>
      </c>
      <c r="E986" s="15">
        <f t="shared" si="2"/>
        <v>7.5</v>
      </c>
      <c r="F986" s="16">
        <f t="shared" si="3"/>
        <v>1.875</v>
      </c>
      <c r="G986" s="1">
        <v>4.0</v>
      </c>
      <c r="H986" s="1">
        <v>1.0</v>
      </c>
      <c r="I986" s="1">
        <v>0.0</v>
      </c>
      <c r="J986" s="1">
        <v>1.0</v>
      </c>
      <c r="K986" s="1">
        <v>2.0</v>
      </c>
      <c r="L986" s="1">
        <v>0.0</v>
      </c>
      <c r="M986" s="1">
        <v>0.0</v>
      </c>
      <c r="N986" s="1">
        <v>0.0</v>
      </c>
      <c r="O986" s="1">
        <v>0.0</v>
      </c>
      <c r="P986" s="1">
        <v>2.0</v>
      </c>
      <c r="Q986" s="1">
        <v>3.0</v>
      </c>
    </row>
    <row r="987">
      <c r="A987" s="1">
        <f t="shared" si="1"/>
        <v>983</v>
      </c>
      <c r="B987" s="1" t="s">
        <v>2252</v>
      </c>
      <c r="C987" s="1" t="s">
        <v>1044</v>
      </c>
      <c r="D987" s="1" t="s">
        <v>66</v>
      </c>
      <c r="E987" s="15">
        <f t="shared" si="2"/>
        <v>7.5</v>
      </c>
      <c r="F987" s="16">
        <f t="shared" si="3"/>
        <v>0.8333333333</v>
      </c>
      <c r="G987" s="1">
        <v>9.0</v>
      </c>
      <c r="H987" s="1">
        <v>0.0</v>
      </c>
      <c r="I987" s="1">
        <v>0.0</v>
      </c>
      <c r="J987" s="1">
        <v>0.0</v>
      </c>
      <c r="K987" s="1">
        <v>4.0</v>
      </c>
      <c r="L987" s="1">
        <v>0.0</v>
      </c>
      <c r="M987" s="1">
        <v>0.0</v>
      </c>
      <c r="N987" s="1">
        <v>0.0</v>
      </c>
      <c r="O987" s="1">
        <v>0.0</v>
      </c>
      <c r="P987" s="1">
        <v>18.0</v>
      </c>
      <c r="Q987" s="1">
        <v>2.0</v>
      </c>
    </row>
    <row r="988">
      <c r="A988" s="1">
        <f t="shared" si="1"/>
        <v>986</v>
      </c>
      <c r="B988" s="1" t="s">
        <v>2397</v>
      </c>
      <c r="C988" s="1" t="s">
        <v>1175</v>
      </c>
      <c r="D988" s="1" t="s">
        <v>31</v>
      </c>
      <c r="E988" s="15">
        <f t="shared" si="2"/>
        <v>7.25</v>
      </c>
      <c r="F988" s="16">
        <f t="shared" si="3"/>
        <v>2.416666667</v>
      </c>
      <c r="G988" s="1">
        <v>3.0</v>
      </c>
      <c r="H988" s="1">
        <v>0.0</v>
      </c>
      <c r="I988" s="1">
        <v>1.0</v>
      </c>
      <c r="J988" s="1">
        <v>1.0</v>
      </c>
      <c r="K988" s="1">
        <v>7.0</v>
      </c>
      <c r="L988" s="1">
        <v>0.0</v>
      </c>
      <c r="M988" s="1">
        <v>0.0</v>
      </c>
      <c r="N988" s="1">
        <v>0.0</v>
      </c>
      <c r="O988" s="1">
        <v>0.0</v>
      </c>
      <c r="P988" s="1">
        <v>3.0</v>
      </c>
      <c r="Q988" s="1">
        <v>0.0</v>
      </c>
    </row>
    <row r="989">
      <c r="A989" s="1">
        <f t="shared" si="1"/>
        <v>986</v>
      </c>
      <c r="B989" s="1" t="s">
        <v>1356</v>
      </c>
      <c r="C989" s="1" t="s">
        <v>1042</v>
      </c>
      <c r="D989" s="1" t="s">
        <v>28</v>
      </c>
      <c r="E989" s="15">
        <f t="shared" si="2"/>
        <v>7.25</v>
      </c>
      <c r="F989" s="16">
        <f t="shared" si="3"/>
        <v>0.90625</v>
      </c>
      <c r="G989" s="1">
        <v>8.0</v>
      </c>
      <c r="H989" s="1">
        <v>0.0</v>
      </c>
      <c r="I989" s="1">
        <v>0.0</v>
      </c>
      <c r="J989" s="1">
        <v>0.0</v>
      </c>
      <c r="K989" s="1">
        <v>3.0</v>
      </c>
      <c r="L989" s="1">
        <v>0.0</v>
      </c>
      <c r="M989" s="1">
        <v>0.0</v>
      </c>
      <c r="N989" s="1">
        <v>0.0</v>
      </c>
      <c r="O989" s="1">
        <v>0.0</v>
      </c>
      <c r="P989" s="1">
        <v>21.0</v>
      </c>
      <c r="Q989" s="1">
        <v>1.0</v>
      </c>
    </row>
    <row r="990">
      <c r="A990" s="1">
        <f t="shared" si="1"/>
        <v>988</v>
      </c>
      <c r="B990" s="1" t="s">
        <v>1538</v>
      </c>
      <c r="C990" s="1" t="s">
        <v>1106</v>
      </c>
      <c r="D990" s="1" t="s">
        <v>5</v>
      </c>
      <c r="E990" s="15">
        <f t="shared" si="2"/>
        <v>7.2</v>
      </c>
      <c r="F990" s="16">
        <f t="shared" si="3"/>
        <v>3.6</v>
      </c>
      <c r="G990" s="1">
        <v>2.0</v>
      </c>
      <c r="R990" s="1">
        <v>1.0</v>
      </c>
      <c r="S990" s="1">
        <v>6.0</v>
      </c>
      <c r="T990" s="12">
        <v>44.0</v>
      </c>
      <c r="U990" s="1">
        <v>0.0</v>
      </c>
    </row>
    <row r="991">
      <c r="A991" s="1">
        <f t="shared" si="1"/>
        <v>989</v>
      </c>
      <c r="B991" s="1" t="s">
        <v>1803</v>
      </c>
      <c r="C991" s="1" t="s">
        <v>1078</v>
      </c>
      <c r="D991" s="1" t="s">
        <v>31</v>
      </c>
      <c r="E991" s="15">
        <f t="shared" si="2"/>
        <v>7</v>
      </c>
      <c r="F991" s="16">
        <f t="shared" si="3"/>
        <v>1</v>
      </c>
      <c r="G991" s="1">
        <v>7.0</v>
      </c>
      <c r="H991" s="1">
        <v>0.0</v>
      </c>
      <c r="I991" s="1">
        <v>0.0</v>
      </c>
      <c r="J991" s="1">
        <v>0.0</v>
      </c>
      <c r="K991" s="1">
        <v>5.0</v>
      </c>
      <c r="L991" s="1">
        <v>0.0</v>
      </c>
      <c r="M991" s="1">
        <v>0.0</v>
      </c>
      <c r="N991" s="1">
        <v>0.0</v>
      </c>
      <c r="O991" s="1">
        <v>0.0</v>
      </c>
      <c r="P991" s="1">
        <v>12.0</v>
      </c>
      <c r="Q991" s="1">
        <v>3.0</v>
      </c>
    </row>
    <row r="992">
      <c r="A992" s="1">
        <f t="shared" si="1"/>
        <v>989</v>
      </c>
      <c r="B992" s="1" t="s">
        <v>1715</v>
      </c>
      <c r="C992" s="1" t="s">
        <v>1052</v>
      </c>
      <c r="D992" s="1" t="s">
        <v>66</v>
      </c>
      <c r="E992" s="15">
        <f t="shared" si="2"/>
        <v>7</v>
      </c>
      <c r="F992" s="16">
        <f t="shared" si="3"/>
        <v>1.75</v>
      </c>
      <c r="G992" s="1">
        <v>4.0</v>
      </c>
      <c r="H992" s="1">
        <v>0.0</v>
      </c>
      <c r="I992" s="1">
        <v>0.0</v>
      </c>
      <c r="J992" s="1">
        <v>0.0</v>
      </c>
      <c r="K992" s="1">
        <v>7.0</v>
      </c>
      <c r="L992" s="1">
        <v>0.0</v>
      </c>
      <c r="M992" s="1">
        <v>0.0</v>
      </c>
      <c r="N992" s="1">
        <v>0.0</v>
      </c>
      <c r="O992" s="1">
        <v>0.0</v>
      </c>
      <c r="P992" s="1">
        <v>6.0</v>
      </c>
      <c r="Q992" s="1">
        <v>4.0</v>
      </c>
    </row>
    <row r="993">
      <c r="A993" s="1">
        <f t="shared" si="1"/>
        <v>989</v>
      </c>
      <c r="B993" s="1" t="s">
        <v>2188</v>
      </c>
      <c r="C993" s="1" t="s">
        <v>1048</v>
      </c>
      <c r="D993" s="1" t="s">
        <v>28</v>
      </c>
      <c r="E993" s="15">
        <f t="shared" si="2"/>
        <v>7</v>
      </c>
      <c r="F993" s="16">
        <f t="shared" si="3"/>
        <v>1.166666667</v>
      </c>
      <c r="G993" s="1">
        <v>6.0</v>
      </c>
      <c r="H993" s="1">
        <v>0.0</v>
      </c>
      <c r="I993" s="1">
        <v>1.0</v>
      </c>
      <c r="J993" s="1">
        <v>1.0</v>
      </c>
      <c r="K993" s="1">
        <v>7.0</v>
      </c>
      <c r="L993" s="1">
        <v>0.0</v>
      </c>
      <c r="M993" s="1">
        <v>1.0</v>
      </c>
      <c r="N993" s="1">
        <v>0.0</v>
      </c>
      <c r="O993" s="1">
        <v>0.0</v>
      </c>
      <c r="P993" s="1">
        <v>0.0</v>
      </c>
      <c r="Q993" s="1">
        <v>1.0</v>
      </c>
    </row>
    <row r="994">
      <c r="A994" s="1">
        <f t="shared" si="1"/>
        <v>992</v>
      </c>
      <c r="B994" s="1" t="s">
        <v>2398</v>
      </c>
      <c r="C994" s="1" t="s">
        <v>1065</v>
      </c>
      <c r="D994" s="1" t="s">
        <v>31</v>
      </c>
      <c r="E994" s="15">
        <f t="shared" si="2"/>
        <v>6.75</v>
      </c>
      <c r="F994" s="16">
        <f t="shared" si="3"/>
        <v>1.35</v>
      </c>
      <c r="G994" s="1">
        <v>5.0</v>
      </c>
      <c r="H994" s="1">
        <v>0.0</v>
      </c>
      <c r="I994" s="1">
        <v>1.0</v>
      </c>
      <c r="J994" s="1">
        <v>1.0</v>
      </c>
      <c r="K994" s="1">
        <v>2.0</v>
      </c>
      <c r="L994" s="1">
        <v>0.0</v>
      </c>
      <c r="M994" s="1">
        <v>0.0</v>
      </c>
      <c r="N994" s="1">
        <v>0.0</v>
      </c>
      <c r="O994" s="1">
        <v>0.0</v>
      </c>
      <c r="P994" s="1">
        <v>3.0</v>
      </c>
      <c r="Q994" s="1">
        <v>4.0</v>
      </c>
    </row>
    <row r="995">
      <c r="A995" s="1">
        <f t="shared" si="1"/>
        <v>992</v>
      </c>
      <c r="B995" s="1" t="s">
        <v>2399</v>
      </c>
      <c r="C995" s="1" t="s">
        <v>1078</v>
      </c>
      <c r="D995" s="1" t="s">
        <v>28</v>
      </c>
      <c r="E995" s="15">
        <f t="shared" si="2"/>
        <v>6.75</v>
      </c>
      <c r="F995" s="16">
        <f t="shared" si="3"/>
        <v>1.6875</v>
      </c>
      <c r="G995" s="1">
        <v>4.0</v>
      </c>
      <c r="H995" s="1">
        <v>0.0</v>
      </c>
      <c r="I995" s="1">
        <v>2.0</v>
      </c>
      <c r="J995" s="1">
        <v>2.0</v>
      </c>
      <c r="K995" s="1">
        <v>1.0</v>
      </c>
      <c r="L995" s="1">
        <v>0.0</v>
      </c>
      <c r="M995" s="1">
        <v>2.0</v>
      </c>
      <c r="N995" s="1">
        <v>0.0</v>
      </c>
      <c r="O995" s="1">
        <v>0.0</v>
      </c>
      <c r="P995" s="1">
        <v>1.0</v>
      </c>
      <c r="Q995" s="1">
        <v>0.0</v>
      </c>
    </row>
    <row r="996">
      <c r="A996" s="1">
        <f t="shared" si="1"/>
        <v>994</v>
      </c>
      <c r="B996" s="1" t="s">
        <v>2400</v>
      </c>
      <c r="C996" s="1" t="s">
        <v>1087</v>
      </c>
      <c r="D996" s="1" t="s">
        <v>5</v>
      </c>
      <c r="E996" s="15">
        <f t="shared" si="2"/>
        <v>6.6</v>
      </c>
      <c r="F996" s="16">
        <f t="shared" si="3"/>
        <v>6.6</v>
      </c>
      <c r="G996" s="1">
        <v>1.0</v>
      </c>
      <c r="R996" s="1">
        <v>1.0</v>
      </c>
      <c r="S996" s="1">
        <v>3.0</v>
      </c>
      <c r="T996" s="12">
        <v>27.0</v>
      </c>
      <c r="U996" s="1">
        <v>0.0</v>
      </c>
    </row>
    <row r="997">
      <c r="A997" s="1">
        <f t="shared" si="1"/>
        <v>995</v>
      </c>
      <c r="B997" s="1" t="s">
        <v>2034</v>
      </c>
      <c r="C997" s="1" t="s">
        <v>1069</v>
      </c>
      <c r="D997" s="1" t="s">
        <v>66</v>
      </c>
      <c r="E997" s="15">
        <f t="shared" si="2"/>
        <v>6.5</v>
      </c>
      <c r="F997" s="16">
        <f t="shared" si="3"/>
        <v>2.166666667</v>
      </c>
      <c r="G997" s="1">
        <v>3.0</v>
      </c>
      <c r="H997" s="1">
        <v>0.0</v>
      </c>
      <c r="I997" s="1">
        <v>1.0</v>
      </c>
      <c r="J997" s="1">
        <v>1.0</v>
      </c>
      <c r="K997" s="1">
        <v>4.0</v>
      </c>
      <c r="L997" s="1">
        <v>0.0</v>
      </c>
      <c r="M997" s="1">
        <v>0.0</v>
      </c>
      <c r="N997" s="1">
        <v>0.0</v>
      </c>
      <c r="O997" s="1">
        <v>0.0</v>
      </c>
      <c r="P997" s="1">
        <v>4.0</v>
      </c>
      <c r="Q997" s="1">
        <v>1.0</v>
      </c>
    </row>
    <row r="998">
      <c r="A998" s="1">
        <f t="shared" si="1"/>
        <v>995</v>
      </c>
      <c r="B998" s="1" t="s">
        <v>2401</v>
      </c>
      <c r="C998" s="1" t="s">
        <v>1097</v>
      </c>
      <c r="D998" s="1" t="s">
        <v>66</v>
      </c>
      <c r="E998" s="15">
        <f t="shared" si="2"/>
        <v>6.5</v>
      </c>
      <c r="F998" s="16">
        <f t="shared" si="3"/>
        <v>1.083333333</v>
      </c>
      <c r="G998" s="1">
        <v>6.0</v>
      </c>
      <c r="H998" s="1">
        <v>0.0</v>
      </c>
      <c r="I998" s="1">
        <v>1.0</v>
      </c>
      <c r="J998" s="1">
        <v>1.0</v>
      </c>
      <c r="K998" s="1">
        <v>2.0</v>
      </c>
      <c r="L998" s="1">
        <v>0.0</v>
      </c>
      <c r="M998" s="1">
        <v>0.0</v>
      </c>
      <c r="N998" s="1">
        <v>0.0</v>
      </c>
      <c r="O998" s="1">
        <v>0.0</v>
      </c>
      <c r="P998" s="1">
        <v>4.0</v>
      </c>
      <c r="Q998" s="1">
        <v>3.0</v>
      </c>
    </row>
    <row r="999">
      <c r="A999" s="1">
        <f t="shared" si="1"/>
        <v>995</v>
      </c>
      <c r="B999" s="1" t="s">
        <v>2402</v>
      </c>
      <c r="C999" s="1" t="s">
        <v>1032</v>
      </c>
      <c r="D999" s="1" t="s">
        <v>66</v>
      </c>
      <c r="E999" s="15">
        <f t="shared" si="2"/>
        <v>6.5</v>
      </c>
      <c r="F999" s="16">
        <f t="shared" si="3"/>
        <v>2.166666667</v>
      </c>
      <c r="G999" s="1">
        <v>3.0</v>
      </c>
      <c r="H999" s="1">
        <v>0.0</v>
      </c>
      <c r="I999" s="1">
        <v>0.0</v>
      </c>
      <c r="J999" s="1">
        <v>0.0</v>
      </c>
      <c r="K999" s="1">
        <v>5.0</v>
      </c>
      <c r="L999" s="1">
        <v>0.0</v>
      </c>
      <c r="M999" s="1">
        <v>0.0</v>
      </c>
      <c r="N999" s="1">
        <v>0.0</v>
      </c>
      <c r="O999" s="1">
        <v>0.0</v>
      </c>
      <c r="P999" s="1">
        <v>12.0</v>
      </c>
      <c r="Q999" s="1">
        <v>2.0</v>
      </c>
    </row>
    <row r="1000">
      <c r="A1000" s="1">
        <f t="shared" si="1"/>
        <v>998</v>
      </c>
      <c r="B1000" s="1" t="s">
        <v>1947</v>
      </c>
      <c r="C1000" s="1" t="s">
        <v>1073</v>
      </c>
      <c r="D1000" s="1" t="s">
        <v>66</v>
      </c>
      <c r="E1000" s="15">
        <f t="shared" si="2"/>
        <v>6.25</v>
      </c>
      <c r="F1000" s="16">
        <f t="shared" si="3"/>
        <v>1.25</v>
      </c>
      <c r="G1000" s="1">
        <v>5.0</v>
      </c>
      <c r="H1000" s="1">
        <v>0.0</v>
      </c>
      <c r="I1000" s="1">
        <v>0.0</v>
      </c>
      <c r="J1000" s="1">
        <v>0.0</v>
      </c>
      <c r="K1000" s="1">
        <v>6.0</v>
      </c>
      <c r="L1000" s="1">
        <v>0.0</v>
      </c>
      <c r="M1000" s="1">
        <v>0.0</v>
      </c>
      <c r="N1000" s="1">
        <v>0.0</v>
      </c>
      <c r="O1000" s="1">
        <v>0.0</v>
      </c>
      <c r="P1000" s="1">
        <v>3.0</v>
      </c>
      <c r="Q1000" s="1">
        <v>5.0</v>
      </c>
    </row>
    <row r="1001">
      <c r="A1001" s="1">
        <f t="shared" si="1"/>
        <v>999</v>
      </c>
      <c r="B1001" s="1" t="s">
        <v>1509</v>
      </c>
      <c r="C1001" s="1" t="s">
        <v>1044</v>
      </c>
      <c r="D1001" s="1" t="s">
        <v>31</v>
      </c>
      <c r="E1001" s="15">
        <f t="shared" si="2"/>
        <v>6</v>
      </c>
      <c r="F1001" s="16">
        <f t="shared" si="3"/>
        <v>1.2</v>
      </c>
      <c r="G1001" s="1">
        <v>5.0</v>
      </c>
      <c r="H1001" s="1">
        <v>0.0</v>
      </c>
      <c r="I1001" s="1">
        <v>1.0</v>
      </c>
      <c r="J1001" s="1">
        <v>1.0</v>
      </c>
      <c r="K1001" s="1">
        <v>5.0</v>
      </c>
      <c r="L1001" s="1">
        <v>0.0</v>
      </c>
      <c r="M1001" s="1">
        <v>1.0</v>
      </c>
      <c r="N1001" s="1">
        <v>0.0</v>
      </c>
      <c r="O1001" s="1">
        <v>0.0</v>
      </c>
      <c r="P1001" s="1">
        <v>0.0</v>
      </c>
      <c r="Q1001" s="1">
        <v>1.0</v>
      </c>
    </row>
    <row r="1002">
      <c r="A1002" s="1">
        <f t="shared" si="1"/>
        <v>999</v>
      </c>
      <c r="B1002" s="1" t="s">
        <v>2403</v>
      </c>
      <c r="C1002" s="1" t="s">
        <v>1030</v>
      </c>
      <c r="D1002" s="1" t="s">
        <v>28</v>
      </c>
      <c r="E1002" s="15">
        <f t="shared" si="2"/>
        <v>6</v>
      </c>
      <c r="F1002" s="16">
        <f t="shared" si="3"/>
        <v>1.2</v>
      </c>
      <c r="G1002" s="1">
        <v>5.0</v>
      </c>
      <c r="H1002" s="1">
        <v>0.0</v>
      </c>
      <c r="I1002" s="1">
        <v>1.0</v>
      </c>
      <c r="J1002" s="1">
        <v>1.0</v>
      </c>
      <c r="K1002" s="1">
        <v>3.0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3.0</v>
      </c>
    </row>
    <row r="1003">
      <c r="A1003" s="1">
        <f t="shared" si="1"/>
        <v>1001</v>
      </c>
      <c r="B1003" s="1" t="s">
        <v>2404</v>
      </c>
      <c r="C1003" s="1" t="s">
        <v>1106</v>
      </c>
      <c r="D1003" s="1" t="s">
        <v>31</v>
      </c>
      <c r="E1003" s="15">
        <f t="shared" si="2"/>
        <v>5.75</v>
      </c>
      <c r="F1003" s="16">
        <f t="shared" si="3"/>
        <v>1.15</v>
      </c>
      <c r="G1003" s="1">
        <v>5.0</v>
      </c>
      <c r="H1003" s="1">
        <v>0.0</v>
      </c>
      <c r="I1003" s="1">
        <v>1.0</v>
      </c>
      <c r="J1003" s="1">
        <v>1.0</v>
      </c>
      <c r="K1003" s="1">
        <v>3.0</v>
      </c>
      <c r="L1003" s="1">
        <v>0.0</v>
      </c>
      <c r="M1003" s="1">
        <v>0.0</v>
      </c>
      <c r="N1003" s="1">
        <v>0.0</v>
      </c>
      <c r="O1003" s="1">
        <v>0.0</v>
      </c>
      <c r="P1003" s="1">
        <v>3.0</v>
      </c>
      <c r="Q1003" s="1">
        <v>1.0</v>
      </c>
    </row>
    <row r="1004">
      <c r="A1004" s="1">
        <f t="shared" si="1"/>
        <v>1001</v>
      </c>
      <c r="B1004" s="1" t="s">
        <v>1918</v>
      </c>
      <c r="C1004" s="1" t="s">
        <v>1054</v>
      </c>
      <c r="D1004" s="1" t="s">
        <v>28</v>
      </c>
      <c r="E1004" s="15">
        <f t="shared" si="2"/>
        <v>5.75</v>
      </c>
      <c r="F1004" s="16">
        <f t="shared" si="3"/>
        <v>1.916666667</v>
      </c>
      <c r="G1004" s="1">
        <v>3.0</v>
      </c>
      <c r="H1004" s="1">
        <v>0.0</v>
      </c>
      <c r="I1004" s="1">
        <v>1.0</v>
      </c>
      <c r="J1004" s="1">
        <v>1.0</v>
      </c>
      <c r="K1004" s="1">
        <v>4.0</v>
      </c>
      <c r="L1004" s="1">
        <v>0.0</v>
      </c>
      <c r="M1004" s="1">
        <v>0.0</v>
      </c>
      <c r="N1004" s="1">
        <v>0.0</v>
      </c>
      <c r="O1004" s="1">
        <v>0.0</v>
      </c>
      <c r="P1004" s="1">
        <v>1.0</v>
      </c>
      <c r="Q1004" s="1">
        <v>1.0</v>
      </c>
    </row>
    <row r="1005">
      <c r="A1005" s="1">
        <f t="shared" si="1"/>
        <v>1001</v>
      </c>
      <c r="B1005" s="1" t="s">
        <v>1674</v>
      </c>
      <c r="C1005" s="1" t="s">
        <v>1032</v>
      </c>
      <c r="D1005" s="1" t="s">
        <v>36</v>
      </c>
      <c r="E1005" s="15">
        <f t="shared" si="2"/>
        <v>5.75</v>
      </c>
      <c r="F1005" s="16">
        <f t="shared" si="3"/>
        <v>1.15</v>
      </c>
      <c r="G1005" s="1">
        <v>5.0</v>
      </c>
      <c r="H1005" s="1">
        <v>0.0</v>
      </c>
      <c r="I1005" s="1">
        <v>0.0</v>
      </c>
      <c r="J1005" s="1">
        <v>0.0</v>
      </c>
      <c r="K1005" s="1">
        <v>10.0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3.0</v>
      </c>
      <c r="Q1005" s="1">
        <v>0.0</v>
      </c>
    </row>
    <row r="1006">
      <c r="A1006" s="1">
        <f t="shared" si="1"/>
        <v>1004</v>
      </c>
      <c r="B1006" s="1" t="s">
        <v>1705</v>
      </c>
      <c r="C1006" s="1" t="s">
        <v>1030</v>
      </c>
      <c r="D1006" s="1" t="s">
        <v>5</v>
      </c>
      <c r="E1006" s="15">
        <f t="shared" si="2"/>
        <v>5.7</v>
      </c>
      <c r="F1006" s="16">
        <f t="shared" si="3"/>
        <v>2.85</v>
      </c>
      <c r="G1006" s="1">
        <v>2.0</v>
      </c>
      <c r="R1006" s="1">
        <v>1.0</v>
      </c>
      <c r="S1006" s="1">
        <v>7.0</v>
      </c>
      <c r="T1006" s="12">
        <v>44.0</v>
      </c>
      <c r="U1006" s="1">
        <v>0.0</v>
      </c>
    </row>
    <row r="1007">
      <c r="A1007" s="1">
        <f t="shared" si="1"/>
        <v>1005</v>
      </c>
      <c r="B1007" s="1" t="s">
        <v>2405</v>
      </c>
      <c r="C1007" s="1" t="s">
        <v>1082</v>
      </c>
      <c r="D1007" s="1" t="s">
        <v>31</v>
      </c>
      <c r="E1007" s="15">
        <f t="shared" si="2"/>
        <v>5.5</v>
      </c>
      <c r="F1007" s="16">
        <f t="shared" si="3"/>
        <v>2.75</v>
      </c>
      <c r="G1007" s="1">
        <v>2.0</v>
      </c>
      <c r="H1007" s="1">
        <v>1.0</v>
      </c>
      <c r="I1007" s="1">
        <v>0.0</v>
      </c>
      <c r="J1007" s="1">
        <v>1.0</v>
      </c>
      <c r="K1007" s="1">
        <v>1.0</v>
      </c>
      <c r="L1007" s="1">
        <v>0.0</v>
      </c>
      <c r="M1007" s="1">
        <v>0.0</v>
      </c>
      <c r="N1007" s="1">
        <v>0.0</v>
      </c>
      <c r="O1007" s="1">
        <v>0.0</v>
      </c>
      <c r="P1007" s="1">
        <v>2.0</v>
      </c>
      <c r="Q1007" s="1">
        <v>0.0</v>
      </c>
    </row>
    <row r="1008">
      <c r="A1008" s="1">
        <f t="shared" si="1"/>
        <v>1005</v>
      </c>
      <c r="B1008" s="1" t="s">
        <v>1856</v>
      </c>
      <c r="C1008" s="1" t="s">
        <v>1054</v>
      </c>
      <c r="D1008" s="1" t="s">
        <v>31</v>
      </c>
      <c r="E1008" s="15">
        <f t="shared" si="2"/>
        <v>5.5</v>
      </c>
      <c r="F1008" s="16">
        <f t="shared" si="3"/>
        <v>1.833333333</v>
      </c>
      <c r="G1008" s="1">
        <v>3.0</v>
      </c>
      <c r="H1008" s="1">
        <v>0.0</v>
      </c>
      <c r="I1008" s="1">
        <v>0.0</v>
      </c>
      <c r="J1008" s="1">
        <v>0.0</v>
      </c>
      <c r="K1008" s="1">
        <v>7.0</v>
      </c>
      <c r="L1008" s="1">
        <v>0.0</v>
      </c>
      <c r="M1008" s="1">
        <v>0.0</v>
      </c>
      <c r="N1008" s="1">
        <v>0.0</v>
      </c>
      <c r="O1008" s="1">
        <v>0.0</v>
      </c>
      <c r="P1008" s="1">
        <v>6.0</v>
      </c>
      <c r="Q1008" s="1">
        <v>1.0</v>
      </c>
    </row>
    <row r="1009">
      <c r="A1009" s="1">
        <f t="shared" si="1"/>
        <v>1007</v>
      </c>
      <c r="B1009" s="1" t="s">
        <v>2406</v>
      </c>
      <c r="C1009" s="1" t="s">
        <v>1042</v>
      </c>
      <c r="D1009" s="1" t="s">
        <v>31</v>
      </c>
      <c r="E1009" s="15">
        <f t="shared" si="2"/>
        <v>5.25</v>
      </c>
      <c r="F1009" s="16">
        <f t="shared" si="3"/>
        <v>0.75</v>
      </c>
      <c r="G1009" s="1">
        <v>7.0</v>
      </c>
      <c r="H1009" s="1">
        <v>0.0</v>
      </c>
      <c r="I1009" s="1">
        <v>0.0</v>
      </c>
      <c r="J1009" s="1">
        <v>0.0</v>
      </c>
      <c r="K1009" s="1">
        <v>8.0</v>
      </c>
      <c r="L1009" s="1">
        <v>0.0</v>
      </c>
      <c r="M1009" s="1">
        <v>0.0</v>
      </c>
      <c r="N1009" s="1">
        <v>0.0</v>
      </c>
      <c r="O1009" s="1">
        <v>0.0</v>
      </c>
      <c r="P1009" s="1">
        <v>5.0</v>
      </c>
      <c r="Q1009" s="1">
        <v>0.0</v>
      </c>
    </row>
    <row r="1010">
      <c r="A1010" s="1">
        <f t="shared" si="1"/>
        <v>1008</v>
      </c>
      <c r="B1010" s="1" t="s">
        <v>2407</v>
      </c>
      <c r="C1010" s="1" t="s">
        <v>1111</v>
      </c>
      <c r="D1010" s="1" t="s">
        <v>5</v>
      </c>
      <c r="E1010" s="15">
        <f t="shared" si="2"/>
        <v>5.1</v>
      </c>
      <c r="F1010" s="16">
        <f t="shared" si="3"/>
        <v>2.55</v>
      </c>
      <c r="G1010" s="1">
        <v>2.0</v>
      </c>
      <c r="R1010" s="1">
        <v>0.0</v>
      </c>
      <c r="S1010" s="1">
        <v>3.0</v>
      </c>
      <c r="T1010" s="12">
        <v>32.0</v>
      </c>
      <c r="U1010" s="1">
        <v>0.0</v>
      </c>
    </row>
    <row r="1011">
      <c r="A1011" s="1">
        <f t="shared" si="1"/>
        <v>1009</v>
      </c>
      <c r="B1011" s="1" t="s">
        <v>1721</v>
      </c>
      <c r="C1011" s="1" t="s">
        <v>1172</v>
      </c>
      <c r="D1011" s="1" t="s">
        <v>5</v>
      </c>
      <c r="E1011" s="15">
        <f t="shared" si="2"/>
        <v>5.1</v>
      </c>
      <c r="F1011" s="16">
        <f t="shared" si="3"/>
        <v>1.7</v>
      </c>
      <c r="G1011" s="1">
        <v>3.0</v>
      </c>
      <c r="R1011" s="1">
        <v>0.0</v>
      </c>
      <c r="S1011" s="1">
        <v>13.0</v>
      </c>
      <c r="T1011" s="12">
        <v>82.0</v>
      </c>
      <c r="U1011" s="1">
        <v>0.0</v>
      </c>
    </row>
    <row r="1012">
      <c r="A1012" s="1">
        <f t="shared" si="1"/>
        <v>1010</v>
      </c>
      <c r="B1012" s="1" t="s">
        <v>1364</v>
      </c>
      <c r="C1012" s="1" t="s">
        <v>1034</v>
      </c>
      <c r="D1012" s="1" t="s">
        <v>66</v>
      </c>
      <c r="E1012" s="15">
        <f t="shared" si="2"/>
        <v>5</v>
      </c>
      <c r="F1012" s="16">
        <f t="shared" si="3"/>
        <v>1.25</v>
      </c>
      <c r="G1012" s="1">
        <v>4.0</v>
      </c>
      <c r="H1012" s="1">
        <v>0.0</v>
      </c>
      <c r="I1012" s="1">
        <v>0.0</v>
      </c>
      <c r="J1012" s="1">
        <v>0.0</v>
      </c>
      <c r="K1012" s="1">
        <v>2.0</v>
      </c>
      <c r="L1012" s="1">
        <v>0.0</v>
      </c>
      <c r="M1012" s="1">
        <v>0.0</v>
      </c>
      <c r="N1012" s="1">
        <v>0.0</v>
      </c>
      <c r="O1012" s="1">
        <v>0.0</v>
      </c>
      <c r="P1012" s="1">
        <v>4.0</v>
      </c>
      <c r="Q1012" s="1">
        <v>6.0</v>
      </c>
    </row>
    <row r="1013">
      <c r="A1013" s="1">
        <f t="shared" si="1"/>
        <v>1010</v>
      </c>
      <c r="B1013" s="1" t="s">
        <v>1611</v>
      </c>
      <c r="C1013" s="1" t="s">
        <v>1116</v>
      </c>
      <c r="D1013" s="1" t="s">
        <v>66</v>
      </c>
      <c r="E1013" s="15">
        <f t="shared" si="2"/>
        <v>5</v>
      </c>
      <c r="F1013" s="16">
        <f t="shared" si="3"/>
        <v>1.25</v>
      </c>
      <c r="G1013" s="1">
        <v>4.0</v>
      </c>
      <c r="H1013" s="1">
        <v>0.0</v>
      </c>
      <c r="I1013" s="1">
        <v>0.0</v>
      </c>
      <c r="J1013" s="1">
        <v>0.0</v>
      </c>
      <c r="K1013" s="1">
        <v>7.0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3.0</v>
      </c>
    </row>
    <row r="1014">
      <c r="A1014" s="1">
        <f t="shared" si="1"/>
        <v>1010</v>
      </c>
      <c r="B1014" s="1" t="s">
        <v>2408</v>
      </c>
      <c r="C1014" s="1" t="s">
        <v>1076</v>
      </c>
      <c r="D1014" s="1" t="s">
        <v>66</v>
      </c>
      <c r="E1014" s="15">
        <f t="shared" si="2"/>
        <v>5</v>
      </c>
      <c r="F1014" s="16">
        <f t="shared" si="3"/>
        <v>5</v>
      </c>
      <c r="G1014" s="1">
        <v>1.0</v>
      </c>
      <c r="H1014" s="1">
        <v>0.0</v>
      </c>
      <c r="I1014" s="1">
        <v>1.0</v>
      </c>
      <c r="J1014" s="1">
        <v>1.0</v>
      </c>
      <c r="K1014" s="1">
        <v>2.0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2.0</v>
      </c>
    </row>
    <row r="1015">
      <c r="A1015" s="1">
        <f t="shared" si="1"/>
        <v>1013</v>
      </c>
      <c r="B1015" s="1" t="s">
        <v>2029</v>
      </c>
      <c r="C1015" s="1" t="s">
        <v>1032</v>
      </c>
      <c r="D1015" s="1" t="s">
        <v>28</v>
      </c>
      <c r="E1015" s="15">
        <f t="shared" si="2"/>
        <v>4.75</v>
      </c>
      <c r="F1015" s="16">
        <f t="shared" si="3"/>
        <v>1.583333333</v>
      </c>
      <c r="G1015" s="1">
        <v>3.0</v>
      </c>
      <c r="H1015" s="1">
        <v>0.0</v>
      </c>
      <c r="I1015" s="1">
        <v>1.0</v>
      </c>
      <c r="J1015" s="1">
        <v>1.0</v>
      </c>
      <c r="K1015" s="1">
        <v>2.0</v>
      </c>
      <c r="L1015" s="1">
        <v>0.0</v>
      </c>
      <c r="M1015" s="1">
        <v>0.0</v>
      </c>
      <c r="N1015" s="1">
        <v>0.0</v>
      </c>
      <c r="O1015" s="1">
        <v>0.0</v>
      </c>
      <c r="P1015" s="1">
        <v>1.0</v>
      </c>
      <c r="Q1015" s="1">
        <v>1.0</v>
      </c>
    </row>
    <row r="1016">
      <c r="A1016" s="1">
        <f t="shared" si="1"/>
        <v>1013</v>
      </c>
      <c r="B1016" s="1" t="s">
        <v>2004</v>
      </c>
      <c r="C1016" s="1" t="s">
        <v>1175</v>
      </c>
      <c r="D1016" s="1" t="s">
        <v>28</v>
      </c>
      <c r="E1016" s="15">
        <f t="shared" si="2"/>
        <v>4.75</v>
      </c>
      <c r="F1016" s="16">
        <f t="shared" si="3"/>
        <v>0.95</v>
      </c>
      <c r="G1016" s="1">
        <v>5.0</v>
      </c>
      <c r="H1016" s="1">
        <v>0.0</v>
      </c>
      <c r="I1016" s="1">
        <v>0.0</v>
      </c>
      <c r="J1016" s="1">
        <v>0.0</v>
      </c>
      <c r="K1016" s="1">
        <v>2.0</v>
      </c>
      <c r="L1016" s="1">
        <v>0.0</v>
      </c>
      <c r="M1016" s="1">
        <v>0.0</v>
      </c>
      <c r="N1016" s="1">
        <v>0.0</v>
      </c>
      <c r="O1016" s="1">
        <v>0.0</v>
      </c>
      <c r="P1016" s="1">
        <v>15.0</v>
      </c>
      <c r="Q1016" s="1">
        <v>0.0</v>
      </c>
    </row>
    <row r="1017">
      <c r="A1017" s="1">
        <f t="shared" si="1"/>
        <v>1015</v>
      </c>
      <c r="B1017" s="1" t="s">
        <v>1927</v>
      </c>
      <c r="C1017" s="1" t="s">
        <v>1078</v>
      </c>
      <c r="D1017" s="1" t="s">
        <v>28</v>
      </c>
      <c r="E1017" s="15">
        <f t="shared" si="2"/>
        <v>4.5</v>
      </c>
      <c r="F1017" s="16">
        <f t="shared" si="3"/>
        <v>1.125</v>
      </c>
      <c r="G1017" s="1">
        <v>4.0</v>
      </c>
      <c r="H1017" s="1">
        <v>0.0</v>
      </c>
      <c r="I1017" s="1">
        <v>0.0</v>
      </c>
      <c r="J1017" s="1">
        <v>0.0</v>
      </c>
      <c r="K1017" s="1">
        <v>5.0</v>
      </c>
      <c r="L1017" s="1">
        <v>0.0</v>
      </c>
      <c r="M1017" s="1">
        <v>0.0</v>
      </c>
      <c r="N1017" s="1">
        <v>0.0</v>
      </c>
      <c r="O1017" s="1">
        <v>0.0</v>
      </c>
      <c r="P1017" s="1">
        <v>2.0</v>
      </c>
      <c r="Q1017" s="1">
        <v>3.0</v>
      </c>
    </row>
    <row r="1018">
      <c r="A1018" s="1">
        <f t="shared" si="1"/>
        <v>1015</v>
      </c>
      <c r="B1018" s="1" t="s">
        <v>1936</v>
      </c>
      <c r="C1018" s="1" t="s">
        <v>1120</v>
      </c>
      <c r="D1018" s="1" t="s">
        <v>5</v>
      </c>
      <c r="E1018" s="15">
        <f t="shared" si="2"/>
        <v>4.5</v>
      </c>
      <c r="F1018" s="16">
        <f t="shared" si="3"/>
        <v>4.5</v>
      </c>
      <c r="G1018" s="1">
        <v>1.0</v>
      </c>
      <c r="R1018" s="1">
        <v>1.0</v>
      </c>
      <c r="S1018" s="1">
        <v>3.0</v>
      </c>
      <c r="T1018" s="12">
        <v>20.0</v>
      </c>
      <c r="U1018" s="1">
        <v>0.0</v>
      </c>
    </row>
    <row r="1019">
      <c r="A1019" s="1">
        <f t="shared" si="1"/>
        <v>1017</v>
      </c>
      <c r="B1019" s="1" t="s">
        <v>2409</v>
      </c>
      <c r="C1019" s="1" t="s">
        <v>1052</v>
      </c>
      <c r="D1019" s="1" t="s">
        <v>31</v>
      </c>
      <c r="E1019" s="15">
        <f t="shared" si="2"/>
        <v>4.25</v>
      </c>
      <c r="F1019" s="16">
        <f t="shared" si="3"/>
        <v>1.0625</v>
      </c>
      <c r="G1019" s="1">
        <v>4.0</v>
      </c>
      <c r="H1019" s="1">
        <v>0.0</v>
      </c>
      <c r="I1019" s="1">
        <v>0.0</v>
      </c>
      <c r="J1019" s="1">
        <v>0.0</v>
      </c>
      <c r="K1019" s="1">
        <v>2.0</v>
      </c>
      <c r="L1019" s="1">
        <v>0.0</v>
      </c>
      <c r="M1019" s="1">
        <v>0.0</v>
      </c>
      <c r="N1019" s="1">
        <v>0.0</v>
      </c>
      <c r="O1019" s="1">
        <v>0.0</v>
      </c>
      <c r="P1019" s="1">
        <v>13.0</v>
      </c>
      <c r="Q1019" s="1">
        <v>0.0</v>
      </c>
    </row>
    <row r="1020">
      <c r="A1020" s="1">
        <f t="shared" si="1"/>
        <v>1017</v>
      </c>
      <c r="B1020" s="1" t="s">
        <v>2410</v>
      </c>
      <c r="C1020" s="1" t="s">
        <v>1048</v>
      </c>
      <c r="D1020" s="1" t="s">
        <v>66</v>
      </c>
      <c r="E1020" s="15">
        <f t="shared" si="2"/>
        <v>4.25</v>
      </c>
      <c r="F1020" s="16">
        <f t="shared" si="3"/>
        <v>1.0625</v>
      </c>
      <c r="G1020" s="1">
        <v>4.0</v>
      </c>
      <c r="H1020" s="1">
        <v>0.0</v>
      </c>
      <c r="I1020" s="1">
        <v>0.0</v>
      </c>
      <c r="J1020" s="1">
        <v>0.0</v>
      </c>
      <c r="K1020" s="1">
        <v>4.0</v>
      </c>
      <c r="L1020" s="1">
        <v>0.0</v>
      </c>
      <c r="M1020" s="1">
        <v>0.0</v>
      </c>
      <c r="N1020" s="1">
        <v>0.0</v>
      </c>
      <c r="O1020" s="1">
        <v>0.0</v>
      </c>
      <c r="P1020" s="1">
        <v>3.0</v>
      </c>
      <c r="Q1020" s="1">
        <v>3.0</v>
      </c>
    </row>
    <row r="1021">
      <c r="A1021" s="1">
        <f t="shared" si="1"/>
        <v>1019</v>
      </c>
      <c r="B1021" s="1" t="s">
        <v>1295</v>
      </c>
      <c r="C1021" s="1" t="s">
        <v>1146</v>
      </c>
      <c r="D1021" s="1" t="s">
        <v>5</v>
      </c>
      <c r="E1021" s="15">
        <f t="shared" si="2"/>
        <v>4.2</v>
      </c>
      <c r="F1021" s="16">
        <f t="shared" si="3"/>
        <v>0.84</v>
      </c>
      <c r="G1021" s="1">
        <v>5.0</v>
      </c>
      <c r="R1021" s="1">
        <v>0.0</v>
      </c>
      <c r="S1021" s="1">
        <v>21.0</v>
      </c>
      <c r="T1021" s="12">
        <v>119.0</v>
      </c>
      <c r="U1021" s="1">
        <v>0.0</v>
      </c>
    </row>
    <row r="1022">
      <c r="A1022" s="1">
        <f t="shared" si="1"/>
        <v>1020</v>
      </c>
      <c r="B1022" s="1" t="s">
        <v>2411</v>
      </c>
      <c r="C1022" s="1" t="s">
        <v>1034</v>
      </c>
      <c r="D1022" s="1" t="s">
        <v>31</v>
      </c>
      <c r="E1022" s="15">
        <f t="shared" si="2"/>
        <v>4</v>
      </c>
      <c r="F1022" s="16">
        <f t="shared" si="3"/>
        <v>1.333333333</v>
      </c>
      <c r="G1022" s="1">
        <v>3.0</v>
      </c>
      <c r="H1022" s="1">
        <v>0.0</v>
      </c>
      <c r="I1022" s="1">
        <v>1.0</v>
      </c>
      <c r="J1022" s="1">
        <v>1.0</v>
      </c>
      <c r="K1022" s="1">
        <v>1.0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1.0</v>
      </c>
    </row>
    <row r="1023">
      <c r="A1023" s="1">
        <f t="shared" si="1"/>
        <v>1020</v>
      </c>
      <c r="B1023" s="1" t="s">
        <v>2412</v>
      </c>
      <c r="C1023" s="1" t="s">
        <v>1080</v>
      </c>
      <c r="D1023" s="1" t="s">
        <v>66</v>
      </c>
      <c r="E1023" s="15">
        <f t="shared" si="2"/>
        <v>4</v>
      </c>
      <c r="F1023" s="16">
        <f t="shared" si="3"/>
        <v>1.333333333</v>
      </c>
      <c r="G1023" s="1">
        <v>3.0</v>
      </c>
      <c r="H1023" s="1">
        <v>0.0</v>
      </c>
      <c r="I1023" s="1">
        <v>0.0</v>
      </c>
      <c r="J1023" s="1">
        <v>0.0</v>
      </c>
      <c r="K1023" s="1">
        <v>1.0</v>
      </c>
      <c r="L1023" s="1">
        <v>0.0</v>
      </c>
      <c r="M1023" s="1">
        <v>0.0</v>
      </c>
      <c r="N1023" s="1">
        <v>0.0</v>
      </c>
      <c r="O1023" s="1">
        <v>0.0</v>
      </c>
      <c r="P1023" s="1">
        <v>12.0</v>
      </c>
      <c r="Q1023" s="1">
        <v>1.0</v>
      </c>
    </row>
    <row r="1024">
      <c r="A1024" s="1">
        <f t="shared" si="1"/>
        <v>1022</v>
      </c>
      <c r="B1024" s="1" t="s">
        <v>2211</v>
      </c>
      <c r="C1024" s="1" t="s">
        <v>1054</v>
      </c>
      <c r="D1024" s="1" t="s">
        <v>31</v>
      </c>
      <c r="E1024" s="15">
        <f t="shared" si="2"/>
        <v>3.75</v>
      </c>
      <c r="F1024" s="16">
        <f t="shared" si="3"/>
        <v>3.75</v>
      </c>
      <c r="G1024" s="1">
        <v>1.0</v>
      </c>
      <c r="H1024" s="1">
        <v>0.0</v>
      </c>
      <c r="I1024" s="1">
        <v>1.0</v>
      </c>
      <c r="J1024" s="1">
        <v>1.0</v>
      </c>
      <c r="K1024" s="1">
        <v>1.0</v>
      </c>
      <c r="L1024" s="1">
        <v>0.0</v>
      </c>
      <c r="M1024" s="1">
        <v>0.0</v>
      </c>
      <c r="N1024" s="1">
        <v>0.0</v>
      </c>
      <c r="O1024" s="1">
        <v>0.0</v>
      </c>
      <c r="P1024" s="1">
        <v>1.0</v>
      </c>
      <c r="Q1024" s="1">
        <v>0.0</v>
      </c>
    </row>
    <row r="1025">
      <c r="A1025" s="1">
        <f t="shared" si="1"/>
        <v>1022</v>
      </c>
      <c r="B1025" s="1" t="s">
        <v>1879</v>
      </c>
      <c r="C1025" s="1" t="s">
        <v>1038</v>
      </c>
      <c r="D1025" s="1" t="s">
        <v>36</v>
      </c>
      <c r="E1025" s="15">
        <f t="shared" si="2"/>
        <v>3.75</v>
      </c>
      <c r="F1025" s="16">
        <f t="shared" si="3"/>
        <v>3.75</v>
      </c>
      <c r="G1025" s="1">
        <v>1.0</v>
      </c>
      <c r="H1025" s="1">
        <v>0.0</v>
      </c>
      <c r="I1025" s="1">
        <v>0.0</v>
      </c>
      <c r="J1025" s="1">
        <v>0.0</v>
      </c>
      <c r="K1025" s="1">
        <v>2.0</v>
      </c>
      <c r="L1025" s="1">
        <v>0.0</v>
      </c>
      <c r="M1025" s="1">
        <v>0.0</v>
      </c>
      <c r="N1025" s="1">
        <v>0.0</v>
      </c>
      <c r="O1025" s="1">
        <v>0.0</v>
      </c>
      <c r="P1025" s="1">
        <v>11.0</v>
      </c>
      <c r="Q1025" s="1">
        <v>0.0</v>
      </c>
    </row>
    <row r="1026">
      <c r="A1026" s="1">
        <f t="shared" si="1"/>
        <v>1022</v>
      </c>
      <c r="B1026" s="1" t="s">
        <v>1604</v>
      </c>
      <c r="C1026" s="1" t="s">
        <v>1052</v>
      </c>
      <c r="D1026" s="1" t="s">
        <v>36</v>
      </c>
      <c r="E1026" s="15">
        <f t="shared" si="2"/>
        <v>3.75</v>
      </c>
      <c r="F1026" s="16">
        <f t="shared" si="3"/>
        <v>3.75</v>
      </c>
      <c r="G1026" s="1">
        <v>1.0</v>
      </c>
      <c r="H1026" s="1">
        <v>0.0</v>
      </c>
      <c r="I1026" s="1">
        <v>1.0</v>
      </c>
      <c r="J1026" s="1">
        <v>1.0</v>
      </c>
      <c r="K1026" s="1">
        <v>1.0</v>
      </c>
      <c r="L1026" s="1">
        <v>0.0</v>
      </c>
      <c r="M1026" s="1">
        <v>0.0</v>
      </c>
      <c r="N1026" s="1">
        <v>0.0</v>
      </c>
      <c r="O1026" s="1">
        <v>0.0</v>
      </c>
      <c r="P1026" s="1">
        <v>1.0</v>
      </c>
      <c r="Q1026" s="1">
        <v>0.0</v>
      </c>
    </row>
    <row r="1027">
      <c r="A1027" s="1">
        <f t="shared" si="1"/>
        <v>1022</v>
      </c>
      <c r="B1027" s="1" t="s">
        <v>2026</v>
      </c>
      <c r="C1027" s="1" t="s">
        <v>1048</v>
      </c>
      <c r="D1027" s="1" t="s">
        <v>36</v>
      </c>
      <c r="E1027" s="15">
        <f t="shared" si="2"/>
        <v>3.75</v>
      </c>
      <c r="F1027" s="16">
        <f t="shared" si="3"/>
        <v>1.25</v>
      </c>
      <c r="G1027" s="1">
        <v>3.0</v>
      </c>
      <c r="H1027" s="1">
        <v>0.0</v>
      </c>
      <c r="I1027" s="1">
        <v>0.0</v>
      </c>
      <c r="J1027" s="1">
        <v>0.0</v>
      </c>
      <c r="K1027" s="1">
        <v>3.0</v>
      </c>
      <c r="L1027" s="1">
        <v>0.0</v>
      </c>
      <c r="M1027" s="1">
        <v>0.0</v>
      </c>
      <c r="N1027" s="1">
        <v>0.0</v>
      </c>
      <c r="O1027" s="1">
        <v>0.0</v>
      </c>
      <c r="P1027" s="1">
        <v>5.0</v>
      </c>
      <c r="Q1027" s="1">
        <v>2.0</v>
      </c>
    </row>
    <row r="1028">
      <c r="A1028" s="1">
        <f t="shared" si="1"/>
        <v>1026</v>
      </c>
      <c r="B1028" s="1" t="s">
        <v>2413</v>
      </c>
      <c r="C1028" s="1" t="s">
        <v>1036</v>
      </c>
      <c r="D1028" s="1" t="s">
        <v>31</v>
      </c>
      <c r="E1028" s="15">
        <f t="shared" si="2"/>
        <v>3.5</v>
      </c>
      <c r="F1028" s="16">
        <f t="shared" si="3"/>
        <v>3.5</v>
      </c>
      <c r="G1028" s="1">
        <v>1.0</v>
      </c>
      <c r="H1028" s="1">
        <v>0.0</v>
      </c>
      <c r="I1028" s="1">
        <v>1.0</v>
      </c>
      <c r="J1028" s="1">
        <v>1.0</v>
      </c>
      <c r="K1028" s="1">
        <v>1.0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</row>
    <row r="1029">
      <c r="A1029" s="1">
        <f t="shared" si="1"/>
        <v>1026</v>
      </c>
      <c r="B1029" s="1" t="s">
        <v>2242</v>
      </c>
      <c r="C1029" s="1" t="s">
        <v>1085</v>
      </c>
      <c r="D1029" s="1" t="s">
        <v>31</v>
      </c>
      <c r="E1029" s="15">
        <f t="shared" si="2"/>
        <v>3.5</v>
      </c>
      <c r="F1029" s="16">
        <f t="shared" si="3"/>
        <v>1.166666667</v>
      </c>
      <c r="G1029" s="1">
        <v>3.0</v>
      </c>
      <c r="H1029" s="1">
        <v>0.0</v>
      </c>
      <c r="I1029" s="1">
        <v>1.0</v>
      </c>
      <c r="J1029" s="1">
        <v>1.0</v>
      </c>
      <c r="K1029" s="1">
        <v>1.0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</row>
    <row r="1030">
      <c r="A1030" s="1">
        <f t="shared" si="1"/>
        <v>1026</v>
      </c>
      <c r="B1030" s="1" t="s">
        <v>2241</v>
      </c>
      <c r="C1030" s="1" t="s">
        <v>1120</v>
      </c>
      <c r="D1030" s="1" t="s">
        <v>66</v>
      </c>
      <c r="E1030" s="15">
        <f t="shared" si="2"/>
        <v>3.5</v>
      </c>
      <c r="F1030" s="16">
        <f t="shared" si="3"/>
        <v>0.875</v>
      </c>
      <c r="G1030" s="1">
        <v>4.0</v>
      </c>
      <c r="H1030" s="1">
        <v>0.0</v>
      </c>
      <c r="I1030" s="1">
        <v>0.0</v>
      </c>
      <c r="J1030" s="1">
        <v>0.0</v>
      </c>
      <c r="K1030" s="1">
        <v>3.0</v>
      </c>
      <c r="L1030" s="1">
        <v>0.0</v>
      </c>
      <c r="M1030" s="1">
        <v>0.0</v>
      </c>
      <c r="N1030" s="1">
        <v>0.0</v>
      </c>
      <c r="O1030" s="1">
        <v>0.0</v>
      </c>
      <c r="P1030" s="1">
        <v>4.0</v>
      </c>
      <c r="Q1030" s="1">
        <v>2.0</v>
      </c>
    </row>
    <row r="1031">
      <c r="A1031" s="1">
        <f t="shared" si="1"/>
        <v>1026</v>
      </c>
      <c r="B1031" s="1" t="s">
        <v>2137</v>
      </c>
      <c r="C1031" s="1" t="s">
        <v>1030</v>
      </c>
      <c r="D1031" s="1" t="s">
        <v>36</v>
      </c>
      <c r="E1031" s="15">
        <f t="shared" si="2"/>
        <v>3.5</v>
      </c>
      <c r="F1031" s="16">
        <f t="shared" si="3"/>
        <v>0.5833333333</v>
      </c>
      <c r="G1031" s="1">
        <v>6.0</v>
      </c>
      <c r="H1031" s="1">
        <v>0.0</v>
      </c>
      <c r="I1031" s="1">
        <v>0.0</v>
      </c>
      <c r="J1031" s="1">
        <v>0.0</v>
      </c>
      <c r="K1031" s="1">
        <v>1.0</v>
      </c>
      <c r="L1031" s="1">
        <v>0.0</v>
      </c>
      <c r="M1031" s="1">
        <v>0.0</v>
      </c>
      <c r="N1031" s="1">
        <v>0.0</v>
      </c>
      <c r="O1031" s="1">
        <v>0.0</v>
      </c>
      <c r="P1031" s="1">
        <v>6.0</v>
      </c>
      <c r="Q1031" s="1">
        <v>3.0</v>
      </c>
    </row>
    <row r="1032">
      <c r="A1032" s="1">
        <f t="shared" si="1"/>
        <v>1030</v>
      </c>
      <c r="B1032" s="1" t="s">
        <v>1886</v>
      </c>
      <c r="C1032" s="1" t="s">
        <v>1082</v>
      </c>
      <c r="D1032" s="1" t="s">
        <v>5</v>
      </c>
      <c r="E1032" s="15">
        <f t="shared" si="2"/>
        <v>3.3</v>
      </c>
      <c r="F1032" s="16">
        <f t="shared" si="3"/>
        <v>1.65</v>
      </c>
      <c r="G1032" s="1">
        <v>2.0</v>
      </c>
      <c r="R1032" s="1">
        <v>0.0</v>
      </c>
      <c r="S1032" s="1">
        <v>5.0</v>
      </c>
      <c r="T1032" s="12">
        <v>36.0</v>
      </c>
      <c r="U1032" s="1">
        <v>0.0</v>
      </c>
    </row>
    <row r="1033">
      <c r="A1033" s="1">
        <f t="shared" si="1"/>
        <v>1031</v>
      </c>
      <c r="B1033" s="1" t="s">
        <v>1357</v>
      </c>
      <c r="C1033" s="1" t="s">
        <v>1073</v>
      </c>
      <c r="D1033" s="1" t="s">
        <v>31</v>
      </c>
      <c r="E1033" s="15">
        <f t="shared" si="2"/>
        <v>3.25</v>
      </c>
      <c r="F1033" s="16">
        <f t="shared" si="3"/>
        <v>1.625</v>
      </c>
      <c r="G1033" s="1">
        <v>2.0</v>
      </c>
      <c r="H1033" s="1">
        <v>0.0</v>
      </c>
      <c r="I1033" s="1">
        <v>0.0</v>
      </c>
      <c r="J1033" s="1">
        <v>0.0</v>
      </c>
      <c r="K1033" s="1">
        <v>4.0</v>
      </c>
      <c r="L1033" s="1">
        <v>0.0</v>
      </c>
      <c r="M1033" s="1">
        <v>0.0</v>
      </c>
      <c r="N1033" s="1">
        <v>0.0</v>
      </c>
      <c r="O1033" s="1">
        <v>0.0</v>
      </c>
      <c r="P1033" s="1">
        <v>5.0</v>
      </c>
      <c r="Q1033" s="1">
        <v>0.0</v>
      </c>
    </row>
    <row r="1034">
      <c r="A1034" s="1">
        <f t="shared" si="1"/>
        <v>1031</v>
      </c>
      <c r="B1034" s="1" t="s">
        <v>1303</v>
      </c>
      <c r="C1034" s="1" t="s">
        <v>1054</v>
      </c>
      <c r="D1034" s="1" t="s">
        <v>31</v>
      </c>
      <c r="E1034" s="15">
        <f t="shared" si="2"/>
        <v>3.25</v>
      </c>
      <c r="F1034" s="16">
        <f t="shared" si="3"/>
        <v>1.625</v>
      </c>
      <c r="G1034" s="1">
        <v>2.0</v>
      </c>
      <c r="H1034" s="1">
        <v>0.0</v>
      </c>
      <c r="I1034" s="1">
        <v>0.0</v>
      </c>
      <c r="J1034" s="1">
        <v>0.0</v>
      </c>
      <c r="K1034" s="1">
        <v>5.0</v>
      </c>
      <c r="L1034" s="1">
        <v>0.0</v>
      </c>
      <c r="M1034" s="1">
        <v>0.0</v>
      </c>
      <c r="N1034" s="1">
        <v>0.0</v>
      </c>
      <c r="O1034" s="1">
        <v>0.0</v>
      </c>
      <c r="P1034" s="1">
        <v>1.0</v>
      </c>
      <c r="Q1034" s="1">
        <v>1.0</v>
      </c>
    </row>
    <row r="1035">
      <c r="A1035" s="1">
        <f t="shared" si="1"/>
        <v>1031</v>
      </c>
      <c r="B1035" s="1" t="s">
        <v>2414</v>
      </c>
      <c r="C1035" s="1" t="s">
        <v>1040</v>
      </c>
      <c r="D1035" s="1" t="s">
        <v>31</v>
      </c>
      <c r="E1035" s="15">
        <f t="shared" si="2"/>
        <v>3.25</v>
      </c>
      <c r="F1035" s="16">
        <f t="shared" si="3"/>
        <v>3.25</v>
      </c>
      <c r="G1035" s="1">
        <v>1.0</v>
      </c>
      <c r="H1035" s="1">
        <v>0.0</v>
      </c>
      <c r="I1035" s="1">
        <v>0.0</v>
      </c>
      <c r="J1035" s="1">
        <v>0.0</v>
      </c>
      <c r="K1035" s="1">
        <v>5.0</v>
      </c>
      <c r="L1035" s="1">
        <v>0.0</v>
      </c>
      <c r="M1035" s="1">
        <v>0.0</v>
      </c>
      <c r="N1035" s="1">
        <v>0.0</v>
      </c>
      <c r="O1035" s="1">
        <v>0.0</v>
      </c>
      <c r="P1035" s="1">
        <v>1.0</v>
      </c>
      <c r="Q1035" s="1">
        <v>1.0</v>
      </c>
    </row>
    <row r="1036">
      <c r="A1036" s="1">
        <f t="shared" si="1"/>
        <v>1031</v>
      </c>
      <c r="B1036" s="1" t="s">
        <v>1766</v>
      </c>
      <c r="C1036" s="1" t="s">
        <v>1172</v>
      </c>
      <c r="D1036" s="1" t="s">
        <v>66</v>
      </c>
      <c r="E1036" s="15">
        <f t="shared" si="2"/>
        <v>3.25</v>
      </c>
      <c r="F1036" s="16">
        <f t="shared" si="3"/>
        <v>0.8125</v>
      </c>
      <c r="G1036" s="1">
        <v>4.0</v>
      </c>
      <c r="H1036" s="1">
        <v>0.0</v>
      </c>
      <c r="I1036" s="1">
        <v>0.0</v>
      </c>
      <c r="J1036" s="1">
        <v>0.0</v>
      </c>
      <c r="K1036" s="1">
        <v>4.0</v>
      </c>
      <c r="L1036" s="1">
        <v>0.0</v>
      </c>
      <c r="M1036" s="1">
        <v>0.0</v>
      </c>
      <c r="N1036" s="1">
        <v>0.0</v>
      </c>
      <c r="O1036" s="1">
        <v>0.0</v>
      </c>
      <c r="P1036" s="1">
        <v>3.0</v>
      </c>
      <c r="Q1036" s="1">
        <v>1.0</v>
      </c>
    </row>
    <row r="1037">
      <c r="A1037" s="1">
        <f t="shared" si="1"/>
        <v>1031</v>
      </c>
      <c r="B1037" s="1" t="s">
        <v>2415</v>
      </c>
      <c r="C1037" s="1" t="s">
        <v>1054</v>
      </c>
      <c r="D1037" s="1" t="s">
        <v>66</v>
      </c>
      <c r="E1037" s="15">
        <f t="shared" si="2"/>
        <v>3.25</v>
      </c>
      <c r="F1037" s="16">
        <f t="shared" si="3"/>
        <v>3.25</v>
      </c>
      <c r="G1037" s="1">
        <v>1.0</v>
      </c>
      <c r="H1037" s="1">
        <v>0.0</v>
      </c>
      <c r="I1037" s="1">
        <v>0.0</v>
      </c>
      <c r="J1037" s="1">
        <v>0.0</v>
      </c>
      <c r="K1037" s="1">
        <v>1.0</v>
      </c>
      <c r="L1037" s="1">
        <v>0.0</v>
      </c>
      <c r="M1037" s="1">
        <v>0.0</v>
      </c>
      <c r="N1037" s="1">
        <v>0.0</v>
      </c>
      <c r="O1037" s="1">
        <v>0.0</v>
      </c>
      <c r="P1037" s="1">
        <v>3.0</v>
      </c>
      <c r="Q1037" s="1">
        <v>4.0</v>
      </c>
    </row>
    <row r="1038">
      <c r="A1038" s="1">
        <f t="shared" si="1"/>
        <v>1031</v>
      </c>
      <c r="B1038" s="1" t="s">
        <v>2416</v>
      </c>
      <c r="C1038" s="1" t="s">
        <v>1048</v>
      </c>
      <c r="D1038" s="1" t="s">
        <v>66</v>
      </c>
      <c r="E1038" s="15">
        <f t="shared" si="2"/>
        <v>3.25</v>
      </c>
      <c r="F1038" s="16">
        <f t="shared" si="3"/>
        <v>3.25</v>
      </c>
      <c r="G1038" s="1">
        <v>1.0</v>
      </c>
      <c r="H1038" s="1">
        <v>0.0</v>
      </c>
      <c r="I1038" s="1">
        <v>1.0</v>
      </c>
      <c r="J1038" s="1">
        <v>1.0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1.0</v>
      </c>
      <c r="Q1038" s="1">
        <v>0.0</v>
      </c>
    </row>
    <row r="1039">
      <c r="A1039" s="1">
        <f t="shared" si="1"/>
        <v>1031</v>
      </c>
      <c r="B1039" s="1" t="s">
        <v>2417</v>
      </c>
      <c r="C1039" s="1" t="s">
        <v>1120</v>
      </c>
      <c r="D1039" s="1" t="s">
        <v>36</v>
      </c>
      <c r="E1039" s="15">
        <f t="shared" si="2"/>
        <v>3.25</v>
      </c>
      <c r="F1039" s="16">
        <f t="shared" si="3"/>
        <v>0.8125</v>
      </c>
      <c r="G1039" s="1">
        <v>4.0</v>
      </c>
      <c r="H1039" s="1">
        <v>0.0</v>
      </c>
      <c r="I1039" s="1">
        <v>0.0</v>
      </c>
      <c r="J1039" s="1">
        <v>0.0</v>
      </c>
      <c r="K1039" s="1">
        <v>4.0</v>
      </c>
      <c r="L1039" s="1">
        <v>0.0</v>
      </c>
      <c r="M1039" s="1">
        <v>0.0</v>
      </c>
      <c r="N1039" s="1">
        <v>0.0</v>
      </c>
      <c r="O1039" s="1">
        <v>0.0</v>
      </c>
      <c r="P1039" s="1">
        <v>3.0</v>
      </c>
      <c r="Q1039" s="1">
        <v>1.0</v>
      </c>
    </row>
    <row r="1040">
      <c r="A1040" s="1">
        <f t="shared" si="1"/>
        <v>1038</v>
      </c>
      <c r="B1040" s="1" t="s">
        <v>2418</v>
      </c>
      <c r="C1040" s="1" t="s">
        <v>1054</v>
      </c>
      <c r="D1040" s="1" t="s">
        <v>31</v>
      </c>
      <c r="E1040" s="15">
        <f t="shared" si="2"/>
        <v>3</v>
      </c>
      <c r="F1040" s="16">
        <f t="shared" si="3"/>
        <v>0.6</v>
      </c>
      <c r="G1040" s="1">
        <v>5.0</v>
      </c>
      <c r="H1040" s="1">
        <v>0.0</v>
      </c>
      <c r="I1040" s="1">
        <v>0.0</v>
      </c>
      <c r="J1040" s="1">
        <v>0.0</v>
      </c>
      <c r="K1040" s="1">
        <v>3.0</v>
      </c>
      <c r="L1040" s="1">
        <v>0.0</v>
      </c>
      <c r="M1040" s="1">
        <v>0.0</v>
      </c>
      <c r="N1040" s="1">
        <v>0.0</v>
      </c>
      <c r="O1040" s="1">
        <v>0.0</v>
      </c>
      <c r="P1040" s="1">
        <v>6.0</v>
      </c>
      <c r="Q1040" s="1">
        <v>0.0</v>
      </c>
    </row>
    <row r="1041">
      <c r="A1041" s="1">
        <f t="shared" si="1"/>
        <v>1038</v>
      </c>
      <c r="B1041" s="1" t="s">
        <v>1551</v>
      </c>
      <c r="C1041" s="1" t="s">
        <v>1156</v>
      </c>
      <c r="D1041" s="1" t="s">
        <v>31</v>
      </c>
      <c r="E1041" s="15">
        <f t="shared" si="2"/>
        <v>3</v>
      </c>
      <c r="F1041" s="16">
        <f t="shared" si="3"/>
        <v>1</v>
      </c>
      <c r="G1041" s="1">
        <v>3.0</v>
      </c>
      <c r="H1041" s="1">
        <v>0.0</v>
      </c>
      <c r="I1041" s="1">
        <v>0.0</v>
      </c>
      <c r="J1041" s="1">
        <v>0.0</v>
      </c>
      <c r="K1041" s="1">
        <v>3.0</v>
      </c>
      <c r="L1041" s="1">
        <v>0.0</v>
      </c>
      <c r="M1041" s="1">
        <v>0.0</v>
      </c>
      <c r="N1041" s="1">
        <v>0.0</v>
      </c>
      <c r="O1041" s="1">
        <v>0.0</v>
      </c>
      <c r="P1041" s="1">
        <v>2.0</v>
      </c>
      <c r="Q1041" s="1">
        <v>2.0</v>
      </c>
    </row>
    <row r="1042">
      <c r="A1042" s="1">
        <f t="shared" si="1"/>
        <v>1038</v>
      </c>
      <c r="B1042" s="1" t="s">
        <v>1965</v>
      </c>
      <c r="C1042" s="1" t="s">
        <v>1082</v>
      </c>
      <c r="D1042" s="1" t="s">
        <v>66</v>
      </c>
      <c r="E1042" s="15">
        <f t="shared" si="2"/>
        <v>3</v>
      </c>
      <c r="F1042" s="16">
        <f t="shared" si="3"/>
        <v>3</v>
      </c>
      <c r="G1042" s="1">
        <v>1.0</v>
      </c>
      <c r="H1042" s="1">
        <v>0.0</v>
      </c>
      <c r="I1042" s="1">
        <v>1.0</v>
      </c>
      <c r="J1042" s="1">
        <v>1.0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</row>
    <row r="1043">
      <c r="A1043" s="1">
        <f t="shared" si="1"/>
        <v>1038</v>
      </c>
      <c r="B1043" s="1" t="s">
        <v>2419</v>
      </c>
      <c r="C1043" s="1" t="s">
        <v>1034</v>
      </c>
      <c r="D1043" s="1" t="s">
        <v>66</v>
      </c>
      <c r="E1043" s="15">
        <f t="shared" si="2"/>
        <v>3</v>
      </c>
      <c r="F1043" s="16">
        <f t="shared" si="3"/>
        <v>1.5</v>
      </c>
      <c r="G1043" s="1">
        <v>2.0</v>
      </c>
      <c r="H1043" s="1">
        <v>0.0</v>
      </c>
      <c r="I1043" s="1">
        <v>0.0</v>
      </c>
      <c r="J1043" s="1">
        <v>0.0</v>
      </c>
      <c r="K1043" s="1">
        <v>2.0</v>
      </c>
      <c r="L1043" s="1">
        <v>0.0</v>
      </c>
      <c r="M1043" s="1">
        <v>0.0</v>
      </c>
      <c r="N1043" s="1">
        <v>0.0</v>
      </c>
      <c r="O1043" s="1">
        <v>0.0</v>
      </c>
      <c r="P1043" s="1">
        <v>4.0</v>
      </c>
      <c r="Q1043" s="1">
        <v>2.0</v>
      </c>
    </row>
    <row r="1044">
      <c r="A1044" s="1">
        <f t="shared" si="1"/>
        <v>1038</v>
      </c>
      <c r="B1044" s="1" t="s">
        <v>2273</v>
      </c>
      <c r="C1044" s="1" t="s">
        <v>1116</v>
      </c>
      <c r="D1044" s="1" t="s">
        <v>28</v>
      </c>
      <c r="E1044" s="15">
        <f t="shared" si="2"/>
        <v>3</v>
      </c>
      <c r="F1044" s="16">
        <f t="shared" si="3"/>
        <v>1</v>
      </c>
      <c r="G1044" s="1">
        <v>3.0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2.0</v>
      </c>
      <c r="Q1044" s="1">
        <v>5.0</v>
      </c>
    </row>
    <row r="1045">
      <c r="A1045" s="1">
        <f t="shared" si="1"/>
        <v>1043</v>
      </c>
      <c r="B1045" s="1" t="s">
        <v>2420</v>
      </c>
      <c r="C1045" s="1" t="s">
        <v>1078</v>
      </c>
      <c r="D1045" s="1" t="s">
        <v>31</v>
      </c>
      <c r="E1045" s="15">
        <f t="shared" si="2"/>
        <v>2.75</v>
      </c>
      <c r="F1045" s="16">
        <f t="shared" si="3"/>
        <v>1.375</v>
      </c>
      <c r="G1045" s="1">
        <v>2.0</v>
      </c>
      <c r="H1045" s="1">
        <v>0.0</v>
      </c>
      <c r="I1045" s="1">
        <v>0.0</v>
      </c>
      <c r="J1045" s="1">
        <v>0.0</v>
      </c>
      <c r="K1045" s="1">
        <v>3.0</v>
      </c>
      <c r="L1045" s="1">
        <v>0.0</v>
      </c>
      <c r="M1045" s="1">
        <v>0.0</v>
      </c>
      <c r="N1045" s="1">
        <v>0.0</v>
      </c>
      <c r="O1045" s="1">
        <v>0.0</v>
      </c>
      <c r="P1045" s="1">
        <v>1.0</v>
      </c>
      <c r="Q1045" s="1">
        <v>2.0</v>
      </c>
    </row>
    <row r="1046">
      <c r="A1046" s="1">
        <f t="shared" si="1"/>
        <v>1043</v>
      </c>
      <c r="B1046" s="1" t="s">
        <v>2421</v>
      </c>
      <c r="C1046" s="1" t="s">
        <v>1042</v>
      </c>
      <c r="D1046" s="1" t="s">
        <v>66</v>
      </c>
      <c r="E1046" s="15">
        <f t="shared" si="2"/>
        <v>2.75</v>
      </c>
      <c r="F1046" s="16">
        <f t="shared" si="3"/>
        <v>1.375</v>
      </c>
      <c r="G1046" s="1">
        <v>2.0</v>
      </c>
      <c r="H1046" s="1">
        <v>0.0</v>
      </c>
      <c r="I1046" s="1">
        <v>0.0</v>
      </c>
      <c r="J1046" s="1">
        <v>0.0</v>
      </c>
      <c r="K1046" s="1">
        <v>2.0</v>
      </c>
      <c r="L1046" s="1">
        <v>0.0</v>
      </c>
      <c r="M1046" s="1">
        <v>0.0</v>
      </c>
      <c r="N1046" s="1">
        <v>0.0</v>
      </c>
      <c r="O1046" s="1">
        <v>0.0</v>
      </c>
      <c r="P1046" s="1">
        <v>5.0</v>
      </c>
      <c r="Q1046" s="1">
        <v>1.0</v>
      </c>
    </row>
    <row r="1047">
      <c r="A1047" s="1">
        <f t="shared" si="1"/>
        <v>1043</v>
      </c>
      <c r="B1047" s="1" t="s">
        <v>1773</v>
      </c>
      <c r="C1047" s="1" t="s">
        <v>1116</v>
      </c>
      <c r="D1047" s="1" t="s">
        <v>66</v>
      </c>
      <c r="E1047" s="15">
        <f t="shared" si="2"/>
        <v>2.75</v>
      </c>
      <c r="F1047" s="16">
        <f t="shared" si="3"/>
        <v>1.375</v>
      </c>
      <c r="G1047" s="1">
        <v>2.0</v>
      </c>
      <c r="H1047" s="1">
        <v>0.0</v>
      </c>
      <c r="I1047" s="1">
        <v>0.0</v>
      </c>
      <c r="J1047" s="1">
        <v>0.0</v>
      </c>
      <c r="K1047" s="1">
        <v>4.0</v>
      </c>
      <c r="L1047" s="1">
        <v>0.0</v>
      </c>
      <c r="M1047" s="1">
        <v>0.0</v>
      </c>
      <c r="N1047" s="1">
        <v>0.0</v>
      </c>
      <c r="O1047" s="1">
        <v>0.0</v>
      </c>
      <c r="P1047" s="1">
        <v>1.0</v>
      </c>
      <c r="Q1047" s="1">
        <v>1.0</v>
      </c>
    </row>
    <row r="1048">
      <c r="A1048" s="1">
        <f t="shared" si="1"/>
        <v>1043</v>
      </c>
      <c r="B1048" s="1" t="s">
        <v>2422</v>
      </c>
      <c r="C1048" s="1" t="s">
        <v>1172</v>
      </c>
      <c r="D1048" s="1" t="s">
        <v>66</v>
      </c>
      <c r="E1048" s="15">
        <f t="shared" si="2"/>
        <v>2.75</v>
      </c>
      <c r="F1048" s="16">
        <f t="shared" si="3"/>
        <v>0.55</v>
      </c>
      <c r="G1048" s="1">
        <v>5.0</v>
      </c>
      <c r="H1048" s="1">
        <v>0.0</v>
      </c>
      <c r="I1048" s="1">
        <v>0.0</v>
      </c>
      <c r="J1048" s="1">
        <v>0.0</v>
      </c>
      <c r="K1048" s="1">
        <v>1.0</v>
      </c>
      <c r="L1048" s="1">
        <v>0.0</v>
      </c>
      <c r="M1048" s="1">
        <v>0.0</v>
      </c>
      <c r="N1048" s="1">
        <v>0.0</v>
      </c>
      <c r="O1048" s="1">
        <v>0.0</v>
      </c>
      <c r="P1048" s="1">
        <v>9.0</v>
      </c>
      <c r="Q1048" s="1">
        <v>0.0</v>
      </c>
    </row>
    <row r="1049">
      <c r="A1049" s="1">
        <f t="shared" si="1"/>
        <v>1043</v>
      </c>
      <c r="B1049" s="1" t="s">
        <v>1378</v>
      </c>
      <c r="C1049" s="1" t="s">
        <v>1076</v>
      </c>
      <c r="D1049" s="1" t="s">
        <v>28</v>
      </c>
      <c r="E1049" s="15">
        <f t="shared" si="2"/>
        <v>2.75</v>
      </c>
      <c r="F1049" s="16">
        <f t="shared" si="3"/>
        <v>0.9166666667</v>
      </c>
      <c r="G1049" s="1">
        <v>3.0</v>
      </c>
      <c r="H1049" s="1">
        <v>0.0</v>
      </c>
      <c r="I1049" s="1">
        <v>0.0</v>
      </c>
      <c r="J1049" s="1">
        <v>0.0</v>
      </c>
      <c r="K1049" s="1">
        <v>2.0</v>
      </c>
      <c r="L1049" s="1">
        <v>0.0</v>
      </c>
      <c r="M1049" s="1">
        <v>0.0</v>
      </c>
      <c r="N1049" s="1">
        <v>0.0</v>
      </c>
      <c r="O1049" s="1">
        <v>0.0</v>
      </c>
      <c r="P1049" s="1">
        <v>5.0</v>
      </c>
      <c r="Q1049" s="1">
        <v>1.0</v>
      </c>
    </row>
    <row r="1050">
      <c r="A1050" s="1">
        <f t="shared" si="1"/>
        <v>1043</v>
      </c>
      <c r="B1050" s="1" t="s">
        <v>2423</v>
      </c>
      <c r="C1050" s="1" t="s">
        <v>1111</v>
      </c>
      <c r="D1050" s="1" t="s">
        <v>28</v>
      </c>
      <c r="E1050" s="15">
        <f t="shared" si="2"/>
        <v>2.75</v>
      </c>
      <c r="F1050" s="16">
        <f t="shared" si="3"/>
        <v>1.375</v>
      </c>
      <c r="G1050" s="1">
        <v>2.0</v>
      </c>
      <c r="H1050" s="1">
        <v>0.0</v>
      </c>
      <c r="I1050" s="1">
        <v>0.0</v>
      </c>
      <c r="J1050" s="1">
        <v>0.0</v>
      </c>
      <c r="K1050" s="1">
        <v>2.0</v>
      </c>
      <c r="L1050" s="1">
        <v>0.0</v>
      </c>
      <c r="M1050" s="1">
        <v>0.0</v>
      </c>
      <c r="N1050" s="1">
        <v>0.0</v>
      </c>
      <c r="O1050" s="1">
        <v>0.0</v>
      </c>
      <c r="P1050" s="1">
        <v>7.0</v>
      </c>
      <c r="Q1050" s="1">
        <v>0.0</v>
      </c>
    </row>
    <row r="1051">
      <c r="A1051" s="1">
        <f t="shared" si="1"/>
        <v>1043</v>
      </c>
      <c r="B1051" s="1" t="s">
        <v>1972</v>
      </c>
      <c r="C1051" s="1" t="s">
        <v>1048</v>
      </c>
      <c r="D1051" s="1" t="s">
        <v>28</v>
      </c>
      <c r="E1051" s="15">
        <f t="shared" si="2"/>
        <v>2.75</v>
      </c>
      <c r="F1051" s="16">
        <f t="shared" si="3"/>
        <v>2.75</v>
      </c>
      <c r="G1051" s="1">
        <v>1.0</v>
      </c>
      <c r="H1051" s="1">
        <v>0.0</v>
      </c>
      <c r="I1051" s="1">
        <v>0.0</v>
      </c>
      <c r="J1051" s="1">
        <v>0.0</v>
      </c>
      <c r="K1051" s="1">
        <v>3.0</v>
      </c>
      <c r="L1051" s="1">
        <v>0.0</v>
      </c>
      <c r="M1051" s="1">
        <v>0.0</v>
      </c>
      <c r="N1051" s="1">
        <v>0.0</v>
      </c>
      <c r="O1051" s="1">
        <v>0.0</v>
      </c>
      <c r="P1051" s="1">
        <v>1.0</v>
      </c>
      <c r="Q1051" s="1">
        <v>2.0</v>
      </c>
    </row>
    <row r="1052">
      <c r="A1052" s="1">
        <f t="shared" si="1"/>
        <v>1043</v>
      </c>
      <c r="B1052" s="1" t="s">
        <v>1202</v>
      </c>
      <c r="C1052" s="1" t="s">
        <v>1067</v>
      </c>
      <c r="D1052" s="1" t="s">
        <v>36</v>
      </c>
      <c r="E1052" s="15">
        <f t="shared" si="2"/>
        <v>2.75</v>
      </c>
      <c r="F1052" s="16">
        <f t="shared" si="3"/>
        <v>1.375</v>
      </c>
      <c r="G1052" s="1">
        <v>2.0</v>
      </c>
      <c r="H1052" s="1">
        <v>0.0</v>
      </c>
      <c r="I1052" s="1">
        <v>0.0</v>
      </c>
      <c r="J1052" s="1">
        <v>0.0</v>
      </c>
      <c r="K1052" s="1">
        <v>3.0</v>
      </c>
      <c r="L1052" s="1">
        <v>0.0</v>
      </c>
      <c r="M1052" s="1">
        <v>0.0</v>
      </c>
      <c r="N1052" s="1">
        <v>0.0</v>
      </c>
      <c r="O1052" s="1">
        <v>0.0</v>
      </c>
      <c r="P1052" s="1">
        <v>1.0</v>
      </c>
      <c r="Q1052" s="1">
        <v>2.0</v>
      </c>
    </row>
    <row r="1053">
      <c r="A1053" s="1">
        <f t="shared" si="1"/>
        <v>1051</v>
      </c>
      <c r="B1053" s="1" t="s">
        <v>2424</v>
      </c>
      <c r="C1053" s="1" t="s">
        <v>1034</v>
      </c>
      <c r="D1053" s="1" t="s">
        <v>5</v>
      </c>
      <c r="E1053" s="15">
        <f t="shared" si="2"/>
        <v>2.4</v>
      </c>
      <c r="F1053" s="16">
        <f t="shared" si="3"/>
        <v>1.2</v>
      </c>
      <c r="G1053" s="1">
        <v>2.0</v>
      </c>
      <c r="R1053" s="1">
        <v>1.0</v>
      </c>
      <c r="S1053" s="1">
        <v>10.0</v>
      </c>
      <c r="T1053" s="12">
        <v>48.0</v>
      </c>
      <c r="U1053" s="1">
        <v>0.0</v>
      </c>
    </row>
    <row r="1054">
      <c r="A1054" s="1">
        <f t="shared" si="1"/>
        <v>1052</v>
      </c>
      <c r="B1054" s="1" t="s">
        <v>2425</v>
      </c>
      <c r="C1054" s="1" t="s">
        <v>1076</v>
      </c>
      <c r="D1054" s="1" t="s">
        <v>31</v>
      </c>
      <c r="E1054" s="15">
        <f t="shared" si="2"/>
        <v>2.25</v>
      </c>
      <c r="F1054" s="16">
        <f t="shared" si="3"/>
        <v>1.125</v>
      </c>
      <c r="G1054" s="1">
        <v>2.0</v>
      </c>
      <c r="H1054" s="1">
        <v>0.0</v>
      </c>
      <c r="I1054" s="1">
        <v>0.0</v>
      </c>
      <c r="J1054" s="1">
        <v>0.0</v>
      </c>
      <c r="K1054" s="1">
        <v>2.0</v>
      </c>
      <c r="L1054" s="1">
        <v>0.0</v>
      </c>
      <c r="M1054" s="1">
        <v>0.0</v>
      </c>
      <c r="N1054" s="1">
        <v>0.0</v>
      </c>
      <c r="O1054" s="1">
        <v>0.0</v>
      </c>
      <c r="P1054" s="1">
        <v>5.0</v>
      </c>
      <c r="Q1054" s="1">
        <v>0.0</v>
      </c>
    </row>
    <row r="1055">
      <c r="A1055" s="1">
        <f t="shared" si="1"/>
        <v>1052</v>
      </c>
      <c r="B1055" s="1" t="s">
        <v>2039</v>
      </c>
      <c r="C1055" s="1" t="s">
        <v>1069</v>
      </c>
      <c r="D1055" s="1" t="s">
        <v>31</v>
      </c>
      <c r="E1055" s="15">
        <f t="shared" si="2"/>
        <v>2.25</v>
      </c>
      <c r="F1055" s="16">
        <f t="shared" si="3"/>
        <v>1.125</v>
      </c>
      <c r="G1055" s="1">
        <v>2.0</v>
      </c>
      <c r="H1055" s="1">
        <v>0.0</v>
      </c>
      <c r="I1055" s="1">
        <v>0.0</v>
      </c>
      <c r="J1055" s="1">
        <v>0.0</v>
      </c>
      <c r="K1055" s="1">
        <v>3.0</v>
      </c>
      <c r="L1055" s="1">
        <v>0.0</v>
      </c>
      <c r="M1055" s="1">
        <v>0.0</v>
      </c>
      <c r="N1055" s="1">
        <v>0.0</v>
      </c>
      <c r="O1055" s="1">
        <v>0.0</v>
      </c>
      <c r="P1055" s="1">
        <v>1.0</v>
      </c>
      <c r="Q1055" s="1">
        <v>1.0</v>
      </c>
    </row>
    <row r="1056">
      <c r="A1056" s="1">
        <f t="shared" si="1"/>
        <v>1052</v>
      </c>
      <c r="B1056" s="1" t="s">
        <v>2426</v>
      </c>
      <c r="C1056" s="1" t="s">
        <v>1038</v>
      </c>
      <c r="D1056" s="1" t="s">
        <v>66</v>
      </c>
      <c r="E1056" s="15">
        <f t="shared" si="2"/>
        <v>2.25</v>
      </c>
      <c r="F1056" s="16">
        <f t="shared" si="3"/>
        <v>1.125</v>
      </c>
      <c r="G1056" s="1">
        <v>2.0</v>
      </c>
      <c r="H1056" s="1">
        <v>0.0</v>
      </c>
      <c r="I1056" s="1">
        <v>0.0</v>
      </c>
      <c r="J1056" s="1">
        <v>0.0</v>
      </c>
      <c r="K1056" s="1">
        <v>2.0</v>
      </c>
      <c r="L1056" s="1">
        <v>0.0</v>
      </c>
      <c r="M1056" s="1">
        <v>0.0</v>
      </c>
      <c r="N1056" s="1">
        <v>0.0</v>
      </c>
      <c r="O1056" s="1">
        <v>0.0</v>
      </c>
      <c r="P1056" s="1">
        <v>1.0</v>
      </c>
      <c r="Q1056" s="1">
        <v>2.0</v>
      </c>
    </row>
    <row r="1057">
      <c r="A1057" s="1">
        <f t="shared" si="1"/>
        <v>1052</v>
      </c>
      <c r="B1057" s="1" t="s">
        <v>1982</v>
      </c>
      <c r="C1057" s="1" t="s">
        <v>1032</v>
      </c>
      <c r="D1057" s="1" t="s">
        <v>28</v>
      </c>
      <c r="E1057" s="15">
        <f t="shared" si="2"/>
        <v>2.25</v>
      </c>
      <c r="F1057" s="16">
        <f t="shared" si="3"/>
        <v>1.125</v>
      </c>
      <c r="G1057" s="1">
        <v>2.0</v>
      </c>
      <c r="H1057" s="1">
        <v>0.0</v>
      </c>
      <c r="I1057" s="1">
        <v>0.0</v>
      </c>
      <c r="J1057" s="1">
        <v>0.0</v>
      </c>
      <c r="K1057" s="1">
        <v>1.0</v>
      </c>
      <c r="L1057" s="1">
        <v>0.0</v>
      </c>
      <c r="M1057" s="1">
        <v>0.0</v>
      </c>
      <c r="N1057" s="1">
        <v>0.0</v>
      </c>
      <c r="O1057" s="1">
        <v>0.0</v>
      </c>
      <c r="P1057" s="1">
        <v>3.0</v>
      </c>
      <c r="Q1057" s="1">
        <v>2.0</v>
      </c>
    </row>
    <row r="1058">
      <c r="A1058" s="1">
        <f t="shared" si="1"/>
        <v>1052</v>
      </c>
      <c r="B1058" s="1" t="s">
        <v>2427</v>
      </c>
      <c r="C1058" s="1" t="s">
        <v>1111</v>
      </c>
      <c r="D1058" s="1" t="s">
        <v>36</v>
      </c>
      <c r="E1058" s="15">
        <f t="shared" si="2"/>
        <v>2.25</v>
      </c>
      <c r="F1058" s="16">
        <f t="shared" si="3"/>
        <v>1.125</v>
      </c>
      <c r="G1058" s="1">
        <v>2.0</v>
      </c>
      <c r="H1058" s="1">
        <v>0.0</v>
      </c>
      <c r="I1058" s="1">
        <v>0.0</v>
      </c>
      <c r="J1058" s="1">
        <v>0.0</v>
      </c>
      <c r="K1058" s="1">
        <v>1.0</v>
      </c>
      <c r="L1058" s="1">
        <v>0.0</v>
      </c>
      <c r="M1058" s="1">
        <v>0.0</v>
      </c>
      <c r="N1058" s="1">
        <v>0.0</v>
      </c>
      <c r="O1058" s="1">
        <v>0.0</v>
      </c>
      <c r="P1058" s="1">
        <v>3.0</v>
      </c>
      <c r="Q1058" s="1">
        <v>2.0</v>
      </c>
    </row>
    <row r="1059">
      <c r="A1059" s="1">
        <f t="shared" si="1"/>
        <v>1052</v>
      </c>
      <c r="B1059" s="1" t="s">
        <v>1743</v>
      </c>
      <c r="C1059" s="1" t="s">
        <v>1054</v>
      </c>
      <c r="D1059" s="1" t="s">
        <v>36</v>
      </c>
      <c r="E1059" s="15">
        <f t="shared" si="2"/>
        <v>2.25</v>
      </c>
      <c r="F1059" s="16">
        <f t="shared" si="3"/>
        <v>1.125</v>
      </c>
      <c r="G1059" s="1">
        <v>2.0</v>
      </c>
      <c r="H1059" s="1">
        <v>0.0</v>
      </c>
      <c r="I1059" s="1">
        <v>0.0</v>
      </c>
      <c r="J1059" s="1">
        <v>0.0</v>
      </c>
      <c r="K1059" s="1">
        <v>1.0</v>
      </c>
      <c r="L1059" s="1">
        <v>0.0</v>
      </c>
      <c r="M1059" s="1">
        <v>0.0</v>
      </c>
      <c r="N1059" s="1">
        <v>0.0</v>
      </c>
      <c r="O1059" s="1">
        <v>0.0</v>
      </c>
      <c r="P1059" s="1">
        <v>7.0</v>
      </c>
      <c r="Q1059" s="1">
        <v>0.0</v>
      </c>
    </row>
    <row r="1060">
      <c r="A1060" s="1">
        <f t="shared" si="1"/>
        <v>1058</v>
      </c>
      <c r="B1060" s="1" t="s">
        <v>2256</v>
      </c>
      <c r="C1060" s="1" t="s">
        <v>1076</v>
      </c>
      <c r="D1060" s="1" t="s">
        <v>31</v>
      </c>
      <c r="E1060" s="15">
        <f t="shared" si="2"/>
        <v>2</v>
      </c>
      <c r="F1060" s="16">
        <f t="shared" si="3"/>
        <v>1</v>
      </c>
      <c r="G1060" s="1">
        <v>2.0</v>
      </c>
      <c r="H1060" s="1">
        <v>0.0</v>
      </c>
      <c r="I1060" s="1">
        <v>0.0</v>
      </c>
      <c r="J1060" s="1">
        <v>0.0</v>
      </c>
      <c r="K1060" s="1">
        <v>3.0</v>
      </c>
      <c r="L1060" s="1">
        <v>0.0</v>
      </c>
      <c r="M1060" s="1">
        <v>0.0</v>
      </c>
      <c r="N1060" s="1">
        <v>0.0</v>
      </c>
      <c r="O1060" s="1">
        <v>0.0</v>
      </c>
      <c r="P1060" s="1">
        <v>2.0</v>
      </c>
      <c r="Q1060" s="1">
        <v>0.0</v>
      </c>
    </row>
    <row r="1061">
      <c r="A1061" s="1">
        <f t="shared" si="1"/>
        <v>1058</v>
      </c>
      <c r="B1061" s="1" t="s">
        <v>2428</v>
      </c>
      <c r="C1061" s="1" t="s">
        <v>1080</v>
      </c>
      <c r="D1061" s="1" t="s">
        <v>31</v>
      </c>
      <c r="E1061" s="15">
        <f t="shared" si="2"/>
        <v>2</v>
      </c>
      <c r="F1061" s="16">
        <f t="shared" si="3"/>
        <v>1</v>
      </c>
      <c r="G1061" s="1">
        <v>2.0</v>
      </c>
      <c r="H1061" s="1">
        <v>0.0</v>
      </c>
      <c r="I1061" s="1">
        <v>0.0</v>
      </c>
      <c r="J1061" s="1">
        <v>0.0</v>
      </c>
      <c r="K1061" s="1">
        <v>1.0</v>
      </c>
      <c r="L1061" s="1">
        <v>0.0</v>
      </c>
      <c r="M1061" s="1">
        <v>0.0</v>
      </c>
      <c r="N1061" s="1">
        <v>0.0</v>
      </c>
      <c r="O1061" s="1">
        <v>0.0</v>
      </c>
      <c r="P1061" s="1">
        <v>4.0</v>
      </c>
      <c r="Q1061" s="1">
        <v>1.0</v>
      </c>
    </row>
    <row r="1062">
      <c r="A1062" s="1">
        <f t="shared" si="1"/>
        <v>1058</v>
      </c>
      <c r="B1062" s="1" t="s">
        <v>2429</v>
      </c>
      <c r="C1062" s="1" t="s">
        <v>1087</v>
      </c>
      <c r="D1062" s="1" t="s">
        <v>66</v>
      </c>
      <c r="E1062" s="15">
        <f t="shared" si="2"/>
        <v>2</v>
      </c>
      <c r="F1062" s="16">
        <f t="shared" si="3"/>
        <v>1</v>
      </c>
      <c r="G1062" s="1">
        <v>2.0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2.0</v>
      </c>
      <c r="Q1062" s="1">
        <v>3.0</v>
      </c>
    </row>
    <row r="1063">
      <c r="A1063" s="1">
        <f t="shared" si="1"/>
        <v>1058</v>
      </c>
      <c r="B1063" s="1" t="s">
        <v>2430</v>
      </c>
      <c r="C1063" s="1" t="s">
        <v>1046</v>
      </c>
      <c r="D1063" s="1" t="s">
        <v>66</v>
      </c>
      <c r="E1063" s="15">
        <f t="shared" si="2"/>
        <v>2</v>
      </c>
      <c r="F1063" s="16">
        <f t="shared" si="3"/>
        <v>1</v>
      </c>
      <c r="G1063" s="1">
        <v>2.0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4.0</v>
      </c>
      <c r="Q1063" s="1">
        <v>2.0</v>
      </c>
    </row>
    <row r="1064">
      <c r="A1064" s="1">
        <f t="shared" si="1"/>
        <v>1058</v>
      </c>
      <c r="B1064" s="1" t="s">
        <v>2431</v>
      </c>
      <c r="C1064" s="1" t="s">
        <v>1120</v>
      </c>
      <c r="D1064" s="1" t="s">
        <v>28</v>
      </c>
      <c r="E1064" s="15">
        <f t="shared" si="2"/>
        <v>2</v>
      </c>
      <c r="F1064" s="16">
        <f t="shared" si="3"/>
        <v>0.6666666667</v>
      </c>
      <c r="G1064" s="1">
        <v>3.0</v>
      </c>
      <c r="H1064" s="1">
        <v>0.0</v>
      </c>
      <c r="I1064" s="1">
        <v>0.0</v>
      </c>
      <c r="J1064" s="1">
        <v>0.0</v>
      </c>
      <c r="K1064" s="1">
        <v>2.0</v>
      </c>
      <c r="L1064" s="1">
        <v>0.0</v>
      </c>
      <c r="M1064" s="1">
        <v>0.0</v>
      </c>
      <c r="N1064" s="1">
        <v>0.0</v>
      </c>
      <c r="O1064" s="1">
        <v>0.0</v>
      </c>
      <c r="P1064" s="1">
        <v>4.0</v>
      </c>
      <c r="Q1064" s="1">
        <v>0.0</v>
      </c>
    </row>
    <row r="1065">
      <c r="A1065" s="1">
        <f t="shared" si="1"/>
        <v>1063</v>
      </c>
      <c r="B1065" s="1" t="s">
        <v>1996</v>
      </c>
      <c r="C1065" s="1" t="s">
        <v>1032</v>
      </c>
      <c r="D1065" s="1" t="s">
        <v>5</v>
      </c>
      <c r="E1065" s="15">
        <f t="shared" si="2"/>
        <v>1.8</v>
      </c>
      <c r="F1065" s="16">
        <f t="shared" si="3"/>
        <v>0.9</v>
      </c>
      <c r="G1065" s="1">
        <v>2.0</v>
      </c>
      <c r="R1065" s="1">
        <v>0.0</v>
      </c>
      <c r="S1065" s="1">
        <v>6.0</v>
      </c>
      <c r="T1065" s="12">
        <v>36.0</v>
      </c>
      <c r="U1065" s="1">
        <v>0.0</v>
      </c>
    </row>
    <row r="1066">
      <c r="A1066" s="1">
        <f t="shared" si="1"/>
        <v>1064</v>
      </c>
      <c r="B1066" s="1" t="s">
        <v>2432</v>
      </c>
      <c r="C1066" s="1" t="s">
        <v>1042</v>
      </c>
      <c r="D1066" s="1" t="s">
        <v>31</v>
      </c>
      <c r="E1066" s="15">
        <f t="shared" si="2"/>
        <v>1.75</v>
      </c>
      <c r="F1066" s="16">
        <f t="shared" si="3"/>
        <v>1.75</v>
      </c>
      <c r="G1066" s="1">
        <v>1.0</v>
      </c>
      <c r="H1066" s="1">
        <v>0.0</v>
      </c>
      <c r="I1066" s="1">
        <v>0.0</v>
      </c>
      <c r="J1066" s="1">
        <v>0.0</v>
      </c>
      <c r="K1066" s="1">
        <v>2.0</v>
      </c>
      <c r="L1066" s="1">
        <v>0.0</v>
      </c>
      <c r="M1066" s="1">
        <v>0.0</v>
      </c>
      <c r="N1066" s="1">
        <v>0.0</v>
      </c>
      <c r="O1066" s="1">
        <v>0.0</v>
      </c>
      <c r="P1066" s="1">
        <v>3.0</v>
      </c>
      <c r="Q1066" s="1">
        <v>0.0</v>
      </c>
    </row>
    <row r="1067">
      <c r="A1067" s="1">
        <f t="shared" si="1"/>
        <v>1064</v>
      </c>
      <c r="B1067" s="1" t="s">
        <v>2062</v>
      </c>
      <c r="C1067" s="1" t="s">
        <v>1085</v>
      </c>
      <c r="D1067" s="1" t="s">
        <v>31</v>
      </c>
      <c r="E1067" s="15">
        <f t="shared" si="2"/>
        <v>1.75</v>
      </c>
      <c r="F1067" s="16">
        <f t="shared" si="3"/>
        <v>0.4375</v>
      </c>
      <c r="G1067" s="1">
        <v>4.0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5.0</v>
      </c>
      <c r="Q1067" s="1">
        <v>1.0</v>
      </c>
    </row>
    <row r="1068">
      <c r="A1068" s="1">
        <f t="shared" si="1"/>
        <v>1064</v>
      </c>
      <c r="B1068" s="1" t="s">
        <v>1717</v>
      </c>
      <c r="C1068" s="1" t="s">
        <v>1054</v>
      </c>
      <c r="D1068" s="1" t="s">
        <v>66</v>
      </c>
      <c r="E1068" s="15">
        <f t="shared" si="2"/>
        <v>1.75</v>
      </c>
      <c r="F1068" s="16">
        <f t="shared" si="3"/>
        <v>0.875</v>
      </c>
      <c r="G1068" s="1">
        <v>2.0</v>
      </c>
      <c r="H1068" s="1">
        <v>0.0</v>
      </c>
      <c r="I1068" s="1">
        <v>0.0</v>
      </c>
      <c r="J1068" s="1">
        <v>0.0</v>
      </c>
      <c r="K1068" s="1">
        <v>1.0</v>
      </c>
      <c r="L1068" s="1">
        <v>0.0</v>
      </c>
      <c r="M1068" s="1">
        <v>0.0</v>
      </c>
      <c r="N1068" s="1">
        <v>0.0</v>
      </c>
      <c r="O1068" s="1">
        <v>0.0</v>
      </c>
      <c r="P1068" s="1">
        <v>3.0</v>
      </c>
      <c r="Q1068" s="1">
        <v>1.0</v>
      </c>
    </row>
    <row r="1069">
      <c r="A1069" s="1">
        <f t="shared" si="1"/>
        <v>1064</v>
      </c>
      <c r="B1069" s="1" t="s">
        <v>2433</v>
      </c>
      <c r="C1069" s="1" t="s">
        <v>1120</v>
      </c>
      <c r="D1069" s="1" t="s">
        <v>28</v>
      </c>
      <c r="E1069" s="15">
        <f t="shared" si="2"/>
        <v>1.75</v>
      </c>
      <c r="F1069" s="16">
        <f t="shared" si="3"/>
        <v>0.875</v>
      </c>
      <c r="G1069" s="1">
        <v>2.0</v>
      </c>
      <c r="H1069" s="1">
        <v>0.0</v>
      </c>
      <c r="I1069" s="1">
        <v>0.0</v>
      </c>
      <c r="J1069" s="1">
        <v>0.0</v>
      </c>
      <c r="K1069" s="1">
        <v>1.0</v>
      </c>
      <c r="L1069" s="1">
        <v>0.0</v>
      </c>
      <c r="M1069" s="1">
        <v>0.0</v>
      </c>
      <c r="N1069" s="1">
        <v>0.0</v>
      </c>
      <c r="O1069" s="1">
        <v>0.0</v>
      </c>
      <c r="P1069" s="1">
        <v>3.0</v>
      </c>
      <c r="Q1069" s="1">
        <v>1.0</v>
      </c>
    </row>
    <row r="1070">
      <c r="A1070" s="1">
        <f t="shared" si="1"/>
        <v>1064</v>
      </c>
      <c r="B1070" s="1" t="s">
        <v>2434</v>
      </c>
      <c r="C1070" s="1" t="s">
        <v>1034</v>
      </c>
      <c r="D1070" s="1" t="s">
        <v>28</v>
      </c>
      <c r="E1070" s="15">
        <f t="shared" si="2"/>
        <v>1.75</v>
      </c>
      <c r="F1070" s="16">
        <f t="shared" si="3"/>
        <v>1.75</v>
      </c>
      <c r="G1070" s="1">
        <v>1.0</v>
      </c>
      <c r="H1070" s="1">
        <v>0.0</v>
      </c>
      <c r="I1070" s="1">
        <v>0.0</v>
      </c>
      <c r="J1070" s="1">
        <v>0.0</v>
      </c>
      <c r="K1070" s="1">
        <v>2.0</v>
      </c>
      <c r="L1070" s="1">
        <v>0.0</v>
      </c>
      <c r="M1070" s="1">
        <v>0.0</v>
      </c>
      <c r="N1070" s="1">
        <v>0.0</v>
      </c>
      <c r="O1070" s="1">
        <v>0.0</v>
      </c>
      <c r="P1070" s="1">
        <v>3.0</v>
      </c>
      <c r="Q1070" s="1">
        <v>0.0</v>
      </c>
    </row>
    <row r="1071">
      <c r="A1071" s="1">
        <f t="shared" si="1"/>
        <v>1064</v>
      </c>
      <c r="B1071" s="1" t="s">
        <v>2435</v>
      </c>
      <c r="C1071" s="1" t="s">
        <v>1172</v>
      </c>
      <c r="D1071" s="1" t="s">
        <v>36</v>
      </c>
      <c r="E1071" s="15">
        <f t="shared" si="2"/>
        <v>1.75</v>
      </c>
      <c r="F1071" s="16">
        <f t="shared" si="3"/>
        <v>0.875</v>
      </c>
      <c r="G1071" s="1">
        <v>2.0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7.0</v>
      </c>
      <c r="Q1071" s="1">
        <v>0.0</v>
      </c>
    </row>
    <row r="1072">
      <c r="A1072" s="1">
        <f t="shared" si="1"/>
        <v>1070</v>
      </c>
      <c r="B1072" s="1" t="s">
        <v>2436</v>
      </c>
      <c r="C1072" s="1" t="s">
        <v>1570</v>
      </c>
      <c r="D1072" s="1" t="s">
        <v>31</v>
      </c>
      <c r="E1072" s="15">
        <f t="shared" si="2"/>
        <v>1.5</v>
      </c>
      <c r="F1072" s="16">
        <f t="shared" si="3"/>
        <v>0.5</v>
      </c>
      <c r="G1072" s="1">
        <v>3.0</v>
      </c>
      <c r="H1072" s="1">
        <v>0.0</v>
      </c>
      <c r="I1072" s="1">
        <v>0.0</v>
      </c>
      <c r="J1072" s="1">
        <v>0.0</v>
      </c>
      <c r="K1072" s="1">
        <v>1.0</v>
      </c>
      <c r="L1072" s="1">
        <v>0.0</v>
      </c>
      <c r="M1072" s="1">
        <v>0.0</v>
      </c>
      <c r="N1072" s="1">
        <v>0.0</v>
      </c>
      <c r="O1072" s="1">
        <v>0.0</v>
      </c>
      <c r="P1072" s="1">
        <v>4.0</v>
      </c>
      <c r="Q1072" s="1">
        <v>0.0</v>
      </c>
    </row>
    <row r="1073">
      <c r="A1073" s="1">
        <f t="shared" si="1"/>
        <v>1070</v>
      </c>
      <c r="B1073" s="1" t="s">
        <v>2437</v>
      </c>
      <c r="C1073" s="1" t="s">
        <v>1082</v>
      </c>
      <c r="D1073" s="1" t="s">
        <v>31</v>
      </c>
      <c r="E1073" s="15">
        <f t="shared" si="2"/>
        <v>1.5</v>
      </c>
      <c r="F1073" s="16">
        <f t="shared" si="3"/>
        <v>1.5</v>
      </c>
      <c r="G1073" s="1">
        <v>1.0</v>
      </c>
      <c r="H1073" s="1">
        <v>0.0</v>
      </c>
      <c r="I1073" s="1">
        <v>0.0</v>
      </c>
      <c r="J1073" s="1">
        <v>0.0</v>
      </c>
      <c r="K1073" s="1">
        <v>3.0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</row>
    <row r="1074">
      <c r="A1074" s="1">
        <f t="shared" si="1"/>
        <v>1070</v>
      </c>
      <c r="B1074" s="1" t="s">
        <v>2438</v>
      </c>
      <c r="C1074" s="1" t="s">
        <v>1087</v>
      </c>
      <c r="D1074" s="1" t="s">
        <v>66</v>
      </c>
      <c r="E1074" s="15">
        <f t="shared" si="2"/>
        <v>1.5</v>
      </c>
      <c r="F1074" s="16">
        <f t="shared" si="3"/>
        <v>1.5</v>
      </c>
      <c r="G1074" s="1">
        <v>1.0</v>
      </c>
      <c r="H1074" s="1">
        <v>0.0</v>
      </c>
      <c r="I1074" s="1">
        <v>0.0</v>
      </c>
      <c r="J1074" s="1">
        <v>0.0</v>
      </c>
      <c r="K1074" s="1">
        <v>1.0</v>
      </c>
      <c r="L1074" s="1">
        <v>0.0</v>
      </c>
      <c r="M1074" s="1">
        <v>0.0</v>
      </c>
      <c r="N1074" s="1">
        <v>0.0</v>
      </c>
      <c r="O1074" s="1">
        <v>0.0</v>
      </c>
      <c r="P1074" s="1">
        <v>2.0</v>
      </c>
      <c r="Q1074" s="1">
        <v>1.0</v>
      </c>
    </row>
    <row r="1075">
      <c r="A1075" s="1">
        <f t="shared" si="1"/>
        <v>1070</v>
      </c>
      <c r="B1075" s="1" t="s">
        <v>1631</v>
      </c>
      <c r="C1075" s="1" t="s">
        <v>1080</v>
      </c>
      <c r="D1075" s="1" t="s">
        <v>66</v>
      </c>
      <c r="E1075" s="15">
        <f t="shared" si="2"/>
        <v>1.5</v>
      </c>
      <c r="F1075" s="16">
        <f t="shared" si="3"/>
        <v>0.75</v>
      </c>
      <c r="G1075" s="1">
        <v>2.0</v>
      </c>
      <c r="H1075" s="1">
        <v>0.0</v>
      </c>
      <c r="I1075" s="1">
        <v>0.0</v>
      </c>
      <c r="J1075" s="1">
        <v>0.0</v>
      </c>
      <c r="K1075" s="1">
        <v>1.0</v>
      </c>
      <c r="L1075" s="1">
        <v>0.0</v>
      </c>
      <c r="M1075" s="1">
        <v>0.0</v>
      </c>
      <c r="N1075" s="1">
        <v>0.0</v>
      </c>
      <c r="O1075" s="1">
        <v>0.0</v>
      </c>
      <c r="P1075" s="1">
        <v>2.0</v>
      </c>
      <c r="Q1075" s="1">
        <v>1.0</v>
      </c>
    </row>
    <row r="1076">
      <c r="A1076" s="1">
        <f t="shared" si="1"/>
        <v>1070</v>
      </c>
      <c r="B1076" s="1" t="s">
        <v>2177</v>
      </c>
      <c r="C1076" s="1" t="s">
        <v>1044</v>
      </c>
      <c r="D1076" s="1" t="s">
        <v>28</v>
      </c>
      <c r="E1076" s="15">
        <f t="shared" si="2"/>
        <v>1.5</v>
      </c>
      <c r="F1076" s="16">
        <f t="shared" si="3"/>
        <v>1.5</v>
      </c>
      <c r="G1076" s="1">
        <v>1.0</v>
      </c>
      <c r="H1076" s="1">
        <v>0.0</v>
      </c>
      <c r="I1076" s="1">
        <v>0.0</v>
      </c>
      <c r="J1076" s="1">
        <v>0.0</v>
      </c>
      <c r="K1076" s="1">
        <v>1.0</v>
      </c>
      <c r="L1076" s="1">
        <v>0.0</v>
      </c>
      <c r="M1076" s="1">
        <v>0.0</v>
      </c>
      <c r="N1076" s="1">
        <v>0.0</v>
      </c>
      <c r="O1076" s="1">
        <v>0.0</v>
      </c>
      <c r="P1076" s="1">
        <v>4.0</v>
      </c>
      <c r="Q1076" s="1">
        <v>0.0</v>
      </c>
    </row>
    <row r="1077">
      <c r="A1077" s="1">
        <f t="shared" si="1"/>
        <v>1070</v>
      </c>
      <c r="B1077" s="1" t="s">
        <v>2439</v>
      </c>
      <c r="C1077" s="1" t="s">
        <v>1054</v>
      </c>
      <c r="D1077" s="1" t="s">
        <v>28</v>
      </c>
      <c r="E1077" s="15">
        <f t="shared" si="2"/>
        <v>1.5</v>
      </c>
      <c r="F1077" s="16">
        <f t="shared" si="3"/>
        <v>1.5</v>
      </c>
      <c r="G1077" s="1">
        <v>1.0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6.0</v>
      </c>
      <c r="Q1077" s="1">
        <v>0.0</v>
      </c>
    </row>
    <row r="1078">
      <c r="A1078" s="1">
        <f t="shared" si="1"/>
        <v>1070</v>
      </c>
      <c r="B1078" s="1" t="s">
        <v>2440</v>
      </c>
      <c r="C1078" s="1" t="s">
        <v>1044</v>
      </c>
      <c r="D1078" s="1" t="s">
        <v>28</v>
      </c>
      <c r="E1078" s="15">
        <f t="shared" si="2"/>
        <v>1.5</v>
      </c>
      <c r="F1078" s="16">
        <f t="shared" si="3"/>
        <v>1.5</v>
      </c>
      <c r="G1078" s="1">
        <v>1.0</v>
      </c>
      <c r="H1078" s="1">
        <v>0.0</v>
      </c>
      <c r="I1078" s="1">
        <v>0.0</v>
      </c>
      <c r="J1078" s="1">
        <v>0.0</v>
      </c>
      <c r="K1078" s="1">
        <v>3.0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</row>
    <row r="1079">
      <c r="A1079" s="1">
        <f t="shared" si="1"/>
        <v>1070</v>
      </c>
      <c r="B1079" s="1" t="s">
        <v>1607</v>
      </c>
      <c r="C1079" s="1" t="s">
        <v>1065</v>
      </c>
      <c r="D1079" s="1" t="s">
        <v>28</v>
      </c>
      <c r="E1079" s="15">
        <f t="shared" si="2"/>
        <v>1.5</v>
      </c>
      <c r="F1079" s="16">
        <f t="shared" si="3"/>
        <v>0.75</v>
      </c>
      <c r="G1079" s="1">
        <v>2.0</v>
      </c>
      <c r="H1079" s="1">
        <v>0.0</v>
      </c>
      <c r="I1079" s="1">
        <v>0.0</v>
      </c>
      <c r="J1079" s="1">
        <v>0.0</v>
      </c>
      <c r="K1079" s="1">
        <v>2.0</v>
      </c>
      <c r="L1079" s="1">
        <v>0.0</v>
      </c>
      <c r="M1079" s="1">
        <v>0.0</v>
      </c>
      <c r="N1079" s="1">
        <v>0.0</v>
      </c>
      <c r="O1079" s="1">
        <v>0.0</v>
      </c>
      <c r="P1079" s="1">
        <v>2.0</v>
      </c>
      <c r="Q1079" s="1">
        <v>0.0</v>
      </c>
    </row>
    <row r="1080">
      <c r="A1080" s="1">
        <f t="shared" si="1"/>
        <v>1070</v>
      </c>
      <c r="B1080" s="1" t="s">
        <v>2441</v>
      </c>
      <c r="C1080" s="1" t="s">
        <v>1091</v>
      </c>
      <c r="D1080" s="1" t="s">
        <v>36</v>
      </c>
      <c r="E1080" s="15">
        <f t="shared" si="2"/>
        <v>1.5</v>
      </c>
      <c r="F1080" s="16">
        <f t="shared" si="3"/>
        <v>1.5</v>
      </c>
      <c r="G1080" s="1">
        <v>1.0</v>
      </c>
      <c r="H1080" s="1">
        <v>0.0</v>
      </c>
      <c r="I1080" s="1">
        <v>0.0</v>
      </c>
      <c r="J1080" s="1">
        <v>0.0</v>
      </c>
      <c r="K1080" s="1">
        <v>1.0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2.0</v>
      </c>
    </row>
    <row r="1081">
      <c r="A1081" s="1">
        <f t="shared" si="1"/>
        <v>1079</v>
      </c>
      <c r="B1081" s="1" t="s">
        <v>2147</v>
      </c>
      <c r="C1081" s="1" t="s">
        <v>1091</v>
      </c>
      <c r="D1081" s="1" t="s">
        <v>31</v>
      </c>
      <c r="E1081" s="15">
        <f t="shared" si="2"/>
        <v>1.25</v>
      </c>
      <c r="F1081" s="16">
        <f t="shared" si="3"/>
        <v>1.25</v>
      </c>
      <c r="G1081" s="1">
        <v>1.0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3.0</v>
      </c>
      <c r="Q1081" s="1">
        <v>1.0</v>
      </c>
    </row>
    <row r="1082">
      <c r="A1082" s="1">
        <f t="shared" si="1"/>
        <v>1079</v>
      </c>
      <c r="B1082" s="1" t="s">
        <v>1732</v>
      </c>
      <c r="C1082" s="1" t="s">
        <v>1085</v>
      </c>
      <c r="D1082" s="1" t="s">
        <v>31</v>
      </c>
      <c r="E1082" s="15">
        <f t="shared" si="2"/>
        <v>1.25</v>
      </c>
      <c r="F1082" s="16">
        <f t="shared" si="3"/>
        <v>1.25</v>
      </c>
      <c r="G1082" s="1">
        <v>1.0</v>
      </c>
      <c r="H1082" s="1">
        <v>0.0</v>
      </c>
      <c r="I1082" s="1">
        <v>0.0</v>
      </c>
      <c r="J1082" s="1">
        <v>0.0</v>
      </c>
      <c r="K1082" s="1">
        <v>1.0</v>
      </c>
      <c r="L1082" s="1">
        <v>0.0</v>
      </c>
      <c r="M1082" s="1">
        <v>0.0</v>
      </c>
      <c r="N1082" s="1">
        <v>0.0</v>
      </c>
      <c r="O1082" s="1">
        <v>0.0</v>
      </c>
      <c r="P1082" s="1">
        <v>3.0</v>
      </c>
      <c r="Q1082" s="1">
        <v>0.0</v>
      </c>
    </row>
    <row r="1083">
      <c r="A1083" s="1">
        <f t="shared" si="1"/>
        <v>1079</v>
      </c>
      <c r="B1083" s="1" t="s">
        <v>2442</v>
      </c>
      <c r="C1083" s="1" t="s">
        <v>1175</v>
      </c>
      <c r="D1083" s="1" t="s">
        <v>66</v>
      </c>
      <c r="E1083" s="15">
        <f t="shared" si="2"/>
        <v>1.25</v>
      </c>
      <c r="F1083" s="16">
        <f t="shared" si="3"/>
        <v>1.25</v>
      </c>
      <c r="G1083" s="1">
        <v>1.0</v>
      </c>
      <c r="H1083" s="1">
        <v>0.0</v>
      </c>
      <c r="I1083" s="1">
        <v>0.0</v>
      </c>
      <c r="J1083" s="1">
        <v>0.0</v>
      </c>
      <c r="K1083" s="1">
        <v>2.0</v>
      </c>
      <c r="L1083" s="1">
        <v>0.0</v>
      </c>
      <c r="M1083" s="1">
        <v>0.0</v>
      </c>
      <c r="N1083" s="1">
        <v>0.0</v>
      </c>
      <c r="O1083" s="1">
        <v>0.0</v>
      </c>
      <c r="P1083" s="1">
        <v>1.0</v>
      </c>
      <c r="Q1083" s="1">
        <v>0.0</v>
      </c>
    </row>
    <row r="1084">
      <c r="A1084" s="1">
        <f t="shared" si="1"/>
        <v>1079</v>
      </c>
      <c r="B1084" s="1" t="s">
        <v>2443</v>
      </c>
      <c r="C1084" s="1" t="s">
        <v>1065</v>
      </c>
      <c r="D1084" s="1" t="s">
        <v>66</v>
      </c>
      <c r="E1084" s="15">
        <f t="shared" si="2"/>
        <v>1.25</v>
      </c>
      <c r="F1084" s="16">
        <f t="shared" si="3"/>
        <v>0.625</v>
      </c>
      <c r="G1084" s="1">
        <v>2.0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5.0</v>
      </c>
      <c r="Q1084" s="1">
        <v>0.0</v>
      </c>
    </row>
    <row r="1085">
      <c r="A1085" s="1">
        <f t="shared" si="1"/>
        <v>1079</v>
      </c>
      <c r="B1085" s="1" t="s">
        <v>2091</v>
      </c>
      <c r="C1085" s="1" t="s">
        <v>1091</v>
      </c>
      <c r="D1085" s="1" t="s">
        <v>36</v>
      </c>
      <c r="E1085" s="15">
        <f t="shared" si="2"/>
        <v>1.25</v>
      </c>
      <c r="F1085" s="16">
        <f t="shared" si="3"/>
        <v>1.25</v>
      </c>
      <c r="G1085" s="1">
        <v>1.0</v>
      </c>
      <c r="H1085" s="1">
        <v>0.0</v>
      </c>
      <c r="I1085" s="1">
        <v>0.0</v>
      </c>
      <c r="J1085" s="1">
        <v>0.0</v>
      </c>
      <c r="K1085" s="1">
        <v>2.0</v>
      </c>
      <c r="L1085" s="1">
        <v>0.0</v>
      </c>
      <c r="M1085" s="1">
        <v>0.0</v>
      </c>
      <c r="N1085" s="1">
        <v>0.0</v>
      </c>
      <c r="O1085" s="1">
        <v>0.0</v>
      </c>
      <c r="P1085" s="1">
        <v>1.0</v>
      </c>
      <c r="Q1085" s="1">
        <v>0.0</v>
      </c>
    </row>
    <row r="1086">
      <c r="A1086" s="1">
        <f t="shared" si="1"/>
        <v>1084</v>
      </c>
      <c r="B1086" s="1" t="s">
        <v>2263</v>
      </c>
      <c r="C1086" s="1" t="s">
        <v>1038</v>
      </c>
      <c r="D1086" s="1" t="s">
        <v>31</v>
      </c>
      <c r="E1086" s="15">
        <f t="shared" si="2"/>
        <v>1</v>
      </c>
      <c r="F1086" s="16">
        <f t="shared" si="3"/>
        <v>0.5</v>
      </c>
      <c r="G1086" s="1">
        <v>2.0</v>
      </c>
      <c r="H1086" s="1">
        <v>0.0</v>
      </c>
      <c r="I1086" s="1">
        <v>0.0</v>
      </c>
      <c r="J1086" s="1">
        <v>0.0</v>
      </c>
      <c r="K1086" s="1">
        <v>2.0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</row>
    <row r="1087">
      <c r="A1087" s="1">
        <f t="shared" si="1"/>
        <v>1084</v>
      </c>
      <c r="B1087" s="1" t="s">
        <v>2162</v>
      </c>
      <c r="C1087" s="1" t="s">
        <v>1048</v>
      </c>
      <c r="D1087" s="1" t="s">
        <v>31</v>
      </c>
      <c r="E1087" s="15">
        <f t="shared" si="2"/>
        <v>1</v>
      </c>
      <c r="F1087" s="16">
        <f t="shared" si="3"/>
        <v>1</v>
      </c>
      <c r="G1087" s="1">
        <v>1.0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2.0</v>
      </c>
      <c r="Q1087" s="1">
        <v>1.0</v>
      </c>
    </row>
    <row r="1088">
      <c r="A1088" s="1">
        <f t="shared" si="1"/>
        <v>1084</v>
      </c>
      <c r="B1088" s="1" t="s">
        <v>2444</v>
      </c>
      <c r="C1088" s="1" t="s">
        <v>1067</v>
      </c>
      <c r="D1088" s="1" t="s">
        <v>31</v>
      </c>
      <c r="E1088" s="15">
        <f t="shared" si="2"/>
        <v>1</v>
      </c>
      <c r="F1088" s="16">
        <f t="shared" si="3"/>
        <v>1</v>
      </c>
      <c r="G1088" s="1">
        <v>1.0</v>
      </c>
      <c r="H1088" s="1">
        <v>0.0</v>
      </c>
      <c r="I1088" s="1">
        <v>0.0</v>
      </c>
      <c r="J1088" s="1">
        <v>0.0</v>
      </c>
      <c r="K1088" s="1">
        <v>2.0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</row>
    <row r="1089">
      <c r="A1089" s="1">
        <f t="shared" si="1"/>
        <v>1084</v>
      </c>
      <c r="B1089" s="1" t="s">
        <v>2445</v>
      </c>
      <c r="C1089" s="1" t="s">
        <v>1097</v>
      </c>
      <c r="D1089" s="1" t="s">
        <v>31</v>
      </c>
      <c r="E1089" s="15">
        <f t="shared" si="2"/>
        <v>1</v>
      </c>
      <c r="F1089" s="16">
        <f t="shared" si="3"/>
        <v>1</v>
      </c>
      <c r="G1089" s="1">
        <v>1.0</v>
      </c>
      <c r="H1089" s="1">
        <v>0.0</v>
      </c>
      <c r="I1089" s="1">
        <v>0.0</v>
      </c>
      <c r="J1089" s="1">
        <v>0.0</v>
      </c>
      <c r="K1089" s="1">
        <v>2.0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</row>
    <row r="1090">
      <c r="A1090" s="1">
        <f t="shared" si="1"/>
        <v>1084</v>
      </c>
      <c r="B1090" s="1" t="s">
        <v>2446</v>
      </c>
      <c r="C1090" s="1" t="s">
        <v>1172</v>
      </c>
      <c r="D1090" s="1" t="s">
        <v>66</v>
      </c>
      <c r="E1090" s="15">
        <f t="shared" si="2"/>
        <v>1</v>
      </c>
      <c r="F1090" s="16">
        <f t="shared" si="3"/>
        <v>0.5</v>
      </c>
      <c r="G1090" s="1">
        <v>2.0</v>
      </c>
      <c r="H1090" s="1">
        <v>0.0</v>
      </c>
      <c r="I1090" s="1">
        <v>0.0</v>
      </c>
      <c r="J1090" s="1">
        <v>0.0</v>
      </c>
      <c r="K1090" s="1">
        <v>1.0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1.0</v>
      </c>
    </row>
    <row r="1091">
      <c r="A1091" s="1">
        <f t="shared" si="1"/>
        <v>1084</v>
      </c>
      <c r="B1091" s="1" t="s">
        <v>2447</v>
      </c>
      <c r="C1091" s="1" t="s">
        <v>1087</v>
      </c>
      <c r="D1091" s="1" t="s">
        <v>28</v>
      </c>
      <c r="E1091" s="15">
        <f t="shared" si="2"/>
        <v>1</v>
      </c>
      <c r="F1091" s="16">
        <f t="shared" si="3"/>
        <v>1</v>
      </c>
      <c r="G1091" s="1">
        <v>1.0</v>
      </c>
      <c r="H1091" s="1">
        <v>0.0</v>
      </c>
      <c r="I1091" s="1">
        <v>0.0</v>
      </c>
      <c r="J1091" s="1">
        <v>0.0</v>
      </c>
      <c r="K1091" s="1">
        <v>2.0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</row>
    <row r="1092">
      <c r="A1092" s="1">
        <f t="shared" si="1"/>
        <v>1084</v>
      </c>
      <c r="B1092" s="1" t="s">
        <v>2448</v>
      </c>
      <c r="C1092" s="1" t="s">
        <v>1044</v>
      </c>
      <c r="D1092" s="1" t="s">
        <v>28</v>
      </c>
      <c r="E1092" s="15">
        <f t="shared" si="2"/>
        <v>1</v>
      </c>
      <c r="F1092" s="16">
        <f t="shared" si="3"/>
        <v>1</v>
      </c>
      <c r="G1092" s="1">
        <v>1.0</v>
      </c>
      <c r="H1092" s="1">
        <v>0.0</v>
      </c>
      <c r="I1092" s="1">
        <v>0.0</v>
      </c>
      <c r="J1092" s="1">
        <v>0.0</v>
      </c>
      <c r="K1092" s="1">
        <v>1.0</v>
      </c>
      <c r="L1092" s="1">
        <v>0.0</v>
      </c>
      <c r="M1092" s="1">
        <v>0.0</v>
      </c>
      <c r="N1092" s="1">
        <v>0.0</v>
      </c>
      <c r="O1092" s="1">
        <v>0.0</v>
      </c>
      <c r="P1092" s="1">
        <v>2.0</v>
      </c>
      <c r="Q1092" s="1">
        <v>0.0</v>
      </c>
    </row>
    <row r="1093">
      <c r="A1093" s="1">
        <f t="shared" si="1"/>
        <v>1084</v>
      </c>
      <c r="B1093" s="1" t="s">
        <v>1563</v>
      </c>
      <c r="C1093" s="1" t="s">
        <v>1080</v>
      </c>
      <c r="D1093" s="1" t="s">
        <v>28</v>
      </c>
      <c r="E1093" s="15">
        <f t="shared" si="2"/>
        <v>1</v>
      </c>
      <c r="F1093" s="16">
        <f t="shared" si="3"/>
        <v>0.5</v>
      </c>
      <c r="G1093" s="1">
        <v>2.0</v>
      </c>
      <c r="H1093" s="1">
        <v>0.0</v>
      </c>
      <c r="I1093" s="1">
        <v>0.0</v>
      </c>
      <c r="J1093" s="1">
        <v>0.0</v>
      </c>
      <c r="K1093" s="1">
        <v>1.0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1.0</v>
      </c>
    </row>
    <row r="1094">
      <c r="A1094" s="1">
        <f t="shared" si="1"/>
        <v>1084</v>
      </c>
      <c r="B1094" s="1" t="s">
        <v>1904</v>
      </c>
      <c r="C1094" s="1" t="s">
        <v>1046</v>
      </c>
      <c r="D1094" s="1" t="s">
        <v>28</v>
      </c>
      <c r="E1094" s="15">
        <f t="shared" si="2"/>
        <v>1</v>
      </c>
      <c r="F1094" s="16">
        <f t="shared" si="3"/>
        <v>1</v>
      </c>
      <c r="G1094" s="1">
        <v>1.0</v>
      </c>
      <c r="H1094" s="1">
        <v>0.0</v>
      </c>
      <c r="I1094" s="1">
        <v>0.0</v>
      </c>
      <c r="J1094" s="1">
        <v>0.0</v>
      </c>
      <c r="K1094" s="1">
        <v>2.0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</row>
    <row r="1095">
      <c r="A1095" s="1">
        <f t="shared" si="1"/>
        <v>1084</v>
      </c>
      <c r="B1095" s="1" t="s">
        <v>2449</v>
      </c>
      <c r="C1095" s="1" t="s">
        <v>1044</v>
      </c>
      <c r="D1095" s="1" t="s">
        <v>36</v>
      </c>
      <c r="E1095" s="15">
        <f t="shared" si="2"/>
        <v>1</v>
      </c>
      <c r="F1095" s="16">
        <f t="shared" si="3"/>
        <v>0.5</v>
      </c>
      <c r="G1095" s="1">
        <v>2.0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4.0</v>
      </c>
      <c r="Q1095" s="1">
        <v>0.0</v>
      </c>
    </row>
    <row r="1096">
      <c r="A1096" s="1">
        <f t="shared" si="1"/>
        <v>1084</v>
      </c>
      <c r="B1096" s="1" t="s">
        <v>2450</v>
      </c>
      <c r="C1096" s="1" t="s">
        <v>1065</v>
      </c>
      <c r="D1096" s="1" t="s">
        <v>36</v>
      </c>
      <c r="E1096" s="15">
        <f t="shared" si="2"/>
        <v>1</v>
      </c>
      <c r="F1096" s="16">
        <f t="shared" si="3"/>
        <v>1</v>
      </c>
      <c r="G1096" s="1">
        <v>1.0</v>
      </c>
      <c r="H1096" s="1">
        <v>0.0</v>
      </c>
      <c r="I1096" s="1">
        <v>0.0</v>
      </c>
      <c r="J1096" s="1">
        <v>0.0</v>
      </c>
      <c r="K1096" s="1">
        <v>2.0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</row>
    <row r="1097">
      <c r="A1097" s="1">
        <f t="shared" si="1"/>
        <v>1095</v>
      </c>
      <c r="B1097" s="1" t="s">
        <v>2451</v>
      </c>
      <c r="C1097" s="1" t="s">
        <v>1116</v>
      </c>
      <c r="D1097" s="1" t="s">
        <v>31</v>
      </c>
      <c r="E1097" s="15">
        <f t="shared" si="2"/>
        <v>0.75</v>
      </c>
      <c r="F1097" s="16">
        <f t="shared" si="3"/>
        <v>0.75</v>
      </c>
      <c r="G1097" s="1">
        <v>1.0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3.0</v>
      </c>
      <c r="Q1097" s="1">
        <v>0.0</v>
      </c>
    </row>
    <row r="1098">
      <c r="A1098" s="1">
        <f t="shared" si="1"/>
        <v>1095</v>
      </c>
      <c r="B1098" s="1" t="s">
        <v>1917</v>
      </c>
      <c r="C1098" s="1" t="s">
        <v>1156</v>
      </c>
      <c r="D1098" s="1" t="s">
        <v>31</v>
      </c>
      <c r="E1098" s="15">
        <f t="shared" si="2"/>
        <v>0.75</v>
      </c>
      <c r="F1098" s="16">
        <f t="shared" si="3"/>
        <v>0.75</v>
      </c>
      <c r="G1098" s="1">
        <v>1.0</v>
      </c>
      <c r="H1098" s="1">
        <v>0.0</v>
      </c>
      <c r="I1098" s="1">
        <v>0.0</v>
      </c>
      <c r="J1098" s="1">
        <v>0.0</v>
      </c>
      <c r="K1098" s="1">
        <v>1.0</v>
      </c>
      <c r="L1098" s="1">
        <v>0.0</v>
      </c>
      <c r="M1098" s="1">
        <v>0.0</v>
      </c>
      <c r="N1098" s="1">
        <v>0.0</v>
      </c>
      <c r="O1098" s="1">
        <v>0.0</v>
      </c>
      <c r="P1098" s="1">
        <v>1.0</v>
      </c>
      <c r="Q1098" s="1">
        <v>0.0</v>
      </c>
    </row>
    <row r="1099">
      <c r="A1099" s="1">
        <f t="shared" si="1"/>
        <v>1095</v>
      </c>
      <c r="B1099" s="1" t="s">
        <v>2452</v>
      </c>
      <c r="C1099" s="1" t="s">
        <v>1073</v>
      </c>
      <c r="D1099" s="1" t="s">
        <v>66</v>
      </c>
      <c r="E1099" s="15">
        <f t="shared" si="2"/>
        <v>0.75</v>
      </c>
      <c r="F1099" s="16">
        <f t="shared" si="3"/>
        <v>0.75</v>
      </c>
      <c r="G1099" s="1">
        <v>1.0</v>
      </c>
      <c r="H1099" s="1">
        <v>0.0</v>
      </c>
      <c r="I1099" s="1">
        <v>0.0</v>
      </c>
      <c r="J1099" s="1">
        <v>0.0</v>
      </c>
      <c r="K1099" s="1">
        <v>1.0</v>
      </c>
      <c r="L1099" s="1">
        <v>0.0</v>
      </c>
      <c r="M1099" s="1">
        <v>0.0</v>
      </c>
      <c r="N1099" s="1">
        <v>0.0</v>
      </c>
      <c r="O1099" s="1">
        <v>0.0</v>
      </c>
      <c r="P1099" s="1">
        <v>1.0</v>
      </c>
      <c r="Q1099" s="1">
        <v>0.0</v>
      </c>
    </row>
    <row r="1100">
      <c r="A1100" s="1">
        <f t="shared" si="1"/>
        <v>1095</v>
      </c>
      <c r="B1100" s="1" t="s">
        <v>2453</v>
      </c>
      <c r="C1100" s="1" t="s">
        <v>1570</v>
      </c>
      <c r="D1100" s="1" t="s">
        <v>28</v>
      </c>
      <c r="E1100" s="15">
        <f t="shared" si="2"/>
        <v>0.75</v>
      </c>
      <c r="F1100" s="16">
        <f t="shared" si="3"/>
        <v>0.75</v>
      </c>
      <c r="G1100" s="1">
        <v>1.0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3.0</v>
      </c>
      <c r="Q1100" s="1">
        <v>0.0</v>
      </c>
    </row>
    <row r="1101">
      <c r="A1101" s="1">
        <f t="shared" si="1"/>
        <v>1099</v>
      </c>
      <c r="B1101" s="1" t="s">
        <v>2096</v>
      </c>
      <c r="C1101" s="1" t="s">
        <v>1116</v>
      </c>
      <c r="D1101" s="1" t="s">
        <v>31</v>
      </c>
      <c r="E1101" s="15">
        <f t="shared" si="2"/>
        <v>0.5</v>
      </c>
      <c r="F1101" s="16">
        <f t="shared" si="3"/>
        <v>0.5</v>
      </c>
      <c r="G1101" s="1">
        <v>1.0</v>
      </c>
      <c r="H1101" s="1">
        <v>0.0</v>
      </c>
      <c r="I1101" s="1">
        <v>0.0</v>
      </c>
      <c r="J1101" s="1">
        <v>0.0</v>
      </c>
      <c r="K1101" s="1">
        <v>1.0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</row>
    <row r="1102">
      <c r="A1102" s="1">
        <f t="shared" si="1"/>
        <v>1099</v>
      </c>
      <c r="B1102" s="1" t="s">
        <v>2156</v>
      </c>
      <c r="C1102" s="1" t="s">
        <v>1046</v>
      </c>
      <c r="D1102" s="1" t="s">
        <v>66</v>
      </c>
      <c r="E1102" s="15">
        <f t="shared" si="2"/>
        <v>0.5</v>
      </c>
      <c r="F1102" s="16">
        <f t="shared" si="3"/>
        <v>0.5</v>
      </c>
      <c r="G1102" s="1">
        <v>1.0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1.0</v>
      </c>
    </row>
    <row r="1103">
      <c r="A1103" s="1">
        <f t="shared" si="1"/>
        <v>1099</v>
      </c>
      <c r="B1103" s="1" t="s">
        <v>1755</v>
      </c>
      <c r="C1103" s="1" t="s">
        <v>1080</v>
      </c>
      <c r="D1103" s="1" t="s">
        <v>66</v>
      </c>
      <c r="E1103" s="15">
        <f t="shared" si="2"/>
        <v>0.5</v>
      </c>
      <c r="F1103" s="16">
        <f t="shared" si="3"/>
        <v>0.5</v>
      </c>
      <c r="G1103" s="1">
        <v>1.0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1.0</v>
      </c>
    </row>
    <row r="1104">
      <c r="A1104" s="1">
        <f t="shared" si="1"/>
        <v>1099</v>
      </c>
      <c r="B1104" s="1" t="s">
        <v>2454</v>
      </c>
      <c r="C1104" s="1" t="s">
        <v>1080</v>
      </c>
      <c r="D1104" s="1" t="s">
        <v>28</v>
      </c>
      <c r="E1104" s="15">
        <f t="shared" si="2"/>
        <v>0.5</v>
      </c>
      <c r="F1104" s="16">
        <f t="shared" si="3"/>
        <v>0.5</v>
      </c>
      <c r="G1104" s="1">
        <v>1.0</v>
      </c>
      <c r="H1104" s="1">
        <v>0.0</v>
      </c>
      <c r="I1104" s="1">
        <v>0.0</v>
      </c>
      <c r="J1104" s="1">
        <v>0.0</v>
      </c>
      <c r="K1104" s="1">
        <v>1.0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</row>
    <row r="1105">
      <c r="A1105" s="1">
        <f t="shared" si="1"/>
        <v>1099</v>
      </c>
      <c r="B1105" s="1" t="s">
        <v>2455</v>
      </c>
      <c r="C1105" s="1" t="s">
        <v>1065</v>
      </c>
      <c r="D1105" s="1" t="s">
        <v>28</v>
      </c>
      <c r="E1105" s="15">
        <f t="shared" si="2"/>
        <v>0.5</v>
      </c>
      <c r="F1105" s="16">
        <f t="shared" si="3"/>
        <v>0.5</v>
      </c>
      <c r="G1105" s="1">
        <v>1.0</v>
      </c>
      <c r="H1105" s="1">
        <v>0.0</v>
      </c>
      <c r="I1105" s="1">
        <v>0.0</v>
      </c>
      <c r="J1105" s="1">
        <v>0.0</v>
      </c>
      <c r="K1105" s="1">
        <v>1.0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</row>
    <row r="1106">
      <c r="A1106" s="1">
        <f t="shared" si="1"/>
        <v>1099</v>
      </c>
      <c r="B1106" s="1" t="s">
        <v>2456</v>
      </c>
      <c r="C1106" s="1" t="s">
        <v>1065</v>
      </c>
      <c r="D1106" s="1" t="s">
        <v>36</v>
      </c>
      <c r="E1106" s="15">
        <f t="shared" si="2"/>
        <v>0.5</v>
      </c>
      <c r="F1106" s="16">
        <f t="shared" si="3"/>
        <v>0.5</v>
      </c>
      <c r="G1106" s="1">
        <v>1.0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1.0</v>
      </c>
    </row>
    <row r="1107">
      <c r="A1107" s="1">
        <f t="shared" si="1"/>
        <v>1105</v>
      </c>
      <c r="B1107" s="1" t="s">
        <v>2457</v>
      </c>
      <c r="C1107" s="1" t="s">
        <v>1106</v>
      </c>
      <c r="D1107" s="1" t="s">
        <v>66</v>
      </c>
      <c r="E1107" s="15">
        <f t="shared" si="2"/>
        <v>0.25</v>
      </c>
      <c r="F1107" s="16">
        <f t="shared" si="3"/>
        <v>0.25</v>
      </c>
      <c r="G1107" s="1">
        <v>1.0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1.0</v>
      </c>
      <c r="Q1107" s="1">
        <v>0.0</v>
      </c>
    </row>
    <row r="1108">
      <c r="A1108" s="1">
        <f t="shared" si="1"/>
        <v>1105</v>
      </c>
      <c r="B1108" s="1" t="s">
        <v>2153</v>
      </c>
      <c r="C1108" s="1" t="s">
        <v>1030</v>
      </c>
      <c r="D1108" s="1" t="s">
        <v>66</v>
      </c>
      <c r="E1108" s="15">
        <f t="shared" si="2"/>
        <v>0.25</v>
      </c>
      <c r="F1108" s="16">
        <f t="shared" si="3"/>
        <v>0.25</v>
      </c>
      <c r="G1108" s="1">
        <v>1.0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1.0</v>
      </c>
      <c r="Q1108" s="1">
        <v>0.0</v>
      </c>
    </row>
    <row r="1109">
      <c r="A1109" s="1">
        <f t="shared" si="1"/>
        <v>1105</v>
      </c>
      <c r="B1109" s="1" t="s">
        <v>1782</v>
      </c>
      <c r="C1109" s="1" t="s">
        <v>1082</v>
      </c>
      <c r="D1109" s="1" t="s">
        <v>66</v>
      </c>
      <c r="E1109" s="15">
        <f t="shared" si="2"/>
        <v>0.25</v>
      </c>
      <c r="F1109" s="16">
        <f t="shared" si="3"/>
        <v>0.25</v>
      </c>
      <c r="G1109" s="1">
        <v>1.0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1.0</v>
      </c>
      <c r="Q1109" s="1">
        <v>0.0</v>
      </c>
    </row>
    <row r="1110">
      <c r="A1110" s="1">
        <f t="shared" si="1"/>
        <v>1105</v>
      </c>
      <c r="B1110" s="1" t="s">
        <v>1948</v>
      </c>
      <c r="C1110" s="1" t="s">
        <v>1067</v>
      </c>
      <c r="D1110" s="1" t="s">
        <v>28</v>
      </c>
      <c r="E1110" s="15">
        <f t="shared" si="2"/>
        <v>0.25</v>
      </c>
      <c r="F1110" s="16">
        <f t="shared" si="3"/>
        <v>0.25</v>
      </c>
      <c r="G1110" s="1">
        <v>1.0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1.0</v>
      </c>
      <c r="Q1110" s="1">
        <v>0.0</v>
      </c>
    </row>
    <row r="1111">
      <c r="A1111" s="1">
        <f t="shared" si="1"/>
        <v>1105</v>
      </c>
      <c r="B1111" s="1" t="s">
        <v>2458</v>
      </c>
      <c r="C1111" s="1" t="s">
        <v>1073</v>
      </c>
      <c r="D1111" s="1" t="s">
        <v>28</v>
      </c>
      <c r="E1111" s="15">
        <f t="shared" si="2"/>
        <v>0.25</v>
      </c>
      <c r="F1111" s="16">
        <f t="shared" si="3"/>
        <v>0.25</v>
      </c>
      <c r="G1111" s="1">
        <v>1.0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1.0</v>
      </c>
      <c r="Q1111" s="1">
        <v>0.0</v>
      </c>
    </row>
    <row r="1112">
      <c r="A1112" s="1">
        <f t="shared" si="1"/>
        <v>1105</v>
      </c>
      <c r="B1112" s="1" t="s">
        <v>2459</v>
      </c>
      <c r="C1112" s="1" t="s">
        <v>1036</v>
      </c>
      <c r="D1112" s="1" t="s">
        <v>36</v>
      </c>
      <c r="E1112" s="15">
        <f t="shared" si="2"/>
        <v>0.25</v>
      </c>
      <c r="F1112" s="16">
        <f t="shared" si="3"/>
        <v>0.25</v>
      </c>
      <c r="G1112" s="1">
        <v>1.0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1.0</v>
      </c>
      <c r="Q1112" s="1">
        <v>0.0</v>
      </c>
    </row>
    <row r="1113">
      <c r="A1113" s="1">
        <f t="shared" si="1"/>
        <v>1111</v>
      </c>
      <c r="B1113" s="1" t="s">
        <v>1789</v>
      </c>
      <c r="C1113" s="1" t="s">
        <v>1076</v>
      </c>
      <c r="D1113" s="1" t="s">
        <v>5</v>
      </c>
      <c r="E1113" s="15">
        <f t="shared" si="2"/>
        <v>0</v>
      </c>
      <c r="F1113" s="16">
        <f t="shared" si="3"/>
        <v>0</v>
      </c>
      <c r="G1113" s="1">
        <v>6.0</v>
      </c>
      <c r="R1113" s="1">
        <v>0.0</v>
      </c>
      <c r="S1113" s="1">
        <v>19.0</v>
      </c>
      <c r="T1113" s="12">
        <v>95.0</v>
      </c>
      <c r="U1113" s="1">
        <v>0.0</v>
      </c>
    </row>
    <row r="1114">
      <c r="A1114" s="1">
        <f t="shared" si="1"/>
        <v>1111</v>
      </c>
      <c r="B1114" s="1" t="s">
        <v>2253</v>
      </c>
      <c r="C1114" s="1" t="s">
        <v>1052</v>
      </c>
      <c r="D1114" s="1" t="s">
        <v>31</v>
      </c>
      <c r="E1114" s="15">
        <f t="shared" si="2"/>
        <v>0</v>
      </c>
      <c r="F1114" s="16">
        <f t="shared" si="3"/>
        <v>0</v>
      </c>
      <c r="G1114" s="1">
        <v>1.0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</row>
    <row r="1115">
      <c r="A1115" s="1">
        <f t="shared" si="1"/>
        <v>1111</v>
      </c>
      <c r="B1115" s="1" t="s">
        <v>1806</v>
      </c>
      <c r="C1115" s="1" t="s">
        <v>1116</v>
      </c>
      <c r="D1115" s="1" t="s">
        <v>31</v>
      </c>
      <c r="E1115" s="15">
        <f t="shared" si="2"/>
        <v>0</v>
      </c>
      <c r="F1115" s="16">
        <f t="shared" si="3"/>
        <v>0</v>
      </c>
      <c r="G1115" s="1">
        <v>2.0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</row>
    <row r="1116">
      <c r="A1116" s="1">
        <f t="shared" si="1"/>
        <v>1111</v>
      </c>
      <c r="B1116" s="1" t="s">
        <v>2255</v>
      </c>
      <c r="C1116" s="1" t="s">
        <v>1036</v>
      </c>
      <c r="D1116" s="1" t="s">
        <v>66</v>
      </c>
      <c r="E1116" s="15">
        <f t="shared" si="2"/>
        <v>0</v>
      </c>
      <c r="F1116" s="16">
        <f t="shared" si="3"/>
        <v>0</v>
      </c>
      <c r="G1116" s="1">
        <v>1.0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</row>
    <row r="1117">
      <c r="A1117" s="1">
        <f t="shared" si="1"/>
        <v>1111</v>
      </c>
      <c r="B1117" s="1" t="s">
        <v>2460</v>
      </c>
      <c r="C1117" s="1" t="s">
        <v>1030</v>
      </c>
      <c r="D1117" s="1" t="s">
        <v>36</v>
      </c>
      <c r="E1117" s="15">
        <f t="shared" si="2"/>
        <v>0</v>
      </c>
      <c r="F1117" s="16">
        <f t="shared" si="3"/>
        <v>0</v>
      </c>
      <c r="G1117" s="1">
        <v>1.0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</row>
    <row r="1118">
      <c r="A1118" s="1">
        <f t="shared" si="1"/>
        <v>1111</v>
      </c>
      <c r="B1118" s="1" t="s">
        <v>1776</v>
      </c>
      <c r="C1118" s="1" t="s">
        <v>1069</v>
      </c>
      <c r="D1118" s="1" t="s">
        <v>36</v>
      </c>
      <c r="E1118" s="15">
        <f t="shared" si="2"/>
        <v>0</v>
      </c>
      <c r="F1118" s="16">
        <f t="shared" si="3"/>
        <v>0</v>
      </c>
      <c r="G1118" s="1">
        <v>1.0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</row>
    <row r="1119">
      <c r="A1119" s="1">
        <f t="shared" si="1"/>
        <v>1117</v>
      </c>
      <c r="B1119" s="1" t="s">
        <v>2461</v>
      </c>
      <c r="C1119" s="1" t="s">
        <v>1046</v>
      </c>
      <c r="D1119" s="1" t="s">
        <v>5</v>
      </c>
      <c r="E1119" s="15">
        <f t="shared" si="2"/>
        <v>-0.3</v>
      </c>
      <c r="F1119" s="16">
        <f t="shared" si="3"/>
        <v>-0.3</v>
      </c>
      <c r="G1119" s="1">
        <v>1.0</v>
      </c>
      <c r="R1119" s="1">
        <v>0.0</v>
      </c>
      <c r="S1119" s="1">
        <v>3.0</v>
      </c>
      <c r="T1119" s="12">
        <v>14.0</v>
      </c>
      <c r="U1119" s="1">
        <v>0.0</v>
      </c>
    </row>
    <row r="1120">
      <c r="A1120" s="1">
        <f t="shared" si="1"/>
        <v>1118</v>
      </c>
      <c r="B1120" s="1" t="s">
        <v>2462</v>
      </c>
      <c r="C1120" s="1" t="s">
        <v>1040</v>
      </c>
      <c r="D1120" s="1" t="s">
        <v>5</v>
      </c>
      <c r="E1120" s="15">
        <f t="shared" si="2"/>
        <v>-0.9</v>
      </c>
      <c r="F1120" s="16">
        <f t="shared" si="3"/>
        <v>-0.9</v>
      </c>
      <c r="G1120" s="1">
        <v>1.0</v>
      </c>
      <c r="R1120" s="1">
        <v>0.0</v>
      </c>
      <c r="S1120" s="1">
        <v>7.0</v>
      </c>
      <c r="T1120" s="12">
        <v>32.0</v>
      </c>
      <c r="U1120" s="1">
        <v>0.0</v>
      </c>
    </row>
    <row r="1121">
      <c r="A1121" s="1">
        <f t="shared" si="1"/>
        <v>1119</v>
      </c>
      <c r="B1121" s="1" t="s">
        <v>2463</v>
      </c>
      <c r="C1121" s="1" t="s">
        <v>1034</v>
      </c>
      <c r="D1121" s="1" t="s">
        <v>5</v>
      </c>
      <c r="E1121" s="15">
        <f t="shared" si="2"/>
        <v>-2.4</v>
      </c>
      <c r="F1121" s="16">
        <f t="shared" si="3"/>
        <v>-2.4</v>
      </c>
      <c r="G1121" s="1">
        <v>1.0</v>
      </c>
      <c r="R1121" s="1">
        <v>0.0</v>
      </c>
      <c r="S1121" s="1">
        <v>3.0</v>
      </c>
      <c r="T1121" s="12">
        <v>7.0</v>
      </c>
      <c r="U1121" s="1">
        <v>0.0</v>
      </c>
    </row>
    <row r="1122">
      <c r="A1122" s="1">
        <f t="shared" si="1"/>
        <v>1120</v>
      </c>
      <c r="B1122" s="1" t="s">
        <v>2102</v>
      </c>
      <c r="C1122" s="1" t="s">
        <v>1175</v>
      </c>
      <c r="D1122" s="1" t="s">
        <v>5</v>
      </c>
      <c r="E1122" s="15">
        <f t="shared" si="2"/>
        <v>-2.4</v>
      </c>
      <c r="F1122" s="16">
        <f t="shared" si="3"/>
        <v>-2.4</v>
      </c>
      <c r="G1122" s="1">
        <v>1.0</v>
      </c>
      <c r="R1122" s="1">
        <v>0.0</v>
      </c>
      <c r="S1122" s="1">
        <v>6.0</v>
      </c>
      <c r="T1122" s="12">
        <v>22.0</v>
      </c>
      <c r="U1122" s="1">
        <v>0.0</v>
      </c>
    </row>
    <row r="1123">
      <c r="A1123" s="1">
        <f t="shared" si="1"/>
        <v>1121</v>
      </c>
      <c r="B1123" s="1" t="s">
        <v>2464</v>
      </c>
      <c r="C1123" s="1" t="s">
        <v>1044</v>
      </c>
      <c r="D1123" s="1" t="s">
        <v>5</v>
      </c>
      <c r="E1123" s="15">
        <f t="shared" si="2"/>
        <v>-3.3</v>
      </c>
      <c r="F1123" s="16">
        <f t="shared" si="3"/>
        <v>-3.3</v>
      </c>
      <c r="G1123" s="1">
        <v>1.0</v>
      </c>
      <c r="R1123" s="1">
        <v>0.0</v>
      </c>
      <c r="S1123" s="1">
        <v>3.0</v>
      </c>
      <c r="T1123" s="12">
        <v>4.0</v>
      </c>
      <c r="U1123" s="1">
        <v>0.0</v>
      </c>
    </row>
    <row r="1124">
      <c r="A1124" s="1">
        <f t="shared" si="1"/>
        <v>1122</v>
      </c>
      <c r="B1124" s="1" t="s">
        <v>2465</v>
      </c>
      <c r="C1124" s="1" t="s">
        <v>1073</v>
      </c>
      <c r="D1124" s="1" t="s">
        <v>5</v>
      </c>
      <c r="E1124" s="15">
        <f t="shared" si="2"/>
        <v>-3.9</v>
      </c>
      <c r="F1124" s="16">
        <f t="shared" si="3"/>
        <v>-1.95</v>
      </c>
      <c r="G1124" s="1">
        <v>2.0</v>
      </c>
      <c r="R1124" s="1">
        <v>0.0</v>
      </c>
      <c r="S1124" s="1">
        <v>9.0</v>
      </c>
      <c r="T1124" s="12">
        <v>32.0</v>
      </c>
      <c r="U1124" s="1">
        <v>0.0</v>
      </c>
    </row>
    <row r="1125">
      <c r="A1125" s="1">
        <f t="shared" si="1"/>
        <v>1123</v>
      </c>
      <c r="B1125" s="1" t="s">
        <v>2466</v>
      </c>
      <c r="C1125" s="1" t="s">
        <v>1032</v>
      </c>
      <c r="D1125" s="1" t="s">
        <v>5</v>
      </c>
      <c r="E1125" s="15">
        <f t="shared" si="2"/>
        <v>-9.6</v>
      </c>
      <c r="F1125" s="16">
        <f t="shared" si="3"/>
        <v>-3.2</v>
      </c>
      <c r="G1125" s="1">
        <v>3.0</v>
      </c>
      <c r="R1125" s="1">
        <v>0.0</v>
      </c>
      <c r="S1125" s="1">
        <v>15.0</v>
      </c>
      <c r="T1125" s="12">
        <v>43.0</v>
      </c>
      <c r="U1125" s="1">
        <v>0.0</v>
      </c>
    </row>
  </sheetData>
  <autoFilter ref="$D$1:$D$112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21.5"/>
    <col customWidth="1" min="3" max="3" width="8.0"/>
    <col customWidth="1" min="4" max="4" width="6.88"/>
    <col customWidth="1" min="5" max="5" width="8.13"/>
    <col customWidth="1" min="6" max="6" width="9.88"/>
    <col customWidth="1" min="7" max="21" width="6.75"/>
  </cols>
  <sheetData>
    <row r="1">
      <c r="A1" s="13" t="s">
        <v>1021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1024</v>
      </c>
      <c r="K1" s="1" t="s">
        <v>1025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1026</v>
      </c>
      <c r="Q1" s="1" t="s">
        <v>1027</v>
      </c>
      <c r="R1" s="1" t="s">
        <v>19</v>
      </c>
      <c r="S1" s="1" t="s">
        <v>21</v>
      </c>
      <c r="T1" s="1" t="s">
        <v>23</v>
      </c>
      <c r="U1" s="1" t="s">
        <v>24</v>
      </c>
    </row>
    <row r="2">
      <c r="A2" s="1" t="s">
        <v>25</v>
      </c>
      <c r="E2" s="15"/>
      <c r="F2" s="15"/>
      <c r="G2" s="1">
        <v>0.0</v>
      </c>
      <c r="H2" s="1">
        <v>4.5</v>
      </c>
      <c r="I2" s="1">
        <v>3.0</v>
      </c>
      <c r="J2" s="1">
        <v>0.0</v>
      </c>
      <c r="K2" s="1">
        <v>0.5</v>
      </c>
      <c r="L2" s="1">
        <v>0.0</v>
      </c>
      <c r="M2" s="1">
        <v>0.0</v>
      </c>
      <c r="N2" s="1">
        <v>2.0</v>
      </c>
      <c r="O2" s="1">
        <v>2.0</v>
      </c>
      <c r="P2" s="1">
        <v>0.25</v>
      </c>
      <c r="Q2" s="1">
        <v>0.5</v>
      </c>
      <c r="R2" s="1">
        <v>3.0</v>
      </c>
      <c r="S2" s="1">
        <v>-1.5</v>
      </c>
      <c r="T2" s="1">
        <v>0.3</v>
      </c>
      <c r="U2" s="1">
        <v>3.0</v>
      </c>
    </row>
    <row r="3">
      <c r="A3" s="1">
        <f t="shared" ref="A3:A1013" si="1">rank(E3,E:E)</f>
        <v>1</v>
      </c>
      <c r="B3" s="1" t="s">
        <v>1035</v>
      </c>
      <c r="C3" s="1" t="s">
        <v>1036</v>
      </c>
      <c r="D3" s="1" t="s">
        <v>31</v>
      </c>
      <c r="E3" s="1">
        <f t="shared" ref="E3:E1013" si="2">SUMPRODUCT(G$2:U$2, G3:U3)</f>
        <v>491.75</v>
      </c>
      <c r="F3" s="1">
        <f t="shared" ref="F3:F1013" si="3">round(E3/G3, 2)</f>
        <v>8.78</v>
      </c>
      <c r="G3" s="1">
        <v>56.0</v>
      </c>
      <c r="H3" s="1">
        <v>33.0</v>
      </c>
      <c r="I3" s="1">
        <v>72.0</v>
      </c>
      <c r="J3" s="1">
        <v>105.0</v>
      </c>
      <c r="K3" s="1">
        <v>200.0</v>
      </c>
      <c r="L3" s="1">
        <v>9.0</v>
      </c>
      <c r="M3" s="1">
        <v>28.0</v>
      </c>
      <c r="N3" s="1">
        <v>0.0</v>
      </c>
      <c r="O3" s="1">
        <v>0.0</v>
      </c>
      <c r="P3" s="1">
        <v>61.0</v>
      </c>
      <c r="Q3" s="1">
        <v>24.0</v>
      </c>
    </row>
    <row r="4">
      <c r="A4" s="1">
        <f t="shared" si="1"/>
        <v>2</v>
      </c>
      <c r="B4" s="1" t="s">
        <v>1031</v>
      </c>
      <c r="C4" s="1" t="s">
        <v>1032</v>
      </c>
      <c r="D4" s="1" t="s">
        <v>31</v>
      </c>
      <c r="E4" s="1">
        <f t="shared" si="2"/>
        <v>408.25</v>
      </c>
      <c r="F4" s="1">
        <f t="shared" si="3"/>
        <v>7.85</v>
      </c>
      <c r="G4" s="1">
        <v>52.0</v>
      </c>
      <c r="H4" s="1">
        <v>41.0</v>
      </c>
      <c r="I4" s="1">
        <v>25.0</v>
      </c>
      <c r="J4" s="1">
        <v>66.0</v>
      </c>
      <c r="K4" s="1">
        <v>222.0</v>
      </c>
      <c r="L4" s="1">
        <v>10.0</v>
      </c>
      <c r="M4" s="1">
        <v>3.0</v>
      </c>
      <c r="N4" s="1">
        <v>0.0</v>
      </c>
      <c r="O4" s="1">
        <v>0.0</v>
      </c>
      <c r="P4" s="1">
        <v>57.0</v>
      </c>
      <c r="Q4" s="1">
        <v>47.0</v>
      </c>
    </row>
    <row r="5">
      <c r="A5" s="1">
        <f t="shared" si="1"/>
        <v>3</v>
      </c>
      <c r="B5" s="1" t="s">
        <v>1055</v>
      </c>
      <c r="C5" s="1" t="s">
        <v>1036</v>
      </c>
      <c r="D5" s="1" t="s">
        <v>31</v>
      </c>
      <c r="E5" s="1">
        <f t="shared" si="2"/>
        <v>399.75</v>
      </c>
      <c r="F5" s="1">
        <f t="shared" si="3"/>
        <v>7.14</v>
      </c>
      <c r="G5" s="1">
        <v>56.0</v>
      </c>
      <c r="H5" s="1">
        <v>31.0</v>
      </c>
      <c r="I5" s="1">
        <v>53.0</v>
      </c>
      <c r="J5" s="1">
        <v>84.0</v>
      </c>
      <c r="K5" s="1">
        <v>168.0</v>
      </c>
      <c r="L5" s="1">
        <v>15.0</v>
      </c>
      <c r="M5" s="1">
        <v>17.0</v>
      </c>
      <c r="N5" s="1">
        <v>1.0</v>
      </c>
      <c r="O5" s="1">
        <v>0.0</v>
      </c>
      <c r="P5" s="1">
        <v>37.0</v>
      </c>
      <c r="Q5" s="1">
        <v>12.0</v>
      </c>
    </row>
    <row r="6">
      <c r="A6" s="1">
        <f t="shared" si="1"/>
        <v>4</v>
      </c>
      <c r="B6" s="1" t="s">
        <v>1112</v>
      </c>
      <c r="C6" s="1" t="s">
        <v>1038</v>
      </c>
      <c r="D6" s="1" t="s">
        <v>28</v>
      </c>
      <c r="E6" s="1">
        <f t="shared" si="2"/>
        <v>358</v>
      </c>
      <c r="F6" s="1">
        <f t="shared" si="3"/>
        <v>6.75</v>
      </c>
      <c r="G6" s="1">
        <v>53.0</v>
      </c>
      <c r="H6" s="1">
        <v>29.0</v>
      </c>
      <c r="I6" s="1">
        <v>40.0</v>
      </c>
      <c r="J6" s="1">
        <v>69.0</v>
      </c>
      <c r="K6" s="1">
        <v>143.0</v>
      </c>
      <c r="L6" s="1">
        <v>4.0</v>
      </c>
      <c r="M6" s="1">
        <v>14.0</v>
      </c>
      <c r="N6" s="1">
        <v>4.0</v>
      </c>
      <c r="O6" s="1">
        <v>3.0</v>
      </c>
      <c r="P6" s="1">
        <v>66.0</v>
      </c>
      <c r="Q6" s="1">
        <v>11.0</v>
      </c>
    </row>
    <row r="7">
      <c r="A7" s="1">
        <f t="shared" si="1"/>
        <v>5</v>
      </c>
      <c r="B7" s="1" t="s">
        <v>1049</v>
      </c>
      <c r="C7" s="1" t="s">
        <v>1030</v>
      </c>
      <c r="D7" s="1" t="s">
        <v>36</v>
      </c>
      <c r="E7" s="1">
        <f t="shared" si="2"/>
        <v>348</v>
      </c>
      <c r="F7" s="1">
        <f t="shared" si="3"/>
        <v>6.69</v>
      </c>
      <c r="G7" s="1">
        <v>52.0</v>
      </c>
      <c r="H7" s="1">
        <v>30.0</v>
      </c>
      <c r="I7" s="1">
        <v>36.0</v>
      </c>
      <c r="J7" s="1">
        <v>66.0</v>
      </c>
      <c r="K7" s="1">
        <v>177.0</v>
      </c>
      <c r="L7" s="1">
        <v>9.0</v>
      </c>
      <c r="M7" s="1">
        <v>15.0</v>
      </c>
      <c r="N7" s="1">
        <v>0.0</v>
      </c>
      <c r="O7" s="1">
        <v>0.0</v>
      </c>
      <c r="P7" s="1">
        <v>26.0</v>
      </c>
      <c r="Q7" s="1">
        <v>20.0</v>
      </c>
    </row>
    <row r="8">
      <c r="A8" s="1">
        <f t="shared" si="1"/>
        <v>6</v>
      </c>
      <c r="B8" s="1" t="s">
        <v>1029</v>
      </c>
      <c r="C8" s="1" t="s">
        <v>1030</v>
      </c>
      <c r="D8" s="1" t="s">
        <v>31</v>
      </c>
      <c r="E8" s="1">
        <f t="shared" si="2"/>
        <v>345</v>
      </c>
      <c r="F8" s="1">
        <f t="shared" si="3"/>
        <v>7.19</v>
      </c>
      <c r="G8" s="1">
        <v>48.0</v>
      </c>
      <c r="H8" s="1">
        <v>20.0</v>
      </c>
      <c r="I8" s="1">
        <v>45.0</v>
      </c>
      <c r="J8" s="1">
        <v>65.0</v>
      </c>
      <c r="K8" s="1">
        <v>206.0</v>
      </c>
      <c r="L8" s="1">
        <v>8.0</v>
      </c>
      <c r="M8" s="1">
        <v>17.0</v>
      </c>
      <c r="N8" s="1">
        <v>0.0</v>
      </c>
      <c r="O8" s="1">
        <v>0.0</v>
      </c>
      <c r="P8" s="1">
        <v>38.0</v>
      </c>
      <c r="Q8" s="1">
        <v>15.0</v>
      </c>
    </row>
    <row r="9">
      <c r="A9" s="1">
        <f t="shared" si="1"/>
        <v>7</v>
      </c>
      <c r="B9" s="1" t="s">
        <v>1102</v>
      </c>
      <c r="C9" s="1" t="s">
        <v>1032</v>
      </c>
      <c r="D9" s="1" t="s">
        <v>31</v>
      </c>
      <c r="E9" s="1">
        <f t="shared" si="2"/>
        <v>339.25</v>
      </c>
      <c r="F9" s="1">
        <f t="shared" si="3"/>
        <v>6.17</v>
      </c>
      <c r="G9" s="1">
        <v>55.0</v>
      </c>
      <c r="H9" s="1">
        <v>20.0</v>
      </c>
      <c r="I9" s="1">
        <v>47.0</v>
      </c>
      <c r="J9" s="1">
        <v>67.0</v>
      </c>
      <c r="K9" s="1">
        <v>156.0</v>
      </c>
      <c r="L9" s="1">
        <v>0.0</v>
      </c>
      <c r="M9" s="1">
        <v>14.0</v>
      </c>
      <c r="N9" s="1">
        <v>0.0</v>
      </c>
      <c r="O9" s="1">
        <v>2.0</v>
      </c>
      <c r="P9" s="1">
        <v>23.0</v>
      </c>
      <c r="Q9" s="1">
        <v>41.0</v>
      </c>
    </row>
    <row r="10">
      <c r="A10" s="1">
        <f t="shared" si="1"/>
        <v>8</v>
      </c>
      <c r="B10" s="1" t="s">
        <v>1092</v>
      </c>
      <c r="C10" s="1" t="s">
        <v>1048</v>
      </c>
      <c r="D10" s="1" t="s">
        <v>31</v>
      </c>
      <c r="E10" s="1">
        <f t="shared" si="2"/>
        <v>329.25</v>
      </c>
      <c r="F10" s="1">
        <f t="shared" si="3"/>
        <v>6.59</v>
      </c>
      <c r="G10" s="1">
        <v>50.0</v>
      </c>
      <c r="H10" s="1">
        <v>26.0</v>
      </c>
      <c r="I10" s="1">
        <v>32.0</v>
      </c>
      <c r="J10" s="1">
        <v>58.0</v>
      </c>
      <c r="K10" s="1">
        <v>176.0</v>
      </c>
      <c r="L10" s="1">
        <v>7.0</v>
      </c>
      <c r="M10" s="1">
        <v>12.0</v>
      </c>
      <c r="N10" s="1">
        <v>1.0</v>
      </c>
      <c r="O10" s="1">
        <v>0.0</v>
      </c>
      <c r="P10" s="1">
        <v>31.0</v>
      </c>
      <c r="Q10" s="1">
        <v>37.0</v>
      </c>
    </row>
    <row r="11">
      <c r="A11" s="1">
        <f t="shared" si="1"/>
        <v>9</v>
      </c>
      <c r="B11" s="1" t="s">
        <v>1051</v>
      </c>
      <c r="C11" s="1" t="s">
        <v>1052</v>
      </c>
      <c r="D11" s="1" t="s">
        <v>31</v>
      </c>
      <c r="E11" s="1">
        <f t="shared" si="2"/>
        <v>328.5</v>
      </c>
      <c r="F11" s="1">
        <f t="shared" si="3"/>
        <v>5.97</v>
      </c>
      <c r="G11" s="1">
        <v>55.0</v>
      </c>
      <c r="H11" s="1">
        <v>24.0</v>
      </c>
      <c r="I11" s="1">
        <v>38.0</v>
      </c>
      <c r="J11" s="1">
        <v>62.0</v>
      </c>
      <c r="K11" s="1">
        <v>159.0</v>
      </c>
      <c r="L11" s="1">
        <v>5.0</v>
      </c>
      <c r="M11" s="1">
        <v>17.0</v>
      </c>
      <c r="N11" s="1">
        <v>1.0</v>
      </c>
      <c r="O11" s="1">
        <v>0.0</v>
      </c>
      <c r="P11" s="1">
        <v>44.0</v>
      </c>
      <c r="Q11" s="1">
        <v>28.0</v>
      </c>
    </row>
    <row r="12">
      <c r="A12" s="1">
        <f t="shared" si="1"/>
        <v>10</v>
      </c>
      <c r="B12" s="1" t="s">
        <v>1319</v>
      </c>
      <c r="C12" s="1" t="s">
        <v>1172</v>
      </c>
      <c r="D12" s="1" t="s">
        <v>36</v>
      </c>
      <c r="E12" s="1">
        <f t="shared" si="2"/>
        <v>326.75</v>
      </c>
      <c r="F12" s="1">
        <f t="shared" si="3"/>
        <v>5.83</v>
      </c>
      <c r="G12" s="1">
        <v>56.0</v>
      </c>
      <c r="H12" s="1">
        <v>15.0</v>
      </c>
      <c r="I12" s="1">
        <v>51.0</v>
      </c>
      <c r="J12" s="1">
        <v>66.0</v>
      </c>
      <c r="K12" s="1">
        <v>191.0</v>
      </c>
      <c r="L12" s="1">
        <v>3.0</v>
      </c>
      <c r="M12" s="1">
        <v>19.0</v>
      </c>
      <c r="N12" s="1">
        <v>0.0</v>
      </c>
      <c r="O12" s="1">
        <v>0.0</v>
      </c>
      <c r="P12" s="1">
        <v>13.0</v>
      </c>
      <c r="Q12" s="1">
        <v>15.0</v>
      </c>
    </row>
    <row r="13">
      <c r="A13" s="1">
        <f t="shared" si="1"/>
        <v>11</v>
      </c>
      <c r="B13" s="1" t="s">
        <v>1123</v>
      </c>
      <c r="C13" s="1" t="s">
        <v>1172</v>
      </c>
      <c r="D13" s="1" t="s">
        <v>36</v>
      </c>
      <c r="E13" s="1">
        <f t="shared" si="2"/>
        <v>324</v>
      </c>
      <c r="F13" s="1">
        <f t="shared" si="3"/>
        <v>6.23</v>
      </c>
      <c r="G13" s="1">
        <v>52.0</v>
      </c>
      <c r="H13" s="1">
        <v>32.0</v>
      </c>
      <c r="I13" s="1">
        <v>24.0</v>
      </c>
      <c r="J13" s="1">
        <v>56.0</v>
      </c>
      <c r="K13" s="1">
        <v>155.0</v>
      </c>
      <c r="L13" s="1">
        <v>9.0</v>
      </c>
      <c r="M13" s="1">
        <v>9.0</v>
      </c>
      <c r="N13" s="1">
        <v>1.0</v>
      </c>
      <c r="O13" s="1">
        <v>0.0</v>
      </c>
      <c r="P13" s="1">
        <v>70.0</v>
      </c>
      <c r="Q13" s="1">
        <v>22.0</v>
      </c>
    </row>
    <row r="14">
      <c r="A14" s="1">
        <f t="shared" si="1"/>
        <v>12</v>
      </c>
      <c r="B14" s="1" t="s">
        <v>1100</v>
      </c>
      <c r="C14" s="1" t="s">
        <v>1040</v>
      </c>
      <c r="D14" s="1" t="s">
        <v>31</v>
      </c>
      <c r="E14" s="1">
        <f t="shared" si="2"/>
        <v>320.25</v>
      </c>
      <c r="F14" s="1">
        <f t="shared" si="3"/>
        <v>5.72</v>
      </c>
      <c r="G14" s="1">
        <v>56.0</v>
      </c>
      <c r="H14" s="1">
        <v>24.0</v>
      </c>
      <c r="I14" s="1">
        <v>26.0</v>
      </c>
      <c r="J14" s="1">
        <v>50.0</v>
      </c>
      <c r="K14" s="1">
        <v>171.0</v>
      </c>
      <c r="L14" s="1">
        <v>10.0</v>
      </c>
      <c r="M14" s="1">
        <v>4.0</v>
      </c>
      <c r="N14" s="1">
        <v>2.0</v>
      </c>
      <c r="O14" s="1">
        <v>2.0</v>
      </c>
      <c r="P14" s="1">
        <v>75.0</v>
      </c>
      <c r="Q14" s="1">
        <v>44.0</v>
      </c>
    </row>
    <row r="15">
      <c r="A15" s="1">
        <f t="shared" si="1"/>
        <v>12</v>
      </c>
      <c r="B15" s="1" t="s">
        <v>1133</v>
      </c>
      <c r="C15" s="1" t="s">
        <v>1175</v>
      </c>
      <c r="D15" s="1" t="s">
        <v>28</v>
      </c>
      <c r="E15" s="1">
        <f t="shared" si="2"/>
        <v>320.25</v>
      </c>
      <c r="F15" s="1">
        <f t="shared" si="3"/>
        <v>5.72</v>
      </c>
      <c r="G15" s="1">
        <v>56.0</v>
      </c>
      <c r="H15" s="1">
        <v>22.0</v>
      </c>
      <c r="I15" s="1">
        <v>27.0</v>
      </c>
      <c r="J15" s="1">
        <v>49.0</v>
      </c>
      <c r="K15" s="1">
        <v>194.0</v>
      </c>
      <c r="L15" s="1">
        <v>3.0</v>
      </c>
      <c r="M15" s="1">
        <v>4.0</v>
      </c>
      <c r="N15" s="1">
        <v>2.0</v>
      </c>
      <c r="O15" s="1">
        <v>2.0</v>
      </c>
      <c r="P15" s="1">
        <v>97.0</v>
      </c>
      <c r="Q15" s="1">
        <v>22.0</v>
      </c>
    </row>
    <row r="16">
      <c r="A16" s="1">
        <f t="shared" si="1"/>
        <v>14</v>
      </c>
      <c r="B16" s="1" t="s">
        <v>1043</v>
      </c>
      <c r="C16" s="1" t="s">
        <v>1044</v>
      </c>
      <c r="D16" s="1" t="s">
        <v>28</v>
      </c>
      <c r="E16" s="1">
        <f t="shared" si="2"/>
        <v>317</v>
      </c>
      <c r="F16" s="1">
        <f t="shared" si="3"/>
        <v>5.66</v>
      </c>
      <c r="G16" s="1">
        <v>56.0</v>
      </c>
      <c r="H16" s="1">
        <v>17.0</v>
      </c>
      <c r="I16" s="1">
        <v>19.0</v>
      </c>
      <c r="J16" s="1">
        <v>36.0</v>
      </c>
      <c r="K16" s="1">
        <v>220.0</v>
      </c>
      <c r="L16" s="1">
        <v>5.0</v>
      </c>
      <c r="M16" s="1">
        <v>5.0</v>
      </c>
      <c r="N16" s="1">
        <v>0.0</v>
      </c>
      <c r="O16" s="1">
        <v>0.0</v>
      </c>
      <c r="P16" s="1">
        <v>248.0</v>
      </c>
      <c r="Q16" s="1">
        <v>23.0</v>
      </c>
    </row>
    <row r="17">
      <c r="A17" s="1">
        <f t="shared" si="1"/>
        <v>15</v>
      </c>
      <c r="B17" s="1" t="s">
        <v>1290</v>
      </c>
      <c r="C17" s="1" t="s">
        <v>1034</v>
      </c>
      <c r="D17" s="1" t="s">
        <v>5</v>
      </c>
      <c r="E17" s="1">
        <f t="shared" si="2"/>
        <v>311.7</v>
      </c>
      <c r="F17" s="1">
        <f t="shared" si="3"/>
        <v>7.42</v>
      </c>
      <c r="G17" s="1">
        <v>42.0</v>
      </c>
      <c r="R17" s="1">
        <v>31.0</v>
      </c>
      <c r="S17" s="1">
        <v>93.0</v>
      </c>
      <c r="T17" s="12">
        <v>1144.0</v>
      </c>
      <c r="U17" s="1">
        <v>5.0</v>
      </c>
    </row>
    <row r="18">
      <c r="A18" s="1">
        <f t="shared" si="1"/>
        <v>16</v>
      </c>
      <c r="B18" s="1" t="s">
        <v>1141</v>
      </c>
      <c r="C18" s="1" t="s">
        <v>1116</v>
      </c>
      <c r="D18" s="1" t="s">
        <v>31</v>
      </c>
      <c r="E18" s="1">
        <f t="shared" si="2"/>
        <v>310.25</v>
      </c>
      <c r="F18" s="1">
        <f t="shared" si="3"/>
        <v>5.54</v>
      </c>
      <c r="G18" s="1">
        <v>56.0</v>
      </c>
      <c r="H18" s="1">
        <v>21.0</v>
      </c>
      <c r="I18" s="1">
        <v>42.0</v>
      </c>
      <c r="J18" s="1">
        <v>63.0</v>
      </c>
      <c r="K18" s="1">
        <v>126.0</v>
      </c>
      <c r="L18" s="1">
        <v>4.0</v>
      </c>
      <c r="M18" s="1">
        <v>13.0</v>
      </c>
      <c r="N18" s="1">
        <v>0.0</v>
      </c>
      <c r="O18" s="1">
        <v>0.0</v>
      </c>
      <c r="P18" s="1">
        <v>31.0</v>
      </c>
      <c r="Q18" s="1">
        <v>38.0</v>
      </c>
    </row>
    <row r="19">
      <c r="A19" s="1">
        <f t="shared" si="1"/>
        <v>17</v>
      </c>
      <c r="B19" s="1" t="s">
        <v>1072</v>
      </c>
      <c r="C19" s="1" t="s">
        <v>1073</v>
      </c>
      <c r="D19" s="1" t="s">
        <v>28</v>
      </c>
      <c r="E19" s="1">
        <f t="shared" si="2"/>
        <v>309</v>
      </c>
      <c r="F19" s="1">
        <f t="shared" si="3"/>
        <v>5.52</v>
      </c>
      <c r="G19" s="1">
        <v>56.0</v>
      </c>
      <c r="H19" s="1">
        <v>24.0</v>
      </c>
      <c r="I19" s="1">
        <v>33.0</v>
      </c>
      <c r="J19" s="1">
        <v>57.0</v>
      </c>
      <c r="K19" s="1">
        <v>148.0</v>
      </c>
      <c r="L19" s="1">
        <v>7.0</v>
      </c>
      <c r="M19" s="1">
        <v>11.0</v>
      </c>
      <c r="N19" s="1">
        <v>3.0</v>
      </c>
      <c r="O19" s="1">
        <v>0.0</v>
      </c>
      <c r="P19" s="1">
        <v>38.0</v>
      </c>
      <c r="Q19" s="1">
        <v>25.0</v>
      </c>
    </row>
    <row r="20">
      <c r="A20" s="1">
        <f t="shared" si="1"/>
        <v>18</v>
      </c>
      <c r="B20" s="1" t="s">
        <v>2085</v>
      </c>
      <c r="C20" s="1" t="s">
        <v>1038</v>
      </c>
      <c r="D20" s="1" t="s">
        <v>31</v>
      </c>
      <c r="E20" s="1">
        <f t="shared" si="2"/>
        <v>307.75</v>
      </c>
      <c r="F20" s="1">
        <f t="shared" si="3"/>
        <v>5.7</v>
      </c>
      <c r="G20" s="1">
        <v>54.0</v>
      </c>
      <c r="H20" s="1">
        <v>23.0</v>
      </c>
      <c r="I20" s="1">
        <v>25.0</v>
      </c>
      <c r="J20" s="1">
        <v>48.0</v>
      </c>
      <c r="K20" s="1">
        <v>182.0</v>
      </c>
      <c r="L20" s="1">
        <v>7.0</v>
      </c>
      <c r="M20" s="1">
        <v>6.0</v>
      </c>
      <c r="N20" s="1">
        <v>3.0</v>
      </c>
      <c r="O20" s="1">
        <v>1.0</v>
      </c>
      <c r="P20" s="1">
        <v>49.0</v>
      </c>
      <c r="Q20" s="1">
        <v>36.0</v>
      </c>
    </row>
    <row r="21">
      <c r="A21" s="1">
        <f t="shared" si="1"/>
        <v>19</v>
      </c>
      <c r="B21" s="1" t="s">
        <v>1095</v>
      </c>
      <c r="C21" s="1" t="s">
        <v>1052</v>
      </c>
      <c r="D21" s="1" t="s">
        <v>28</v>
      </c>
      <c r="E21" s="1">
        <f t="shared" si="2"/>
        <v>304.75</v>
      </c>
      <c r="F21" s="1">
        <f t="shared" si="3"/>
        <v>5.44</v>
      </c>
      <c r="G21" s="1">
        <v>56.0</v>
      </c>
      <c r="H21" s="1">
        <v>23.0</v>
      </c>
      <c r="I21" s="1">
        <v>34.0</v>
      </c>
      <c r="J21" s="1">
        <v>57.0</v>
      </c>
      <c r="K21" s="1">
        <v>141.0</v>
      </c>
      <c r="L21" s="1">
        <v>6.0</v>
      </c>
      <c r="M21" s="1">
        <v>12.0</v>
      </c>
      <c r="N21" s="1">
        <v>0.0</v>
      </c>
      <c r="O21" s="1">
        <v>1.0</v>
      </c>
      <c r="P21" s="1">
        <v>43.0</v>
      </c>
      <c r="Q21" s="1">
        <v>32.0</v>
      </c>
    </row>
    <row r="22">
      <c r="A22" s="1">
        <f t="shared" si="1"/>
        <v>20</v>
      </c>
      <c r="B22" s="1" t="s">
        <v>1250</v>
      </c>
      <c r="C22" s="1" t="s">
        <v>1106</v>
      </c>
      <c r="D22" s="1" t="s">
        <v>36</v>
      </c>
      <c r="E22" s="1">
        <f t="shared" si="2"/>
        <v>301.75</v>
      </c>
      <c r="F22" s="1">
        <f t="shared" si="3"/>
        <v>5.39</v>
      </c>
      <c r="G22" s="1">
        <v>56.0</v>
      </c>
      <c r="H22" s="1">
        <v>19.0</v>
      </c>
      <c r="I22" s="1">
        <v>39.0</v>
      </c>
      <c r="J22" s="1">
        <v>58.0</v>
      </c>
      <c r="K22" s="1">
        <v>151.0</v>
      </c>
      <c r="L22" s="1">
        <v>6.0</v>
      </c>
      <c r="M22" s="1">
        <v>15.0</v>
      </c>
      <c r="N22" s="1">
        <v>0.0</v>
      </c>
      <c r="O22" s="1">
        <v>0.0</v>
      </c>
      <c r="P22" s="1">
        <v>45.0</v>
      </c>
      <c r="Q22" s="1">
        <v>25.0</v>
      </c>
    </row>
    <row r="23">
      <c r="A23" s="1">
        <f t="shared" si="1"/>
        <v>21</v>
      </c>
      <c r="B23" s="1" t="s">
        <v>1557</v>
      </c>
      <c r="C23" s="1" t="s">
        <v>1080</v>
      </c>
      <c r="D23" s="1" t="s">
        <v>28</v>
      </c>
      <c r="E23" s="1">
        <f t="shared" si="2"/>
        <v>298.75</v>
      </c>
      <c r="F23" s="1">
        <f t="shared" si="3"/>
        <v>6.22</v>
      </c>
      <c r="G23" s="1">
        <v>48.0</v>
      </c>
      <c r="H23" s="1">
        <v>24.0</v>
      </c>
      <c r="I23" s="1">
        <v>27.0</v>
      </c>
      <c r="J23" s="1">
        <v>51.0</v>
      </c>
      <c r="K23" s="1">
        <v>174.0</v>
      </c>
      <c r="L23" s="1">
        <v>6.0</v>
      </c>
      <c r="M23" s="1">
        <v>6.0</v>
      </c>
      <c r="N23" s="1">
        <v>0.0</v>
      </c>
      <c r="O23" s="1">
        <v>0.0</v>
      </c>
      <c r="P23" s="1">
        <v>33.0</v>
      </c>
      <c r="Q23" s="1">
        <v>29.0</v>
      </c>
    </row>
    <row r="24">
      <c r="A24" s="1">
        <f t="shared" si="1"/>
        <v>22</v>
      </c>
      <c r="B24" s="1" t="s">
        <v>2281</v>
      </c>
      <c r="C24" s="1" t="s">
        <v>1030</v>
      </c>
      <c r="D24" s="1" t="s">
        <v>28</v>
      </c>
      <c r="E24" s="1">
        <f t="shared" si="2"/>
        <v>297.75</v>
      </c>
      <c r="F24" s="1">
        <f t="shared" si="3"/>
        <v>5.51</v>
      </c>
      <c r="G24" s="1">
        <v>54.0</v>
      </c>
      <c r="H24" s="1">
        <v>20.0</v>
      </c>
      <c r="I24" s="1">
        <v>32.0</v>
      </c>
      <c r="J24" s="1">
        <v>52.0</v>
      </c>
      <c r="K24" s="1">
        <v>155.0</v>
      </c>
      <c r="L24" s="1">
        <v>9.0</v>
      </c>
      <c r="M24" s="1">
        <v>6.0</v>
      </c>
      <c r="N24" s="1">
        <v>0.0</v>
      </c>
      <c r="O24" s="1">
        <v>0.0</v>
      </c>
      <c r="P24" s="1">
        <v>81.0</v>
      </c>
      <c r="Q24" s="1">
        <v>28.0</v>
      </c>
    </row>
    <row r="25">
      <c r="A25" s="1">
        <f t="shared" si="1"/>
        <v>23</v>
      </c>
      <c r="B25" s="1" t="s">
        <v>1178</v>
      </c>
      <c r="C25" s="1" t="s">
        <v>1111</v>
      </c>
      <c r="D25" s="1" t="s">
        <v>66</v>
      </c>
      <c r="E25" s="1">
        <f t="shared" si="2"/>
        <v>297.25</v>
      </c>
      <c r="F25" s="1">
        <f t="shared" si="3"/>
        <v>5.31</v>
      </c>
      <c r="G25" s="1">
        <v>56.0</v>
      </c>
      <c r="H25" s="1">
        <v>18.0</v>
      </c>
      <c r="I25" s="1">
        <v>23.0</v>
      </c>
      <c r="J25" s="1">
        <v>41.0</v>
      </c>
      <c r="K25" s="1">
        <v>176.0</v>
      </c>
      <c r="L25" s="1">
        <v>5.0</v>
      </c>
      <c r="M25" s="1">
        <v>9.0</v>
      </c>
      <c r="N25" s="1">
        <v>0.0</v>
      </c>
      <c r="O25" s="1">
        <v>0.0</v>
      </c>
      <c r="P25" s="1">
        <v>59.0</v>
      </c>
      <c r="Q25" s="1">
        <v>89.0</v>
      </c>
    </row>
    <row r="26">
      <c r="A26" s="1">
        <f t="shared" si="1"/>
        <v>24</v>
      </c>
      <c r="B26" s="1" t="s">
        <v>1124</v>
      </c>
      <c r="C26" s="1" t="s">
        <v>1085</v>
      </c>
      <c r="D26" s="1" t="s">
        <v>36</v>
      </c>
      <c r="E26" s="1">
        <f t="shared" si="2"/>
        <v>295.5</v>
      </c>
      <c r="F26" s="1">
        <f t="shared" si="3"/>
        <v>5.28</v>
      </c>
      <c r="G26" s="1">
        <v>56.0</v>
      </c>
      <c r="H26" s="1">
        <v>25.0</v>
      </c>
      <c r="I26" s="1">
        <v>26.0</v>
      </c>
      <c r="J26" s="1">
        <v>51.0</v>
      </c>
      <c r="K26" s="1">
        <v>139.0</v>
      </c>
      <c r="L26" s="1">
        <v>13.0</v>
      </c>
      <c r="M26" s="1">
        <v>8.0</v>
      </c>
      <c r="N26" s="1">
        <v>0.0</v>
      </c>
      <c r="O26" s="1">
        <v>0.0</v>
      </c>
      <c r="P26" s="1">
        <v>64.0</v>
      </c>
      <c r="Q26" s="1">
        <v>39.0</v>
      </c>
    </row>
    <row r="27">
      <c r="A27" s="1">
        <f t="shared" si="1"/>
        <v>25</v>
      </c>
      <c r="B27" s="1" t="s">
        <v>1266</v>
      </c>
      <c r="C27" s="1" t="s">
        <v>1048</v>
      </c>
      <c r="D27" s="1" t="s">
        <v>28</v>
      </c>
      <c r="E27" s="1">
        <f t="shared" si="2"/>
        <v>292.25</v>
      </c>
      <c r="F27" s="1">
        <f t="shared" si="3"/>
        <v>5.31</v>
      </c>
      <c r="G27" s="1">
        <v>55.0</v>
      </c>
      <c r="H27" s="1">
        <v>20.0</v>
      </c>
      <c r="I27" s="1">
        <v>41.0</v>
      </c>
      <c r="J27" s="1">
        <v>61.0</v>
      </c>
      <c r="K27" s="1">
        <v>122.0</v>
      </c>
      <c r="L27" s="1">
        <v>5.0</v>
      </c>
      <c r="M27" s="1">
        <v>19.0</v>
      </c>
      <c r="N27" s="1">
        <v>0.0</v>
      </c>
      <c r="O27" s="1">
        <v>0.0</v>
      </c>
      <c r="P27" s="1">
        <v>51.0</v>
      </c>
      <c r="Q27" s="1">
        <v>11.0</v>
      </c>
    </row>
    <row r="28">
      <c r="A28" s="1">
        <f t="shared" si="1"/>
        <v>26</v>
      </c>
      <c r="B28" s="1" t="s">
        <v>1271</v>
      </c>
      <c r="C28" s="1" t="s">
        <v>1080</v>
      </c>
      <c r="D28" s="1" t="s">
        <v>36</v>
      </c>
      <c r="E28" s="1">
        <f t="shared" si="2"/>
        <v>289.75</v>
      </c>
      <c r="F28" s="1">
        <f t="shared" si="3"/>
        <v>5.27</v>
      </c>
      <c r="G28" s="1">
        <v>55.0</v>
      </c>
      <c r="H28" s="1">
        <v>21.0</v>
      </c>
      <c r="I28" s="1">
        <v>40.0</v>
      </c>
      <c r="J28" s="1">
        <v>61.0</v>
      </c>
      <c r="K28" s="1">
        <v>98.0</v>
      </c>
      <c r="L28" s="1">
        <v>6.0</v>
      </c>
      <c r="M28" s="1">
        <v>11.0</v>
      </c>
      <c r="N28" s="1">
        <v>1.0</v>
      </c>
      <c r="O28" s="1">
        <v>0.0</v>
      </c>
      <c r="P28" s="1">
        <v>31.0</v>
      </c>
      <c r="Q28" s="1">
        <v>33.0</v>
      </c>
    </row>
    <row r="29">
      <c r="A29" s="1">
        <f t="shared" si="1"/>
        <v>27</v>
      </c>
      <c r="B29" s="1" t="s">
        <v>1081</v>
      </c>
      <c r="C29" s="1" t="s">
        <v>1082</v>
      </c>
      <c r="D29" s="1" t="s">
        <v>28</v>
      </c>
      <c r="E29" s="1">
        <f t="shared" si="2"/>
        <v>289</v>
      </c>
      <c r="F29" s="1">
        <f t="shared" si="3"/>
        <v>6.42</v>
      </c>
      <c r="G29" s="1">
        <v>45.0</v>
      </c>
      <c r="H29" s="1">
        <v>24.0</v>
      </c>
      <c r="I29" s="1">
        <v>18.0</v>
      </c>
      <c r="J29" s="1">
        <v>42.0</v>
      </c>
      <c r="K29" s="1">
        <v>182.0</v>
      </c>
      <c r="L29" s="1">
        <v>9.0</v>
      </c>
      <c r="M29" s="1">
        <v>8.0</v>
      </c>
      <c r="N29" s="1">
        <v>0.0</v>
      </c>
      <c r="O29" s="1">
        <v>0.0</v>
      </c>
      <c r="P29" s="1">
        <v>98.0</v>
      </c>
      <c r="Q29" s="1">
        <v>23.0</v>
      </c>
    </row>
    <row r="30">
      <c r="A30" s="1">
        <f t="shared" si="1"/>
        <v>28</v>
      </c>
      <c r="B30" s="1" t="s">
        <v>1053</v>
      </c>
      <c r="C30" s="1" t="s">
        <v>1054</v>
      </c>
      <c r="D30" s="1" t="s">
        <v>28</v>
      </c>
      <c r="E30" s="1">
        <f t="shared" si="2"/>
        <v>288.25</v>
      </c>
      <c r="F30" s="1">
        <f t="shared" si="3"/>
        <v>5.24</v>
      </c>
      <c r="G30" s="1">
        <v>55.0</v>
      </c>
      <c r="H30" s="1">
        <v>27.0</v>
      </c>
      <c r="I30" s="1">
        <v>24.0</v>
      </c>
      <c r="J30" s="1">
        <v>51.0</v>
      </c>
      <c r="K30" s="1">
        <v>157.0</v>
      </c>
      <c r="L30" s="1">
        <v>8.0</v>
      </c>
      <c r="M30" s="1">
        <v>5.0</v>
      </c>
      <c r="N30" s="1">
        <v>0.0</v>
      </c>
      <c r="O30" s="1">
        <v>0.0</v>
      </c>
      <c r="P30" s="1">
        <v>29.0</v>
      </c>
      <c r="Q30" s="1">
        <v>18.0</v>
      </c>
    </row>
    <row r="31">
      <c r="A31" s="1">
        <f t="shared" si="1"/>
        <v>28</v>
      </c>
      <c r="B31" s="1" t="s">
        <v>1177</v>
      </c>
      <c r="C31" s="1" t="s">
        <v>1036</v>
      </c>
      <c r="D31" s="1" t="s">
        <v>66</v>
      </c>
      <c r="E31" s="1">
        <f t="shared" si="2"/>
        <v>288.25</v>
      </c>
      <c r="F31" s="1">
        <f t="shared" si="3"/>
        <v>5.15</v>
      </c>
      <c r="G31" s="1">
        <v>56.0</v>
      </c>
      <c r="H31" s="1">
        <v>16.0</v>
      </c>
      <c r="I31" s="1">
        <v>20.0</v>
      </c>
      <c r="J31" s="1">
        <v>36.0</v>
      </c>
      <c r="K31" s="1">
        <v>154.0</v>
      </c>
      <c r="L31" s="1">
        <v>1.0</v>
      </c>
      <c r="M31" s="1">
        <v>6.0</v>
      </c>
      <c r="N31" s="1">
        <v>0.0</v>
      </c>
      <c r="O31" s="1">
        <v>0.0</v>
      </c>
      <c r="P31" s="1">
        <v>117.0</v>
      </c>
      <c r="Q31" s="1">
        <v>100.0</v>
      </c>
    </row>
    <row r="32">
      <c r="A32" s="1">
        <f t="shared" si="1"/>
        <v>30</v>
      </c>
      <c r="B32" s="1" t="s">
        <v>1083</v>
      </c>
      <c r="C32" s="1" t="s">
        <v>1032</v>
      </c>
      <c r="D32" s="1" t="s">
        <v>31</v>
      </c>
      <c r="E32" s="1">
        <f t="shared" si="2"/>
        <v>286.75</v>
      </c>
      <c r="F32" s="1">
        <f t="shared" si="3"/>
        <v>5.12</v>
      </c>
      <c r="G32" s="1">
        <v>56.0</v>
      </c>
      <c r="H32" s="1">
        <v>19.0</v>
      </c>
      <c r="I32" s="1">
        <v>31.0</v>
      </c>
      <c r="J32" s="1">
        <v>50.0</v>
      </c>
      <c r="K32" s="1">
        <v>163.0</v>
      </c>
      <c r="L32" s="1">
        <v>6.0</v>
      </c>
      <c r="M32" s="1">
        <v>6.0</v>
      </c>
      <c r="N32" s="1">
        <v>0.0</v>
      </c>
      <c r="O32" s="1">
        <v>0.0</v>
      </c>
      <c r="P32" s="1">
        <v>51.0</v>
      </c>
      <c r="Q32" s="1">
        <v>28.0</v>
      </c>
    </row>
    <row r="33">
      <c r="A33" s="1">
        <f t="shared" si="1"/>
        <v>31</v>
      </c>
      <c r="B33" s="1" t="s">
        <v>1161</v>
      </c>
      <c r="C33" s="1" t="s">
        <v>1116</v>
      </c>
      <c r="D33" s="1" t="s">
        <v>28</v>
      </c>
      <c r="E33" s="1">
        <f t="shared" si="2"/>
        <v>285.5</v>
      </c>
      <c r="F33" s="1">
        <f t="shared" si="3"/>
        <v>5.1</v>
      </c>
      <c r="G33" s="1">
        <v>56.0</v>
      </c>
      <c r="H33" s="1">
        <v>26.0</v>
      </c>
      <c r="I33" s="1">
        <v>24.0</v>
      </c>
      <c r="J33" s="1">
        <v>50.0</v>
      </c>
      <c r="K33" s="1">
        <v>166.0</v>
      </c>
      <c r="L33" s="1">
        <v>10.0</v>
      </c>
      <c r="M33" s="1">
        <v>3.0</v>
      </c>
      <c r="N33" s="1">
        <v>0.0</v>
      </c>
      <c r="O33" s="1">
        <v>0.0</v>
      </c>
      <c r="P33" s="1">
        <v>18.0</v>
      </c>
      <c r="Q33" s="1">
        <v>18.0</v>
      </c>
    </row>
    <row r="34">
      <c r="A34" s="1">
        <f t="shared" si="1"/>
        <v>31</v>
      </c>
      <c r="B34" s="1" t="s">
        <v>1140</v>
      </c>
      <c r="C34" s="1" t="s">
        <v>1106</v>
      </c>
      <c r="D34" s="1" t="s">
        <v>31</v>
      </c>
      <c r="E34" s="1">
        <f t="shared" si="2"/>
        <v>285.5</v>
      </c>
      <c r="F34" s="1">
        <f t="shared" si="3"/>
        <v>5.1</v>
      </c>
      <c r="G34" s="1">
        <v>56.0</v>
      </c>
      <c r="H34" s="1">
        <v>24.0</v>
      </c>
      <c r="I34" s="1">
        <v>30.0</v>
      </c>
      <c r="J34" s="1">
        <v>54.0</v>
      </c>
      <c r="K34" s="1">
        <v>129.0</v>
      </c>
      <c r="L34" s="1">
        <v>4.0</v>
      </c>
      <c r="M34" s="1">
        <v>8.0</v>
      </c>
      <c r="N34" s="1">
        <v>2.0</v>
      </c>
      <c r="O34" s="1">
        <v>0.0</v>
      </c>
      <c r="P34" s="1">
        <v>24.0</v>
      </c>
      <c r="Q34" s="1">
        <v>26.0</v>
      </c>
    </row>
    <row r="35">
      <c r="A35" s="1">
        <f t="shared" si="1"/>
        <v>33</v>
      </c>
      <c r="B35" s="1" t="s">
        <v>1158</v>
      </c>
      <c r="C35" s="1" t="s">
        <v>1097</v>
      </c>
      <c r="D35" s="1" t="s">
        <v>36</v>
      </c>
      <c r="E35" s="1">
        <f t="shared" si="2"/>
        <v>283.75</v>
      </c>
      <c r="F35" s="1">
        <f t="shared" si="3"/>
        <v>5.46</v>
      </c>
      <c r="G35" s="1">
        <v>52.0</v>
      </c>
      <c r="H35" s="1">
        <v>28.0</v>
      </c>
      <c r="I35" s="1">
        <v>16.0</v>
      </c>
      <c r="J35" s="1">
        <v>44.0</v>
      </c>
      <c r="K35" s="1">
        <v>158.0</v>
      </c>
      <c r="L35" s="1">
        <v>7.0</v>
      </c>
      <c r="M35" s="1">
        <v>3.0</v>
      </c>
      <c r="N35" s="1">
        <v>2.0</v>
      </c>
      <c r="O35" s="1">
        <v>1.0</v>
      </c>
      <c r="P35" s="1">
        <v>75.0</v>
      </c>
      <c r="Q35" s="1">
        <v>12.0</v>
      </c>
    </row>
    <row r="36">
      <c r="A36" s="1">
        <f t="shared" si="1"/>
        <v>34</v>
      </c>
      <c r="B36" s="1" t="s">
        <v>1115</v>
      </c>
      <c r="C36" s="1" t="s">
        <v>1116</v>
      </c>
      <c r="D36" s="1" t="s">
        <v>5</v>
      </c>
      <c r="E36" s="1">
        <f t="shared" si="2"/>
        <v>282.9</v>
      </c>
      <c r="F36" s="1">
        <f t="shared" si="3"/>
        <v>6.29</v>
      </c>
      <c r="G36" s="1">
        <v>45.0</v>
      </c>
      <c r="R36" s="1">
        <v>24.0</v>
      </c>
      <c r="S36" s="1">
        <v>112.0</v>
      </c>
      <c r="T36" s="12">
        <v>1223.0</v>
      </c>
      <c r="U36" s="1">
        <v>4.0</v>
      </c>
    </row>
    <row r="37">
      <c r="A37" s="1">
        <f t="shared" si="1"/>
        <v>35</v>
      </c>
      <c r="B37" s="1" t="s">
        <v>1691</v>
      </c>
      <c r="C37" s="1" t="s">
        <v>1073</v>
      </c>
      <c r="D37" s="1" t="s">
        <v>66</v>
      </c>
      <c r="E37" s="1">
        <f t="shared" si="2"/>
        <v>278</v>
      </c>
      <c r="F37" s="1">
        <f t="shared" si="3"/>
        <v>5.05</v>
      </c>
      <c r="G37" s="1">
        <v>55.0</v>
      </c>
      <c r="H37" s="1">
        <v>10.0</v>
      </c>
      <c r="I37" s="1">
        <v>32.0</v>
      </c>
      <c r="J37" s="1">
        <v>42.0</v>
      </c>
      <c r="K37" s="1">
        <v>180.0</v>
      </c>
      <c r="L37" s="1">
        <v>2.0</v>
      </c>
      <c r="M37" s="1">
        <v>16.0</v>
      </c>
      <c r="N37" s="1">
        <v>1.0</v>
      </c>
      <c r="O37" s="1">
        <v>0.0</v>
      </c>
      <c r="P37" s="1">
        <v>52.0</v>
      </c>
      <c r="Q37" s="1">
        <v>64.0</v>
      </c>
    </row>
    <row r="38">
      <c r="A38" s="1">
        <f t="shared" si="1"/>
        <v>36</v>
      </c>
      <c r="B38" s="1" t="s">
        <v>1037</v>
      </c>
      <c r="C38" s="1" t="s">
        <v>1038</v>
      </c>
      <c r="D38" s="1" t="s">
        <v>36</v>
      </c>
      <c r="E38" s="1">
        <f t="shared" si="2"/>
        <v>277.25</v>
      </c>
      <c r="F38" s="1">
        <f t="shared" si="3"/>
        <v>5.78</v>
      </c>
      <c r="G38" s="1">
        <v>48.0</v>
      </c>
      <c r="H38" s="1">
        <v>20.0</v>
      </c>
      <c r="I38" s="1">
        <v>28.0</v>
      </c>
      <c r="J38" s="1">
        <v>48.0</v>
      </c>
      <c r="K38" s="1">
        <v>176.0</v>
      </c>
      <c r="L38" s="1">
        <v>6.0</v>
      </c>
      <c r="M38" s="1">
        <v>8.0</v>
      </c>
      <c r="N38" s="1">
        <v>0.0</v>
      </c>
      <c r="O38" s="1">
        <v>0.0</v>
      </c>
      <c r="P38" s="1">
        <v>35.0</v>
      </c>
      <c r="Q38" s="1">
        <v>13.0</v>
      </c>
    </row>
    <row r="39">
      <c r="A39" s="1">
        <f t="shared" si="1"/>
        <v>37</v>
      </c>
      <c r="B39" s="1" t="s">
        <v>1107</v>
      </c>
      <c r="C39" s="1" t="s">
        <v>1046</v>
      </c>
      <c r="D39" s="1" t="s">
        <v>36</v>
      </c>
      <c r="E39" s="1">
        <f t="shared" si="2"/>
        <v>272</v>
      </c>
      <c r="F39" s="1">
        <f t="shared" si="3"/>
        <v>4.86</v>
      </c>
      <c r="G39" s="1">
        <v>56.0</v>
      </c>
      <c r="H39" s="1">
        <v>23.0</v>
      </c>
      <c r="I39" s="1">
        <v>26.0</v>
      </c>
      <c r="J39" s="1">
        <v>49.0</v>
      </c>
      <c r="K39" s="1">
        <v>141.0</v>
      </c>
      <c r="L39" s="1">
        <v>8.0</v>
      </c>
      <c r="M39" s="1">
        <v>6.0</v>
      </c>
      <c r="N39" s="1">
        <v>1.0</v>
      </c>
      <c r="O39" s="1">
        <v>0.0</v>
      </c>
      <c r="P39" s="1">
        <v>32.0</v>
      </c>
      <c r="Q39" s="1">
        <v>20.0</v>
      </c>
    </row>
    <row r="40">
      <c r="A40" s="1">
        <f t="shared" si="1"/>
        <v>38</v>
      </c>
      <c r="B40" s="1" t="s">
        <v>1558</v>
      </c>
      <c r="C40" s="1" t="s">
        <v>1030</v>
      </c>
      <c r="D40" s="1" t="s">
        <v>5</v>
      </c>
      <c r="E40" s="1">
        <f t="shared" si="2"/>
        <v>270.3</v>
      </c>
      <c r="F40" s="1">
        <f t="shared" si="3"/>
        <v>6.76</v>
      </c>
      <c r="G40" s="1">
        <v>40.0</v>
      </c>
      <c r="R40" s="1">
        <v>30.0</v>
      </c>
      <c r="S40" s="1">
        <v>77.0</v>
      </c>
      <c r="T40" s="1">
        <v>916.0</v>
      </c>
      <c r="U40" s="1">
        <v>7.0</v>
      </c>
    </row>
    <row r="41">
      <c r="A41" s="1">
        <f t="shared" si="1"/>
        <v>39</v>
      </c>
      <c r="B41" s="1" t="s">
        <v>1149</v>
      </c>
      <c r="C41" s="1" t="s">
        <v>1052</v>
      </c>
      <c r="D41" s="1" t="s">
        <v>66</v>
      </c>
      <c r="E41" s="1">
        <f t="shared" si="2"/>
        <v>269</v>
      </c>
      <c r="F41" s="1">
        <f t="shared" si="3"/>
        <v>4.89</v>
      </c>
      <c r="G41" s="1">
        <v>55.0</v>
      </c>
      <c r="H41" s="1">
        <v>7.0</v>
      </c>
      <c r="I41" s="1">
        <v>38.0</v>
      </c>
      <c r="J41" s="1">
        <v>45.0</v>
      </c>
      <c r="K41" s="1">
        <v>132.0</v>
      </c>
      <c r="L41" s="1">
        <v>1.0</v>
      </c>
      <c r="M41" s="1">
        <v>14.0</v>
      </c>
      <c r="N41" s="1">
        <v>0.0</v>
      </c>
      <c r="O41" s="1">
        <v>1.0</v>
      </c>
      <c r="P41" s="1">
        <v>92.0</v>
      </c>
      <c r="Q41" s="1">
        <v>65.0</v>
      </c>
    </row>
    <row r="42">
      <c r="A42" s="1">
        <f t="shared" si="1"/>
        <v>40</v>
      </c>
      <c r="B42" s="1" t="s">
        <v>1150</v>
      </c>
      <c r="C42" s="1" t="s">
        <v>1040</v>
      </c>
      <c r="D42" s="1" t="s">
        <v>28</v>
      </c>
      <c r="E42" s="1">
        <f t="shared" si="2"/>
        <v>268.75</v>
      </c>
      <c r="F42" s="1">
        <f t="shared" si="3"/>
        <v>4.98</v>
      </c>
      <c r="G42" s="1">
        <v>54.0</v>
      </c>
      <c r="H42" s="1">
        <v>20.0</v>
      </c>
      <c r="I42" s="1">
        <v>28.0</v>
      </c>
      <c r="J42" s="1">
        <v>48.0</v>
      </c>
      <c r="K42" s="1">
        <v>120.0</v>
      </c>
      <c r="L42" s="1">
        <v>1.0</v>
      </c>
      <c r="M42" s="1">
        <v>7.0</v>
      </c>
      <c r="N42" s="1">
        <v>3.0</v>
      </c>
      <c r="O42" s="1">
        <v>1.0</v>
      </c>
      <c r="P42" s="1">
        <v>49.0</v>
      </c>
      <c r="Q42" s="1">
        <v>29.0</v>
      </c>
    </row>
    <row r="43">
      <c r="A43" s="1">
        <f t="shared" si="1"/>
        <v>41</v>
      </c>
      <c r="B43" s="1" t="s">
        <v>1223</v>
      </c>
      <c r="C43" s="1" t="s">
        <v>1069</v>
      </c>
      <c r="D43" s="1" t="s">
        <v>36</v>
      </c>
      <c r="E43" s="1">
        <f t="shared" si="2"/>
        <v>266.75</v>
      </c>
      <c r="F43" s="1">
        <f t="shared" si="3"/>
        <v>4.76</v>
      </c>
      <c r="G43" s="1">
        <v>56.0</v>
      </c>
      <c r="H43" s="1">
        <v>19.0</v>
      </c>
      <c r="I43" s="1">
        <v>28.0</v>
      </c>
      <c r="J43" s="1">
        <v>47.0</v>
      </c>
      <c r="K43" s="1">
        <v>130.0</v>
      </c>
      <c r="L43" s="1">
        <v>6.0</v>
      </c>
      <c r="M43" s="1">
        <v>10.0</v>
      </c>
      <c r="N43" s="1">
        <v>0.0</v>
      </c>
      <c r="O43" s="1">
        <v>1.0</v>
      </c>
      <c r="P43" s="1">
        <v>53.0</v>
      </c>
      <c r="Q43" s="1">
        <v>34.0</v>
      </c>
    </row>
    <row r="44">
      <c r="A44" s="1">
        <f t="shared" si="1"/>
        <v>42</v>
      </c>
      <c r="B44" s="1" t="s">
        <v>1170</v>
      </c>
      <c r="C44" s="1" t="s">
        <v>1052</v>
      </c>
      <c r="D44" s="1" t="s">
        <v>36</v>
      </c>
      <c r="E44" s="1">
        <f t="shared" si="2"/>
        <v>266.5</v>
      </c>
      <c r="F44" s="1">
        <f t="shared" si="3"/>
        <v>4.76</v>
      </c>
      <c r="G44" s="1">
        <v>56.0</v>
      </c>
      <c r="H44" s="1">
        <v>22.0</v>
      </c>
      <c r="I44" s="1">
        <v>20.0</v>
      </c>
      <c r="J44" s="1">
        <v>42.0</v>
      </c>
      <c r="K44" s="1">
        <v>154.0</v>
      </c>
      <c r="L44" s="1">
        <v>6.0</v>
      </c>
      <c r="M44" s="1">
        <v>5.0</v>
      </c>
      <c r="N44" s="1">
        <v>0.0</v>
      </c>
      <c r="O44" s="1">
        <v>0.0</v>
      </c>
      <c r="P44" s="1">
        <v>62.0</v>
      </c>
      <c r="Q44" s="1">
        <v>30.0</v>
      </c>
    </row>
    <row r="45">
      <c r="A45" s="1">
        <f t="shared" si="1"/>
        <v>43</v>
      </c>
      <c r="B45" s="1" t="s">
        <v>1058</v>
      </c>
      <c r="C45" s="1" t="s">
        <v>1069</v>
      </c>
      <c r="D45" s="1" t="s">
        <v>28</v>
      </c>
      <c r="E45" s="1">
        <f t="shared" si="2"/>
        <v>266</v>
      </c>
      <c r="F45" s="1">
        <f t="shared" si="3"/>
        <v>4.75</v>
      </c>
      <c r="G45" s="1">
        <v>56.0</v>
      </c>
      <c r="H45" s="1">
        <v>16.0</v>
      </c>
      <c r="I45" s="1">
        <v>27.0</v>
      </c>
      <c r="J45" s="1">
        <v>43.0</v>
      </c>
      <c r="K45" s="1">
        <v>151.0</v>
      </c>
      <c r="L45" s="1">
        <v>4.0</v>
      </c>
      <c r="M45" s="1">
        <v>11.0</v>
      </c>
      <c r="N45" s="1">
        <v>0.0</v>
      </c>
      <c r="O45" s="1">
        <v>0.0</v>
      </c>
      <c r="P45" s="1">
        <v>132.0</v>
      </c>
      <c r="Q45" s="1">
        <v>9.0</v>
      </c>
    </row>
    <row r="46">
      <c r="A46" s="1">
        <f t="shared" si="1"/>
        <v>44</v>
      </c>
      <c r="B46" s="1" t="s">
        <v>1117</v>
      </c>
      <c r="C46" s="1" t="s">
        <v>1034</v>
      </c>
      <c r="D46" s="1" t="s">
        <v>66</v>
      </c>
      <c r="E46" s="1">
        <f t="shared" si="2"/>
        <v>265.75</v>
      </c>
      <c r="F46" s="1">
        <f t="shared" si="3"/>
        <v>4.92</v>
      </c>
      <c r="G46" s="1">
        <v>54.0</v>
      </c>
      <c r="H46" s="1">
        <v>9.0</v>
      </c>
      <c r="I46" s="1">
        <v>36.0</v>
      </c>
      <c r="J46" s="1">
        <v>45.0</v>
      </c>
      <c r="K46" s="1">
        <v>136.0</v>
      </c>
      <c r="L46" s="1">
        <v>1.0</v>
      </c>
      <c r="M46" s="1">
        <v>23.0</v>
      </c>
      <c r="N46" s="1">
        <v>0.0</v>
      </c>
      <c r="O46" s="1">
        <v>0.0</v>
      </c>
      <c r="P46" s="1">
        <v>51.0</v>
      </c>
      <c r="Q46" s="1">
        <v>73.0</v>
      </c>
    </row>
    <row r="47">
      <c r="A47" s="1">
        <f t="shared" si="1"/>
        <v>45</v>
      </c>
      <c r="B47" s="1" t="s">
        <v>1079</v>
      </c>
      <c r="C47" s="1" t="s">
        <v>1080</v>
      </c>
      <c r="D47" s="1" t="s">
        <v>28</v>
      </c>
      <c r="E47" s="1">
        <f t="shared" si="2"/>
        <v>265</v>
      </c>
      <c r="F47" s="1">
        <f t="shared" si="3"/>
        <v>4.82</v>
      </c>
      <c r="G47" s="1">
        <v>55.0</v>
      </c>
      <c r="H47" s="1">
        <v>18.0</v>
      </c>
      <c r="I47" s="1">
        <v>26.0</v>
      </c>
      <c r="J47" s="1">
        <v>44.0</v>
      </c>
      <c r="K47" s="1">
        <v>176.0</v>
      </c>
      <c r="L47" s="1">
        <v>3.0</v>
      </c>
      <c r="M47" s="1">
        <v>3.0</v>
      </c>
      <c r="N47" s="1">
        <v>0.0</v>
      </c>
      <c r="O47" s="1">
        <v>0.0</v>
      </c>
      <c r="P47" s="1">
        <v>44.0</v>
      </c>
      <c r="Q47" s="1">
        <v>14.0</v>
      </c>
    </row>
    <row r="48">
      <c r="A48" s="1">
        <f t="shared" si="1"/>
        <v>45</v>
      </c>
      <c r="B48" s="1" t="s">
        <v>1686</v>
      </c>
      <c r="C48" s="1" t="s">
        <v>1036</v>
      </c>
      <c r="D48" s="1" t="s">
        <v>66</v>
      </c>
      <c r="E48" s="1">
        <f t="shared" si="2"/>
        <v>265</v>
      </c>
      <c r="F48" s="1">
        <f t="shared" si="3"/>
        <v>4.73</v>
      </c>
      <c r="G48" s="1">
        <v>56.0</v>
      </c>
      <c r="H48" s="1">
        <v>8.0</v>
      </c>
      <c r="I48" s="1">
        <v>40.0</v>
      </c>
      <c r="J48" s="1">
        <v>48.0</v>
      </c>
      <c r="K48" s="1">
        <v>146.0</v>
      </c>
      <c r="L48" s="1">
        <v>4.0</v>
      </c>
      <c r="M48" s="1">
        <v>19.0</v>
      </c>
      <c r="N48" s="1">
        <v>0.0</v>
      </c>
      <c r="O48" s="1">
        <v>0.0</v>
      </c>
      <c r="P48" s="1">
        <v>26.0</v>
      </c>
      <c r="Q48" s="1">
        <v>59.0</v>
      </c>
    </row>
    <row r="49">
      <c r="A49" s="1">
        <f t="shared" si="1"/>
        <v>47</v>
      </c>
      <c r="B49" s="1" t="s">
        <v>1520</v>
      </c>
      <c r="C49" s="1" t="s">
        <v>1080</v>
      </c>
      <c r="D49" s="1" t="s">
        <v>5</v>
      </c>
      <c r="E49" s="1">
        <f t="shared" si="2"/>
        <v>264.9</v>
      </c>
      <c r="F49" s="1">
        <f t="shared" si="3"/>
        <v>7.36</v>
      </c>
      <c r="G49" s="1">
        <v>36.0</v>
      </c>
      <c r="R49" s="1">
        <v>26.0</v>
      </c>
      <c r="S49" s="1">
        <v>71.0</v>
      </c>
      <c r="T49" s="1">
        <v>918.0</v>
      </c>
      <c r="U49" s="1">
        <v>6.0</v>
      </c>
    </row>
    <row r="50">
      <c r="A50" s="1">
        <f t="shared" si="1"/>
        <v>48</v>
      </c>
      <c r="B50" s="1" t="s">
        <v>1359</v>
      </c>
      <c r="C50" s="1" t="s">
        <v>1097</v>
      </c>
      <c r="D50" s="1" t="s">
        <v>66</v>
      </c>
      <c r="E50" s="1">
        <f t="shared" si="2"/>
        <v>264.25</v>
      </c>
      <c r="F50" s="1">
        <f t="shared" si="3"/>
        <v>4.8</v>
      </c>
      <c r="G50" s="1">
        <v>55.0</v>
      </c>
      <c r="H50" s="1">
        <v>12.0</v>
      </c>
      <c r="I50" s="1">
        <v>30.0</v>
      </c>
      <c r="J50" s="1">
        <v>42.0</v>
      </c>
      <c r="K50" s="1">
        <v>128.0</v>
      </c>
      <c r="L50" s="1">
        <v>4.0</v>
      </c>
      <c r="M50" s="1">
        <v>11.0</v>
      </c>
      <c r="N50" s="1">
        <v>0.0</v>
      </c>
      <c r="O50" s="1">
        <v>1.0</v>
      </c>
      <c r="P50" s="1">
        <v>97.0</v>
      </c>
      <c r="Q50" s="1">
        <v>60.0</v>
      </c>
    </row>
    <row r="51">
      <c r="A51" s="1">
        <f t="shared" si="1"/>
        <v>49</v>
      </c>
      <c r="B51" s="1" t="s">
        <v>1127</v>
      </c>
      <c r="C51" s="1" t="s">
        <v>1040</v>
      </c>
      <c r="D51" s="1" t="s">
        <v>66</v>
      </c>
      <c r="E51" s="1">
        <f t="shared" si="2"/>
        <v>260.25</v>
      </c>
      <c r="F51" s="1">
        <f t="shared" si="3"/>
        <v>4.73</v>
      </c>
      <c r="G51" s="1">
        <v>55.0</v>
      </c>
      <c r="H51" s="1">
        <v>5.0</v>
      </c>
      <c r="I51" s="1">
        <v>42.0</v>
      </c>
      <c r="J51" s="1">
        <v>47.0</v>
      </c>
      <c r="K51" s="1">
        <v>102.0</v>
      </c>
      <c r="L51" s="1">
        <v>2.0</v>
      </c>
      <c r="M51" s="1">
        <v>21.0</v>
      </c>
      <c r="N51" s="1">
        <v>1.0</v>
      </c>
      <c r="O51" s="1">
        <v>1.0</v>
      </c>
      <c r="P51" s="1">
        <v>23.0</v>
      </c>
      <c r="Q51" s="1">
        <v>102.0</v>
      </c>
    </row>
    <row r="52">
      <c r="A52" s="1">
        <f t="shared" si="1"/>
        <v>50</v>
      </c>
      <c r="B52" s="1" t="s">
        <v>1215</v>
      </c>
      <c r="C52" s="1" t="s">
        <v>1073</v>
      </c>
      <c r="D52" s="1" t="s">
        <v>36</v>
      </c>
      <c r="E52" s="1">
        <f t="shared" si="2"/>
        <v>259.5</v>
      </c>
      <c r="F52" s="1">
        <f t="shared" si="3"/>
        <v>4.72</v>
      </c>
      <c r="G52" s="1">
        <v>55.0</v>
      </c>
      <c r="H52" s="1">
        <v>15.0</v>
      </c>
      <c r="I52" s="1">
        <v>27.0</v>
      </c>
      <c r="J52" s="1">
        <v>42.0</v>
      </c>
      <c r="K52" s="1">
        <v>147.0</v>
      </c>
      <c r="L52" s="1">
        <v>4.0</v>
      </c>
      <c r="M52" s="1">
        <v>13.0</v>
      </c>
      <c r="N52" s="1">
        <v>0.0</v>
      </c>
      <c r="O52" s="1">
        <v>0.0</v>
      </c>
      <c r="P52" s="1">
        <v>114.0</v>
      </c>
      <c r="Q52" s="1">
        <v>18.0</v>
      </c>
    </row>
    <row r="53">
      <c r="A53" s="1">
        <f t="shared" si="1"/>
        <v>51</v>
      </c>
      <c r="B53" s="1" t="s">
        <v>1039</v>
      </c>
      <c r="C53" s="1" t="s">
        <v>1040</v>
      </c>
      <c r="D53" s="1" t="s">
        <v>28</v>
      </c>
      <c r="E53" s="1">
        <f t="shared" si="2"/>
        <v>259.25</v>
      </c>
      <c r="F53" s="1">
        <f t="shared" si="3"/>
        <v>6.17</v>
      </c>
      <c r="G53" s="1">
        <v>42.0</v>
      </c>
      <c r="H53" s="1">
        <v>17.0</v>
      </c>
      <c r="I53" s="1">
        <v>41.0</v>
      </c>
      <c r="J53" s="1">
        <v>58.0</v>
      </c>
      <c r="K53" s="1">
        <v>106.0</v>
      </c>
      <c r="L53" s="1">
        <v>5.0</v>
      </c>
      <c r="M53" s="1">
        <v>13.0</v>
      </c>
      <c r="N53" s="1">
        <v>0.0</v>
      </c>
      <c r="O53" s="1">
        <v>0.0</v>
      </c>
      <c r="P53" s="1">
        <v>13.0</v>
      </c>
      <c r="Q53" s="1">
        <v>7.0</v>
      </c>
    </row>
    <row r="54">
      <c r="A54" s="1">
        <f t="shared" si="1"/>
        <v>52</v>
      </c>
      <c r="B54" s="1" t="s">
        <v>1063</v>
      </c>
      <c r="C54" s="1" t="s">
        <v>1034</v>
      </c>
      <c r="D54" s="1" t="s">
        <v>31</v>
      </c>
      <c r="E54" s="1">
        <f t="shared" si="2"/>
        <v>258.75</v>
      </c>
      <c r="F54" s="1">
        <f t="shared" si="3"/>
        <v>4.62</v>
      </c>
      <c r="G54" s="1">
        <v>56.0</v>
      </c>
      <c r="H54" s="1">
        <v>23.0</v>
      </c>
      <c r="I54" s="1">
        <v>25.0</v>
      </c>
      <c r="J54" s="1">
        <v>48.0</v>
      </c>
      <c r="K54" s="1">
        <v>131.0</v>
      </c>
      <c r="L54" s="1">
        <v>6.0</v>
      </c>
      <c r="M54" s="1">
        <v>9.0</v>
      </c>
      <c r="N54" s="1">
        <v>0.0</v>
      </c>
      <c r="O54" s="1">
        <v>0.0</v>
      </c>
      <c r="P54" s="1">
        <v>23.0</v>
      </c>
      <c r="Q54" s="1">
        <v>18.0</v>
      </c>
    </row>
    <row r="55">
      <c r="A55" s="1">
        <f t="shared" si="1"/>
        <v>53</v>
      </c>
      <c r="B55" s="1" t="s">
        <v>1136</v>
      </c>
      <c r="C55" s="1" t="s">
        <v>1082</v>
      </c>
      <c r="D55" s="1" t="s">
        <v>66</v>
      </c>
      <c r="E55" s="1">
        <f t="shared" si="2"/>
        <v>258.5</v>
      </c>
      <c r="F55" s="1">
        <f t="shared" si="3"/>
        <v>4.97</v>
      </c>
      <c r="G55" s="1">
        <v>52.0</v>
      </c>
      <c r="H55" s="1">
        <v>10.0</v>
      </c>
      <c r="I55" s="1">
        <v>34.0</v>
      </c>
      <c r="J55" s="1">
        <v>44.0</v>
      </c>
      <c r="K55" s="1">
        <v>128.0</v>
      </c>
      <c r="L55" s="1">
        <v>3.0</v>
      </c>
      <c r="M55" s="1">
        <v>12.0</v>
      </c>
      <c r="N55" s="1">
        <v>0.0</v>
      </c>
      <c r="O55" s="1">
        <v>0.0</v>
      </c>
      <c r="P55" s="1">
        <v>52.0</v>
      </c>
      <c r="Q55" s="1">
        <v>69.0</v>
      </c>
    </row>
    <row r="56">
      <c r="A56" s="1">
        <f t="shared" si="1"/>
        <v>54</v>
      </c>
      <c r="B56" s="1" t="s">
        <v>1152</v>
      </c>
      <c r="C56" s="1" t="s">
        <v>1078</v>
      </c>
      <c r="D56" s="1" t="s">
        <v>31</v>
      </c>
      <c r="E56" s="1">
        <f t="shared" si="2"/>
        <v>258.25</v>
      </c>
      <c r="F56" s="1">
        <f t="shared" si="3"/>
        <v>4.61</v>
      </c>
      <c r="G56" s="1">
        <v>56.0</v>
      </c>
      <c r="H56" s="1">
        <v>13.0</v>
      </c>
      <c r="I56" s="1">
        <v>37.0</v>
      </c>
      <c r="J56" s="1">
        <v>50.0</v>
      </c>
      <c r="K56" s="1">
        <v>118.0</v>
      </c>
      <c r="L56" s="1">
        <v>3.0</v>
      </c>
      <c r="M56" s="1">
        <v>20.0</v>
      </c>
      <c r="N56" s="1">
        <v>0.0</v>
      </c>
      <c r="O56" s="1">
        <v>0.0</v>
      </c>
      <c r="P56" s="1">
        <v>45.0</v>
      </c>
      <c r="Q56" s="1">
        <v>37.0</v>
      </c>
    </row>
    <row r="57">
      <c r="A57" s="1">
        <f t="shared" si="1"/>
        <v>55</v>
      </c>
      <c r="B57" s="1" t="s">
        <v>1400</v>
      </c>
      <c r="C57" s="1" t="s">
        <v>1034</v>
      </c>
      <c r="D57" s="1" t="s">
        <v>28</v>
      </c>
      <c r="E57" s="1">
        <f t="shared" si="2"/>
        <v>258</v>
      </c>
      <c r="F57" s="1">
        <f t="shared" si="3"/>
        <v>4.69</v>
      </c>
      <c r="G57" s="1">
        <v>55.0</v>
      </c>
      <c r="H57" s="1">
        <v>15.0</v>
      </c>
      <c r="I57" s="1">
        <v>31.0</v>
      </c>
      <c r="J57" s="1">
        <v>46.0</v>
      </c>
      <c r="K57" s="1">
        <v>111.0</v>
      </c>
      <c r="L57" s="1">
        <v>7.0</v>
      </c>
      <c r="M57" s="1">
        <v>13.0</v>
      </c>
      <c r="N57" s="1">
        <v>0.0</v>
      </c>
      <c r="O57" s="1">
        <v>0.0</v>
      </c>
      <c r="P57" s="1">
        <v>82.0</v>
      </c>
      <c r="Q57" s="1">
        <v>43.0</v>
      </c>
    </row>
    <row r="58">
      <c r="A58" s="1">
        <f t="shared" si="1"/>
        <v>56</v>
      </c>
      <c r="B58" s="1" t="s">
        <v>1062</v>
      </c>
      <c r="C58" s="1" t="s">
        <v>1073</v>
      </c>
      <c r="D58" s="1" t="s">
        <v>31</v>
      </c>
      <c r="E58" s="1">
        <f t="shared" si="2"/>
        <v>256.75</v>
      </c>
      <c r="F58" s="1">
        <f t="shared" si="3"/>
        <v>5.46</v>
      </c>
      <c r="G58" s="1">
        <v>47.0</v>
      </c>
      <c r="H58" s="1">
        <v>17.0</v>
      </c>
      <c r="I58" s="1">
        <v>26.0</v>
      </c>
      <c r="J58" s="1">
        <v>43.0</v>
      </c>
      <c r="K58" s="1">
        <v>123.0</v>
      </c>
      <c r="L58" s="1">
        <v>7.0</v>
      </c>
      <c r="M58" s="1">
        <v>11.0</v>
      </c>
      <c r="N58" s="1">
        <v>0.0</v>
      </c>
      <c r="O58" s="1">
        <v>0.0</v>
      </c>
      <c r="P58" s="1">
        <v>107.0</v>
      </c>
      <c r="Q58" s="1">
        <v>28.0</v>
      </c>
    </row>
    <row r="59">
      <c r="A59" s="1">
        <f t="shared" si="1"/>
        <v>57</v>
      </c>
      <c r="B59" s="1" t="s">
        <v>1151</v>
      </c>
      <c r="C59" s="1" t="s">
        <v>1116</v>
      </c>
      <c r="D59" s="1" t="s">
        <v>28</v>
      </c>
      <c r="E59" s="1">
        <f t="shared" si="2"/>
        <v>256</v>
      </c>
      <c r="F59" s="1">
        <f t="shared" si="3"/>
        <v>5.45</v>
      </c>
      <c r="G59" s="1">
        <v>47.0</v>
      </c>
      <c r="H59" s="1">
        <v>21.0</v>
      </c>
      <c r="I59" s="1">
        <v>25.0</v>
      </c>
      <c r="J59" s="1">
        <v>46.0</v>
      </c>
      <c r="K59" s="1">
        <v>148.0</v>
      </c>
      <c r="L59" s="1">
        <v>6.0</v>
      </c>
      <c r="M59" s="1">
        <v>7.0</v>
      </c>
      <c r="N59" s="1">
        <v>0.0</v>
      </c>
      <c r="O59" s="1">
        <v>0.0</v>
      </c>
      <c r="P59" s="1">
        <v>26.0</v>
      </c>
      <c r="Q59" s="1">
        <v>12.0</v>
      </c>
    </row>
    <row r="60">
      <c r="A60" s="1">
        <f t="shared" si="1"/>
        <v>57</v>
      </c>
      <c r="B60" s="1" t="s">
        <v>1185</v>
      </c>
      <c r="C60" s="1" t="s">
        <v>1156</v>
      </c>
      <c r="D60" s="1" t="s">
        <v>36</v>
      </c>
      <c r="E60" s="1">
        <f t="shared" si="2"/>
        <v>256</v>
      </c>
      <c r="F60" s="1">
        <f t="shared" si="3"/>
        <v>4.57</v>
      </c>
      <c r="G60" s="1">
        <v>56.0</v>
      </c>
      <c r="H60" s="1">
        <v>18.0</v>
      </c>
      <c r="I60" s="1">
        <v>26.0</v>
      </c>
      <c r="J60" s="1">
        <v>44.0</v>
      </c>
      <c r="K60" s="1">
        <v>143.0</v>
      </c>
      <c r="L60" s="1">
        <v>2.0</v>
      </c>
      <c r="M60" s="1">
        <v>4.0</v>
      </c>
      <c r="N60" s="1">
        <v>0.0</v>
      </c>
      <c r="O60" s="1">
        <v>0.0</v>
      </c>
      <c r="P60" s="1">
        <v>42.0</v>
      </c>
      <c r="Q60" s="1">
        <v>30.0</v>
      </c>
    </row>
    <row r="61">
      <c r="A61" s="1">
        <f t="shared" si="1"/>
        <v>59</v>
      </c>
      <c r="B61" s="1" t="s">
        <v>1511</v>
      </c>
      <c r="C61" s="1" t="s">
        <v>1087</v>
      </c>
      <c r="D61" s="1" t="s">
        <v>5</v>
      </c>
      <c r="E61" s="1">
        <f t="shared" si="2"/>
        <v>254.4</v>
      </c>
      <c r="F61" s="1">
        <f t="shared" si="3"/>
        <v>7.07</v>
      </c>
      <c r="G61" s="1">
        <v>36.0</v>
      </c>
      <c r="R61" s="1">
        <v>19.0</v>
      </c>
      <c r="S61" s="1">
        <v>72.0</v>
      </c>
      <c r="T61" s="1">
        <v>948.0</v>
      </c>
      <c r="U61" s="1">
        <v>7.0</v>
      </c>
    </row>
    <row r="62">
      <c r="A62" s="1">
        <f t="shared" si="1"/>
        <v>60</v>
      </c>
      <c r="B62" s="1" t="s">
        <v>1164</v>
      </c>
      <c r="C62" s="1" t="s">
        <v>1042</v>
      </c>
      <c r="D62" s="1" t="s">
        <v>5</v>
      </c>
      <c r="E62" s="1">
        <f t="shared" si="2"/>
        <v>253.5</v>
      </c>
      <c r="F62" s="1">
        <f t="shared" si="3"/>
        <v>7.04</v>
      </c>
      <c r="G62" s="1">
        <v>36.0</v>
      </c>
      <c r="R62" s="1">
        <v>21.0</v>
      </c>
      <c r="S62" s="1">
        <v>78.0</v>
      </c>
      <c r="T62" s="1">
        <v>995.0</v>
      </c>
      <c r="U62" s="1">
        <v>3.0</v>
      </c>
    </row>
    <row r="63">
      <c r="A63" s="1">
        <f t="shared" si="1"/>
        <v>61</v>
      </c>
      <c r="B63" s="1" t="s">
        <v>1361</v>
      </c>
      <c r="C63" s="1" t="s">
        <v>1040</v>
      </c>
      <c r="D63" s="1" t="s">
        <v>31</v>
      </c>
      <c r="E63" s="1">
        <f t="shared" si="2"/>
        <v>250.5</v>
      </c>
      <c r="F63" s="1">
        <f t="shared" si="3"/>
        <v>4.47</v>
      </c>
      <c r="G63" s="1">
        <v>56.0</v>
      </c>
      <c r="H63" s="1">
        <v>14.0</v>
      </c>
      <c r="I63" s="1">
        <v>35.0</v>
      </c>
      <c r="J63" s="1">
        <v>49.0</v>
      </c>
      <c r="K63" s="1">
        <v>128.0</v>
      </c>
      <c r="L63" s="1">
        <v>3.0</v>
      </c>
      <c r="M63" s="1">
        <v>15.0</v>
      </c>
      <c r="N63" s="1">
        <v>0.0</v>
      </c>
      <c r="O63" s="1">
        <v>2.0</v>
      </c>
      <c r="P63" s="1">
        <v>22.0</v>
      </c>
      <c r="Q63" s="1">
        <v>18.0</v>
      </c>
    </row>
    <row r="64">
      <c r="A64" s="1">
        <f t="shared" si="1"/>
        <v>62</v>
      </c>
      <c r="B64" s="1" t="s">
        <v>1045</v>
      </c>
      <c r="C64" s="1" t="s">
        <v>1046</v>
      </c>
      <c r="D64" s="1" t="s">
        <v>31</v>
      </c>
      <c r="E64" s="1">
        <f t="shared" si="2"/>
        <v>250</v>
      </c>
      <c r="F64" s="1">
        <f t="shared" si="3"/>
        <v>4.72</v>
      </c>
      <c r="G64" s="1">
        <v>53.0</v>
      </c>
      <c r="H64" s="1">
        <v>15.0</v>
      </c>
      <c r="I64" s="1">
        <v>31.0</v>
      </c>
      <c r="J64" s="1">
        <v>46.0</v>
      </c>
      <c r="K64" s="1">
        <v>106.0</v>
      </c>
      <c r="L64" s="1">
        <v>3.0</v>
      </c>
      <c r="M64" s="1">
        <v>15.0</v>
      </c>
      <c r="N64" s="1">
        <v>1.0</v>
      </c>
      <c r="O64" s="1">
        <v>0.0</v>
      </c>
      <c r="P64" s="1">
        <v>90.0</v>
      </c>
      <c r="Q64" s="1">
        <v>24.0</v>
      </c>
    </row>
    <row r="65">
      <c r="A65" s="1">
        <f t="shared" si="1"/>
        <v>63</v>
      </c>
      <c r="B65" s="1" t="s">
        <v>1099</v>
      </c>
      <c r="C65" s="1" t="s">
        <v>1046</v>
      </c>
      <c r="D65" s="1" t="s">
        <v>31</v>
      </c>
      <c r="E65" s="1">
        <f t="shared" si="2"/>
        <v>248</v>
      </c>
      <c r="F65" s="1">
        <f t="shared" si="3"/>
        <v>4.43</v>
      </c>
      <c r="G65" s="1">
        <v>56.0</v>
      </c>
      <c r="H65" s="1">
        <v>19.0</v>
      </c>
      <c r="I65" s="1">
        <v>20.0</v>
      </c>
      <c r="J65" s="1">
        <v>39.0</v>
      </c>
      <c r="K65" s="1">
        <v>131.0</v>
      </c>
      <c r="L65" s="1">
        <v>7.0</v>
      </c>
      <c r="M65" s="1">
        <v>4.0</v>
      </c>
      <c r="N65" s="1">
        <v>1.0</v>
      </c>
      <c r="O65" s="1">
        <v>0.0</v>
      </c>
      <c r="P65" s="1">
        <v>64.0</v>
      </c>
      <c r="Q65" s="1">
        <v>38.0</v>
      </c>
    </row>
    <row r="66">
      <c r="A66" s="1">
        <f t="shared" si="1"/>
        <v>64</v>
      </c>
      <c r="B66" s="1" t="s">
        <v>1596</v>
      </c>
      <c r="C66" s="1" t="s">
        <v>1116</v>
      </c>
      <c r="D66" s="1" t="s">
        <v>36</v>
      </c>
      <c r="E66" s="1">
        <f t="shared" si="2"/>
        <v>247.75</v>
      </c>
      <c r="F66" s="1">
        <f t="shared" si="3"/>
        <v>4.96</v>
      </c>
      <c r="G66" s="1">
        <v>50.0</v>
      </c>
      <c r="H66" s="1">
        <v>15.0</v>
      </c>
      <c r="I66" s="1">
        <v>31.0</v>
      </c>
      <c r="J66" s="1">
        <v>46.0</v>
      </c>
      <c r="K66" s="1">
        <v>113.0</v>
      </c>
      <c r="L66" s="1">
        <v>4.0</v>
      </c>
      <c r="M66" s="1">
        <v>11.0</v>
      </c>
      <c r="N66" s="1">
        <v>0.0</v>
      </c>
      <c r="O66" s="1">
        <v>0.0</v>
      </c>
      <c r="P66" s="1">
        <v>63.0</v>
      </c>
      <c r="Q66" s="1">
        <v>30.0</v>
      </c>
    </row>
    <row r="67">
      <c r="A67" s="1">
        <f t="shared" si="1"/>
        <v>65</v>
      </c>
      <c r="B67" s="1" t="s">
        <v>1492</v>
      </c>
      <c r="C67" s="1" t="s">
        <v>1080</v>
      </c>
      <c r="D67" s="1" t="s">
        <v>66</v>
      </c>
      <c r="E67" s="1">
        <f t="shared" si="2"/>
        <v>247</v>
      </c>
      <c r="F67" s="1">
        <f t="shared" si="3"/>
        <v>4.66</v>
      </c>
      <c r="G67" s="1">
        <v>53.0</v>
      </c>
      <c r="H67" s="1">
        <v>9.0</v>
      </c>
      <c r="I67" s="1">
        <v>23.0</v>
      </c>
      <c r="J67" s="1">
        <v>32.0</v>
      </c>
      <c r="K67" s="1">
        <v>85.0</v>
      </c>
      <c r="L67" s="1">
        <v>3.0</v>
      </c>
      <c r="M67" s="1">
        <v>6.0</v>
      </c>
      <c r="N67" s="1">
        <v>0.0</v>
      </c>
      <c r="O67" s="1">
        <v>0.0</v>
      </c>
      <c r="P67" s="1">
        <v>44.0</v>
      </c>
      <c r="Q67" s="1">
        <v>168.0</v>
      </c>
    </row>
    <row r="68">
      <c r="A68" s="1">
        <f t="shared" si="1"/>
        <v>66</v>
      </c>
      <c r="B68" s="1" t="s">
        <v>1943</v>
      </c>
      <c r="C68" s="1" t="s">
        <v>1082</v>
      </c>
      <c r="D68" s="1" t="s">
        <v>31</v>
      </c>
      <c r="E68" s="1">
        <f t="shared" si="2"/>
        <v>246.75</v>
      </c>
      <c r="F68" s="1">
        <f t="shared" si="3"/>
        <v>4.49</v>
      </c>
      <c r="G68" s="1">
        <v>55.0</v>
      </c>
      <c r="H68" s="1">
        <v>15.0</v>
      </c>
      <c r="I68" s="1">
        <v>38.0</v>
      </c>
      <c r="J68" s="1">
        <v>53.0</v>
      </c>
      <c r="K68" s="1">
        <v>91.0</v>
      </c>
      <c r="L68" s="1">
        <v>5.0</v>
      </c>
      <c r="M68" s="1">
        <v>17.0</v>
      </c>
      <c r="N68" s="1">
        <v>0.0</v>
      </c>
      <c r="O68" s="1">
        <v>0.0</v>
      </c>
      <c r="P68" s="1">
        <v>25.0</v>
      </c>
      <c r="Q68" s="1">
        <v>27.0</v>
      </c>
    </row>
    <row r="69">
      <c r="A69" s="1">
        <f t="shared" si="1"/>
        <v>67</v>
      </c>
      <c r="B69" s="1" t="s">
        <v>1477</v>
      </c>
      <c r="C69" s="1" t="s">
        <v>1082</v>
      </c>
      <c r="D69" s="1" t="s">
        <v>36</v>
      </c>
      <c r="E69" s="1">
        <f t="shared" si="2"/>
        <v>246</v>
      </c>
      <c r="F69" s="1">
        <f t="shared" si="3"/>
        <v>4.64</v>
      </c>
      <c r="G69" s="1">
        <v>53.0</v>
      </c>
      <c r="H69" s="1">
        <v>22.0</v>
      </c>
      <c r="I69" s="1">
        <v>21.0</v>
      </c>
      <c r="J69" s="1">
        <v>43.0</v>
      </c>
      <c r="K69" s="1">
        <v>106.0</v>
      </c>
      <c r="L69" s="1">
        <v>13.0</v>
      </c>
      <c r="M69" s="1">
        <v>4.0</v>
      </c>
      <c r="N69" s="1">
        <v>0.0</v>
      </c>
      <c r="O69" s="1">
        <v>0.0</v>
      </c>
      <c r="P69" s="1">
        <v>70.0</v>
      </c>
      <c r="Q69" s="1">
        <v>27.0</v>
      </c>
    </row>
    <row r="70">
      <c r="A70" s="1">
        <f t="shared" si="1"/>
        <v>68</v>
      </c>
      <c r="B70" s="1" t="s">
        <v>1387</v>
      </c>
      <c r="C70" s="1" t="s">
        <v>1080</v>
      </c>
      <c r="D70" s="1" t="s">
        <v>66</v>
      </c>
      <c r="E70" s="1">
        <f t="shared" si="2"/>
        <v>245.5</v>
      </c>
      <c r="F70" s="1">
        <f t="shared" si="3"/>
        <v>4.63</v>
      </c>
      <c r="G70" s="1">
        <v>53.0</v>
      </c>
      <c r="H70" s="1">
        <v>8.0</v>
      </c>
      <c r="I70" s="1">
        <v>34.0</v>
      </c>
      <c r="J70" s="1">
        <v>42.0</v>
      </c>
      <c r="K70" s="1">
        <v>161.0</v>
      </c>
      <c r="L70" s="1">
        <v>0.0</v>
      </c>
      <c r="M70" s="1">
        <v>15.0</v>
      </c>
      <c r="N70" s="1">
        <v>0.0</v>
      </c>
      <c r="O70" s="1">
        <v>0.0</v>
      </c>
      <c r="P70" s="1">
        <v>22.0</v>
      </c>
      <c r="Q70" s="1">
        <v>43.0</v>
      </c>
    </row>
    <row r="71">
      <c r="A71" s="1">
        <f t="shared" si="1"/>
        <v>69</v>
      </c>
      <c r="B71" s="1" t="s">
        <v>1341</v>
      </c>
      <c r="C71" s="1" t="s">
        <v>1175</v>
      </c>
      <c r="D71" s="1" t="s">
        <v>28</v>
      </c>
      <c r="E71" s="1">
        <f t="shared" si="2"/>
        <v>244.75</v>
      </c>
      <c r="F71" s="1">
        <f t="shared" si="3"/>
        <v>4.9</v>
      </c>
      <c r="G71" s="1">
        <v>50.0</v>
      </c>
      <c r="H71" s="1">
        <v>19.0</v>
      </c>
      <c r="I71" s="1">
        <v>24.0</v>
      </c>
      <c r="J71" s="1">
        <v>43.0</v>
      </c>
      <c r="K71" s="1">
        <v>112.0</v>
      </c>
      <c r="L71" s="1">
        <v>4.0</v>
      </c>
      <c r="M71" s="1">
        <v>6.0</v>
      </c>
      <c r="N71" s="1">
        <v>1.0</v>
      </c>
      <c r="O71" s="1">
        <v>0.0</v>
      </c>
      <c r="P71" s="1">
        <v>39.0</v>
      </c>
      <c r="Q71" s="1">
        <v>39.0</v>
      </c>
    </row>
    <row r="72">
      <c r="A72" s="1">
        <f t="shared" si="1"/>
        <v>70</v>
      </c>
      <c r="B72" s="1" t="s">
        <v>1113</v>
      </c>
      <c r="C72" s="1" t="s">
        <v>1054</v>
      </c>
      <c r="D72" s="1" t="s">
        <v>28</v>
      </c>
      <c r="E72" s="1">
        <f t="shared" si="2"/>
        <v>244.25</v>
      </c>
      <c r="F72" s="1">
        <f t="shared" si="3"/>
        <v>4.89</v>
      </c>
      <c r="G72" s="1">
        <v>50.0</v>
      </c>
      <c r="H72" s="1">
        <v>20.0</v>
      </c>
      <c r="I72" s="1">
        <v>20.0</v>
      </c>
      <c r="J72" s="1">
        <v>40.0</v>
      </c>
      <c r="K72" s="1">
        <v>162.0</v>
      </c>
      <c r="L72" s="1">
        <v>6.0</v>
      </c>
      <c r="M72" s="1">
        <v>8.0</v>
      </c>
      <c r="N72" s="1">
        <v>0.0</v>
      </c>
      <c r="O72" s="1">
        <v>0.0</v>
      </c>
      <c r="P72" s="1">
        <v>27.0</v>
      </c>
      <c r="Q72" s="1">
        <v>13.0</v>
      </c>
    </row>
    <row r="73">
      <c r="A73" s="1">
        <f t="shared" si="1"/>
        <v>71</v>
      </c>
      <c r="B73" s="1" t="s">
        <v>1068</v>
      </c>
      <c r="C73" s="1" t="s">
        <v>1048</v>
      </c>
      <c r="D73" s="1" t="s">
        <v>66</v>
      </c>
      <c r="E73" s="1">
        <f t="shared" si="2"/>
        <v>242.5</v>
      </c>
      <c r="F73" s="1">
        <f t="shared" si="3"/>
        <v>4.49</v>
      </c>
      <c r="G73" s="1">
        <v>54.0</v>
      </c>
      <c r="H73" s="1">
        <v>6.0</v>
      </c>
      <c r="I73" s="1">
        <v>30.0</v>
      </c>
      <c r="J73" s="1">
        <v>36.0</v>
      </c>
      <c r="K73" s="1">
        <v>101.0</v>
      </c>
      <c r="L73" s="1">
        <v>0.0</v>
      </c>
      <c r="M73" s="1">
        <v>3.0</v>
      </c>
      <c r="N73" s="1">
        <v>0.0</v>
      </c>
      <c r="O73" s="1">
        <v>2.0</v>
      </c>
      <c r="P73" s="1">
        <v>118.0</v>
      </c>
      <c r="Q73" s="1">
        <v>83.0</v>
      </c>
    </row>
    <row r="74">
      <c r="A74" s="1">
        <f t="shared" si="1"/>
        <v>72</v>
      </c>
      <c r="B74" s="1" t="s">
        <v>1103</v>
      </c>
      <c r="C74" s="1" t="s">
        <v>1097</v>
      </c>
      <c r="D74" s="1" t="s">
        <v>31</v>
      </c>
      <c r="E74" s="1">
        <f t="shared" si="2"/>
        <v>241</v>
      </c>
      <c r="F74" s="1">
        <f t="shared" si="3"/>
        <v>4.3</v>
      </c>
      <c r="G74" s="1">
        <v>56.0</v>
      </c>
      <c r="H74" s="1">
        <v>15.0</v>
      </c>
      <c r="I74" s="1">
        <v>26.0</v>
      </c>
      <c r="J74" s="1">
        <v>41.0</v>
      </c>
      <c r="K74" s="1">
        <v>110.0</v>
      </c>
      <c r="L74" s="1">
        <v>5.0</v>
      </c>
      <c r="M74" s="1">
        <v>8.0</v>
      </c>
      <c r="N74" s="1">
        <v>1.0</v>
      </c>
      <c r="O74" s="1">
        <v>1.0</v>
      </c>
      <c r="P74" s="1">
        <v>70.0</v>
      </c>
      <c r="Q74" s="1">
        <v>38.0</v>
      </c>
    </row>
    <row r="75">
      <c r="A75" s="1">
        <f t="shared" si="1"/>
        <v>73</v>
      </c>
      <c r="B75" s="1" t="s">
        <v>1619</v>
      </c>
      <c r="C75" s="1" t="s">
        <v>1172</v>
      </c>
      <c r="D75" s="1" t="s">
        <v>28</v>
      </c>
      <c r="E75" s="1">
        <f t="shared" si="2"/>
        <v>240.25</v>
      </c>
      <c r="F75" s="1">
        <f t="shared" si="3"/>
        <v>4.29</v>
      </c>
      <c r="G75" s="1">
        <v>56.0</v>
      </c>
      <c r="H75" s="1">
        <v>17.0</v>
      </c>
      <c r="I75" s="1">
        <v>21.0</v>
      </c>
      <c r="J75" s="1">
        <v>38.0</v>
      </c>
      <c r="K75" s="1">
        <v>156.0</v>
      </c>
      <c r="L75" s="1">
        <v>4.0</v>
      </c>
      <c r="M75" s="1">
        <v>10.0</v>
      </c>
      <c r="N75" s="1">
        <v>0.0</v>
      </c>
      <c r="O75" s="1">
        <v>0.0</v>
      </c>
      <c r="P75" s="1">
        <v>57.0</v>
      </c>
      <c r="Q75" s="1">
        <v>17.0</v>
      </c>
    </row>
    <row r="76">
      <c r="A76" s="1">
        <f t="shared" si="1"/>
        <v>74</v>
      </c>
      <c r="B76" s="1" t="s">
        <v>1047</v>
      </c>
      <c r="C76" s="1" t="s">
        <v>1067</v>
      </c>
      <c r="D76" s="1" t="s">
        <v>36</v>
      </c>
      <c r="E76" s="1">
        <f t="shared" si="2"/>
        <v>239.75</v>
      </c>
      <c r="F76" s="1">
        <f t="shared" si="3"/>
        <v>4.44</v>
      </c>
      <c r="G76" s="1">
        <v>54.0</v>
      </c>
      <c r="H76" s="1">
        <v>25.0</v>
      </c>
      <c r="I76" s="1">
        <v>15.0</v>
      </c>
      <c r="J76" s="1">
        <v>40.0</v>
      </c>
      <c r="K76" s="1">
        <v>130.0</v>
      </c>
      <c r="L76" s="1">
        <v>10.0</v>
      </c>
      <c r="M76" s="1">
        <v>6.0</v>
      </c>
      <c r="N76" s="1">
        <v>0.0</v>
      </c>
      <c r="O76" s="1">
        <v>0.0</v>
      </c>
      <c r="P76" s="1">
        <v>15.0</v>
      </c>
      <c r="Q76" s="1">
        <v>27.0</v>
      </c>
    </row>
    <row r="77">
      <c r="A77" s="1">
        <f t="shared" si="1"/>
        <v>75</v>
      </c>
      <c r="B77" s="1" t="s">
        <v>1086</v>
      </c>
      <c r="C77" s="1" t="s">
        <v>1087</v>
      </c>
      <c r="D77" s="1" t="s">
        <v>31</v>
      </c>
      <c r="E77" s="1">
        <f t="shared" si="2"/>
        <v>239.5</v>
      </c>
      <c r="F77" s="1">
        <f t="shared" si="3"/>
        <v>4.35</v>
      </c>
      <c r="G77" s="1">
        <v>55.0</v>
      </c>
      <c r="H77" s="1">
        <v>17.0</v>
      </c>
      <c r="I77" s="1">
        <v>28.0</v>
      </c>
      <c r="J77" s="1">
        <v>45.0</v>
      </c>
      <c r="K77" s="1">
        <v>134.0</v>
      </c>
      <c r="L77" s="1">
        <v>1.0</v>
      </c>
      <c r="M77" s="1">
        <v>7.0</v>
      </c>
      <c r="N77" s="1">
        <v>0.0</v>
      </c>
      <c r="O77" s="1">
        <v>0.0</v>
      </c>
      <c r="P77" s="1">
        <v>22.0</v>
      </c>
      <c r="Q77" s="1">
        <v>13.0</v>
      </c>
    </row>
    <row r="78">
      <c r="A78" s="1">
        <f t="shared" si="1"/>
        <v>76</v>
      </c>
      <c r="B78" s="1" t="s">
        <v>1394</v>
      </c>
      <c r="C78" s="1" t="s">
        <v>1091</v>
      </c>
      <c r="D78" s="1" t="s">
        <v>28</v>
      </c>
      <c r="E78" s="1">
        <f t="shared" si="2"/>
        <v>238.5</v>
      </c>
      <c r="F78" s="1">
        <f t="shared" si="3"/>
        <v>4.26</v>
      </c>
      <c r="G78" s="1">
        <v>56.0</v>
      </c>
      <c r="H78" s="1">
        <v>17.0</v>
      </c>
      <c r="I78" s="1">
        <v>26.0</v>
      </c>
      <c r="J78" s="1">
        <v>43.0</v>
      </c>
      <c r="K78" s="1">
        <v>132.0</v>
      </c>
      <c r="L78" s="1">
        <v>10.0</v>
      </c>
      <c r="M78" s="1">
        <v>2.0</v>
      </c>
      <c r="N78" s="1">
        <v>0.0</v>
      </c>
      <c r="O78" s="1">
        <v>0.0</v>
      </c>
      <c r="P78" s="1">
        <v>40.0</v>
      </c>
      <c r="Q78" s="1">
        <v>16.0</v>
      </c>
    </row>
    <row r="79">
      <c r="A79" s="1">
        <f t="shared" si="1"/>
        <v>77</v>
      </c>
      <c r="B79" s="1" t="s">
        <v>1257</v>
      </c>
      <c r="C79" s="1" t="s">
        <v>1069</v>
      </c>
      <c r="D79" s="1" t="s">
        <v>28</v>
      </c>
      <c r="E79" s="1">
        <f t="shared" si="2"/>
        <v>238</v>
      </c>
      <c r="F79" s="1">
        <f t="shared" si="3"/>
        <v>4.25</v>
      </c>
      <c r="G79" s="1">
        <v>56.0</v>
      </c>
      <c r="H79" s="1">
        <v>19.0</v>
      </c>
      <c r="I79" s="1">
        <v>30.0</v>
      </c>
      <c r="J79" s="1">
        <v>49.0</v>
      </c>
      <c r="K79" s="1">
        <v>112.0</v>
      </c>
      <c r="L79" s="1">
        <v>7.0</v>
      </c>
      <c r="M79" s="1">
        <v>12.0</v>
      </c>
      <c r="N79" s="1">
        <v>0.0</v>
      </c>
      <c r="O79" s="1">
        <v>0.0</v>
      </c>
      <c r="P79" s="1">
        <v>8.0</v>
      </c>
      <c r="Q79" s="1">
        <v>9.0</v>
      </c>
    </row>
    <row r="80">
      <c r="A80" s="1">
        <f t="shared" si="1"/>
        <v>77</v>
      </c>
      <c r="B80" s="1" t="s">
        <v>1268</v>
      </c>
      <c r="C80" s="1" t="s">
        <v>1156</v>
      </c>
      <c r="D80" s="1" t="s">
        <v>66</v>
      </c>
      <c r="E80" s="1">
        <f t="shared" si="2"/>
        <v>238</v>
      </c>
      <c r="F80" s="1">
        <f t="shared" si="3"/>
        <v>4.25</v>
      </c>
      <c r="G80" s="1">
        <v>56.0</v>
      </c>
      <c r="H80" s="1">
        <v>5.0</v>
      </c>
      <c r="I80" s="1">
        <v>23.0</v>
      </c>
      <c r="J80" s="1">
        <v>28.0</v>
      </c>
      <c r="K80" s="1">
        <v>141.0</v>
      </c>
      <c r="L80" s="1">
        <v>2.0</v>
      </c>
      <c r="M80" s="1">
        <v>6.0</v>
      </c>
      <c r="N80" s="1">
        <v>0.0</v>
      </c>
      <c r="O80" s="1">
        <v>0.0</v>
      </c>
      <c r="P80" s="1">
        <v>102.0</v>
      </c>
      <c r="Q80" s="1">
        <v>101.0</v>
      </c>
    </row>
    <row r="81">
      <c r="A81" s="1">
        <f t="shared" si="1"/>
        <v>79</v>
      </c>
      <c r="B81" s="1" t="s">
        <v>1084</v>
      </c>
      <c r="C81" s="1" t="s">
        <v>1085</v>
      </c>
      <c r="D81" s="1" t="s">
        <v>28</v>
      </c>
      <c r="E81" s="1">
        <f t="shared" si="2"/>
        <v>237.5</v>
      </c>
      <c r="F81" s="1">
        <f t="shared" si="3"/>
        <v>4.66</v>
      </c>
      <c r="G81" s="1">
        <v>51.0</v>
      </c>
      <c r="H81" s="1">
        <v>17.0</v>
      </c>
      <c r="I81" s="1">
        <v>28.0</v>
      </c>
      <c r="J81" s="1">
        <v>45.0</v>
      </c>
      <c r="K81" s="1">
        <v>127.0</v>
      </c>
      <c r="L81" s="1">
        <v>1.0</v>
      </c>
      <c r="M81" s="1">
        <v>5.0</v>
      </c>
      <c r="N81" s="1">
        <v>0.0</v>
      </c>
      <c r="O81" s="1">
        <v>0.0</v>
      </c>
      <c r="P81" s="1">
        <v>28.0</v>
      </c>
      <c r="Q81" s="1">
        <v>13.0</v>
      </c>
    </row>
    <row r="82">
      <c r="A82" s="1">
        <f t="shared" si="1"/>
        <v>80</v>
      </c>
      <c r="B82" s="1" t="s">
        <v>1350</v>
      </c>
      <c r="C82" s="1" t="s">
        <v>1073</v>
      </c>
      <c r="D82" s="1" t="s">
        <v>31</v>
      </c>
      <c r="E82" s="1">
        <f t="shared" si="2"/>
        <v>237.25</v>
      </c>
      <c r="F82" s="1">
        <f t="shared" si="3"/>
        <v>4.48</v>
      </c>
      <c r="G82" s="1">
        <v>53.0</v>
      </c>
      <c r="H82" s="1">
        <v>16.0</v>
      </c>
      <c r="I82" s="1">
        <v>22.0</v>
      </c>
      <c r="J82" s="1">
        <v>38.0</v>
      </c>
      <c r="K82" s="1">
        <v>103.0</v>
      </c>
      <c r="L82" s="1">
        <v>7.0</v>
      </c>
      <c r="M82" s="1">
        <v>7.0</v>
      </c>
      <c r="N82" s="1">
        <v>0.0</v>
      </c>
      <c r="O82" s="1">
        <v>1.0</v>
      </c>
      <c r="P82" s="1">
        <v>135.0</v>
      </c>
      <c r="Q82" s="1">
        <v>24.0</v>
      </c>
    </row>
    <row r="83">
      <c r="A83" s="1">
        <f t="shared" si="1"/>
        <v>81</v>
      </c>
      <c r="B83" s="1" t="s">
        <v>1411</v>
      </c>
      <c r="C83" s="1" t="s">
        <v>1116</v>
      </c>
      <c r="D83" s="1" t="s">
        <v>31</v>
      </c>
      <c r="E83" s="1">
        <f t="shared" si="2"/>
        <v>236.25</v>
      </c>
      <c r="F83" s="1">
        <f t="shared" si="3"/>
        <v>4.3</v>
      </c>
      <c r="G83" s="1">
        <v>55.0</v>
      </c>
      <c r="H83" s="1">
        <v>15.0</v>
      </c>
      <c r="I83" s="1">
        <v>24.0</v>
      </c>
      <c r="J83" s="1">
        <v>39.0</v>
      </c>
      <c r="K83" s="1">
        <v>115.0</v>
      </c>
      <c r="L83" s="1">
        <v>6.0</v>
      </c>
      <c r="M83" s="1">
        <v>6.0</v>
      </c>
      <c r="N83" s="1">
        <v>0.0</v>
      </c>
      <c r="O83" s="1">
        <v>1.0</v>
      </c>
      <c r="P83" s="1">
        <v>67.0</v>
      </c>
      <c r="Q83" s="1">
        <v>41.0</v>
      </c>
    </row>
    <row r="84">
      <c r="A84" s="1">
        <f t="shared" si="1"/>
        <v>81</v>
      </c>
      <c r="B84" s="1" t="s">
        <v>1168</v>
      </c>
      <c r="C84" s="1" t="s">
        <v>1073</v>
      </c>
      <c r="D84" s="1" t="s">
        <v>31</v>
      </c>
      <c r="E84" s="1">
        <f t="shared" si="2"/>
        <v>236.25</v>
      </c>
      <c r="F84" s="1">
        <f t="shared" si="3"/>
        <v>4.46</v>
      </c>
      <c r="G84" s="1">
        <v>53.0</v>
      </c>
      <c r="H84" s="1">
        <v>14.0</v>
      </c>
      <c r="I84" s="1">
        <v>27.0</v>
      </c>
      <c r="J84" s="1">
        <v>41.0</v>
      </c>
      <c r="K84" s="1">
        <v>114.0</v>
      </c>
      <c r="L84" s="1">
        <v>4.0</v>
      </c>
      <c r="M84" s="1">
        <v>7.0</v>
      </c>
      <c r="N84" s="1">
        <v>2.0</v>
      </c>
      <c r="O84" s="1">
        <v>2.0</v>
      </c>
      <c r="P84" s="1">
        <v>45.0</v>
      </c>
      <c r="Q84" s="1">
        <v>32.0</v>
      </c>
    </row>
    <row r="85">
      <c r="A85" s="1">
        <f t="shared" si="1"/>
        <v>83</v>
      </c>
      <c r="B85" s="1" t="s">
        <v>1184</v>
      </c>
      <c r="C85" s="1" t="s">
        <v>1106</v>
      </c>
      <c r="D85" s="1" t="s">
        <v>31</v>
      </c>
      <c r="E85" s="1">
        <f t="shared" si="2"/>
        <v>235.75</v>
      </c>
      <c r="F85" s="1">
        <f t="shared" si="3"/>
        <v>4.21</v>
      </c>
      <c r="G85" s="1">
        <v>56.0</v>
      </c>
      <c r="H85" s="1">
        <v>16.0</v>
      </c>
      <c r="I85" s="1">
        <v>20.0</v>
      </c>
      <c r="J85" s="1">
        <v>36.0</v>
      </c>
      <c r="K85" s="1">
        <v>113.0</v>
      </c>
      <c r="L85" s="1">
        <v>6.0</v>
      </c>
      <c r="M85" s="1">
        <v>3.0</v>
      </c>
      <c r="N85" s="1">
        <v>0.0</v>
      </c>
      <c r="O85" s="1">
        <v>0.0</v>
      </c>
      <c r="P85" s="1">
        <v>119.0</v>
      </c>
      <c r="Q85" s="1">
        <v>35.0</v>
      </c>
    </row>
    <row r="86">
      <c r="A86" s="1">
        <f t="shared" si="1"/>
        <v>84</v>
      </c>
      <c r="B86" s="1" t="s">
        <v>1391</v>
      </c>
      <c r="C86" s="1" t="s">
        <v>1156</v>
      </c>
      <c r="D86" s="1" t="s">
        <v>36</v>
      </c>
      <c r="E86" s="1">
        <f t="shared" si="2"/>
        <v>232</v>
      </c>
      <c r="F86" s="1">
        <f t="shared" si="3"/>
        <v>4.14</v>
      </c>
      <c r="G86" s="1">
        <v>56.0</v>
      </c>
      <c r="H86" s="1">
        <v>15.0</v>
      </c>
      <c r="I86" s="1">
        <v>19.0</v>
      </c>
      <c r="J86" s="1">
        <v>34.0</v>
      </c>
      <c r="K86" s="1">
        <v>158.0</v>
      </c>
      <c r="L86" s="1">
        <v>1.0</v>
      </c>
      <c r="M86" s="1">
        <v>8.0</v>
      </c>
      <c r="N86" s="1">
        <v>4.0</v>
      </c>
      <c r="O86" s="1">
        <v>0.0</v>
      </c>
      <c r="P86" s="1">
        <v>22.0</v>
      </c>
      <c r="Q86" s="1">
        <v>30.0</v>
      </c>
    </row>
    <row r="87">
      <c r="A87" s="1">
        <f t="shared" si="1"/>
        <v>85</v>
      </c>
      <c r="B87" s="1" t="s">
        <v>1056</v>
      </c>
      <c r="C87" s="1" t="s">
        <v>1042</v>
      </c>
      <c r="D87" s="1" t="s">
        <v>66</v>
      </c>
      <c r="E87" s="1">
        <f t="shared" si="2"/>
        <v>231.75</v>
      </c>
      <c r="F87" s="1">
        <f t="shared" si="3"/>
        <v>4.83</v>
      </c>
      <c r="G87" s="1">
        <v>48.0</v>
      </c>
      <c r="H87" s="1">
        <v>8.0</v>
      </c>
      <c r="I87" s="1">
        <v>25.0</v>
      </c>
      <c r="J87" s="1">
        <v>33.0</v>
      </c>
      <c r="K87" s="1">
        <v>141.0</v>
      </c>
      <c r="L87" s="1">
        <v>1.0</v>
      </c>
      <c r="M87" s="1">
        <v>13.0</v>
      </c>
      <c r="N87" s="1">
        <v>0.0</v>
      </c>
      <c r="O87" s="1">
        <v>1.0</v>
      </c>
      <c r="P87" s="1">
        <v>27.0</v>
      </c>
      <c r="Q87" s="1">
        <v>83.0</v>
      </c>
    </row>
    <row r="88">
      <c r="A88" s="1">
        <f t="shared" si="1"/>
        <v>86</v>
      </c>
      <c r="B88" s="1" t="s">
        <v>1346</v>
      </c>
      <c r="C88" s="1" t="s">
        <v>1052</v>
      </c>
      <c r="D88" s="1" t="s">
        <v>5</v>
      </c>
      <c r="E88" s="1">
        <f t="shared" si="2"/>
        <v>231</v>
      </c>
      <c r="F88" s="1">
        <f t="shared" si="3"/>
        <v>5.92</v>
      </c>
      <c r="G88" s="1">
        <v>39.0</v>
      </c>
      <c r="R88" s="1">
        <v>25.0</v>
      </c>
      <c r="S88" s="1">
        <v>100.0</v>
      </c>
      <c r="T88" s="12">
        <v>1000.0</v>
      </c>
      <c r="U88" s="1">
        <v>2.0</v>
      </c>
    </row>
    <row r="89">
      <c r="A89" s="1">
        <f t="shared" si="1"/>
        <v>87</v>
      </c>
      <c r="B89" s="1" t="s">
        <v>1176</v>
      </c>
      <c r="C89" s="1" t="s">
        <v>1078</v>
      </c>
      <c r="D89" s="1" t="s">
        <v>66</v>
      </c>
      <c r="E89" s="1">
        <f t="shared" si="2"/>
        <v>230.75</v>
      </c>
      <c r="F89" s="1">
        <f t="shared" si="3"/>
        <v>4.12</v>
      </c>
      <c r="G89" s="1">
        <v>56.0</v>
      </c>
      <c r="H89" s="1">
        <v>8.0</v>
      </c>
      <c r="I89" s="1">
        <v>26.0</v>
      </c>
      <c r="J89" s="1">
        <v>34.0</v>
      </c>
      <c r="K89" s="1">
        <v>101.0</v>
      </c>
      <c r="L89" s="1">
        <v>6.0</v>
      </c>
      <c r="M89" s="1">
        <v>12.0</v>
      </c>
      <c r="N89" s="1">
        <v>0.0</v>
      </c>
      <c r="O89" s="1">
        <v>1.0</v>
      </c>
      <c r="P89" s="1">
        <v>91.0</v>
      </c>
      <c r="Q89" s="1">
        <v>83.0</v>
      </c>
    </row>
    <row r="90">
      <c r="A90" s="1">
        <f t="shared" si="1"/>
        <v>88</v>
      </c>
      <c r="B90" s="1" t="s">
        <v>1651</v>
      </c>
      <c r="C90" s="1" t="s">
        <v>1069</v>
      </c>
      <c r="D90" s="1" t="s">
        <v>66</v>
      </c>
      <c r="E90" s="1">
        <f t="shared" si="2"/>
        <v>230.25</v>
      </c>
      <c r="F90" s="1">
        <f t="shared" si="3"/>
        <v>4.11</v>
      </c>
      <c r="G90" s="1">
        <v>56.0</v>
      </c>
      <c r="H90" s="1">
        <v>9.0</v>
      </c>
      <c r="I90" s="1">
        <v>17.0</v>
      </c>
      <c r="J90" s="1">
        <v>26.0</v>
      </c>
      <c r="K90" s="1">
        <v>142.0</v>
      </c>
      <c r="L90" s="1">
        <v>4.0</v>
      </c>
      <c r="M90" s="1">
        <v>4.0</v>
      </c>
      <c r="N90" s="1">
        <v>0.0</v>
      </c>
      <c r="O90" s="1">
        <v>0.0</v>
      </c>
      <c r="P90" s="1">
        <v>51.0</v>
      </c>
      <c r="Q90" s="1">
        <v>110.0</v>
      </c>
    </row>
    <row r="91">
      <c r="A91" s="1">
        <f t="shared" si="1"/>
        <v>89</v>
      </c>
      <c r="B91" s="1" t="s">
        <v>1291</v>
      </c>
      <c r="C91" s="1" t="s">
        <v>1091</v>
      </c>
      <c r="D91" s="1" t="s">
        <v>31</v>
      </c>
      <c r="E91" s="1">
        <f t="shared" si="2"/>
        <v>229.5</v>
      </c>
      <c r="F91" s="1">
        <f t="shared" si="3"/>
        <v>5.1</v>
      </c>
      <c r="G91" s="1">
        <v>45.0</v>
      </c>
      <c r="H91" s="1">
        <v>18.0</v>
      </c>
      <c r="I91" s="1">
        <v>23.0</v>
      </c>
      <c r="J91" s="1">
        <v>41.0</v>
      </c>
      <c r="K91" s="1">
        <v>120.0</v>
      </c>
      <c r="L91" s="1">
        <v>3.0</v>
      </c>
      <c r="M91" s="1">
        <v>7.0</v>
      </c>
      <c r="N91" s="1">
        <v>0.0</v>
      </c>
      <c r="O91" s="1">
        <v>0.0</v>
      </c>
      <c r="P91" s="1">
        <v>34.0</v>
      </c>
      <c r="Q91" s="1">
        <v>22.0</v>
      </c>
    </row>
    <row r="92">
      <c r="A92" s="1">
        <f t="shared" si="1"/>
        <v>90</v>
      </c>
      <c r="B92" s="1" t="s">
        <v>1050</v>
      </c>
      <c r="C92" s="1" t="s">
        <v>1032</v>
      </c>
      <c r="D92" s="1" t="s">
        <v>31</v>
      </c>
      <c r="E92" s="1">
        <f t="shared" si="2"/>
        <v>228.5</v>
      </c>
      <c r="F92" s="1">
        <f t="shared" si="3"/>
        <v>4.48</v>
      </c>
      <c r="G92" s="1">
        <v>51.0</v>
      </c>
      <c r="H92" s="1">
        <v>17.0</v>
      </c>
      <c r="I92" s="1">
        <v>25.0</v>
      </c>
      <c r="J92" s="1">
        <v>42.0</v>
      </c>
      <c r="K92" s="1">
        <v>133.0</v>
      </c>
      <c r="L92" s="1">
        <v>4.0</v>
      </c>
      <c r="M92" s="1">
        <v>7.0</v>
      </c>
      <c r="N92" s="1">
        <v>0.0</v>
      </c>
      <c r="O92" s="1">
        <v>0.0</v>
      </c>
      <c r="P92" s="1">
        <v>12.0</v>
      </c>
      <c r="Q92" s="1">
        <v>15.0</v>
      </c>
    </row>
    <row r="93">
      <c r="A93" s="1">
        <f t="shared" si="1"/>
        <v>90</v>
      </c>
      <c r="B93" s="1" t="s">
        <v>1661</v>
      </c>
      <c r="C93" s="1" t="s">
        <v>1044</v>
      </c>
      <c r="D93" s="1" t="s">
        <v>36</v>
      </c>
      <c r="E93" s="1">
        <f t="shared" si="2"/>
        <v>228.5</v>
      </c>
      <c r="F93" s="1">
        <f t="shared" si="3"/>
        <v>4.08</v>
      </c>
      <c r="G93" s="1">
        <v>56.0</v>
      </c>
      <c r="H93" s="1">
        <v>21.0</v>
      </c>
      <c r="I93" s="1">
        <v>14.0</v>
      </c>
      <c r="J93" s="1">
        <v>35.0</v>
      </c>
      <c r="K93" s="1">
        <v>123.0</v>
      </c>
      <c r="L93" s="1">
        <v>1.0</v>
      </c>
      <c r="M93" s="1">
        <v>3.0</v>
      </c>
      <c r="N93" s="1">
        <v>5.0</v>
      </c>
      <c r="O93" s="1">
        <v>0.0</v>
      </c>
      <c r="P93" s="1">
        <v>22.0</v>
      </c>
      <c r="Q93" s="1">
        <v>30.0</v>
      </c>
    </row>
    <row r="94">
      <c r="A94" s="1">
        <f t="shared" si="1"/>
        <v>92</v>
      </c>
      <c r="B94" s="1" t="s">
        <v>1138</v>
      </c>
      <c r="C94" s="1" t="s">
        <v>1080</v>
      </c>
      <c r="D94" s="1" t="s">
        <v>36</v>
      </c>
      <c r="E94" s="1">
        <f t="shared" si="2"/>
        <v>228</v>
      </c>
      <c r="F94" s="1">
        <f t="shared" si="3"/>
        <v>4.15</v>
      </c>
      <c r="G94" s="1">
        <v>55.0</v>
      </c>
      <c r="H94" s="1">
        <v>18.0</v>
      </c>
      <c r="I94" s="1">
        <v>15.0</v>
      </c>
      <c r="J94" s="1">
        <v>33.0</v>
      </c>
      <c r="K94" s="1">
        <v>142.0</v>
      </c>
      <c r="L94" s="1">
        <v>2.0</v>
      </c>
      <c r="M94" s="1">
        <v>2.0</v>
      </c>
      <c r="N94" s="1">
        <v>0.0</v>
      </c>
      <c r="O94" s="1">
        <v>0.0</v>
      </c>
      <c r="P94" s="1">
        <v>52.0</v>
      </c>
      <c r="Q94" s="1">
        <v>36.0</v>
      </c>
    </row>
    <row r="95">
      <c r="A95" s="1">
        <f t="shared" si="1"/>
        <v>93</v>
      </c>
      <c r="B95" s="1" t="s">
        <v>1205</v>
      </c>
      <c r="C95" s="1" t="s">
        <v>1091</v>
      </c>
      <c r="D95" s="1" t="s">
        <v>28</v>
      </c>
      <c r="E95" s="1">
        <f t="shared" si="2"/>
        <v>227.5</v>
      </c>
      <c r="F95" s="1">
        <f t="shared" si="3"/>
        <v>4.14</v>
      </c>
      <c r="G95" s="1">
        <v>55.0</v>
      </c>
      <c r="H95" s="1">
        <v>20.0</v>
      </c>
      <c r="I95" s="1">
        <v>18.0</v>
      </c>
      <c r="J95" s="1">
        <v>38.0</v>
      </c>
      <c r="K95" s="1">
        <v>122.0</v>
      </c>
      <c r="L95" s="1">
        <v>3.0</v>
      </c>
      <c r="M95" s="1">
        <v>4.0</v>
      </c>
      <c r="N95" s="1">
        <v>0.0</v>
      </c>
      <c r="O95" s="1">
        <v>0.0</v>
      </c>
      <c r="P95" s="1">
        <v>48.0</v>
      </c>
      <c r="Q95" s="1">
        <v>21.0</v>
      </c>
    </row>
    <row r="96">
      <c r="A96" s="1">
        <f t="shared" si="1"/>
        <v>94</v>
      </c>
      <c r="B96" s="1" t="s">
        <v>1057</v>
      </c>
      <c r="C96" s="1" t="s">
        <v>1030</v>
      </c>
      <c r="D96" s="1" t="s">
        <v>66</v>
      </c>
      <c r="E96" s="1">
        <f t="shared" si="2"/>
        <v>226.25</v>
      </c>
      <c r="F96" s="1">
        <f t="shared" si="3"/>
        <v>5.14</v>
      </c>
      <c r="G96" s="1">
        <v>44.0</v>
      </c>
      <c r="H96" s="1">
        <v>8.0</v>
      </c>
      <c r="I96" s="1">
        <v>36.0</v>
      </c>
      <c r="J96" s="1">
        <v>44.0</v>
      </c>
      <c r="K96" s="1">
        <v>104.0</v>
      </c>
      <c r="L96" s="1">
        <v>4.0</v>
      </c>
      <c r="M96" s="1">
        <v>18.0</v>
      </c>
      <c r="N96" s="1">
        <v>0.0</v>
      </c>
      <c r="O96" s="1">
        <v>0.0</v>
      </c>
      <c r="P96" s="1">
        <v>49.0</v>
      </c>
      <c r="Q96" s="1">
        <v>36.0</v>
      </c>
    </row>
    <row r="97">
      <c r="A97" s="1">
        <f t="shared" si="1"/>
        <v>95</v>
      </c>
      <c r="B97" s="1" t="s">
        <v>1669</v>
      </c>
      <c r="C97" s="1" t="s">
        <v>1030</v>
      </c>
      <c r="D97" s="1" t="s">
        <v>28</v>
      </c>
      <c r="E97" s="1">
        <f t="shared" si="2"/>
        <v>225</v>
      </c>
      <c r="F97" s="1">
        <f t="shared" si="3"/>
        <v>4.25</v>
      </c>
      <c r="G97" s="1">
        <v>53.0</v>
      </c>
      <c r="H97" s="1">
        <v>19.0</v>
      </c>
      <c r="I97" s="1">
        <v>25.0</v>
      </c>
      <c r="J97" s="1">
        <v>44.0</v>
      </c>
      <c r="K97" s="1">
        <v>102.0</v>
      </c>
      <c r="L97" s="1">
        <v>4.0</v>
      </c>
      <c r="M97" s="1">
        <v>10.0</v>
      </c>
      <c r="N97" s="1">
        <v>0.0</v>
      </c>
      <c r="O97" s="1">
        <v>0.0</v>
      </c>
      <c r="P97" s="1">
        <v>22.0</v>
      </c>
      <c r="Q97" s="1">
        <v>16.0</v>
      </c>
    </row>
    <row r="98">
      <c r="A98" s="1">
        <f t="shared" si="1"/>
        <v>96</v>
      </c>
      <c r="B98" s="1" t="s">
        <v>1173</v>
      </c>
      <c r="C98" s="1" t="s">
        <v>1091</v>
      </c>
      <c r="D98" s="1" t="s">
        <v>31</v>
      </c>
      <c r="E98" s="1">
        <f t="shared" si="2"/>
        <v>224</v>
      </c>
      <c r="F98" s="1">
        <f t="shared" si="3"/>
        <v>4.15</v>
      </c>
      <c r="G98" s="1">
        <v>54.0</v>
      </c>
      <c r="H98" s="1">
        <v>16.0</v>
      </c>
      <c r="I98" s="1">
        <v>27.0</v>
      </c>
      <c r="J98" s="1">
        <v>43.0</v>
      </c>
      <c r="K98" s="1">
        <v>120.0</v>
      </c>
      <c r="L98" s="1">
        <v>1.0</v>
      </c>
      <c r="M98" s="1">
        <v>10.0</v>
      </c>
      <c r="N98" s="1">
        <v>0.0</v>
      </c>
      <c r="O98" s="1">
        <v>0.0</v>
      </c>
      <c r="P98" s="1">
        <v>32.0</v>
      </c>
      <c r="Q98" s="1">
        <v>6.0</v>
      </c>
    </row>
    <row r="99">
      <c r="A99" s="1">
        <f t="shared" si="1"/>
        <v>97</v>
      </c>
      <c r="B99" s="1" t="s">
        <v>1327</v>
      </c>
      <c r="C99" s="1" t="s">
        <v>1069</v>
      </c>
      <c r="D99" s="1" t="s">
        <v>5</v>
      </c>
      <c r="E99" s="1">
        <f t="shared" si="2"/>
        <v>223.5</v>
      </c>
      <c r="F99" s="1">
        <f t="shared" si="3"/>
        <v>5.2</v>
      </c>
      <c r="G99" s="1">
        <v>43.0</v>
      </c>
      <c r="R99" s="1">
        <v>22.0</v>
      </c>
      <c r="S99" s="1">
        <v>111.0</v>
      </c>
      <c r="T99" s="12">
        <v>1050.0</v>
      </c>
      <c r="U99" s="1">
        <v>3.0</v>
      </c>
    </row>
    <row r="100">
      <c r="A100" s="1">
        <f t="shared" si="1"/>
        <v>98</v>
      </c>
      <c r="B100" s="1" t="s">
        <v>1243</v>
      </c>
      <c r="C100" s="1" t="s">
        <v>1175</v>
      </c>
      <c r="D100" s="1" t="s">
        <v>66</v>
      </c>
      <c r="E100" s="1">
        <f t="shared" si="2"/>
        <v>223.25</v>
      </c>
      <c r="F100" s="1">
        <f t="shared" si="3"/>
        <v>3.99</v>
      </c>
      <c r="G100" s="1">
        <v>56.0</v>
      </c>
      <c r="H100" s="1">
        <v>7.0</v>
      </c>
      <c r="I100" s="1">
        <v>22.0</v>
      </c>
      <c r="J100" s="1">
        <v>29.0</v>
      </c>
      <c r="K100" s="1">
        <v>138.0</v>
      </c>
      <c r="L100" s="1">
        <v>2.0</v>
      </c>
      <c r="M100" s="1">
        <v>4.0</v>
      </c>
      <c r="N100" s="1">
        <v>0.0</v>
      </c>
      <c r="O100" s="1">
        <v>1.0</v>
      </c>
      <c r="P100" s="1">
        <v>31.0</v>
      </c>
      <c r="Q100" s="1">
        <v>94.0</v>
      </c>
    </row>
    <row r="101">
      <c r="A101" s="1">
        <f t="shared" si="1"/>
        <v>98</v>
      </c>
      <c r="B101" s="1" t="s">
        <v>1353</v>
      </c>
      <c r="C101" s="1" t="s">
        <v>1106</v>
      </c>
      <c r="D101" s="1" t="s">
        <v>66</v>
      </c>
      <c r="E101" s="1">
        <f t="shared" si="2"/>
        <v>223.25</v>
      </c>
      <c r="F101" s="1">
        <f t="shared" si="3"/>
        <v>3.99</v>
      </c>
      <c r="G101" s="1">
        <v>56.0</v>
      </c>
      <c r="H101" s="1">
        <v>7.0</v>
      </c>
      <c r="I101" s="1">
        <v>18.0</v>
      </c>
      <c r="J101" s="1">
        <v>25.0</v>
      </c>
      <c r="K101" s="1">
        <v>117.0</v>
      </c>
      <c r="L101" s="1">
        <v>1.0</v>
      </c>
      <c r="M101" s="1">
        <v>4.0</v>
      </c>
      <c r="N101" s="1">
        <v>0.0</v>
      </c>
      <c r="O101" s="1">
        <v>2.0</v>
      </c>
      <c r="P101" s="1">
        <v>127.0</v>
      </c>
      <c r="Q101" s="1">
        <v>87.0</v>
      </c>
    </row>
    <row r="102">
      <c r="A102" s="1">
        <f t="shared" si="1"/>
        <v>100</v>
      </c>
      <c r="B102" s="1" t="s">
        <v>2089</v>
      </c>
      <c r="C102" s="1" t="s">
        <v>1111</v>
      </c>
      <c r="D102" s="1" t="s">
        <v>36</v>
      </c>
      <c r="E102" s="1">
        <f t="shared" si="2"/>
        <v>223</v>
      </c>
      <c r="F102" s="1">
        <f t="shared" si="3"/>
        <v>3.98</v>
      </c>
      <c r="G102" s="1">
        <v>56.0</v>
      </c>
      <c r="H102" s="1">
        <v>20.0</v>
      </c>
      <c r="I102" s="1">
        <v>23.0</v>
      </c>
      <c r="J102" s="1">
        <v>43.0</v>
      </c>
      <c r="K102" s="1">
        <v>115.0</v>
      </c>
      <c r="L102" s="1">
        <v>4.0</v>
      </c>
      <c r="M102" s="1">
        <v>9.0</v>
      </c>
      <c r="N102" s="1">
        <v>0.0</v>
      </c>
      <c r="O102" s="1">
        <v>0.0</v>
      </c>
      <c r="P102" s="1">
        <v>8.0</v>
      </c>
      <c r="Q102" s="1">
        <v>9.0</v>
      </c>
    </row>
    <row r="103">
      <c r="A103" s="1">
        <f t="shared" si="1"/>
        <v>100</v>
      </c>
      <c r="B103" s="1" t="s">
        <v>1129</v>
      </c>
      <c r="C103" s="1" t="s">
        <v>1044</v>
      </c>
      <c r="D103" s="1" t="s">
        <v>36</v>
      </c>
      <c r="E103" s="1">
        <f t="shared" si="2"/>
        <v>223</v>
      </c>
      <c r="F103" s="1">
        <f t="shared" si="3"/>
        <v>3.98</v>
      </c>
      <c r="G103" s="1">
        <v>56.0</v>
      </c>
      <c r="H103" s="1">
        <v>17.0</v>
      </c>
      <c r="I103" s="1">
        <v>17.0</v>
      </c>
      <c r="J103" s="1">
        <v>34.0</v>
      </c>
      <c r="K103" s="1">
        <v>111.0</v>
      </c>
      <c r="L103" s="1">
        <v>5.0</v>
      </c>
      <c r="M103" s="1">
        <v>10.0</v>
      </c>
      <c r="N103" s="1">
        <v>0.0</v>
      </c>
      <c r="O103" s="1">
        <v>0.0</v>
      </c>
      <c r="P103" s="1">
        <v>102.0</v>
      </c>
      <c r="Q103" s="1">
        <v>29.0</v>
      </c>
    </row>
    <row r="104">
      <c r="A104" s="1">
        <f t="shared" si="1"/>
        <v>102</v>
      </c>
      <c r="B104" s="1" t="s">
        <v>1074</v>
      </c>
      <c r="C104" s="1" t="s">
        <v>1054</v>
      </c>
      <c r="D104" s="1" t="s">
        <v>31</v>
      </c>
      <c r="E104" s="1">
        <f t="shared" si="2"/>
        <v>222.75</v>
      </c>
      <c r="F104" s="1">
        <f t="shared" si="3"/>
        <v>3.98</v>
      </c>
      <c r="G104" s="1">
        <v>56.0</v>
      </c>
      <c r="H104" s="1">
        <v>19.0</v>
      </c>
      <c r="I104" s="1">
        <v>11.0</v>
      </c>
      <c r="J104" s="1">
        <v>30.0</v>
      </c>
      <c r="K104" s="1">
        <v>119.0</v>
      </c>
      <c r="L104" s="1">
        <v>0.0</v>
      </c>
      <c r="M104" s="1">
        <v>2.0</v>
      </c>
      <c r="N104" s="1">
        <v>0.0</v>
      </c>
      <c r="O104" s="1">
        <v>0.0</v>
      </c>
      <c r="P104" s="1">
        <v>105.0</v>
      </c>
      <c r="Q104" s="1">
        <v>37.0</v>
      </c>
    </row>
    <row r="105">
      <c r="A105" s="1">
        <f t="shared" si="1"/>
        <v>103</v>
      </c>
      <c r="B105" s="1" t="s">
        <v>1181</v>
      </c>
      <c r="C105" s="1" t="s">
        <v>1046</v>
      </c>
      <c r="D105" s="1" t="s">
        <v>5</v>
      </c>
      <c r="E105" s="1">
        <f t="shared" si="2"/>
        <v>222</v>
      </c>
      <c r="F105" s="1">
        <f t="shared" si="3"/>
        <v>6.34</v>
      </c>
      <c r="G105" s="1">
        <v>35.0</v>
      </c>
      <c r="R105" s="1">
        <v>16.0</v>
      </c>
      <c r="S105" s="1">
        <v>99.0</v>
      </c>
      <c r="T105" s="12">
        <v>1065.0</v>
      </c>
      <c r="U105" s="1">
        <v>1.0</v>
      </c>
    </row>
    <row r="106">
      <c r="A106" s="1">
        <f t="shared" si="1"/>
        <v>103</v>
      </c>
      <c r="B106" s="1" t="s">
        <v>1664</v>
      </c>
      <c r="C106" s="1" t="s">
        <v>1172</v>
      </c>
      <c r="D106" s="1" t="s">
        <v>5</v>
      </c>
      <c r="E106" s="1">
        <f t="shared" si="2"/>
        <v>222</v>
      </c>
      <c r="F106" s="1">
        <f t="shared" si="3"/>
        <v>6</v>
      </c>
      <c r="G106" s="1">
        <v>37.0</v>
      </c>
      <c r="R106" s="1">
        <v>17.0</v>
      </c>
      <c r="S106" s="1">
        <v>109.0</v>
      </c>
      <c r="T106" s="12">
        <v>1095.0</v>
      </c>
      <c r="U106" s="1">
        <v>2.0</v>
      </c>
    </row>
    <row r="107">
      <c r="A107" s="1">
        <f t="shared" si="1"/>
        <v>105</v>
      </c>
      <c r="B107" s="1" t="s">
        <v>1217</v>
      </c>
      <c r="C107" s="1" t="s">
        <v>1116</v>
      </c>
      <c r="D107" s="1" t="s">
        <v>66</v>
      </c>
      <c r="E107" s="1">
        <f t="shared" si="2"/>
        <v>221.75</v>
      </c>
      <c r="F107" s="1">
        <f t="shared" si="3"/>
        <v>4.11</v>
      </c>
      <c r="G107" s="1">
        <v>54.0</v>
      </c>
      <c r="H107" s="1">
        <v>3.0</v>
      </c>
      <c r="I107" s="1">
        <v>29.0</v>
      </c>
      <c r="J107" s="1">
        <v>32.0</v>
      </c>
      <c r="K107" s="1">
        <v>100.0</v>
      </c>
      <c r="L107" s="1">
        <v>1.0</v>
      </c>
      <c r="M107" s="1">
        <v>9.0</v>
      </c>
      <c r="N107" s="1">
        <v>0.0</v>
      </c>
      <c r="O107" s="1">
        <v>0.0</v>
      </c>
      <c r="P107" s="1">
        <v>137.0</v>
      </c>
      <c r="Q107" s="1">
        <v>74.0</v>
      </c>
    </row>
    <row r="108">
      <c r="A108" s="1">
        <f t="shared" si="1"/>
        <v>106</v>
      </c>
      <c r="B108" s="1" t="s">
        <v>1193</v>
      </c>
      <c r="C108" s="1" t="s">
        <v>1030</v>
      </c>
      <c r="D108" s="1" t="s">
        <v>66</v>
      </c>
      <c r="E108" s="1">
        <f t="shared" si="2"/>
        <v>221.5</v>
      </c>
      <c r="F108" s="1">
        <f t="shared" si="3"/>
        <v>4.18</v>
      </c>
      <c r="G108" s="1">
        <v>53.0</v>
      </c>
      <c r="H108" s="1">
        <v>9.0</v>
      </c>
      <c r="I108" s="1">
        <v>22.0</v>
      </c>
      <c r="J108" s="1">
        <v>31.0</v>
      </c>
      <c r="K108" s="1">
        <v>121.0</v>
      </c>
      <c r="L108" s="1">
        <v>2.0</v>
      </c>
      <c r="M108" s="1">
        <v>4.0</v>
      </c>
      <c r="N108" s="1">
        <v>0.0</v>
      </c>
      <c r="O108" s="1">
        <v>0.0</v>
      </c>
      <c r="P108" s="1">
        <v>44.0</v>
      </c>
      <c r="Q108" s="1">
        <v>87.0</v>
      </c>
    </row>
    <row r="109">
      <c r="A109" s="1">
        <f t="shared" si="1"/>
        <v>107</v>
      </c>
      <c r="B109" s="1" t="s">
        <v>2145</v>
      </c>
      <c r="C109" s="1" t="s">
        <v>1048</v>
      </c>
      <c r="D109" s="1" t="s">
        <v>36</v>
      </c>
      <c r="E109" s="1">
        <f t="shared" si="2"/>
        <v>221</v>
      </c>
      <c r="F109" s="1">
        <f t="shared" si="3"/>
        <v>5.02</v>
      </c>
      <c r="G109" s="1">
        <v>44.0</v>
      </c>
      <c r="H109" s="1">
        <v>14.0</v>
      </c>
      <c r="I109" s="1">
        <v>18.0</v>
      </c>
      <c r="J109" s="1">
        <v>32.0</v>
      </c>
      <c r="K109" s="1">
        <v>145.0</v>
      </c>
      <c r="L109" s="1">
        <v>8.0</v>
      </c>
      <c r="M109" s="1">
        <v>4.0</v>
      </c>
      <c r="N109" s="1">
        <v>0.0</v>
      </c>
      <c r="O109" s="1">
        <v>0.0</v>
      </c>
      <c r="P109" s="1">
        <v>80.0</v>
      </c>
      <c r="Q109" s="1">
        <v>23.0</v>
      </c>
    </row>
    <row r="110">
      <c r="A110" s="1">
        <f t="shared" si="1"/>
        <v>108</v>
      </c>
      <c r="B110" s="1" t="s">
        <v>2289</v>
      </c>
      <c r="C110" s="1" t="s">
        <v>1036</v>
      </c>
      <c r="D110" s="1" t="s">
        <v>5</v>
      </c>
      <c r="E110" s="1">
        <f t="shared" si="2"/>
        <v>220.5</v>
      </c>
      <c r="F110" s="1">
        <f t="shared" si="3"/>
        <v>6.89</v>
      </c>
      <c r="G110" s="1">
        <v>32.0</v>
      </c>
      <c r="R110" s="1">
        <v>21.0</v>
      </c>
      <c r="S110" s="1">
        <v>71.0</v>
      </c>
      <c r="T110" s="1">
        <v>850.0</v>
      </c>
      <c r="U110" s="1">
        <v>3.0</v>
      </c>
    </row>
    <row r="111">
      <c r="A111" s="1">
        <f t="shared" si="1"/>
        <v>108</v>
      </c>
      <c r="B111" s="1" t="s">
        <v>1285</v>
      </c>
      <c r="C111" s="1" t="s">
        <v>1073</v>
      </c>
      <c r="D111" s="1" t="s">
        <v>36</v>
      </c>
      <c r="E111" s="1">
        <f t="shared" si="2"/>
        <v>220.5</v>
      </c>
      <c r="F111" s="1">
        <f t="shared" si="3"/>
        <v>3.94</v>
      </c>
      <c r="G111" s="1">
        <v>56.0</v>
      </c>
      <c r="H111" s="1">
        <v>20.0</v>
      </c>
      <c r="I111" s="1">
        <v>14.0</v>
      </c>
      <c r="J111" s="1">
        <v>34.0</v>
      </c>
      <c r="K111" s="1">
        <v>126.0</v>
      </c>
      <c r="L111" s="1">
        <v>4.0</v>
      </c>
      <c r="M111" s="1">
        <v>1.0</v>
      </c>
      <c r="N111" s="1">
        <v>0.0</v>
      </c>
      <c r="O111" s="1">
        <v>0.0</v>
      </c>
      <c r="P111" s="1">
        <v>68.0</v>
      </c>
      <c r="Q111" s="1">
        <v>17.0</v>
      </c>
    </row>
    <row r="112">
      <c r="A112" s="1">
        <f t="shared" si="1"/>
        <v>110</v>
      </c>
      <c r="B112" s="1" t="s">
        <v>1180</v>
      </c>
      <c r="C112" s="1" t="s">
        <v>1106</v>
      </c>
      <c r="D112" s="1" t="s">
        <v>5</v>
      </c>
      <c r="E112" s="1">
        <f t="shared" si="2"/>
        <v>219.6</v>
      </c>
      <c r="F112" s="1">
        <f t="shared" si="3"/>
        <v>5.23</v>
      </c>
      <c r="G112" s="1">
        <v>42.0</v>
      </c>
      <c r="R112" s="1">
        <v>18.0</v>
      </c>
      <c r="S112" s="1">
        <v>108.0</v>
      </c>
      <c r="T112" s="12">
        <v>1092.0</v>
      </c>
      <c r="U112" s="1">
        <v>0.0</v>
      </c>
    </row>
    <row r="113">
      <c r="A113" s="1">
        <f t="shared" si="1"/>
        <v>111</v>
      </c>
      <c r="B113" s="1" t="s">
        <v>1157</v>
      </c>
      <c r="C113" s="1" t="s">
        <v>1175</v>
      </c>
      <c r="D113" s="1" t="s">
        <v>28</v>
      </c>
      <c r="E113" s="1">
        <f t="shared" si="2"/>
        <v>219.25</v>
      </c>
      <c r="F113" s="1">
        <f t="shared" si="3"/>
        <v>4.06</v>
      </c>
      <c r="G113" s="1">
        <v>54.0</v>
      </c>
      <c r="H113" s="1">
        <v>12.0</v>
      </c>
      <c r="I113" s="1">
        <v>19.0</v>
      </c>
      <c r="J113" s="1">
        <v>31.0</v>
      </c>
      <c r="K113" s="1">
        <v>155.0</v>
      </c>
      <c r="L113" s="1">
        <v>2.0</v>
      </c>
      <c r="M113" s="1">
        <v>8.0</v>
      </c>
      <c r="N113" s="1">
        <v>0.0</v>
      </c>
      <c r="O113" s="1">
        <v>0.0</v>
      </c>
      <c r="P113" s="1">
        <v>75.0</v>
      </c>
      <c r="Q113" s="1">
        <v>24.0</v>
      </c>
    </row>
    <row r="114">
      <c r="A114" s="1">
        <f t="shared" si="1"/>
        <v>112</v>
      </c>
      <c r="B114" s="1" t="s">
        <v>1226</v>
      </c>
      <c r="C114" s="1" t="s">
        <v>1111</v>
      </c>
      <c r="D114" s="1" t="s">
        <v>36</v>
      </c>
      <c r="E114" s="1">
        <f t="shared" si="2"/>
        <v>218.5</v>
      </c>
      <c r="F114" s="1">
        <f t="shared" si="3"/>
        <v>4.46</v>
      </c>
      <c r="G114" s="1">
        <v>49.0</v>
      </c>
      <c r="H114" s="1">
        <v>12.0</v>
      </c>
      <c r="I114" s="1">
        <v>27.0</v>
      </c>
      <c r="J114" s="1">
        <v>39.0</v>
      </c>
      <c r="K114" s="1">
        <v>135.0</v>
      </c>
      <c r="L114" s="1">
        <v>3.0</v>
      </c>
      <c r="M114" s="1">
        <v>7.0</v>
      </c>
      <c r="N114" s="1">
        <v>0.0</v>
      </c>
      <c r="O114" s="1">
        <v>0.0</v>
      </c>
      <c r="P114" s="1">
        <v>26.0</v>
      </c>
      <c r="Q114" s="1">
        <v>19.0</v>
      </c>
    </row>
    <row r="115">
      <c r="A115" s="1">
        <f t="shared" si="1"/>
        <v>112</v>
      </c>
      <c r="B115" s="1" t="s">
        <v>1317</v>
      </c>
      <c r="C115" s="1" t="s">
        <v>1091</v>
      </c>
      <c r="D115" s="1" t="s">
        <v>66</v>
      </c>
      <c r="E115" s="1">
        <f t="shared" si="2"/>
        <v>218.5</v>
      </c>
      <c r="F115" s="1">
        <f t="shared" si="3"/>
        <v>3.9</v>
      </c>
      <c r="G115" s="1">
        <v>56.0</v>
      </c>
      <c r="H115" s="1">
        <v>7.0</v>
      </c>
      <c r="I115" s="1">
        <v>19.0</v>
      </c>
      <c r="J115" s="1">
        <v>26.0</v>
      </c>
      <c r="K115" s="1">
        <v>126.0</v>
      </c>
      <c r="L115" s="1">
        <v>0.0</v>
      </c>
      <c r="M115" s="1">
        <v>10.0</v>
      </c>
      <c r="N115" s="1">
        <v>0.0</v>
      </c>
      <c r="O115" s="1">
        <v>0.0</v>
      </c>
      <c r="P115" s="1">
        <v>56.0</v>
      </c>
      <c r="Q115" s="1">
        <v>106.0</v>
      </c>
    </row>
    <row r="116">
      <c r="A116" s="1">
        <f t="shared" si="1"/>
        <v>114</v>
      </c>
      <c r="B116" s="1" t="s">
        <v>1147</v>
      </c>
      <c r="C116" s="1" t="s">
        <v>1085</v>
      </c>
      <c r="D116" s="1" t="s">
        <v>28</v>
      </c>
      <c r="E116" s="1">
        <f t="shared" si="2"/>
        <v>218</v>
      </c>
      <c r="F116" s="1">
        <f t="shared" si="3"/>
        <v>5.32</v>
      </c>
      <c r="G116" s="1">
        <v>41.0</v>
      </c>
      <c r="H116" s="1">
        <v>15.0</v>
      </c>
      <c r="I116" s="1">
        <v>28.0</v>
      </c>
      <c r="J116" s="1">
        <v>43.0</v>
      </c>
      <c r="K116" s="1">
        <v>92.0</v>
      </c>
      <c r="L116" s="1">
        <v>6.0</v>
      </c>
      <c r="M116" s="1">
        <v>12.0</v>
      </c>
      <c r="N116" s="1">
        <v>0.0</v>
      </c>
      <c r="O116" s="1">
        <v>0.0</v>
      </c>
      <c r="P116" s="1">
        <v>52.0</v>
      </c>
      <c r="Q116" s="1">
        <v>15.0</v>
      </c>
    </row>
    <row r="117">
      <c r="A117" s="1">
        <f t="shared" si="1"/>
        <v>115</v>
      </c>
      <c r="B117" s="1" t="s">
        <v>1569</v>
      </c>
      <c r="C117" s="1" t="s">
        <v>1052</v>
      </c>
      <c r="D117" s="1" t="s">
        <v>31</v>
      </c>
      <c r="E117" s="1">
        <f t="shared" si="2"/>
        <v>217.75</v>
      </c>
      <c r="F117" s="1">
        <f t="shared" si="3"/>
        <v>4.03</v>
      </c>
      <c r="G117" s="1">
        <v>54.0</v>
      </c>
      <c r="H117" s="1">
        <v>17.0</v>
      </c>
      <c r="I117" s="1">
        <v>13.0</v>
      </c>
      <c r="J117" s="1">
        <v>30.0</v>
      </c>
      <c r="K117" s="1">
        <v>154.0</v>
      </c>
      <c r="L117" s="1">
        <v>2.0</v>
      </c>
      <c r="M117" s="1">
        <v>3.0</v>
      </c>
      <c r="N117" s="1">
        <v>0.0</v>
      </c>
      <c r="O117" s="1">
        <v>0.0</v>
      </c>
      <c r="P117" s="1">
        <v>41.0</v>
      </c>
      <c r="Q117" s="1">
        <v>30.0</v>
      </c>
    </row>
    <row r="118">
      <c r="A118" s="1">
        <f t="shared" si="1"/>
        <v>116</v>
      </c>
      <c r="B118" s="1" t="s">
        <v>1153</v>
      </c>
      <c r="C118" s="1" t="s">
        <v>1036</v>
      </c>
      <c r="D118" s="1" t="s">
        <v>28</v>
      </c>
      <c r="E118" s="1">
        <f t="shared" si="2"/>
        <v>217.5</v>
      </c>
      <c r="F118" s="1">
        <f t="shared" si="3"/>
        <v>4.18</v>
      </c>
      <c r="G118" s="1">
        <v>52.0</v>
      </c>
      <c r="H118" s="1">
        <v>16.0</v>
      </c>
      <c r="I118" s="1">
        <v>19.0</v>
      </c>
      <c r="J118" s="1">
        <v>35.0</v>
      </c>
      <c r="K118" s="1">
        <v>135.0</v>
      </c>
      <c r="L118" s="1">
        <v>9.0</v>
      </c>
      <c r="M118" s="1">
        <v>11.0</v>
      </c>
      <c r="N118" s="1">
        <v>0.0</v>
      </c>
      <c r="O118" s="1">
        <v>0.0</v>
      </c>
      <c r="P118" s="1">
        <v>26.0</v>
      </c>
      <c r="Q118" s="1">
        <v>29.0</v>
      </c>
    </row>
    <row r="119">
      <c r="A119" s="1">
        <f t="shared" si="1"/>
        <v>117</v>
      </c>
      <c r="B119" s="1" t="s">
        <v>1070</v>
      </c>
      <c r="C119" s="1" t="s">
        <v>1040</v>
      </c>
      <c r="D119" s="1" t="s">
        <v>28</v>
      </c>
      <c r="E119" s="1">
        <f t="shared" si="2"/>
        <v>217.25</v>
      </c>
      <c r="F119" s="1">
        <f t="shared" si="3"/>
        <v>4.35</v>
      </c>
      <c r="G119" s="1">
        <v>50.0</v>
      </c>
      <c r="H119" s="1">
        <v>20.0</v>
      </c>
      <c r="I119" s="1">
        <v>10.0</v>
      </c>
      <c r="J119" s="1">
        <v>30.0</v>
      </c>
      <c r="K119" s="1">
        <v>102.0</v>
      </c>
      <c r="L119" s="1">
        <v>11.0</v>
      </c>
      <c r="M119" s="1">
        <v>3.0</v>
      </c>
      <c r="N119" s="1">
        <v>0.0</v>
      </c>
      <c r="O119" s="1">
        <v>0.0</v>
      </c>
      <c r="P119" s="1">
        <v>115.0</v>
      </c>
      <c r="Q119" s="1">
        <v>35.0</v>
      </c>
    </row>
    <row r="120">
      <c r="A120" s="1">
        <f t="shared" si="1"/>
        <v>117</v>
      </c>
      <c r="B120" s="1" t="s">
        <v>1165</v>
      </c>
      <c r="C120" s="1" t="s">
        <v>1080</v>
      </c>
      <c r="D120" s="1" t="s">
        <v>31</v>
      </c>
      <c r="E120" s="1">
        <f t="shared" si="2"/>
        <v>217.25</v>
      </c>
      <c r="F120" s="1">
        <f t="shared" si="3"/>
        <v>3.88</v>
      </c>
      <c r="G120" s="1">
        <v>56.0</v>
      </c>
      <c r="H120" s="1">
        <v>14.0</v>
      </c>
      <c r="I120" s="1">
        <v>25.0</v>
      </c>
      <c r="J120" s="1">
        <v>39.0</v>
      </c>
      <c r="K120" s="1">
        <v>111.0</v>
      </c>
      <c r="L120" s="1">
        <v>1.0</v>
      </c>
      <c r="M120" s="1">
        <v>7.0</v>
      </c>
      <c r="N120" s="1">
        <v>0.0</v>
      </c>
      <c r="O120" s="1">
        <v>1.0</v>
      </c>
      <c r="P120" s="1">
        <v>29.0</v>
      </c>
      <c r="Q120" s="1">
        <v>29.0</v>
      </c>
    </row>
    <row r="121">
      <c r="A121" s="1">
        <f t="shared" si="1"/>
        <v>119</v>
      </c>
      <c r="B121" s="1" t="s">
        <v>1088</v>
      </c>
      <c r="C121" s="1" t="s">
        <v>1030</v>
      </c>
      <c r="D121" s="1" t="s">
        <v>31</v>
      </c>
      <c r="E121" s="1">
        <f t="shared" si="2"/>
        <v>216</v>
      </c>
      <c r="F121" s="1">
        <f t="shared" si="3"/>
        <v>3.86</v>
      </c>
      <c r="G121" s="1">
        <v>56.0</v>
      </c>
      <c r="H121" s="1">
        <v>11.0</v>
      </c>
      <c r="I121" s="1">
        <v>21.0</v>
      </c>
      <c r="J121" s="1">
        <v>32.0</v>
      </c>
      <c r="K121" s="1">
        <v>170.0</v>
      </c>
      <c r="L121" s="1">
        <v>3.0</v>
      </c>
      <c r="M121" s="1">
        <v>6.0</v>
      </c>
      <c r="N121" s="1">
        <v>0.0</v>
      </c>
      <c r="O121" s="1">
        <v>0.0</v>
      </c>
      <c r="P121" s="1">
        <v>36.0</v>
      </c>
      <c r="Q121" s="1">
        <v>19.0</v>
      </c>
    </row>
    <row r="122">
      <c r="A122" s="1">
        <f t="shared" si="1"/>
        <v>120</v>
      </c>
      <c r="B122" s="1" t="s">
        <v>1276</v>
      </c>
      <c r="C122" s="1" t="s">
        <v>1034</v>
      </c>
      <c r="D122" s="1" t="s">
        <v>28</v>
      </c>
      <c r="E122" s="1">
        <f t="shared" si="2"/>
        <v>215.75</v>
      </c>
      <c r="F122" s="1">
        <f t="shared" si="3"/>
        <v>3.85</v>
      </c>
      <c r="G122" s="1">
        <v>56.0</v>
      </c>
      <c r="H122" s="1">
        <v>17.0</v>
      </c>
      <c r="I122" s="1">
        <v>19.0</v>
      </c>
      <c r="J122" s="1">
        <v>36.0</v>
      </c>
      <c r="K122" s="1">
        <v>118.0</v>
      </c>
      <c r="L122" s="1">
        <v>2.0</v>
      </c>
      <c r="M122" s="1">
        <v>4.0</v>
      </c>
      <c r="N122" s="1">
        <v>0.0</v>
      </c>
      <c r="O122" s="1">
        <v>0.0</v>
      </c>
      <c r="P122" s="1">
        <v>51.0</v>
      </c>
      <c r="Q122" s="1">
        <v>21.0</v>
      </c>
    </row>
    <row r="123">
      <c r="A123" s="1">
        <f t="shared" si="1"/>
        <v>121</v>
      </c>
      <c r="B123" s="1" t="s">
        <v>1154</v>
      </c>
      <c r="C123" s="1" t="s">
        <v>1085</v>
      </c>
      <c r="D123" s="1" t="s">
        <v>31</v>
      </c>
      <c r="E123" s="1">
        <f t="shared" si="2"/>
        <v>215.25</v>
      </c>
      <c r="F123" s="1">
        <f t="shared" si="3"/>
        <v>4.14</v>
      </c>
      <c r="G123" s="1">
        <v>52.0</v>
      </c>
      <c r="H123" s="1">
        <v>11.0</v>
      </c>
      <c r="I123" s="1">
        <v>24.0</v>
      </c>
      <c r="J123" s="1">
        <v>35.0</v>
      </c>
      <c r="K123" s="1">
        <v>124.0</v>
      </c>
      <c r="L123" s="1">
        <v>3.0</v>
      </c>
      <c r="M123" s="1">
        <v>6.0</v>
      </c>
      <c r="N123" s="1">
        <v>0.0</v>
      </c>
      <c r="O123" s="1">
        <v>0.0</v>
      </c>
      <c r="P123" s="1">
        <v>73.0</v>
      </c>
      <c r="Q123" s="1">
        <v>27.0</v>
      </c>
    </row>
    <row r="124">
      <c r="A124" s="1">
        <f t="shared" si="1"/>
        <v>122</v>
      </c>
      <c r="B124" s="1" t="s">
        <v>1398</v>
      </c>
      <c r="C124" s="1" t="s">
        <v>1044</v>
      </c>
      <c r="D124" s="1" t="s">
        <v>66</v>
      </c>
      <c r="E124" s="1">
        <f t="shared" si="2"/>
        <v>215</v>
      </c>
      <c r="F124" s="1">
        <f t="shared" si="3"/>
        <v>4.39</v>
      </c>
      <c r="G124" s="1">
        <v>49.0</v>
      </c>
      <c r="H124" s="1">
        <v>6.0</v>
      </c>
      <c r="I124" s="1">
        <v>25.0</v>
      </c>
      <c r="J124" s="1">
        <v>31.0</v>
      </c>
      <c r="K124" s="1">
        <v>120.0</v>
      </c>
      <c r="L124" s="1">
        <v>1.0</v>
      </c>
      <c r="M124" s="1">
        <v>6.0</v>
      </c>
      <c r="N124" s="1">
        <v>0.0</v>
      </c>
      <c r="O124" s="1">
        <v>0.0</v>
      </c>
      <c r="P124" s="1">
        <v>68.0</v>
      </c>
      <c r="Q124" s="1">
        <v>72.0</v>
      </c>
    </row>
    <row r="125">
      <c r="A125" s="1">
        <f t="shared" si="1"/>
        <v>123</v>
      </c>
      <c r="B125" s="1" t="s">
        <v>1132</v>
      </c>
      <c r="C125" s="1" t="s">
        <v>1034</v>
      </c>
      <c r="D125" s="1" t="s">
        <v>31</v>
      </c>
      <c r="E125" s="1">
        <f t="shared" si="2"/>
        <v>214.25</v>
      </c>
      <c r="F125" s="1">
        <f t="shared" si="3"/>
        <v>3.9</v>
      </c>
      <c r="G125" s="1">
        <v>55.0</v>
      </c>
      <c r="H125" s="1">
        <v>14.0</v>
      </c>
      <c r="I125" s="1">
        <v>17.0</v>
      </c>
      <c r="J125" s="1">
        <v>31.0</v>
      </c>
      <c r="K125" s="1">
        <v>122.0</v>
      </c>
      <c r="L125" s="1">
        <v>1.0</v>
      </c>
      <c r="M125" s="1">
        <v>0.0</v>
      </c>
      <c r="N125" s="1">
        <v>1.0</v>
      </c>
      <c r="O125" s="1">
        <v>0.0</v>
      </c>
      <c r="P125" s="1">
        <v>109.0</v>
      </c>
      <c r="Q125" s="1">
        <v>20.0</v>
      </c>
    </row>
    <row r="126">
      <c r="A126" s="1">
        <f t="shared" si="1"/>
        <v>124</v>
      </c>
      <c r="B126" s="1" t="s">
        <v>1406</v>
      </c>
      <c r="C126" s="1" t="s">
        <v>1044</v>
      </c>
      <c r="D126" s="1" t="s">
        <v>31</v>
      </c>
      <c r="E126" s="1">
        <f t="shared" si="2"/>
        <v>213.5</v>
      </c>
      <c r="F126" s="1">
        <f t="shared" si="3"/>
        <v>3.81</v>
      </c>
      <c r="G126" s="1">
        <v>56.0</v>
      </c>
      <c r="H126" s="1">
        <v>17.0</v>
      </c>
      <c r="I126" s="1">
        <v>18.0</v>
      </c>
      <c r="J126" s="1">
        <v>35.0</v>
      </c>
      <c r="K126" s="1">
        <v>96.0</v>
      </c>
      <c r="L126" s="1">
        <v>6.0</v>
      </c>
      <c r="M126" s="1">
        <v>8.0</v>
      </c>
      <c r="N126" s="1">
        <v>0.0</v>
      </c>
      <c r="O126" s="1">
        <v>0.0</v>
      </c>
      <c r="P126" s="1">
        <v>72.0</v>
      </c>
      <c r="Q126" s="1">
        <v>34.0</v>
      </c>
    </row>
    <row r="127">
      <c r="A127" s="1">
        <f t="shared" si="1"/>
        <v>125</v>
      </c>
      <c r="B127" s="1" t="s">
        <v>2186</v>
      </c>
      <c r="C127" s="1" t="s">
        <v>1032</v>
      </c>
      <c r="D127" s="1" t="s">
        <v>66</v>
      </c>
      <c r="E127" s="1">
        <f t="shared" si="2"/>
        <v>212.75</v>
      </c>
      <c r="F127" s="1">
        <f t="shared" si="3"/>
        <v>4.01</v>
      </c>
      <c r="G127" s="1">
        <v>53.0</v>
      </c>
      <c r="H127" s="1">
        <v>4.0</v>
      </c>
      <c r="I127" s="1">
        <v>23.0</v>
      </c>
      <c r="J127" s="1">
        <v>27.0</v>
      </c>
      <c r="K127" s="1">
        <v>103.0</v>
      </c>
      <c r="L127" s="1">
        <v>1.0</v>
      </c>
      <c r="M127" s="1">
        <v>1.0</v>
      </c>
      <c r="N127" s="1">
        <v>1.0</v>
      </c>
      <c r="O127" s="1">
        <v>0.0</v>
      </c>
      <c r="P127" s="1">
        <v>101.0</v>
      </c>
      <c r="Q127" s="1">
        <v>94.0</v>
      </c>
    </row>
    <row r="128">
      <c r="A128" s="1">
        <f t="shared" si="1"/>
        <v>126</v>
      </c>
      <c r="B128" s="1" t="s">
        <v>1064</v>
      </c>
      <c r="C128" s="1" t="s">
        <v>1048</v>
      </c>
      <c r="D128" s="1" t="s">
        <v>28</v>
      </c>
      <c r="E128" s="1">
        <f t="shared" si="2"/>
        <v>211.75</v>
      </c>
      <c r="F128" s="1">
        <f t="shared" si="3"/>
        <v>3.78</v>
      </c>
      <c r="G128" s="1">
        <v>56.0</v>
      </c>
      <c r="H128" s="1">
        <v>18.0</v>
      </c>
      <c r="I128" s="1">
        <v>8.0</v>
      </c>
      <c r="J128" s="1">
        <v>26.0</v>
      </c>
      <c r="K128" s="1">
        <v>158.0</v>
      </c>
      <c r="L128" s="1">
        <v>2.0</v>
      </c>
      <c r="M128" s="1">
        <v>2.0</v>
      </c>
      <c r="N128" s="1">
        <v>0.0</v>
      </c>
      <c r="O128" s="1">
        <v>0.0</v>
      </c>
      <c r="P128" s="1">
        <v>69.0</v>
      </c>
      <c r="Q128" s="1">
        <v>21.0</v>
      </c>
    </row>
    <row r="129">
      <c r="A129" s="1">
        <f t="shared" si="1"/>
        <v>127</v>
      </c>
      <c r="B129" s="1" t="s">
        <v>1933</v>
      </c>
      <c r="C129" s="1" t="s">
        <v>1175</v>
      </c>
      <c r="D129" s="1" t="s">
        <v>31</v>
      </c>
      <c r="E129" s="1">
        <f t="shared" si="2"/>
        <v>211.5</v>
      </c>
      <c r="F129" s="1">
        <f t="shared" si="3"/>
        <v>3.99</v>
      </c>
      <c r="G129" s="1">
        <v>53.0</v>
      </c>
      <c r="H129" s="1">
        <v>17.0</v>
      </c>
      <c r="I129" s="1">
        <v>14.0</v>
      </c>
      <c r="J129" s="1">
        <v>31.0</v>
      </c>
      <c r="K129" s="1">
        <v>114.0</v>
      </c>
      <c r="L129" s="1">
        <v>2.0</v>
      </c>
      <c r="M129" s="1">
        <v>4.0</v>
      </c>
      <c r="N129" s="1">
        <v>1.0</v>
      </c>
      <c r="O129" s="1">
        <v>0.0</v>
      </c>
      <c r="P129" s="1">
        <v>58.0</v>
      </c>
      <c r="Q129" s="1">
        <v>39.0</v>
      </c>
    </row>
    <row r="130">
      <c r="A130" s="1">
        <f t="shared" si="1"/>
        <v>128</v>
      </c>
      <c r="B130" s="1" t="s">
        <v>1139</v>
      </c>
      <c r="C130" s="1" t="s">
        <v>1032</v>
      </c>
      <c r="D130" s="1" t="s">
        <v>66</v>
      </c>
      <c r="E130" s="1">
        <f t="shared" si="2"/>
        <v>211.25</v>
      </c>
      <c r="F130" s="1">
        <f t="shared" si="3"/>
        <v>3.84</v>
      </c>
      <c r="G130" s="1">
        <v>55.0</v>
      </c>
      <c r="H130" s="1">
        <v>5.0</v>
      </c>
      <c r="I130" s="1">
        <v>30.0</v>
      </c>
      <c r="J130" s="1">
        <v>35.0</v>
      </c>
      <c r="K130" s="1">
        <v>101.0</v>
      </c>
      <c r="L130" s="1">
        <v>1.0</v>
      </c>
      <c r="M130" s="1">
        <v>11.0</v>
      </c>
      <c r="N130" s="1">
        <v>0.0</v>
      </c>
      <c r="O130" s="1">
        <v>1.0</v>
      </c>
      <c r="P130" s="1">
        <v>63.0</v>
      </c>
      <c r="Q130" s="1">
        <v>61.0</v>
      </c>
    </row>
    <row r="131">
      <c r="A131" s="1">
        <f t="shared" si="1"/>
        <v>129</v>
      </c>
      <c r="B131" s="1" t="s">
        <v>1857</v>
      </c>
      <c r="C131" s="1" t="s">
        <v>1085</v>
      </c>
      <c r="D131" s="1" t="s">
        <v>66</v>
      </c>
      <c r="E131" s="1">
        <f t="shared" si="2"/>
        <v>210.75</v>
      </c>
      <c r="F131" s="1">
        <f t="shared" si="3"/>
        <v>3.98</v>
      </c>
      <c r="G131" s="1">
        <v>53.0</v>
      </c>
      <c r="H131" s="1">
        <v>7.0</v>
      </c>
      <c r="I131" s="1">
        <v>29.0</v>
      </c>
      <c r="J131" s="1">
        <v>36.0</v>
      </c>
      <c r="K131" s="1">
        <v>108.0</v>
      </c>
      <c r="L131" s="1">
        <v>2.0</v>
      </c>
      <c r="M131" s="1">
        <v>15.0</v>
      </c>
      <c r="N131" s="1">
        <v>0.0</v>
      </c>
      <c r="O131" s="1">
        <v>0.0</v>
      </c>
      <c r="P131" s="1">
        <v>49.0</v>
      </c>
      <c r="Q131" s="1">
        <v>52.0</v>
      </c>
    </row>
    <row r="132">
      <c r="A132" s="1">
        <f t="shared" si="1"/>
        <v>130</v>
      </c>
      <c r="B132" s="1" t="s">
        <v>1234</v>
      </c>
      <c r="C132" s="1" t="s">
        <v>1054</v>
      </c>
      <c r="D132" s="1" t="s">
        <v>5</v>
      </c>
      <c r="E132" s="1">
        <f t="shared" si="2"/>
        <v>210.6</v>
      </c>
      <c r="F132" s="1">
        <f t="shared" si="3"/>
        <v>6.38</v>
      </c>
      <c r="G132" s="1">
        <v>33.0</v>
      </c>
      <c r="R132" s="1">
        <v>19.0</v>
      </c>
      <c r="S132" s="1">
        <v>86.0</v>
      </c>
      <c r="T132" s="1">
        <v>922.0</v>
      </c>
      <c r="U132" s="1">
        <v>2.0</v>
      </c>
    </row>
    <row r="133">
      <c r="A133" s="1">
        <f t="shared" si="1"/>
        <v>131</v>
      </c>
      <c r="B133" s="1" t="s">
        <v>2467</v>
      </c>
      <c r="C133" s="1" t="s">
        <v>1065</v>
      </c>
      <c r="D133" s="1" t="s">
        <v>28</v>
      </c>
      <c r="E133" s="1">
        <f t="shared" si="2"/>
        <v>210.25</v>
      </c>
      <c r="F133" s="1">
        <f t="shared" si="3"/>
        <v>3.82</v>
      </c>
      <c r="G133" s="1">
        <v>55.0</v>
      </c>
      <c r="H133" s="1">
        <v>16.0</v>
      </c>
      <c r="I133" s="1">
        <v>17.0</v>
      </c>
      <c r="J133" s="1">
        <v>33.0</v>
      </c>
      <c r="K133" s="1">
        <v>94.0</v>
      </c>
      <c r="L133" s="1">
        <v>1.0</v>
      </c>
      <c r="M133" s="1">
        <v>3.0</v>
      </c>
      <c r="N133" s="1">
        <v>0.0</v>
      </c>
      <c r="O133" s="1">
        <v>0.0</v>
      </c>
      <c r="P133" s="1">
        <v>93.0</v>
      </c>
      <c r="Q133" s="1">
        <v>34.0</v>
      </c>
    </row>
    <row r="134">
      <c r="A134" s="1">
        <f t="shared" si="1"/>
        <v>132</v>
      </c>
      <c r="B134" s="1" t="s">
        <v>2286</v>
      </c>
      <c r="C134" s="1" t="s">
        <v>1078</v>
      </c>
      <c r="D134" s="1" t="s">
        <v>36</v>
      </c>
      <c r="E134" s="1">
        <f t="shared" si="2"/>
        <v>209.25</v>
      </c>
      <c r="F134" s="1">
        <f t="shared" si="3"/>
        <v>4.27</v>
      </c>
      <c r="G134" s="1">
        <v>49.0</v>
      </c>
      <c r="H134" s="1">
        <v>17.0</v>
      </c>
      <c r="I134" s="1">
        <v>14.0</v>
      </c>
      <c r="J134" s="1">
        <v>31.0</v>
      </c>
      <c r="K134" s="1">
        <v>129.0</v>
      </c>
      <c r="L134" s="1">
        <v>9.0</v>
      </c>
      <c r="M134" s="1">
        <v>2.0</v>
      </c>
      <c r="N134" s="1">
        <v>0.0</v>
      </c>
      <c r="O134" s="1">
        <v>0.0</v>
      </c>
      <c r="P134" s="1">
        <v>85.0</v>
      </c>
      <c r="Q134" s="1">
        <v>10.0</v>
      </c>
    </row>
    <row r="135">
      <c r="A135" s="1">
        <f t="shared" si="1"/>
        <v>132</v>
      </c>
      <c r="B135" s="1" t="s">
        <v>1397</v>
      </c>
      <c r="C135" s="1" t="s">
        <v>1097</v>
      </c>
      <c r="D135" s="1" t="s">
        <v>36</v>
      </c>
      <c r="E135" s="1">
        <f t="shared" si="2"/>
        <v>209.25</v>
      </c>
      <c r="F135" s="1">
        <f t="shared" si="3"/>
        <v>4.02</v>
      </c>
      <c r="G135" s="1">
        <v>52.0</v>
      </c>
      <c r="H135" s="1">
        <v>17.0</v>
      </c>
      <c r="I135" s="1">
        <v>7.0</v>
      </c>
      <c r="J135" s="1">
        <v>24.0</v>
      </c>
      <c r="K135" s="1">
        <v>125.0</v>
      </c>
      <c r="L135" s="1">
        <v>1.0</v>
      </c>
      <c r="M135" s="1">
        <v>1.0</v>
      </c>
      <c r="N135" s="1">
        <v>1.0</v>
      </c>
      <c r="O135" s="1">
        <v>0.0</v>
      </c>
      <c r="P135" s="1">
        <v>139.0</v>
      </c>
      <c r="Q135" s="1">
        <v>25.0</v>
      </c>
    </row>
    <row r="136">
      <c r="A136" s="1">
        <f t="shared" si="1"/>
        <v>134</v>
      </c>
      <c r="B136" s="1" t="s">
        <v>2159</v>
      </c>
      <c r="C136" s="1" t="s">
        <v>1091</v>
      </c>
      <c r="D136" s="1" t="s">
        <v>28</v>
      </c>
      <c r="E136" s="1">
        <f t="shared" si="2"/>
        <v>208.75</v>
      </c>
      <c r="F136" s="1">
        <f t="shared" si="3"/>
        <v>3.94</v>
      </c>
      <c r="G136" s="1">
        <v>53.0</v>
      </c>
      <c r="H136" s="1">
        <v>9.0</v>
      </c>
      <c r="I136" s="1">
        <v>34.0</v>
      </c>
      <c r="J136" s="1">
        <v>43.0</v>
      </c>
      <c r="K136" s="1">
        <v>104.0</v>
      </c>
      <c r="L136" s="1">
        <v>0.0</v>
      </c>
      <c r="M136" s="1">
        <v>8.0</v>
      </c>
      <c r="N136" s="1">
        <v>0.0</v>
      </c>
      <c r="O136" s="1">
        <v>0.0</v>
      </c>
      <c r="P136" s="1">
        <v>17.0</v>
      </c>
      <c r="Q136" s="1">
        <v>20.0</v>
      </c>
    </row>
    <row r="137">
      <c r="A137" s="1">
        <f t="shared" si="1"/>
        <v>135</v>
      </c>
      <c r="B137" s="1" t="s">
        <v>1098</v>
      </c>
      <c r="C137" s="1" t="s">
        <v>1087</v>
      </c>
      <c r="D137" s="1" t="s">
        <v>31</v>
      </c>
      <c r="E137" s="1">
        <f t="shared" si="2"/>
        <v>208.5</v>
      </c>
      <c r="F137" s="1">
        <f t="shared" si="3"/>
        <v>3.72</v>
      </c>
      <c r="G137" s="1">
        <v>56.0</v>
      </c>
      <c r="H137" s="1">
        <v>18.0</v>
      </c>
      <c r="I137" s="1">
        <v>15.0</v>
      </c>
      <c r="J137" s="1">
        <v>33.0</v>
      </c>
      <c r="K137" s="1">
        <v>121.0</v>
      </c>
      <c r="L137" s="1">
        <v>7.0</v>
      </c>
      <c r="M137" s="1">
        <v>2.0</v>
      </c>
      <c r="N137" s="1">
        <v>0.0</v>
      </c>
      <c r="O137" s="1">
        <v>0.0</v>
      </c>
      <c r="P137" s="1">
        <v>36.0</v>
      </c>
      <c r="Q137" s="1">
        <v>26.0</v>
      </c>
    </row>
    <row r="138">
      <c r="A138" s="1">
        <f t="shared" si="1"/>
        <v>136</v>
      </c>
      <c r="B138" s="1" t="s">
        <v>1609</v>
      </c>
      <c r="C138" s="1" t="s">
        <v>1082</v>
      </c>
      <c r="D138" s="1" t="s">
        <v>5</v>
      </c>
      <c r="E138" s="1">
        <f t="shared" si="2"/>
        <v>207.3</v>
      </c>
      <c r="F138" s="1">
        <f t="shared" si="3"/>
        <v>5.6</v>
      </c>
      <c r="G138" s="1">
        <v>37.0</v>
      </c>
      <c r="R138" s="1">
        <v>21.0</v>
      </c>
      <c r="S138" s="1">
        <v>95.0</v>
      </c>
      <c r="T138" s="1">
        <v>936.0</v>
      </c>
      <c r="U138" s="1">
        <v>2.0</v>
      </c>
    </row>
    <row r="139">
      <c r="A139" s="1">
        <f t="shared" si="1"/>
        <v>137</v>
      </c>
      <c r="B139" s="1" t="s">
        <v>1059</v>
      </c>
      <c r="C139" s="1" t="s">
        <v>1032</v>
      </c>
      <c r="D139" s="1" t="s">
        <v>36</v>
      </c>
      <c r="E139" s="1">
        <f t="shared" si="2"/>
        <v>206.75</v>
      </c>
      <c r="F139" s="1">
        <f t="shared" si="3"/>
        <v>4.81</v>
      </c>
      <c r="G139" s="1">
        <v>43.0</v>
      </c>
      <c r="H139" s="1">
        <v>15.0</v>
      </c>
      <c r="I139" s="1">
        <v>18.0</v>
      </c>
      <c r="J139" s="1">
        <v>33.0</v>
      </c>
      <c r="K139" s="1">
        <v>115.0</v>
      </c>
      <c r="L139" s="1">
        <v>3.0</v>
      </c>
      <c r="M139" s="1">
        <v>2.0</v>
      </c>
      <c r="N139" s="1">
        <v>0.0</v>
      </c>
      <c r="O139" s="1">
        <v>0.0</v>
      </c>
      <c r="P139" s="1">
        <v>69.0</v>
      </c>
      <c r="Q139" s="1">
        <v>21.0</v>
      </c>
    </row>
    <row r="140">
      <c r="A140" s="1">
        <f t="shared" si="1"/>
        <v>137</v>
      </c>
      <c r="B140" s="1" t="s">
        <v>1259</v>
      </c>
      <c r="C140" s="1" t="s">
        <v>1069</v>
      </c>
      <c r="D140" s="1" t="s">
        <v>31</v>
      </c>
      <c r="E140" s="1">
        <f t="shared" si="2"/>
        <v>206.75</v>
      </c>
      <c r="F140" s="1">
        <f t="shared" si="3"/>
        <v>3.83</v>
      </c>
      <c r="G140" s="1">
        <v>54.0</v>
      </c>
      <c r="H140" s="1">
        <v>9.0</v>
      </c>
      <c r="I140" s="1">
        <v>23.0</v>
      </c>
      <c r="J140" s="1">
        <v>32.0</v>
      </c>
      <c r="K140" s="1">
        <v>144.0</v>
      </c>
      <c r="L140" s="1">
        <v>0.0</v>
      </c>
      <c r="M140" s="1">
        <v>6.0</v>
      </c>
      <c r="N140" s="1">
        <v>1.0</v>
      </c>
      <c r="O140" s="1">
        <v>1.0</v>
      </c>
      <c r="P140" s="1">
        <v>43.0</v>
      </c>
      <c r="Q140" s="1">
        <v>21.0</v>
      </c>
    </row>
    <row r="141">
      <c r="A141" s="1">
        <f t="shared" si="1"/>
        <v>139</v>
      </c>
      <c r="B141" s="1" t="s">
        <v>1262</v>
      </c>
      <c r="C141" s="1" t="s">
        <v>1087</v>
      </c>
      <c r="D141" s="1" t="s">
        <v>31</v>
      </c>
      <c r="E141" s="1">
        <f t="shared" si="2"/>
        <v>206.25</v>
      </c>
      <c r="F141" s="1">
        <f t="shared" si="3"/>
        <v>3.82</v>
      </c>
      <c r="G141" s="1">
        <v>54.0</v>
      </c>
      <c r="H141" s="1">
        <v>14.0</v>
      </c>
      <c r="I141" s="1">
        <v>14.0</v>
      </c>
      <c r="J141" s="1">
        <v>28.0</v>
      </c>
      <c r="K141" s="1">
        <v>81.0</v>
      </c>
      <c r="L141" s="1">
        <v>5.0</v>
      </c>
      <c r="M141" s="1">
        <v>3.0</v>
      </c>
      <c r="N141" s="1">
        <v>2.0</v>
      </c>
      <c r="O141" s="1">
        <v>0.0</v>
      </c>
      <c r="P141" s="1">
        <v>111.0</v>
      </c>
      <c r="Q141" s="1">
        <v>58.0</v>
      </c>
    </row>
    <row r="142">
      <c r="A142" s="1">
        <f t="shared" si="1"/>
        <v>140</v>
      </c>
      <c r="B142" s="1" t="s">
        <v>1101</v>
      </c>
      <c r="C142" s="1" t="s">
        <v>1048</v>
      </c>
      <c r="D142" s="1" t="s">
        <v>31</v>
      </c>
      <c r="E142" s="1">
        <f t="shared" si="2"/>
        <v>205.75</v>
      </c>
      <c r="F142" s="1">
        <f t="shared" si="3"/>
        <v>4.78</v>
      </c>
      <c r="G142" s="1">
        <v>43.0</v>
      </c>
      <c r="H142" s="1">
        <v>18.0</v>
      </c>
      <c r="I142" s="1">
        <v>18.0</v>
      </c>
      <c r="J142" s="1">
        <v>36.0</v>
      </c>
      <c r="K142" s="1">
        <v>107.0</v>
      </c>
      <c r="L142" s="1">
        <v>1.0</v>
      </c>
      <c r="M142" s="1">
        <v>1.0</v>
      </c>
      <c r="N142" s="1">
        <v>1.0</v>
      </c>
      <c r="O142" s="1">
        <v>0.0</v>
      </c>
      <c r="P142" s="1">
        <v>33.0</v>
      </c>
      <c r="Q142" s="1">
        <v>14.0</v>
      </c>
    </row>
    <row r="143">
      <c r="A143" s="1">
        <f t="shared" si="1"/>
        <v>141</v>
      </c>
      <c r="B143" s="1" t="s">
        <v>2086</v>
      </c>
      <c r="C143" s="1" t="s">
        <v>1038</v>
      </c>
      <c r="D143" s="1" t="s">
        <v>31</v>
      </c>
      <c r="E143" s="1">
        <f t="shared" si="2"/>
        <v>204.75</v>
      </c>
      <c r="F143" s="1">
        <f t="shared" si="3"/>
        <v>4.01</v>
      </c>
      <c r="G143" s="1">
        <v>51.0</v>
      </c>
      <c r="H143" s="1">
        <v>8.0</v>
      </c>
      <c r="I143" s="1">
        <v>36.0</v>
      </c>
      <c r="J143" s="1">
        <v>44.0</v>
      </c>
      <c r="K143" s="1">
        <v>83.0</v>
      </c>
      <c r="L143" s="1">
        <v>3.0</v>
      </c>
      <c r="M143" s="1">
        <v>13.0</v>
      </c>
      <c r="N143" s="1">
        <v>0.0</v>
      </c>
      <c r="O143" s="1">
        <v>0.0</v>
      </c>
      <c r="P143" s="1">
        <v>25.0</v>
      </c>
      <c r="Q143" s="1">
        <v>26.0</v>
      </c>
    </row>
    <row r="144">
      <c r="A144" s="1">
        <f t="shared" si="1"/>
        <v>141</v>
      </c>
      <c r="B144" s="1" t="s">
        <v>1347</v>
      </c>
      <c r="C144" s="1" t="s">
        <v>1034</v>
      </c>
      <c r="D144" s="1" t="s">
        <v>31</v>
      </c>
      <c r="E144" s="1">
        <f t="shared" si="2"/>
        <v>204.75</v>
      </c>
      <c r="F144" s="1">
        <f t="shared" si="3"/>
        <v>3.66</v>
      </c>
      <c r="G144" s="1">
        <v>56.0</v>
      </c>
      <c r="H144" s="1">
        <v>15.0</v>
      </c>
      <c r="I144" s="1">
        <v>18.0</v>
      </c>
      <c r="J144" s="1">
        <v>33.0</v>
      </c>
      <c r="K144" s="1">
        <v>121.0</v>
      </c>
      <c r="L144" s="1">
        <v>5.0</v>
      </c>
      <c r="M144" s="1">
        <v>4.0</v>
      </c>
      <c r="N144" s="1">
        <v>0.0</v>
      </c>
      <c r="O144" s="1">
        <v>1.0</v>
      </c>
      <c r="P144" s="1">
        <v>59.0</v>
      </c>
      <c r="Q144" s="1">
        <v>12.0</v>
      </c>
    </row>
    <row r="145">
      <c r="A145" s="1">
        <f t="shared" si="1"/>
        <v>143</v>
      </c>
      <c r="B145" s="1" t="s">
        <v>1316</v>
      </c>
      <c r="C145" s="1" t="s">
        <v>1082</v>
      </c>
      <c r="D145" s="1" t="s">
        <v>36</v>
      </c>
      <c r="E145" s="1">
        <f t="shared" si="2"/>
        <v>204.25</v>
      </c>
      <c r="F145" s="1">
        <f t="shared" si="3"/>
        <v>3.65</v>
      </c>
      <c r="G145" s="1">
        <v>56.0</v>
      </c>
      <c r="H145" s="1">
        <v>15.0</v>
      </c>
      <c r="I145" s="1">
        <v>14.0</v>
      </c>
      <c r="J145" s="1">
        <v>29.0</v>
      </c>
      <c r="K145" s="1">
        <v>138.0</v>
      </c>
      <c r="L145" s="1">
        <v>3.0</v>
      </c>
      <c r="M145" s="1">
        <v>1.0</v>
      </c>
      <c r="N145" s="1">
        <v>0.0</v>
      </c>
      <c r="O145" s="1">
        <v>0.0</v>
      </c>
      <c r="P145" s="1">
        <v>49.0</v>
      </c>
      <c r="Q145" s="1">
        <v>27.0</v>
      </c>
    </row>
    <row r="146">
      <c r="A146" s="1">
        <f t="shared" si="1"/>
        <v>144</v>
      </c>
      <c r="B146" s="1" t="s">
        <v>1305</v>
      </c>
      <c r="C146" s="1" t="s">
        <v>1087</v>
      </c>
      <c r="D146" s="1" t="s">
        <v>36</v>
      </c>
      <c r="E146" s="1">
        <f t="shared" si="2"/>
        <v>203.5</v>
      </c>
      <c r="F146" s="1">
        <f t="shared" si="3"/>
        <v>3.7</v>
      </c>
      <c r="G146" s="1">
        <v>55.0</v>
      </c>
      <c r="H146" s="1">
        <v>16.0</v>
      </c>
      <c r="I146" s="1">
        <v>17.0</v>
      </c>
      <c r="J146" s="1">
        <v>33.0</v>
      </c>
      <c r="K146" s="1">
        <v>128.0</v>
      </c>
      <c r="L146" s="1">
        <v>1.0</v>
      </c>
      <c r="M146" s="1">
        <v>4.0</v>
      </c>
      <c r="N146" s="1">
        <v>0.0</v>
      </c>
      <c r="O146" s="1">
        <v>0.0</v>
      </c>
      <c r="P146" s="1">
        <v>30.0</v>
      </c>
      <c r="Q146" s="1">
        <v>18.0</v>
      </c>
    </row>
    <row r="147">
      <c r="A147" s="1">
        <f t="shared" si="1"/>
        <v>145</v>
      </c>
      <c r="B147" s="1" t="s">
        <v>1600</v>
      </c>
      <c r="C147" s="1" t="s">
        <v>1106</v>
      </c>
      <c r="D147" s="1" t="s">
        <v>28</v>
      </c>
      <c r="E147" s="1">
        <f t="shared" si="2"/>
        <v>203.25</v>
      </c>
      <c r="F147" s="1">
        <f t="shared" si="3"/>
        <v>3.91</v>
      </c>
      <c r="G147" s="1">
        <v>52.0</v>
      </c>
      <c r="H147" s="1">
        <v>17.0</v>
      </c>
      <c r="I147" s="1">
        <v>19.0</v>
      </c>
      <c r="J147" s="1">
        <v>36.0</v>
      </c>
      <c r="K147" s="1">
        <v>113.0</v>
      </c>
      <c r="L147" s="1">
        <v>7.0</v>
      </c>
      <c r="M147" s="1">
        <v>10.0</v>
      </c>
      <c r="N147" s="1">
        <v>0.0</v>
      </c>
      <c r="O147" s="1">
        <v>0.0</v>
      </c>
      <c r="P147" s="1">
        <v>29.0</v>
      </c>
      <c r="Q147" s="1">
        <v>12.0</v>
      </c>
    </row>
    <row r="148">
      <c r="A148" s="1">
        <f t="shared" si="1"/>
        <v>146</v>
      </c>
      <c r="B148" s="1" t="s">
        <v>1628</v>
      </c>
      <c r="C148" s="1" t="s">
        <v>1034</v>
      </c>
      <c r="D148" s="1" t="s">
        <v>66</v>
      </c>
      <c r="E148" s="1">
        <f t="shared" si="2"/>
        <v>203</v>
      </c>
      <c r="F148" s="1">
        <f t="shared" si="3"/>
        <v>3.63</v>
      </c>
      <c r="G148" s="1">
        <v>56.0</v>
      </c>
      <c r="H148" s="1">
        <v>4.0</v>
      </c>
      <c r="I148" s="1">
        <v>26.0</v>
      </c>
      <c r="J148" s="1">
        <v>30.0</v>
      </c>
      <c r="K148" s="1">
        <v>108.0</v>
      </c>
      <c r="L148" s="1">
        <v>0.0</v>
      </c>
      <c r="M148" s="1">
        <v>8.0</v>
      </c>
      <c r="N148" s="1">
        <v>0.0</v>
      </c>
      <c r="O148" s="1">
        <v>0.0</v>
      </c>
      <c r="P148" s="1">
        <v>66.0</v>
      </c>
      <c r="Q148" s="1">
        <v>73.0</v>
      </c>
    </row>
    <row r="149">
      <c r="A149" s="1">
        <f t="shared" si="1"/>
        <v>147</v>
      </c>
      <c r="B149" s="1" t="s">
        <v>1089</v>
      </c>
      <c r="C149" s="1" t="s">
        <v>1046</v>
      </c>
      <c r="D149" s="1" t="s">
        <v>66</v>
      </c>
      <c r="E149" s="1">
        <f t="shared" si="2"/>
        <v>202.5</v>
      </c>
      <c r="F149" s="1">
        <f t="shared" si="3"/>
        <v>3.62</v>
      </c>
      <c r="G149" s="1">
        <v>56.0</v>
      </c>
      <c r="H149" s="1">
        <v>3.0</v>
      </c>
      <c r="I149" s="1">
        <v>38.0</v>
      </c>
      <c r="J149" s="1">
        <v>41.0</v>
      </c>
      <c r="K149" s="1">
        <v>98.0</v>
      </c>
      <c r="L149" s="1">
        <v>0.0</v>
      </c>
      <c r="M149" s="1">
        <v>19.0</v>
      </c>
      <c r="N149" s="1">
        <v>0.0</v>
      </c>
      <c r="O149" s="1">
        <v>0.0</v>
      </c>
      <c r="P149" s="1">
        <v>18.0</v>
      </c>
      <c r="Q149" s="1">
        <v>43.0</v>
      </c>
    </row>
    <row r="150">
      <c r="A150" s="1">
        <f t="shared" si="1"/>
        <v>147</v>
      </c>
      <c r="B150" s="1" t="s">
        <v>1781</v>
      </c>
      <c r="C150" s="1" t="s">
        <v>1111</v>
      </c>
      <c r="D150" s="1" t="s">
        <v>28</v>
      </c>
      <c r="E150" s="1">
        <f t="shared" si="2"/>
        <v>202.5</v>
      </c>
      <c r="F150" s="1">
        <f t="shared" si="3"/>
        <v>3.62</v>
      </c>
      <c r="G150" s="1">
        <v>56.0</v>
      </c>
      <c r="H150" s="1">
        <v>17.0</v>
      </c>
      <c r="I150" s="1">
        <v>14.0</v>
      </c>
      <c r="J150" s="1">
        <v>31.0</v>
      </c>
      <c r="K150" s="1">
        <v>95.0</v>
      </c>
      <c r="L150" s="1">
        <v>8.0</v>
      </c>
      <c r="M150" s="1">
        <v>3.0</v>
      </c>
      <c r="N150" s="1">
        <v>1.0</v>
      </c>
      <c r="O150" s="1">
        <v>0.0</v>
      </c>
      <c r="P150" s="1">
        <v>48.0</v>
      </c>
      <c r="Q150" s="1">
        <v>45.0</v>
      </c>
    </row>
    <row r="151">
      <c r="A151" s="1">
        <f t="shared" si="1"/>
        <v>149</v>
      </c>
      <c r="B151" s="1" t="s">
        <v>1545</v>
      </c>
      <c r="C151" s="1" t="s">
        <v>1038</v>
      </c>
      <c r="D151" s="1" t="s">
        <v>36</v>
      </c>
      <c r="E151" s="1">
        <f t="shared" si="2"/>
        <v>202</v>
      </c>
      <c r="F151" s="1">
        <f t="shared" si="3"/>
        <v>3.74</v>
      </c>
      <c r="G151" s="1">
        <v>54.0</v>
      </c>
      <c r="H151" s="1">
        <v>13.0</v>
      </c>
      <c r="I151" s="1">
        <v>19.0</v>
      </c>
      <c r="J151" s="1">
        <v>32.0</v>
      </c>
      <c r="K151" s="1">
        <v>132.0</v>
      </c>
      <c r="L151" s="1">
        <v>4.0</v>
      </c>
      <c r="M151" s="1">
        <v>2.0</v>
      </c>
      <c r="N151" s="1">
        <v>0.0</v>
      </c>
      <c r="O151" s="1">
        <v>0.0</v>
      </c>
      <c r="P151" s="1">
        <v>66.0</v>
      </c>
      <c r="Q151" s="1">
        <v>8.0</v>
      </c>
    </row>
    <row r="152">
      <c r="A152" s="1">
        <f t="shared" si="1"/>
        <v>150</v>
      </c>
      <c r="B152" s="1" t="s">
        <v>1160</v>
      </c>
      <c r="C152" s="1" t="s">
        <v>1038</v>
      </c>
      <c r="D152" s="1" t="s">
        <v>66</v>
      </c>
      <c r="E152" s="1">
        <f t="shared" si="2"/>
        <v>201.75</v>
      </c>
      <c r="F152" s="1">
        <f t="shared" si="3"/>
        <v>3.96</v>
      </c>
      <c r="G152" s="1">
        <v>51.0</v>
      </c>
      <c r="H152" s="1">
        <v>5.0</v>
      </c>
      <c r="I152" s="1">
        <v>25.0</v>
      </c>
      <c r="J152" s="1">
        <v>30.0</v>
      </c>
      <c r="K152" s="1">
        <v>92.0</v>
      </c>
      <c r="L152" s="1">
        <v>1.0</v>
      </c>
      <c r="M152" s="1">
        <v>7.0</v>
      </c>
      <c r="N152" s="1">
        <v>0.0</v>
      </c>
      <c r="O152" s="1">
        <v>1.0</v>
      </c>
      <c r="P152" s="1">
        <v>65.0</v>
      </c>
      <c r="Q152" s="1">
        <v>80.0</v>
      </c>
    </row>
    <row r="153">
      <c r="A153" s="1">
        <f t="shared" si="1"/>
        <v>151</v>
      </c>
      <c r="B153" s="1" t="s">
        <v>1188</v>
      </c>
      <c r="C153" s="1" t="s">
        <v>1082</v>
      </c>
      <c r="D153" s="1" t="s">
        <v>36</v>
      </c>
      <c r="E153" s="1">
        <f t="shared" si="2"/>
        <v>200.75</v>
      </c>
      <c r="F153" s="1">
        <f t="shared" si="3"/>
        <v>4.27</v>
      </c>
      <c r="G153" s="1">
        <v>47.0</v>
      </c>
      <c r="H153" s="1">
        <v>13.0</v>
      </c>
      <c r="I153" s="1">
        <v>20.0</v>
      </c>
      <c r="J153" s="1">
        <v>33.0</v>
      </c>
      <c r="K153" s="1">
        <v>83.0</v>
      </c>
      <c r="L153" s="1">
        <v>4.0</v>
      </c>
      <c r="M153" s="1">
        <v>4.0</v>
      </c>
      <c r="N153" s="1">
        <v>1.0</v>
      </c>
      <c r="O153" s="1">
        <v>0.0</v>
      </c>
      <c r="P153" s="1">
        <v>105.0</v>
      </c>
      <c r="Q153" s="1">
        <v>25.0</v>
      </c>
    </row>
    <row r="154">
      <c r="A154" s="1">
        <f t="shared" si="1"/>
        <v>152</v>
      </c>
      <c r="B154" s="1" t="s">
        <v>1179</v>
      </c>
      <c r="C154" s="1" t="s">
        <v>1040</v>
      </c>
      <c r="D154" s="1" t="s">
        <v>5</v>
      </c>
      <c r="E154" s="1">
        <f t="shared" si="2"/>
        <v>200.7</v>
      </c>
      <c r="F154" s="1">
        <f t="shared" si="3"/>
        <v>5.73</v>
      </c>
      <c r="G154" s="1">
        <v>35.0</v>
      </c>
      <c r="R154" s="1">
        <v>16.0</v>
      </c>
      <c r="S154" s="1">
        <v>83.0</v>
      </c>
      <c r="T154" s="1">
        <v>904.0</v>
      </c>
      <c r="U154" s="1">
        <v>2.0</v>
      </c>
    </row>
    <row r="155">
      <c r="A155" s="1">
        <f t="shared" si="1"/>
        <v>153</v>
      </c>
      <c r="B155" s="1" t="s">
        <v>1110</v>
      </c>
      <c r="C155" s="1" t="s">
        <v>1111</v>
      </c>
      <c r="D155" s="1" t="s">
        <v>31</v>
      </c>
      <c r="E155" s="1">
        <f t="shared" si="2"/>
        <v>200</v>
      </c>
      <c r="F155" s="1">
        <f t="shared" si="3"/>
        <v>3.57</v>
      </c>
      <c r="G155" s="1">
        <v>56.0</v>
      </c>
      <c r="H155" s="1">
        <v>14.0</v>
      </c>
      <c r="I155" s="1">
        <v>21.0</v>
      </c>
      <c r="J155" s="1">
        <v>35.0</v>
      </c>
      <c r="K155" s="1">
        <v>124.0</v>
      </c>
      <c r="L155" s="1">
        <v>4.0</v>
      </c>
      <c r="M155" s="1">
        <v>6.0</v>
      </c>
      <c r="N155" s="1">
        <v>0.0</v>
      </c>
      <c r="O155" s="1">
        <v>0.0</v>
      </c>
      <c r="P155" s="1">
        <v>20.0</v>
      </c>
      <c r="Q155" s="1">
        <v>14.0</v>
      </c>
    </row>
    <row r="156">
      <c r="A156" s="1">
        <f t="shared" si="1"/>
        <v>154</v>
      </c>
      <c r="B156" s="1" t="s">
        <v>1332</v>
      </c>
      <c r="C156" s="1" t="s">
        <v>1069</v>
      </c>
      <c r="D156" s="1" t="s">
        <v>28</v>
      </c>
      <c r="E156" s="1">
        <f t="shared" si="2"/>
        <v>199.75</v>
      </c>
      <c r="F156" s="1">
        <f t="shared" si="3"/>
        <v>3.57</v>
      </c>
      <c r="G156" s="1">
        <v>56.0</v>
      </c>
      <c r="H156" s="1">
        <v>18.0</v>
      </c>
      <c r="I156" s="1">
        <v>14.0</v>
      </c>
      <c r="J156" s="1">
        <v>32.0</v>
      </c>
      <c r="K156" s="1">
        <v>91.0</v>
      </c>
      <c r="L156" s="1">
        <v>2.0</v>
      </c>
      <c r="M156" s="1">
        <v>3.0</v>
      </c>
      <c r="N156" s="1">
        <v>1.0</v>
      </c>
      <c r="O156" s="1">
        <v>0.0</v>
      </c>
      <c r="P156" s="1">
        <v>51.0</v>
      </c>
      <c r="Q156" s="1">
        <v>33.0</v>
      </c>
    </row>
    <row r="157">
      <c r="A157" s="1">
        <f t="shared" si="1"/>
        <v>154</v>
      </c>
      <c r="B157" s="1" t="s">
        <v>1302</v>
      </c>
      <c r="C157" s="1" t="s">
        <v>1080</v>
      </c>
      <c r="D157" s="1" t="s">
        <v>31</v>
      </c>
      <c r="E157" s="1">
        <f t="shared" si="2"/>
        <v>199.75</v>
      </c>
      <c r="F157" s="1">
        <f t="shared" si="3"/>
        <v>3.92</v>
      </c>
      <c r="G157" s="1">
        <v>51.0</v>
      </c>
      <c r="H157" s="1">
        <v>14.0</v>
      </c>
      <c r="I157" s="1">
        <v>21.0</v>
      </c>
      <c r="J157" s="1">
        <v>35.0</v>
      </c>
      <c r="K157" s="1">
        <v>83.0</v>
      </c>
      <c r="L157" s="1">
        <v>2.0</v>
      </c>
      <c r="M157" s="1">
        <v>3.0</v>
      </c>
      <c r="N157" s="1">
        <v>1.0</v>
      </c>
      <c r="O157" s="1">
        <v>1.0</v>
      </c>
      <c r="P157" s="1">
        <v>43.0</v>
      </c>
      <c r="Q157" s="1">
        <v>35.0</v>
      </c>
    </row>
    <row r="158">
      <c r="A158" s="1">
        <f t="shared" si="1"/>
        <v>156</v>
      </c>
      <c r="B158" s="1" t="s">
        <v>1877</v>
      </c>
      <c r="C158" s="1" t="s">
        <v>1038</v>
      </c>
      <c r="D158" s="1" t="s">
        <v>28</v>
      </c>
      <c r="E158" s="1">
        <f t="shared" si="2"/>
        <v>198</v>
      </c>
      <c r="F158" s="1">
        <f t="shared" si="3"/>
        <v>3.74</v>
      </c>
      <c r="G158" s="1">
        <v>53.0</v>
      </c>
      <c r="H158" s="1">
        <v>10.0</v>
      </c>
      <c r="I158" s="1">
        <v>23.0</v>
      </c>
      <c r="J158" s="1">
        <v>33.0</v>
      </c>
      <c r="K158" s="1">
        <v>136.0</v>
      </c>
      <c r="L158" s="1">
        <v>2.0</v>
      </c>
      <c r="M158" s="1">
        <v>6.0</v>
      </c>
      <c r="N158" s="1">
        <v>0.0</v>
      </c>
      <c r="O158" s="1">
        <v>0.0</v>
      </c>
      <c r="P158" s="1">
        <v>34.0</v>
      </c>
      <c r="Q158" s="1">
        <v>15.0</v>
      </c>
    </row>
    <row r="159">
      <c r="A159" s="1">
        <f t="shared" si="1"/>
        <v>157</v>
      </c>
      <c r="B159" s="1" t="s">
        <v>1829</v>
      </c>
      <c r="C159" s="1" t="s">
        <v>1120</v>
      </c>
      <c r="D159" s="1" t="s">
        <v>36</v>
      </c>
      <c r="E159" s="1">
        <f t="shared" si="2"/>
        <v>197.75</v>
      </c>
      <c r="F159" s="1">
        <f t="shared" si="3"/>
        <v>3.96</v>
      </c>
      <c r="G159" s="1">
        <v>50.0</v>
      </c>
      <c r="H159" s="1">
        <v>19.0</v>
      </c>
      <c r="I159" s="1">
        <v>17.0</v>
      </c>
      <c r="J159" s="1">
        <v>36.0</v>
      </c>
      <c r="K159" s="1">
        <v>100.0</v>
      </c>
      <c r="L159" s="1">
        <v>0.0</v>
      </c>
      <c r="M159" s="1">
        <v>5.0</v>
      </c>
      <c r="N159" s="1">
        <v>0.0</v>
      </c>
      <c r="O159" s="1">
        <v>0.0</v>
      </c>
      <c r="P159" s="1">
        <v>29.0</v>
      </c>
      <c r="Q159" s="1">
        <v>8.0</v>
      </c>
    </row>
    <row r="160">
      <c r="A160" s="1">
        <f t="shared" si="1"/>
        <v>158</v>
      </c>
      <c r="B160" s="1" t="s">
        <v>1189</v>
      </c>
      <c r="C160" s="1" t="s">
        <v>1076</v>
      </c>
      <c r="D160" s="1" t="s">
        <v>31</v>
      </c>
      <c r="E160" s="1">
        <f t="shared" si="2"/>
        <v>197.5</v>
      </c>
      <c r="F160" s="1">
        <f t="shared" si="3"/>
        <v>3.95</v>
      </c>
      <c r="G160" s="1">
        <v>50.0</v>
      </c>
      <c r="H160" s="1">
        <v>17.0</v>
      </c>
      <c r="I160" s="1">
        <v>18.0</v>
      </c>
      <c r="J160" s="1">
        <v>35.0</v>
      </c>
      <c r="K160" s="1">
        <v>103.0</v>
      </c>
      <c r="L160" s="1">
        <v>5.0</v>
      </c>
      <c r="M160" s="1">
        <v>6.0</v>
      </c>
      <c r="N160" s="1">
        <v>0.0</v>
      </c>
      <c r="O160" s="1">
        <v>0.0</v>
      </c>
      <c r="P160" s="1">
        <v>42.0</v>
      </c>
      <c r="Q160" s="1">
        <v>10.0</v>
      </c>
    </row>
    <row r="161">
      <c r="A161" s="1">
        <f t="shared" si="1"/>
        <v>159</v>
      </c>
      <c r="B161" s="1" t="s">
        <v>1041</v>
      </c>
      <c r="C161" s="1" t="s">
        <v>1042</v>
      </c>
      <c r="D161" s="1" t="s">
        <v>36</v>
      </c>
      <c r="E161" s="1">
        <f t="shared" si="2"/>
        <v>197.25</v>
      </c>
      <c r="F161" s="1">
        <f t="shared" si="3"/>
        <v>5.06</v>
      </c>
      <c r="G161" s="1">
        <v>39.0</v>
      </c>
      <c r="H161" s="1">
        <v>12.0</v>
      </c>
      <c r="I161" s="1">
        <v>20.0</v>
      </c>
      <c r="J161" s="1">
        <v>32.0</v>
      </c>
      <c r="K161" s="1">
        <v>129.0</v>
      </c>
      <c r="L161" s="1">
        <v>3.0</v>
      </c>
      <c r="M161" s="1">
        <v>10.0</v>
      </c>
      <c r="N161" s="1">
        <v>0.0</v>
      </c>
      <c r="O161" s="1">
        <v>0.0</v>
      </c>
      <c r="P161" s="1">
        <v>47.0</v>
      </c>
      <c r="Q161" s="1">
        <v>14.0</v>
      </c>
    </row>
    <row r="162">
      <c r="A162" s="1">
        <f t="shared" si="1"/>
        <v>160</v>
      </c>
      <c r="B162" s="1" t="s">
        <v>1831</v>
      </c>
      <c r="C162" s="1" t="s">
        <v>1054</v>
      </c>
      <c r="D162" s="1" t="s">
        <v>66</v>
      </c>
      <c r="E162" s="1">
        <f t="shared" si="2"/>
        <v>196.5</v>
      </c>
      <c r="F162" s="1">
        <f t="shared" si="3"/>
        <v>3.64</v>
      </c>
      <c r="G162" s="1">
        <v>54.0</v>
      </c>
      <c r="H162" s="1">
        <v>7.0</v>
      </c>
      <c r="I162" s="1">
        <v>18.0</v>
      </c>
      <c r="J162" s="1">
        <v>25.0</v>
      </c>
      <c r="K162" s="1">
        <v>94.0</v>
      </c>
      <c r="L162" s="1">
        <v>3.0</v>
      </c>
      <c r="M162" s="1">
        <v>6.0</v>
      </c>
      <c r="N162" s="1">
        <v>0.0</v>
      </c>
      <c r="O162" s="1">
        <v>0.0</v>
      </c>
      <c r="P162" s="1">
        <v>52.0</v>
      </c>
      <c r="Q162" s="1">
        <v>102.0</v>
      </c>
    </row>
    <row r="163">
      <c r="A163" s="1">
        <f t="shared" si="1"/>
        <v>160</v>
      </c>
      <c r="B163" s="1" t="s">
        <v>1436</v>
      </c>
      <c r="C163" s="1" t="s">
        <v>1091</v>
      </c>
      <c r="D163" s="1" t="s">
        <v>31</v>
      </c>
      <c r="E163" s="1">
        <f t="shared" si="2"/>
        <v>196.5</v>
      </c>
      <c r="F163" s="1">
        <f t="shared" si="3"/>
        <v>3.57</v>
      </c>
      <c r="G163" s="1">
        <v>55.0</v>
      </c>
      <c r="H163" s="1">
        <v>12.0</v>
      </c>
      <c r="I163" s="1">
        <v>19.0</v>
      </c>
      <c r="J163" s="1">
        <v>31.0</v>
      </c>
      <c r="K163" s="1">
        <v>127.0</v>
      </c>
      <c r="L163" s="1">
        <v>3.0</v>
      </c>
      <c r="M163" s="1">
        <v>6.0</v>
      </c>
      <c r="N163" s="1">
        <v>0.0</v>
      </c>
      <c r="O163" s="1">
        <v>0.0</v>
      </c>
      <c r="P163" s="1">
        <v>60.0</v>
      </c>
      <c r="Q163" s="1">
        <v>14.0</v>
      </c>
    </row>
    <row r="164">
      <c r="A164" s="1">
        <f t="shared" si="1"/>
        <v>162</v>
      </c>
      <c r="B164" s="1" t="s">
        <v>1270</v>
      </c>
      <c r="C164" s="1" t="s">
        <v>1106</v>
      </c>
      <c r="D164" s="1" t="s">
        <v>66</v>
      </c>
      <c r="E164" s="1">
        <f t="shared" si="2"/>
        <v>195.75</v>
      </c>
      <c r="F164" s="1">
        <f t="shared" si="3"/>
        <v>3.84</v>
      </c>
      <c r="G164" s="1">
        <v>51.0</v>
      </c>
      <c r="H164" s="1">
        <v>2.0</v>
      </c>
      <c r="I164" s="1">
        <v>30.0</v>
      </c>
      <c r="J164" s="1">
        <v>32.0</v>
      </c>
      <c r="K164" s="1">
        <v>111.0</v>
      </c>
      <c r="L164" s="1">
        <v>1.0</v>
      </c>
      <c r="M164" s="1">
        <v>12.0</v>
      </c>
      <c r="N164" s="1">
        <v>0.0</v>
      </c>
      <c r="O164" s="1">
        <v>0.0</v>
      </c>
      <c r="P164" s="1">
        <v>51.0</v>
      </c>
      <c r="Q164" s="1">
        <v>57.0</v>
      </c>
    </row>
    <row r="165">
      <c r="A165" s="1">
        <f t="shared" si="1"/>
        <v>162</v>
      </c>
      <c r="B165" s="1" t="s">
        <v>1077</v>
      </c>
      <c r="C165" s="1" t="s">
        <v>1078</v>
      </c>
      <c r="D165" s="1" t="s">
        <v>31</v>
      </c>
      <c r="E165" s="1">
        <f t="shared" si="2"/>
        <v>195.75</v>
      </c>
      <c r="F165" s="1">
        <f t="shared" si="3"/>
        <v>3.5</v>
      </c>
      <c r="G165" s="1">
        <v>56.0</v>
      </c>
      <c r="H165" s="1">
        <v>14.0</v>
      </c>
      <c r="I165" s="1">
        <v>15.0</v>
      </c>
      <c r="J165" s="1">
        <v>29.0</v>
      </c>
      <c r="K165" s="1">
        <v>127.0</v>
      </c>
      <c r="L165" s="1">
        <v>4.0</v>
      </c>
      <c r="M165" s="1">
        <v>10.0</v>
      </c>
      <c r="N165" s="1">
        <v>1.0</v>
      </c>
      <c r="O165" s="1">
        <v>0.0</v>
      </c>
      <c r="P165" s="1">
        <v>47.0</v>
      </c>
      <c r="Q165" s="1">
        <v>21.0</v>
      </c>
    </row>
    <row r="166">
      <c r="A166" s="1">
        <f t="shared" si="1"/>
        <v>164</v>
      </c>
      <c r="B166" s="1" t="s">
        <v>2088</v>
      </c>
      <c r="C166" s="1" t="s">
        <v>1038</v>
      </c>
      <c r="D166" s="1" t="s">
        <v>28</v>
      </c>
      <c r="E166" s="1">
        <f t="shared" si="2"/>
        <v>195</v>
      </c>
      <c r="F166" s="1">
        <f t="shared" si="3"/>
        <v>3.48</v>
      </c>
      <c r="G166" s="1">
        <v>56.0</v>
      </c>
      <c r="H166" s="1">
        <v>15.0</v>
      </c>
      <c r="I166" s="1">
        <v>11.0</v>
      </c>
      <c r="J166" s="1">
        <v>26.0</v>
      </c>
      <c r="K166" s="1">
        <v>121.0</v>
      </c>
      <c r="L166" s="1">
        <v>5.0</v>
      </c>
      <c r="M166" s="1">
        <v>4.0</v>
      </c>
      <c r="N166" s="1">
        <v>0.0</v>
      </c>
      <c r="O166" s="1">
        <v>0.0</v>
      </c>
      <c r="P166" s="1">
        <v>102.0</v>
      </c>
      <c r="Q166" s="1">
        <v>17.0</v>
      </c>
    </row>
    <row r="167">
      <c r="A167" s="1">
        <f t="shared" si="1"/>
        <v>165</v>
      </c>
      <c r="B167" s="1" t="s">
        <v>1880</v>
      </c>
      <c r="C167" s="1" t="s">
        <v>1085</v>
      </c>
      <c r="D167" s="1" t="s">
        <v>36</v>
      </c>
      <c r="E167" s="1">
        <f t="shared" si="2"/>
        <v>194.75</v>
      </c>
      <c r="F167" s="1">
        <f t="shared" si="3"/>
        <v>3.54</v>
      </c>
      <c r="G167" s="1">
        <v>55.0</v>
      </c>
      <c r="H167" s="1">
        <v>12.0</v>
      </c>
      <c r="I167" s="1">
        <v>18.0</v>
      </c>
      <c r="J167" s="1">
        <v>30.0</v>
      </c>
      <c r="K167" s="1">
        <v>130.0</v>
      </c>
      <c r="L167" s="1">
        <v>4.0</v>
      </c>
      <c r="M167" s="1">
        <v>4.0</v>
      </c>
      <c r="N167" s="1">
        <v>0.0</v>
      </c>
      <c r="O167" s="1">
        <v>0.0</v>
      </c>
      <c r="P167" s="1">
        <v>63.0</v>
      </c>
      <c r="Q167" s="1">
        <v>12.0</v>
      </c>
    </row>
    <row r="168">
      <c r="A168" s="1">
        <f t="shared" si="1"/>
        <v>166</v>
      </c>
      <c r="B168" s="1" t="s">
        <v>1429</v>
      </c>
      <c r="C168" s="1" t="s">
        <v>1078</v>
      </c>
      <c r="D168" s="1" t="s">
        <v>31</v>
      </c>
      <c r="E168" s="1">
        <f t="shared" si="2"/>
        <v>194.5</v>
      </c>
      <c r="F168" s="1">
        <f t="shared" si="3"/>
        <v>3.54</v>
      </c>
      <c r="G168" s="1">
        <v>55.0</v>
      </c>
      <c r="H168" s="1">
        <v>13.0</v>
      </c>
      <c r="I168" s="1">
        <v>17.0</v>
      </c>
      <c r="J168" s="1">
        <v>30.0</v>
      </c>
      <c r="K168" s="1">
        <v>118.0</v>
      </c>
      <c r="L168" s="1">
        <v>4.0</v>
      </c>
      <c r="M168" s="1">
        <v>4.0</v>
      </c>
      <c r="N168" s="1">
        <v>0.0</v>
      </c>
      <c r="O168" s="1">
        <v>0.0</v>
      </c>
      <c r="P168" s="1">
        <v>26.0</v>
      </c>
      <c r="Q168" s="1">
        <v>39.0</v>
      </c>
    </row>
    <row r="169">
      <c r="A169" s="1">
        <f t="shared" si="1"/>
        <v>167</v>
      </c>
      <c r="B169" s="1" t="s">
        <v>1284</v>
      </c>
      <c r="C169" s="1" t="s">
        <v>1065</v>
      </c>
      <c r="D169" s="1" t="s">
        <v>31</v>
      </c>
      <c r="E169" s="1">
        <f t="shared" si="2"/>
        <v>193.75</v>
      </c>
      <c r="F169" s="1">
        <f t="shared" si="3"/>
        <v>3.73</v>
      </c>
      <c r="G169" s="1">
        <v>52.0</v>
      </c>
      <c r="H169" s="1">
        <v>9.0</v>
      </c>
      <c r="I169" s="1">
        <v>19.0</v>
      </c>
      <c r="J169" s="1">
        <v>28.0</v>
      </c>
      <c r="K169" s="1">
        <v>144.0</v>
      </c>
      <c r="L169" s="1">
        <v>0.0</v>
      </c>
      <c r="M169" s="1">
        <v>4.0</v>
      </c>
      <c r="N169" s="1">
        <v>0.0</v>
      </c>
      <c r="O169" s="1">
        <v>0.0</v>
      </c>
      <c r="P169" s="1">
        <v>65.0</v>
      </c>
      <c r="Q169" s="1">
        <v>16.0</v>
      </c>
    </row>
    <row r="170">
      <c r="A170" s="1">
        <f t="shared" si="1"/>
        <v>168</v>
      </c>
      <c r="B170" s="1" t="s">
        <v>1108</v>
      </c>
      <c r="C170" s="1" t="s">
        <v>1076</v>
      </c>
      <c r="D170" s="1" t="s">
        <v>31</v>
      </c>
      <c r="E170" s="1">
        <f t="shared" si="2"/>
        <v>191.75</v>
      </c>
      <c r="F170" s="1">
        <f t="shared" si="3"/>
        <v>3.42</v>
      </c>
      <c r="G170" s="1">
        <v>56.0</v>
      </c>
      <c r="H170" s="1">
        <v>11.0</v>
      </c>
      <c r="I170" s="1">
        <v>20.0</v>
      </c>
      <c r="J170" s="1">
        <v>31.0</v>
      </c>
      <c r="K170" s="1">
        <v>142.0</v>
      </c>
      <c r="L170" s="1">
        <v>1.0</v>
      </c>
      <c r="M170" s="1">
        <v>6.0</v>
      </c>
      <c r="N170" s="1">
        <v>0.0</v>
      </c>
      <c r="O170" s="1">
        <v>0.0</v>
      </c>
      <c r="P170" s="1">
        <v>15.0</v>
      </c>
      <c r="Q170" s="1">
        <v>15.0</v>
      </c>
    </row>
    <row r="171">
      <c r="A171" s="1">
        <f t="shared" si="1"/>
        <v>168</v>
      </c>
      <c r="B171" s="1" t="s">
        <v>1404</v>
      </c>
      <c r="C171" s="1" t="s">
        <v>1087</v>
      </c>
      <c r="D171" s="1" t="s">
        <v>66</v>
      </c>
      <c r="E171" s="1">
        <f t="shared" si="2"/>
        <v>191.75</v>
      </c>
      <c r="F171" s="1">
        <f t="shared" si="3"/>
        <v>3.42</v>
      </c>
      <c r="G171" s="1">
        <v>56.0</v>
      </c>
      <c r="H171" s="1">
        <v>2.0</v>
      </c>
      <c r="I171" s="1">
        <v>15.0</v>
      </c>
      <c r="J171" s="1">
        <v>17.0</v>
      </c>
      <c r="K171" s="1">
        <v>121.0</v>
      </c>
      <c r="L171" s="1">
        <v>0.0</v>
      </c>
      <c r="M171" s="1">
        <v>1.0</v>
      </c>
      <c r="N171" s="1">
        <v>0.0</v>
      </c>
      <c r="O171" s="1">
        <v>0.0</v>
      </c>
      <c r="P171" s="1">
        <v>97.0</v>
      </c>
      <c r="Q171" s="1">
        <v>106.0</v>
      </c>
    </row>
    <row r="172">
      <c r="A172" s="1">
        <f t="shared" si="1"/>
        <v>170</v>
      </c>
      <c r="B172" s="1" t="s">
        <v>1289</v>
      </c>
      <c r="C172" s="1" t="s">
        <v>1080</v>
      </c>
      <c r="D172" s="1" t="s">
        <v>66</v>
      </c>
      <c r="E172" s="1">
        <f t="shared" si="2"/>
        <v>191.5</v>
      </c>
      <c r="F172" s="1">
        <f t="shared" si="3"/>
        <v>4.67</v>
      </c>
      <c r="G172" s="1">
        <v>41.0</v>
      </c>
      <c r="H172" s="1">
        <v>7.0</v>
      </c>
      <c r="I172" s="1">
        <v>16.0</v>
      </c>
      <c r="J172" s="1">
        <v>23.0</v>
      </c>
      <c r="K172" s="1">
        <v>126.0</v>
      </c>
      <c r="L172" s="1">
        <v>0.0</v>
      </c>
      <c r="M172" s="1">
        <v>4.0</v>
      </c>
      <c r="N172" s="1">
        <v>0.0</v>
      </c>
      <c r="O172" s="1">
        <v>1.0</v>
      </c>
      <c r="P172" s="1">
        <v>28.0</v>
      </c>
      <c r="Q172" s="1">
        <v>80.0</v>
      </c>
    </row>
    <row r="173">
      <c r="A173" s="1">
        <f t="shared" si="1"/>
        <v>171</v>
      </c>
      <c r="B173" s="1" t="s">
        <v>1201</v>
      </c>
      <c r="C173" s="1" t="s">
        <v>1085</v>
      </c>
      <c r="D173" s="1" t="s">
        <v>66</v>
      </c>
      <c r="E173" s="1">
        <f t="shared" si="2"/>
        <v>191.25</v>
      </c>
      <c r="F173" s="1">
        <f t="shared" si="3"/>
        <v>3.48</v>
      </c>
      <c r="G173" s="1">
        <v>55.0</v>
      </c>
      <c r="H173" s="1">
        <v>8.0</v>
      </c>
      <c r="I173" s="1">
        <v>19.0</v>
      </c>
      <c r="J173" s="1">
        <v>27.0</v>
      </c>
      <c r="K173" s="1">
        <v>121.0</v>
      </c>
      <c r="L173" s="1">
        <v>3.0</v>
      </c>
      <c r="M173" s="1">
        <v>8.0</v>
      </c>
      <c r="N173" s="1">
        <v>0.0</v>
      </c>
      <c r="O173" s="1">
        <v>0.0</v>
      </c>
      <c r="P173" s="1">
        <v>47.0</v>
      </c>
      <c r="Q173" s="1">
        <v>52.0</v>
      </c>
    </row>
    <row r="174">
      <c r="A174" s="1">
        <f t="shared" si="1"/>
        <v>172</v>
      </c>
      <c r="B174" s="1" t="s">
        <v>1090</v>
      </c>
      <c r="C174" s="1" t="s">
        <v>1091</v>
      </c>
      <c r="D174" s="1" t="s">
        <v>31</v>
      </c>
      <c r="E174" s="1">
        <f t="shared" si="2"/>
        <v>190.25</v>
      </c>
      <c r="F174" s="1">
        <f t="shared" si="3"/>
        <v>3.81</v>
      </c>
      <c r="G174" s="1">
        <v>50.0</v>
      </c>
      <c r="H174" s="1">
        <v>11.0</v>
      </c>
      <c r="I174" s="1">
        <v>23.0</v>
      </c>
      <c r="J174" s="1">
        <v>34.0</v>
      </c>
      <c r="K174" s="1">
        <v>100.0</v>
      </c>
      <c r="L174" s="1">
        <v>4.0</v>
      </c>
      <c r="M174" s="1">
        <v>7.0</v>
      </c>
      <c r="N174" s="1">
        <v>0.0</v>
      </c>
      <c r="O174" s="1">
        <v>0.0</v>
      </c>
      <c r="P174" s="1">
        <v>55.0</v>
      </c>
      <c r="Q174" s="1">
        <v>16.0</v>
      </c>
    </row>
    <row r="175">
      <c r="A175" s="1">
        <f t="shared" si="1"/>
        <v>172</v>
      </c>
      <c r="B175" s="1" t="s">
        <v>1826</v>
      </c>
      <c r="C175" s="1" t="s">
        <v>1036</v>
      </c>
      <c r="D175" s="1" t="s">
        <v>36</v>
      </c>
      <c r="E175" s="1">
        <f t="shared" si="2"/>
        <v>190.25</v>
      </c>
      <c r="F175" s="1">
        <f t="shared" si="3"/>
        <v>3.46</v>
      </c>
      <c r="G175" s="1">
        <v>55.0</v>
      </c>
      <c r="H175" s="1">
        <v>15.0</v>
      </c>
      <c r="I175" s="1">
        <v>10.0</v>
      </c>
      <c r="J175" s="1">
        <v>25.0</v>
      </c>
      <c r="K175" s="1">
        <v>115.0</v>
      </c>
      <c r="L175" s="1">
        <v>2.0</v>
      </c>
      <c r="M175" s="1">
        <v>2.0</v>
      </c>
      <c r="N175" s="1">
        <v>0.0</v>
      </c>
      <c r="O175" s="1">
        <v>0.0</v>
      </c>
      <c r="P175" s="1">
        <v>101.0</v>
      </c>
      <c r="Q175" s="1">
        <v>20.0</v>
      </c>
    </row>
    <row r="176">
      <c r="A176" s="1">
        <f t="shared" si="1"/>
        <v>172</v>
      </c>
      <c r="B176" s="1" t="s">
        <v>1704</v>
      </c>
      <c r="C176" s="1" t="s">
        <v>1067</v>
      </c>
      <c r="D176" s="1" t="s">
        <v>28</v>
      </c>
      <c r="E176" s="1">
        <f t="shared" si="2"/>
        <v>190.25</v>
      </c>
      <c r="F176" s="1">
        <f t="shared" si="3"/>
        <v>3.4</v>
      </c>
      <c r="G176" s="1">
        <v>56.0</v>
      </c>
      <c r="H176" s="1">
        <v>13.0</v>
      </c>
      <c r="I176" s="1">
        <v>19.0</v>
      </c>
      <c r="J176" s="1">
        <v>32.0</v>
      </c>
      <c r="K176" s="1">
        <v>129.0</v>
      </c>
      <c r="L176" s="1">
        <v>7.0</v>
      </c>
      <c r="M176" s="1">
        <v>8.0</v>
      </c>
      <c r="N176" s="1">
        <v>0.0</v>
      </c>
      <c r="O176" s="1">
        <v>0.0</v>
      </c>
      <c r="P176" s="1">
        <v>17.0</v>
      </c>
      <c r="Q176" s="1">
        <v>12.0</v>
      </c>
    </row>
    <row r="177">
      <c r="A177" s="1">
        <f t="shared" si="1"/>
        <v>175</v>
      </c>
      <c r="B177" s="1" t="s">
        <v>1121</v>
      </c>
      <c r="C177" s="1" t="s">
        <v>1116</v>
      </c>
      <c r="D177" s="1" t="s">
        <v>66</v>
      </c>
      <c r="E177" s="1">
        <f t="shared" si="2"/>
        <v>189.5</v>
      </c>
      <c r="F177" s="1">
        <f t="shared" si="3"/>
        <v>3.38</v>
      </c>
      <c r="G177" s="1">
        <v>56.0</v>
      </c>
      <c r="H177" s="1">
        <v>4.0</v>
      </c>
      <c r="I177" s="1">
        <v>17.0</v>
      </c>
      <c r="J177" s="1">
        <v>21.0</v>
      </c>
      <c r="K177" s="1">
        <v>116.0</v>
      </c>
      <c r="L177" s="1">
        <v>1.0</v>
      </c>
      <c r="M177" s="1">
        <v>8.0</v>
      </c>
      <c r="N177" s="1">
        <v>0.0</v>
      </c>
      <c r="O177" s="1">
        <v>0.0</v>
      </c>
      <c r="P177" s="1">
        <v>78.0</v>
      </c>
      <c r="Q177" s="1">
        <v>86.0</v>
      </c>
    </row>
    <row r="178">
      <c r="A178" s="1">
        <f t="shared" si="1"/>
        <v>175</v>
      </c>
      <c r="B178" s="1" t="s">
        <v>1061</v>
      </c>
      <c r="C178" s="1" t="s">
        <v>1034</v>
      </c>
      <c r="D178" s="1" t="s">
        <v>31</v>
      </c>
      <c r="E178" s="1">
        <f t="shared" si="2"/>
        <v>189.5</v>
      </c>
      <c r="F178" s="1">
        <f t="shared" si="3"/>
        <v>4.99</v>
      </c>
      <c r="G178" s="1">
        <v>38.0</v>
      </c>
      <c r="H178" s="1">
        <v>17.0</v>
      </c>
      <c r="I178" s="1">
        <v>17.0</v>
      </c>
      <c r="J178" s="1">
        <v>34.0</v>
      </c>
      <c r="K178" s="1">
        <v>91.0</v>
      </c>
      <c r="L178" s="1">
        <v>10.0</v>
      </c>
      <c r="M178" s="1">
        <v>5.0</v>
      </c>
      <c r="N178" s="1">
        <v>0.0</v>
      </c>
      <c r="O178" s="1">
        <v>1.0</v>
      </c>
      <c r="P178" s="1">
        <v>38.0</v>
      </c>
      <c r="Q178" s="1">
        <v>10.0</v>
      </c>
    </row>
    <row r="179">
      <c r="A179" s="1">
        <f t="shared" si="1"/>
        <v>177</v>
      </c>
      <c r="B179" s="1" t="s">
        <v>1726</v>
      </c>
      <c r="C179" s="1" t="s">
        <v>1175</v>
      </c>
      <c r="D179" s="1" t="s">
        <v>36</v>
      </c>
      <c r="E179" s="1">
        <f t="shared" si="2"/>
        <v>189.25</v>
      </c>
      <c r="F179" s="1">
        <f t="shared" si="3"/>
        <v>3.44</v>
      </c>
      <c r="G179" s="1">
        <v>55.0</v>
      </c>
      <c r="H179" s="1">
        <v>12.0</v>
      </c>
      <c r="I179" s="1">
        <v>16.0</v>
      </c>
      <c r="J179" s="1">
        <v>28.0</v>
      </c>
      <c r="K179" s="1">
        <v>129.0</v>
      </c>
      <c r="L179" s="1">
        <v>0.0</v>
      </c>
      <c r="M179" s="1">
        <v>3.0</v>
      </c>
      <c r="N179" s="1">
        <v>0.0</v>
      </c>
      <c r="O179" s="1">
        <v>0.0</v>
      </c>
      <c r="P179" s="1">
        <v>61.0</v>
      </c>
      <c r="Q179" s="1">
        <v>15.0</v>
      </c>
    </row>
    <row r="180">
      <c r="A180" s="1">
        <f t="shared" si="1"/>
        <v>178</v>
      </c>
      <c r="B180" s="1" t="s">
        <v>1167</v>
      </c>
      <c r="C180" s="1" t="s">
        <v>1076</v>
      </c>
      <c r="D180" s="1" t="s">
        <v>28</v>
      </c>
      <c r="E180" s="1">
        <f t="shared" si="2"/>
        <v>188</v>
      </c>
      <c r="F180" s="1">
        <f t="shared" si="3"/>
        <v>3.48</v>
      </c>
      <c r="G180" s="1">
        <v>54.0</v>
      </c>
      <c r="H180" s="1">
        <v>16.0</v>
      </c>
      <c r="I180" s="1">
        <v>14.0</v>
      </c>
      <c r="J180" s="1">
        <v>30.0</v>
      </c>
      <c r="K180" s="1">
        <v>114.0</v>
      </c>
      <c r="L180" s="1">
        <v>2.0</v>
      </c>
      <c r="M180" s="1">
        <v>0.0</v>
      </c>
      <c r="N180" s="1">
        <v>1.0</v>
      </c>
      <c r="O180" s="1">
        <v>0.0</v>
      </c>
      <c r="P180" s="1">
        <v>20.0</v>
      </c>
      <c r="Q180" s="1">
        <v>20.0</v>
      </c>
    </row>
    <row r="181">
      <c r="A181" s="1">
        <f t="shared" si="1"/>
        <v>178</v>
      </c>
      <c r="B181" s="1" t="s">
        <v>1334</v>
      </c>
      <c r="C181" s="1" t="s">
        <v>1085</v>
      </c>
      <c r="D181" s="1" t="s">
        <v>66</v>
      </c>
      <c r="E181" s="1">
        <f t="shared" si="2"/>
        <v>188</v>
      </c>
      <c r="F181" s="1">
        <f t="shared" si="3"/>
        <v>3.36</v>
      </c>
      <c r="G181" s="1">
        <v>56.0</v>
      </c>
      <c r="H181" s="1">
        <v>5.0</v>
      </c>
      <c r="I181" s="1">
        <v>11.0</v>
      </c>
      <c r="J181" s="1">
        <v>16.0</v>
      </c>
      <c r="K181" s="1">
        <v>100.0</v>
      </c>
      <c r="L181" s="1">
        <v>0.0</v>
      </c>
      <c r="M181" s="1">
        <v>2.0</v>
      </c>
      <c r="N181" s="1">
        <v>1.0</v>
      </c>
      <c r="O181" s="1">
        <v>0.0</v>
      </c>
      <c r="P181" s="1">
        <v>114.0</v>
      </c>
      <c r="Q181" s="1">
        <v>104.0</v>
      </c>
    </row>
    <row r="182">
      <c r="A182" s="1">
        <f t="shared" si="1"/>
        <v>180</v>
      </c>
      <c r="B182" s="1" t="s">
        <v>1378</v>
      </c>
      <c r="C182" s="1" t="s">
        <v>1076</v>
      </c>
      <c r="D182" s="1" t="s">
        <v>28</v>
      </c>
      <c r="E182" s="1">
        <f t="shared" si="2"/>
        <v>186</v>
      </c>
      <c r="F182" s="1">
        <f t="shared" si="3"/>
        <v>3.38</v>
      </c>
      <c r="G182" s="1">
        <v>55.0</v>
      </c>
      <c r="H182" s="1">
        <v>17.0</v>
      </c>
      <c r="I182" s="1">
        <v>8.0</v>
      </c>
      <c r="J182" s="1">
        <v>25.0</v>
      </c>
      <c r="K182" s="1">
        <v>127.0</v>
      </c>
      <c r="L182" s="1">
        <v>3.0</v>
      </c>
      <c r="M182" s="1">
        <v>0.0</v>
      </c>
      <c r="N182" s="1">
        <v>0.0</v>
      </c>
      <c r="O182" s="1">
        <v>0.0</v>
      </c>
      <c r="P182" s="1">
        <v>38.0</v>
      </c>
      <c r="Q182" s="1">
        <v>25.0</v>
      </c>
    </row>
    <row r="183">
      <c r="A183" s="1">
        <f t="shared" si="1"/>
        <v>181</v>
      </c>
      <c r="B183" s="1" t="s">
        <v>1716</v>
      </c>
      <c r="C183" s="1" t="s">
        <v>1042</v>
      </c>
      <c r="D183" s="1" t="s">
        <v>28</v>
      </c>
      <c r="E183" s="1">
        <f t="shared" si="2"/>
        <v>185.75</v>
      </c>
      <c r="F183" s="1">
        <f t="shared" si="3"/>
        <v>3.72</v>
      </c>
      <c r="G183" s="1">
        <v>50.0</v>
      </c>
      <c r="H183" s="1">
        <v>10.0</v>
      </c>
      <c r="I183" s="1">
        <v>15.0</v>
      </c>
      <c r="J183" s="1">
        <v>25.0</v>
      </c>
      <c r="K183" s="1">
        <v>151.0</v>
      </c>
      <c r="L183" s="1">
        <v>2.0</v>
      </c>
      <c r="M183" s="1">
        <v>1.0</v>
      </c>
      <c r="N183" s="1">
        <v>0.0</v>
      </c>
      <c r="O183" s="1">
        <v>0.0</v>
      </c>
      <c r="P183" s="1">
        <v>15.0</v>
      </c>
      <c r="Q183" s="1">
        <v>33.0</v>
      </c>
    </row>
    <row r="184">
      <c r="A184" s="1">
        <f t="shared" si="1"/>
        <v>182</v>
      </c>
      <c r="B184" s="1" t="s">
        <v>1210</v>
      </c>
      <c r="C184" s="1" t="s">
        <v>1048</v>
      </c>
      <c r="D184" s="1" t="s">
        <v>28</v>
      </c>
      <c r="E184" s="1">
        <f t="shared" si="2"/>
        <v>185</v>
      </c>
      <c r="F184" s="1">
        <f t="shared" si="3"/>
        <v>3.85</v>
      </c>
      <c r="G184" s="1">
        <v>48.0</v>
      </c>
      <c r="H184" s="1">
        <v>10.0</v>
      </c>
      <c r="I184" s="1">
        <v>17.0</v>
      </c>
      <c r="J184" s="1">
        <v>27.0</v>
      </c>
      <c r="K184" s="1">
        <v>106.0</v>
      </c>
      <c r="L184" s="1">
        <v>1.0</v>
      </c>
      <c r="M184" s="1">
        <v>2.0</v>
      </c>
      <c r="N184" s="1">
        <v>0.0</v>
      </c>
      <c r="O184" s="1">
        <v>0.0</v>
      </c>
      <c r="P184" s="1">
        <v>108.0</v>
      </c>
      <c r="Q184" s="1">
        <v>18.0</v>
      </c>
    </row>
    <row r="185">
      <c r="A185" s="1">
        <f t="shared" si="1"/>
        <v>183</v>
      </c>
      <c r="B185" s="1" t="s">
        <v>1269</v>
      </c>
      <c r="C185" s="1" t="s">
        <v>1116</v>
      </c>
      <c r="D185" s="1" t="s">
        <v>28</v>
      </c>
      <c r="E185" s="1">
        <f t="shared" si="2"/>
        <v>184.25</v>
      </c>
      <c r="F185" s="1">
        <f t="shared" si="3"/>
        <v>3.54</v>
      </c>
      <c r="G185" s="1">
        <v>52.0</v>
      </c>
      <c r="H185" s="1">
        <v>10.0</v>
      </c>
      <c r="I185" s="1">
        <v>14.0</v>
      </c>
      <c r="J185" s="1">
        <v>24.0</v>
      </c>
      <c r="K185" s="1">
        <v>80.0</v>
      </c>
      <c r="L185" s="1">
        <v>0.0</v>
      </c>
      <c r="M185" s="1">
        <v>2.0</v>
      </c>
      <c r="N185" s="1">
        <v>1.0</v>
      </c>
      <c r="O185" s="1">
        <v>0.0</v>
      </c>
      <c r="P185" s="1">
        <v>161.0</v>
      </c>
      <c r="Q185" s="1">
        <v>30.0</v>
      </c>
    </row>
    <row r="186">
      <c r="A186" s="1">
        <f t="shared" si="1"/>
        <v>184</v>
      </c>
      <c r="B186" s="1" t="s">
        <v>1343</v>
      </c>
      <c r="C186" s="1" t="s">
        <v>1080</v>
      </c>
      <c r="D186" s="1" t="s">
        <v>36</v>
      </c>
      <c r="E186" s="1">
        <f t="shared" si="2"/>
        <v>183.5</v>
      </c>
      <c r="F186" s="1">
        <f t="shared" si="3"/>
        <v>3.46</v>
      </c>
      <c r="G186" s="1">
        <v>53.0</v>
      </c>
      <c r="H186" s="1">
        <v>14.0</v>
      </c>
      <c r="I186" s="1">
        <v>11.0</v>
      </c>
      <c r="J186" s="1">
        <v>25.0</v>
      </c>
      <c r="K186" s="1">
        <v>124.0</v>
      </c>
      <c r="L186" s="1">
        <v>4.0</v>
      </c>
      <c r="M186" s="1">
        <v>1.0</v>
      </c>
      <c r="N186" s="1">
        <v>2.0</v>
      </c>
      <c r="O186" s="1">
        <v>0.0</v>
      </c>
      <c r="P186" s="1">
        <v>46.0</v>
      </c>
      <c r="Q186" s="1">
        <v>20.0</v>
      </c>
    </row>
    <row r="187">
      <c r="A187" s="1">
        <f t="shared" si="1"/>
        <v>185</v>
      </c>
      <c r="B187" s="1" t="s">
        <v>1125</v>
      </c>
      <c r="C187" s="1" t="s">
        <v>1106</v>
      </c>
      <c r="D187" s="1" t="s">
        <v>36</v>
      </c>
      <c r="E187" s="1">
        <f t="shared" si="2"/>
        <v>183.25</v>
      </c>
      <c r="F187" s="1">
        <f t="shared" si="3"/>
        <v>3.33</v>
      </c>
      <c r="G187" s="1">
        <v>55.0</v>
      </c>
      <c r="H187" s="1">
        <v>14.0</v>
      </c>
      <c r="I187" s="1">
        <v>21.0</v>
      </c>
      <c r="J187" s="1">
        <v>35.0</v>
      </c>
      <c r="K187" s="1">
        <v>98.0</v>
      </c>
      <c r="L187" s="1">
        <v>0.0</v>
      </c>
      <c r="M187" s="1">
        <v>3.0</v>
      </c>
      <c r="N187" s="1">
        <v>0.0</v>
      </c>
      <c r="O187" s="1">
        <v>0.0</v>
      </c>
      <c r="P187" s="1">
        <v>7.0</v>
      </c>
      <c r="Q187" s="1">
        <v>13.0</v>
      </c>
    </row>
    <row r="188">
      <c r="A188" s="1">
        <f t="shared" si="1"/>
        <v>186</v>
      </c>
      <c r="B188" s="1" t="s">
        <v>1333</v>
      </c>
      <c r="C188" s="1" t="s">
        <v>1046</v>
      </c>
      <c r="D188" s="1" t="s">
        <v>66</v>
      </c>
      <c r="E188" s="1">
        <f t="shared" si="2"/>
        <v>182.75</v>
      </c>
      <c r="F188" s="1">
        <f t="shared" si="3"/>
        <v>3.32</v>
      </c>
      <c r="G188" s="1">
        <v>55.0</v>
      </c>
      <c r="H188" s="1">
        <v>6.0</v>
      </c>
      <c r="I188" s="1">
        <v>15.0</v>
      </c>
      <c r="J188" s="1">
        <v>21.0</v>
      </c>
      <c r="K188" s="1">
        <v>109.0</v>
      </c>
      <c r="L188" s="1">
        <v>0.0</v>
      </c>
      <c r="M188" s="1">
        <v>3.0</v>
      </c>
      <c r="N188" s="1">
        <v>1.0</v>
      </c>
      <c r="O188" s="1">
        <v>1.0</v>
      </c>
      <c r="P188" s="1">
        <v>61.0</v>
      </c>
      <c r="Q188" s="1">
        <v>74.0</v>
      </c>
    </row>
    <row r="189">
      <c r="A189" s="1">
        <f t="shared" si="1"/>
        <v>187</v>
      </c>
      <c r="B189" s="1" t="s">
        <v>1145</v>
      </c>
      <c r="C189" s="1" t="s">
        <v>1052</v>
      </c>
      <c r="D189" s="1" t="s">
        <v>31</v>
      </c>
      <c r="E189" s="1">
        <f t="shared" si="2"/>
        <v>182</v>
      </c>
      <c r="F189" s="1">
        <f t="shared" si="3"/>
        <v>4.23</v>
      </c>
      <c r="G189" s="1">
        <v>43.0</v>
      </c>
      <c r="H189" s="1">
        <v>14.0</v>
      </c>
      <c r="I189" s="1">
        <v>18.0</v>
      </c>
      <c r="J189" s="1">
        <v>32.0</v>
      </c>
      <c r="K189" s="1">
        <v>93.0</v>
      </c>
      <c r="L189" s="1">
        <v>7.0</v>
      </c>
      <c r="M189" s="1">
        <v>3.0</v>
      </c>
      <c r="N189" s="1">
        <v>0.0</v>
      </c>
      <c r="O189" s="1">
        <v>0.0</v>
      </c>
      <c r="P189" s="1">
        <v>40.0</v>
      </c>
      <c r="Q189" s="1">
        <v>17.0</v>
      </c>
    </row>
    <row r="190">
      <c r="A190" s="1">
        <f t="shared" si="1"/>
        <v>187</v>
      </c>
      <c r="B190" s="1" t="s">
        <v>1485</v>
      </c>
      <c r="C190" s="1" t="s">
        <v>1156</v>
      </c>
      <c r="D190" s="1" t="s">
        <v>36</v>
      </c>
      <c r="E190" s="1">
        <f t="shared" si="2"/>
        <v>182</v>
      </c>
      <c r="F190" s="1">
        <f t="shared" si="3"/>
        <v>3.79</v>
      </c>
      <c r="G190" s="1">
        <v>48.0</v>
      </c>
      <c r="H190" s="1">
        <v>12.0</v>
      </c>
      <c r="I190" s="1">
        <v>22.0</v>
      </c>
      <c r="J190" s="1">
        <v>34.0</v>
      </c>
      <c r="K190" s="1">
        <v>85.0</v>
      </c>
      <c r="L190" s="1">
        <v>4.0</v>
      </c>
      <c r="M190" s="1">
        <v>6.0</v>
      </c>
      <c r="N190" s="1">
        <v>0.0</v>
      </c>
      <c r="O190" s="1">
        <v>0.0</v>
      </c>
      <c r="P190" s="1">
        <v>34.0</v>
      </c>
      <c r="Q190" s="1">
        <v>22.0</v>
      </c>
    </row>
    <row r="191">
      <c r="A191" s="1">
        <f t="shared" si="1"/>
        <v>187</v>
      </c>
      <c r="B191" s="1" t="s">
        <v>1483</v>
      </c>
      <c r="C191" s="1" t="s">
        <v>1172</v>
      </c>
      <c r="D191" s="1" t="s">
        <v>28</v>
      </c>
      <c r="E191" s="1">
        <f t="shared" si="2"/>
        <v>182</v>
      </c>
      <c r="F191" s="1">
        <f t="shared" si="3"/>
        <v>3.31</v>
      </c>
      <c r="G191" s="1">
        <v>55.0</v>
      </c>
      <c r="H191" s="1">
        <v>14.0</v>
      </c>
      <c r="I191" s="1">
        <v>13.0</v>
      </c>
      <c r="J191" s="1">
        <v>27.0</v>
      </c>
      <c r="K191" s="1">
        <v>112.0</v>
      </c>
      <c r="L191" s="1">
        <v>1.0</v>
      </c>
      <c r="M191" s="1">
        <v>2.0</v>
      </c>
      <c r="N191" s="1">
        <v>0.0</v>
      </c>
      <c r="O191" s="1">
        <v>0.0</v>
      </c>
      <c r="P191" s="1">
        <v>28.0</v>
      </c>
      <c r="Q191" s="1">
        <v>34.0</v>
      </c>
    </row>
    <row r="192">
      <c r="A192" s="1">
        <f t="shared" si="1"/>
        <v>190</v>
      </c>
      <c r="B192" s="1" t="s">
        <v>1937</v>
      </c>
      <c r="C192" s="1" t="s">
        <v>1078</v>
      </c>
      <c r="D192" s="1" t="s">
        <v>5</v>
      </c>
      <c r="E192" s="1">
        <f t="shared" si="2"/>
        <v>180.9</v>
      </c>
      <c r="F192" s="1">
        <f t="shared" si="3"/>
        <v>5.17</v>
      </c>
      <c r="G192" s="1">
        <v>35.0</v>
      </c>
      <c r="R192" s="1">
        <v>9.0</v>
      </c>
      <c r="S192" s="1">
        <v>97.0</v>
      </c>
      <c r="T192" s="1">
        <v>998.0</v>
      </c>
      <c r="U192" s="1">
        <v>0.0</v>
      </c>
    </row>
    <row r="193">
      <c r="A193" s="1">
        <f t="shared" si="1"/>
        <v>191</v>
      </c>
      <c r="B193" s="1" t="s">
        <v>1366</v>
      </c>
      <c r="C193" s="1" t="s">
        <v>1054</v>
      </c>
      <c r="D193" s="1" t="s">
        <v>28</v>
      </c>
      <c r="E193" s="1">
        <f t="shared" si="2"/>
        <v>180.75</v>
      </c>
      <c r="F193" s="1">
        <f t="shared" si="3"/>
        <v>3.23</v>
      </c>
      <c r="G193" s="1">
        <v>56.0</v>
      </c>
      <c r="H193" s="1">
        <v>6.0</v>
      </c>
      <c r="I193" s="1">
        <v>26.0</v>
      </c>
      <c r="J193" s="1">
        <v>32.0</v>
      </c>
      <c r="K193" s="1">
        <v>80.0</v>
      </c>
      <c r="L193" s="1">
        <v>0.0</v>
      </c>
      <c r="M193" s="1">
        <v>1.0</v>
      </c>
      <c r="N193" s="1">
        <v>0.0</v>
      </c>
      <c r="O193" s="1">
        <v>0.0</v>
      </c>
      <c r="P193" s="1">
        <v>87.0</v>
      </c>
      <c r="Q193" s="1">
        <v>28.0</v>
      </c>
    </row>
    <row r="194">
      <c r="A194" s="1">
        <f t="shared" si="1"/>
        <v>191</v>
      </c>
      <c r="B194" s="1" t="s">
        <v>1438</v>
      </c>
      <c r="C194" s="1" t="s">
        <v>1048</v>
      </c>
      <c r="D194" s="1" t="s">
        <v>31</v>
      </c>
      <c r="E194" s="1">
        <f t="shared" si="2"/>
        <v>180.75</v>
      </c>
      <c r="F194" s="1">
        <f t="shared" si="3"/>
        <v>3.23</v>
      </c>
      <c r="G194" s="1">
        <v>56.0</v>
      </c>
      <c r="H194" s="1">
        <v>17.0</v>
      </c>
      <c r="I194" s="1">
        <v>12.0</v>
      </c>
      <c r="J194" s="1">
        <v>29.0</v>
      </c>
      <c r="K194" s="1">
        <v>82.0</v>
      </c>
      <c r="L194" s="1">
        <v>3.0</v>
      </c>
      <c r="M194" s="1">
        <v>3.0</v>
      </c>
      <c r="N194" s="1">
        <v>1.0</v>
      </c>
      <c r="O194" s="1">
        <v>0.0</v>
      </c>
      <c r="P194" s="1">
        <v>29.0</v>
      </c>
      <c r="Q194" s="1">
        <v>36.0</v>
      </c>
    </row>
    <row r="195">
      <c r="A195" s="1">
        <f t="shared" si="1"/>
        <v>193</v>
      </c>
      <c r="B195" s="1" t="s">
        <v>1130</v>
      </c>
      <c r="C195" s="1" t="s">
        <v>1044</v>
      </c>
      <c r="D195" s="1" t="s">
        <v>28</v>
      </c>
      <c r="E195" s="1">
        <f t="shared" si="2"/>
        <v>180.5</v>
      </c>
      <c r="F195" s="1">
        <f t="shared" si="3"/>
        <v>3.41</v>
      </c>
      <c r="G195" s="1">
        <v>53.0</v>
      </c>
      <c r="H195" s="1">
        <v>12.0</v>
      </c>
      <c r="I195" s="1">
        <v>17.0</v>
      </c>
      <c r="J195" s="1">
        <v>29.0</v>
      </c>
      <c r="K195" s="1">
        <v>111.0</v>
      </c>
      <c r="L195" s="1">
        <v>4.0</v>
      </c>
      <c r="M195" s="1">
        <v>5.0</v>
      </c>
      <c r="N195" s="1">
        <v>0.0</v>
      </c>
      <c r="O195" s="1">
        <v>0.0</v>
      </c>
      <c r="P195" s="1">
        <v>50.0</v>
      </c>
      <c r="Q195" s="1">
        <v>15.0</v>
      </c>
    </row>
    <row r="196">
      <c r="A196" s="1">
        <f t="shared" si="1"/>
        <v>194</v>
      </c>
      <c r="B196" s="1" t="s">
        <v>1386</v>
      </c>
      <c r="C196" s="1" t="s">
        <v>1054</v>
      </c>
      <c r="D196" s="1" t="s">
        <v>66</v>
      </c>
      <c r="E196" s="1">
        <f t="shared" si="2"/>
        <v>180.25</v>
      </c>
      <c r="F196" s="1">
        <f t="shared" si="3"/>
        <v>3.4</v>
      </c>
      <c r="G196" s="1">
        <v>53.0</v>
      </c>
      <c r="H196" s="1">
        <v>9.0</v>
      </c>
      <c r="I196" s="1">
        <v>14.0</v>
      </c>
      <c r="J196" s="1">
        <v>23.0</v>
      </c>
      <c r="K196" s="1">
        <v>79.0</v>
      </c>
      <c r="L196" s="1">
        <v>1.0</v>
      </c>
      <c r="M196" s="1">
        <v>1.0</v>
      </c>
      <c r="N196" s="1">
        <v>0.0</v>
      </c>
      <c r="O196" s="1">
        <v>0.0</v>
      </c>
      <c r="P196" s="1">
        <v>35.0</v>
      </c>
      <c r="Q196" s="1">
        <v>99.0</v>
      </c>
    </row>
    <row r="197">
      <c r="A197" s="1">
        <f t="shared" si="1"/>
        <v>195</v>
      </c>
      <c r="B197" s="1" t="s">
        <v>1203</v>
      </c>
      <c r="C197" s="1" t="s">
        <v>1111</v>
      </c>
      <c r="D197" s="1" t="s">
        <v>36</v>
      </c>
      <c r="E197" s="1">
        <f t="shared" si="2"/>
        <v>179.75</v>
      </c>
      <c r="F197" s="1">
        <f t="shared" si="3"/>
        <v>3.46</v>
      </c>
      <c r="G197" s="1">
        <v>52.0</v>
      </c>
      <c r="H197" s="1">
        <v>10.0</v>
      </c>
      <c r="I197" s="1">
        <v>22.0</v>
      </c>
      <c r="J197" s="1">
        <v>32.0</v>
      </c>
      <c r="K197" s="1">
        <v>105.0</v>
      </c>
      <c r="L197" s="1">
        <v>3.0</v>
      </c>
      <c r="M197" s="1">
        <v>4.0</v>
      </c>
      <c r="N197" s="1">
        <v>0.0</v>
      </c>
      <c r="O197" s="1">
        <v>0.0</v>
      </c>
      <c r="P197" s="1">
        <v>15.0</v>
      </c>
      <c r="Q197" s="1">
        <v>25.0</v>
      </c>
    </row>
    <row r="198">
      <c r="A198" s="1">
        <f t="shared" si="1"/>
        <v>196</v>
      </c>
      <c r="B198" s="1" t="s">
        <v>1754</v>
      </c>
      <c r="C198" s="1" t="s">
        <v>1111</v>
      </c>
      <c r="D198" s="1" t="s">
        <v>66</v>
      </c>
      <c r="E198" s="1">
        <f t="shared" si="2"/>
        <v>179.5</v>
      </c>
      <c r="F198" s="1">
        <f t="shared" si="3"/>
        <v>3.21</v>
      </c>
      <c r="G198" s="1">
        <v>56.0</v>
      </c>
      <c r="H198" s="1">
        <v>3.0</v>
      </c>
      <c r="I198" s="1">
        <v>19.0</v>
      </c>
      <c r="J198" s="1">
        <v>22.0</v>
      </c>
      <c r="K198" s="1">
        <v>72.0</v>
      </c>
      <c r="L198" s="1">
        <v>0.0</v>
      </c>
      <c r="M198" s="1">
        <v>7.0</v>
      </c>
      <c r="N198" s="1">
        <v>0.0</v>
      </c>
      <c r="O198" s="1">
        <v>0.0</v>
      </c>
      <c r="P198" s="1">
        <v>76.0</v>
      </c>
      <c r="Q198" s="1">
        <v>108.0</v>
      </c>
    </row>
    <row r="199">
      <c r="A199" s="1">
        <f t="shared" si="1"/>
        <v>197</v>
      </c>
      <c r="B199" s="1" t="s">
        <v>1162</v>
      </c>
      <c r="C199" s="1" t="s">
        <v>1048</v>
      </c>
      <c r="D199" s="1" t="s">
        <v>5</v>
      </c>
      <c r="E199" s="1">
        <f t="shared" si="2"/>
        <v>179.1</v>
      </c>
      <c r="F199" s="1">
        <f t="shared" si="3"/>
        <v>5.78</v>
      </c>
      <c r="G199" s="1">
        <v>31.0</v>
      </c>
      <c r="R199" s="1">
        <v>19.0</v>
      </c>
      <c r="S199" s="1">
        <v>88.0</v>
      </c>
      <c r="T199" s="1">
        <v>847.0</v>
      </c>
      <c r="U199" s="1">
        <v>0.0</v>
      </c>
    </row>
    <row r="200">
      <c r="A200" s="1">
        <f t="shared" si="1"/>
        <v>198</v>
      </c>
      <c r="B200" s="1" t="s">
        <v>1751</v>
      </c>
      <c r="C200" s="1" t="s">
        <v>1067</v>
      </c>
      <c r="D200" s="1" t="s">
        <v>66</v>
      </c>
      <c r="E200" s="1">
        <f t="shared" si="2"/>
        <v>178.75</v>
      </c>
      <c r="F200" s="1">
        <f t="shared" si="3"/>
        <v>3.65</v>
      </c>
      <c r="G200" s="1">
        <v>49.0</v>
      </c>
      <c r="H200" s="1">
        <v>4.0</v>
      </c>
      <c r="I200" s="1">
        <v>14.0</v>
      </c>
      <c r="J200" s="1">
        <v>18.0</v>
      </c>
      <c r="K200" s="1">
        <v>73.0</v>
      </c>
      <c r="L200" s="1">
        <v>1.0</v>
      </c>
      <c r="M200" s="1">
        <v>6.0</v>
      </c>
      <c r="N200" s="1">
        <v>0.0</v>
      </c>
      <c r="O200" s="1">
        <v>0.0</v>
      </c>
      <c r="P200" s="1">
        <v>193.0</v>
      </c>
      <c r="Q200" s="1">
        <v>68.0</v>
      </c>
    </row>
    <row r="201">
      <c r="A201" s="1">
        <f t="shared" si="1"/>
        <v>199</v>
      </c>
      <c r="B201" s="1" t="s">
        <v>1455</v>
      </c>
      <c r="C201" s="1" t="s">
        <v>1076</v>
      </c>
      <c r="D201" s="1" t="s">
        <v>5</v>
      </c>
      <c r="E201" s="1">
        <f t="shared" si="2"/>
        <v>178.5</v>
      </c>
      <c r="F201" s="1">
        <f t="shared" si="3"/>
        <v>5.1</v>
      </c>
      <c r="G201" s="1">
        <v>35.0</v>
      </c>
      <c r="R201" s="1">
        <v>14.0</v>
      </c>
      <c r="S201" s="1">
        <v>106.0</v>
      </c>
      <c r="T201" s="1">
        <v>975.0</v>
      </c>
      <c r="U201" s="1">
        <v>1.0</v>
      </c>
    </row>
    <row r="202">
      <c r="A202" s="1">
        <f t="shared" si="1"/>
        <v>200</v>
      </c>
      <c r="B202" s="1" t="s">
        <v>1229</v>
      </c>
      <c r="C202" s="1" t="s">
        <v>1120</v>
      </c>
      <c r="D202" s="1" t="s">
        <v>66</v>
      </c>
      <c r="E202" s="1">
        <f t="shared" si="2"/>
        <v>177.75</v>
      </c>
      <c r="F202" s="1">
        <f t="shared" si="3"/>
        <v>3.17</v>
      </c>
      <c r="G202" s="1">
        <v>56.0</v>
      </c>
      <c r="H202" s="1">
        <v>2.0</v>
      </c>
      <c r="I202" s="1">
        <v>24.0</v>
      </c>
      <c r="J202" s="1">
        <v>26.0</v>
      </c>
      <c r="K202" s="1">
        <v>114.0</v>
      </c>
      <c r="L202" s="1">
        <v>0.0</v>
      </c>
      <c r="M202" s="1">
        <v>11.0</v>
      </c>
      <c r="N202" s="1">
        <v>0.0</v>
      </c>
      <c r="O202" s="1">
        <v>0.0</v>
      </c>
      <c r="P202" s="1">
        <v>67.0</v>
      </c>
      <c r="Q202" s="1">
        <v>46.0</v>
      </c>
    </row>
    <row r="203">
      <c r="A203" s="1">
        <f t="shared" si="1"/>
        <v>201</v>
      </c>
      <c r="B203" s="1" t="s">
        <v>2298</v>
      </c>
      <c r="C203" s="1" t="s">
        <v>1030</v>
      </c>
      <c r="D203" s="1" t="s">
        <v>36</v>
      </c>
      <c r="E203" s="1">
        <f t="shared" si="2"/>
        <v>177.5</v>
      </c>
      <c r="F203" s="1">
        <f t="shared" si="3"/>
        <v>3.48</v>
      </c>
      <c r="G203" s="1">
        <v>51.0</v>
      </c>
      <c r="H203" s="1">
        <v>17.0</v>
      </c>
      <c r="I203" s="1">
        <v>14.0</v>
      </c>
      <c r="J203" s="1">
        <v>31.0</v>
      </c>
      <c r="K203" s="1">
        <v>86.0</v>
      </c>
      <c r="L203" s="1">
        <v>5.0</v>
      </c>
      <c r="M203" s="1">
        <v>3.0</v>
      </c>
      <c r="N203" s="1">
        <v>0.0</v>
      </c>
      <c r="O203" s="1">
        <v>0.0</v>
      </c>
      <c r="P203" s="1">
        <v>14.0</v>
      </c>
      <c r="Q203" s="1">
        <v>25.0</v>
      </c>
    </row>
    <row r="204">
      <c r="A204" s="1">
        <f t="shared" si="1"/>
        <v>201</v>
      </c>
      <c r="B204" s="1" t="s">
        <v>1310</v>
      </c>
      <c r="C204" s="1" t="s">
        <v>1048</v>
      </c>
      <c r="D204" s="1" t="s">
        <v>28</v>
      </c>
      <c r="E204" s="1">
        <f t="shared" si="2"/>
        <v>177.5</v>
      </c>
      <c r="F204" s="1">
        <f t="shared" si="3"/>
        <v>4.13</v>
      </c>
      <c r="G204" s="1">
        <v>43.0</v>
      </c>
      <c r="H204" s="1">
        <v>10.0</v>
      </c>
      <c r="I204" s="1">
        <v>22.0</v>
      </c>
      <c r="J204" s="1">
        <v>32.0</v>
      </c>
      <c r="K204" s="1">
        <v>104.0</v>
      </c>
      <c r="L204" s="1">
        <v>1.0</v>
      </c>
      <c r="M204" s="1">
        <v>1.0</v>
      </c>
      <c r="N204" s="1">
        <v>0.0</v>
      </c>
      <c r="O204" s="1">
        <v>1.0</v>
      </c>
      <c r="P204" s="1">
        <v>32.0</v>
      </c>
      <c r="Q204" s="1">
        <v>9.0</v>
      </c>
    </row>
    <row r="205">
      <c r="A205" s="1">
        <f t="shared" si="1"/>
        <v>201</v>
      </c>
      <c r="B205" s="1" t="s">
        <v>1582</v>
      </c>
      <c r="C205" s="1" t="s">
        <v>1172</v>
      </c>
      <c r="D205" s="1" t="s">
        <v>66</v>
      </c>
      <c r="E205" s="1">
        <f t="shared" si="2"/>
        <v>177.5</v>
      </c>
      <c r="F205" s="1">
        <f t="shared" si="3"/>
        <v>3.55</v>
      </c>
      <c r="G205" s="1">
        <v>50.0</v>
      </c>
      <c r="H205" s="1">
        <v>3.0</v>
      </c>
      <c r="I205" s="1">
        <v>12.0</v>
      </c>
      <c r="J205" s="1">
        <v>15.0</v>
      </c>
      <c r="K205" s="1">
        <v>78.0</v>
      </c>
      <c r="L205" s="1">
        <v>1.0</v>
      </c>
      <c r="M205" s="1">
        <v>0.0</v>
      </c>
      <c r="N205" s="1">
        <v>0.0</v>
      </c>
      <c r="O205" s="1">
        <v>1.0</v>
      </c>
      <c r="P205" s="1">
        <v>102.0</v>
      </c>
      <c r="Q205" s="1">
        <v>123.0</v>
      </c>
    </row>
    <row r="206">
      <c r="A206" s="1">
        <f t="shared" si="1"/>
        <v>201</v>
      </c>
      <c r="B206" s="1" t="s">
        <v>1710</v>
      </c>
      <c r="C206" s="1" t="s">
        <v>1044</v>
      </c>
      <c r="D206" s="1" t="s">
        <v>66</v>
      </c>
      <c r="E206" s="1">
        <f t="shared" si="2"/>
        <v>177.5</v>
      </c>
      <c r="F206" s="1">
        <f t="shared" si="3"/>
        <v>3.23</v>
      </c>
      <c r="G206" s="1">
        <v>55.0</v>
      </c>
      <c r="H206" s="1">
        <v>4.0</v>
      </c>
      <c r="I206" s="1">
        <v>13.0</v>
      </c>
      <c r="J206" s="1">
        <v>17.0</v>
      </c>
      <c r="K206" s="1">
        <v>70.0</v>
      </c>
      <c r="L206" s="1">
        <v>0.0</v>
      </c>
      <c r="M206" s="1">
        <v>0.0</v>
      </c>
      <c r="N206" s="1">
        <v>0.0</v>
      </c>
      <c r="O206" s="1">
        <v>1.0</v>
      </c>
      <c r="P206" s="1">
        <v>114.0</v>
      </c>
      <c r="Q206" s="1">
        <v>110.0</v>
      </c>
    </row>
    <row r="207">
      <c r="A207" s="1">
        <f t="shared" si="1"/>
        <v>205</v>
      </c>
      <c r="B207" s="1" t="s">
        <v>1591</v>
      </c>
      <c r="C207" s="1" t="s">
        <v>1087</v>
      </c>
      <c r="D207" s="1" t="s">
        <v>28</v>
      </c>
      <c r="E207" s="1">
        <f t="shared" si="2"/>
        <v>177.25</v>
      </c>
      <c r="F207" s="1">
        <f t="shared" si="3"/>
        <v>3.77</v>
      </c>
      <c r="G207" s="1">
        <v>47.0</v>
      </c>
      <c r="H207" s="1">
        <v>15.0</v>
      </c>
      <c r="I207" s="1">
        <v>13.0</v>
      </c>
      <c r="J207" s="1">
        <v>28.0</v>
      </c>
      <c r="K207" s="1">
        <v>109.0</v>
      </c>
      <c r="L207" s="1">
        <v>3.0</v>
      </c>
      <c r="M207" s="1">
        <v>1.0</v>
      </c>
      <c r="N207" s="1">
        <v>0.0</v>
      </c>
      <c r="O207" s="1">
        <v>0.0</v>
      </c>
      <c r="P207" s="1">
        <v>39.0</v>
      </c>
      <c r="Q207" s="1">
        <v>13.0</v>
      </c>
    </row>
    <row r="208">
      <c r="A208" s="1">
        <f t="shared" si="1"/>
        <v>206</v>
      </c>
      <c r="B208" s="1" t="s">
        <v>1413</v>
      </c>
      <c r="C208" s="1" t="s">
        <v>1087</v>
      </c>
      <c r="D208" s="1" t="s">
        <v>66</v>
      </c>
      <c r="E208" s="1">
        <f t="shared" si="2"/>
        <v>177</v>
      </c>
      <c r="F208" s="1">
        <f t="shared" si="3"/>
        <v>3.16</v>
      </c>
      <c r="G208" s="1">
        <v>56.0</v>
      </c>
      <c r="H208" s="1">
        <v>2.0</v>
      </c>
      <c r="I208" s="1">
        <v>29.0</v>
      </c>
      <c r="J208" s="1">
        <v>31.0</v>
      </c>
      <c r="K208" s="1">
        <v>79.0</v>
      </c>
      <c r="L208" s="1">
        <v>1.0</v>
      </c>
      <c r="M208" s="1">
        <v>10.0</v>
      </c>
      <c r="N208" s="1">
        <v>0.0</v>
      </c>
      <c r="O208" s="1">
        <v>0.0</v>
      </c>
      <c r="P208" s="1">
        <v>58.0</v>
      </c>
      <c r="Q208" s="1">
        <v>54.0</v>
      </c>
    </row>
    <row r="209">
      <c r="A209" s="1">
        <f t="shared" si="1"/>
        <v>207</v>
      </c>
      <c r="B209" s="1" t="s">
        <v>1527</v>
      </c>
      <c r="C209" s="1" t="s">
        <v>1030</v>
      </c>
      <c r="D209" s="1" t="s">
        <v>66</v>
      </c>
      <c r="E209" s="1">
        <f t="shared" si="2"/>
        <v>176.75</v>
      </c>
      <c r="F209" s="1">
        <f t="shared" si="3"/>
        <v>3.68</v>
      </c>
      <c r="G209" s="1">
        <v>48.0</v>
      </c>
      <c r="H209" s="1">
        <v>5.0</v>
      </c>
      <c r="I209" s="1">
        <v>27.0</v>
      </c>
      <c r="J209" s="1">
        <v>32.0</v>
      </c>
      <c r="K209" s="1">
        <v>79.0</v>
      </c>
      <c r="L209" s="1">
        <v>0.0</v>
      </c>
      <c r="M209" s="1">
        <v>9.0</v>
      </c>
      <c r="N209" s="1">
        <v>0.0</v>
      </c>
      <c r="O209" s="1">
        <v>0.0</v>
      </c>
      <c r="P209" s="1">
        <v>31.0</v>
      </c>
      <c r="Q209" s="1">
        <v>52.0</v>
      </c>
    </row>
    <row r="210">
      <c r="A210" s="1">
        <f t="shared" si="1"/>
        <v>208</v>
      </c>
      <c r="B210" s="1" t="s">
        <v>1300</v>
      </c>
      <c r="C210" s="1" t="s">
        <v>1048</v>
      </c>
      <c r="D210" s="1" t="s">
        <v>66</v>
      </c>
      <c r="E210" s="1">
        <f t="shared" si="2"/>
        <v>176.5</v>
      </c>
      <c r="F210" s="1">
        <f t="shared" si="3"/>
        <v>3.27</v>
      </c>
      <c r="G210" s="1">
        <v>54.0</v>
      </c>
      <c r="H210" s="1">
        <v>2.0</v>
      </c>
      <c r="I210" s="1">
        <v>9.0</v>
      </c>
      <c r="J210" s="1">
        <v>11.0</v>
      </c>
      <c r="K210" s="1">
        <v>84.0</v>
      </c>
      <c r="L210" s="1">
        <v>0.0</v>
      </c>
      <c r="M210" s="1">
        <v>0.0</v>
      </c>
      <c r="N210" s="1">
        <v>0.0</v>
      </c>
      <c r="O210" s="1">
        <v>0.0</v>
      </c>
      <c r="P210" s="1">
        <v>250.0</v>
      </c>
      <c r="Q210" s="1">
        <v>72.0</v>
      </c>
    </row>
    <row r="211">
      <c r="A211" s="1">
        <f t="shared" si="1"/>
        <v>208</v>
      </c>
      <c r="B211" s="1" t="s">
        <v>1066</v>
      </c>
      <c r="C211" s="1" t="s">
        <v>1067</v>
      </c>
      <c r="D211" s="1" t="s">
        <v>66</v>
      </c>
      <c r="E211" s="1">
        <f t="shared" si="2"/>
        <v>176.5</v>
      </c>
      <c r="F211" s="1">
        <f t="shared" si="3"/>
        <v>3.15</v>
      </c>
      <c r="G211" s="1">
        <v>56.0</v>
      </c>
      <c r="H211" s="1">
        <v>5.0</v>
      </c>
      <c r="I211" s="1">
        <v>18.0</v>
      </c>
      <c r="J211" s="1">
        <v>23.0</v>
      </c>
      <c r="K211" s="1">
        <v>115.0</v>
      </c>
      <c r="L211" s="1">
        <v>1.0</v>
      </c>
      <c r="M211" s="1">
        <v>10.0</v>
      </c>
      <c r="N211" s="1">
        <v>0.0</v>
      </c>
      <c r="O211" s="1">
        <v>0.0</v>
      </c>
      <c r="P211" s="1">
        <v>80.0</v>
      </c>
      <c r="Q211" s="1">
        <v>45.0</v>
      </c>
    </row>
    <row r="212">
      <c r="A212" s="1">
        <f t="shared" si="1"/>
        <v>210</v>
      </c>
      <c r="B212" s="1" t="s">
        <v>2104</v>
      </c>
      <c r="C212" s="1" t="s">
        <v>1116</v>
      </c>
      <c r="D212" s="1" t="s">
        <v>31</v>
      </c>
      <c r="E212" s="1">
        <f t="shared" si="2"/>
        <v>176</v>
      </c>
      <c r="F212" s="1">
        <f t="shared" si="3"/>
        <v>3.14</v>
      </c>
      <c r="G212" s="1">
        <v>56.0</v>
      </c>
      <c r="H212" s="1">
        <v>13.0</v>
      </c>
      <c r="I212" s="1">
        <v>16.0</v>
      </c>
      <c r="J212" s="1">
        <v>29.0</v>
      </c>
      <c r="K212" s="1">
        <v>101.0</v>
      </c>
      <c r="L212" s="1">
        <v>2.0</v>
      </c>
      <c r="M212" s="1">
        <v>6.0</v>
      </c>
      <c r="N212" s="1">
        <v>0.0</v>
      </c>
      <c r="O212" s="1">
        <v>0.0</v>
      </c>
      <c r="P212" s="1">
        <v>38.0</v>
      </c>
      <c r="Q212" s="1">
        <v>19.0</v>
      </c>
    </row>
    <row r="213">
      <c r="A213" s="1">
        <f t="shared" si="1"/>
        <v>211</v>
      </c>
      <c r="B213" s="1" t="s">
        <v>1342</v>
      </c>
      <c r="C213" s="1" t="s">
        <v>1046</v>
      </c>
      <c r="D213" s="1" t="s">
        <v>28</v>
      </c>
      <c r="E213" s="1">
        <f t="shared" si="2"/>
        <v>175.5</v>
      </c>
      <c r="F213" s="1">
        <f t="shared" si="3"/>
        <v>3.13</v>
      </c>
      <c r="G213" s="1">
        <v>56.0</v>
      </c>
      <c r="H213" s="1">
        <v>13.0</v>
      </c>
      <c r="I213" s="1">
        <v>14.0</v>
      </c>
      <c r="J213" s="1">
        <v>27.0</v>
      </c>
      <c r="K213" s="1">
        <v>118.0</v>
      </c>
      <c r="L213" s="1">
        <v>1.0</v>
      </c>
      <c r="M213" s="1">
        <v>0.0</v>
      </c>
      <c r="N213" s="1">
        <v>0.0</v>
      </c>
      <c r="O213" s="1">
        <v>0.0</v>
      </c>
      <c r="P213" s="1">
        <v>26.0</v>
      </c>
      <c r="Q213" s="1">
        <v>19.0</v>
      </c>
    </row>
    <row r="214">
      <c r="A214" s="1">
        <f t="shared" si="1"/>
        <v>212</v>
      </c>
      <c r="B214" s="1" t="s">
        <v>1166</v>
      </c>
      <c r="C214" s="1" t="s">
        <v>1175</v>
      </c>
      <c r="D214" s="1" t="s">
        <v>66</v>
      </c>
      <c r="E214" s="1">
        <f t="shared" si="2"/>
        <v>174.5</v>
      </c>
      <c r="F214" s="1">
        <f t="shared" si="3"/>
        <v>3.36</v>
      </c>
      <c r="G214" s="1">
        <v>52.0</v>
      </c>
      <c r="H214" s="1">
        <v>8.0</v>
      </c>
      <c r="I214" s="1">
        <v>14.0</v>
      </c>
      <c r="J214" s="1">
        <v>22.0</v>
      </c>
      <c r="K214" s="1">
        <v>110.0</v>
      </c>
      <c r="L214" s="1">
        <v>3.0</v>
      </c>
      <c r="M214" s="1">
        <v>5.0</v>
      </c>
      <c r="N214" s="1">
        <v>0.0</v>
      </c>
      <c r="O214" s="1">
        <v>1.0</v>
      </c>
      <c r="P214" s="1">
        <v>20.0</v>
      </c>
      <c r="Q214" s="1">
        <v>69.0</v>
      </c>
    </row>
    <row r="215">
      <c r="A215" s="1">
        <f t="shared" si="1"/>
        <v>213</v>
      </c>
      <c r="B215" s="1" t="s">
        <v>1375</v>
      </c>
      <c r="C215" s="1" t="s">
        <v>1085</v>
      </c>
      <c r="D215" s="1" t="s">
        <v>66</v>
      </c>
      <c r="E215" s="1">
        <f t="shared" si="2"/>
        <v>174</v>
      </c>
      <c r="F215" s="1">
        <f t="shared" si="3"/>
        <v>3.11</v>
      </c>
      <c r="G215" s="1">
        <v>56.0</v>
      </c>
      <c r="H215" s="1">
        <v>6.0</v>
      </c>
      <c r="I215" s="1">
        <v>8.0</v>
      </c>
      <c r="J215" s="1">
        <v>14.0</v>
      </c>
      <c r="K215" s="1">
        <v>84.0</v>
      </c>
      <c r="L215" s="1">
        <v>0.0</v>
      </c>
      <c r="M215" s="1">
        <v>0.0</v>
      </c>
      <c r="N215" s="1">
        <v>0.0</v>
      </c>
      <c r="O215" s="1">
        <v>0.0</v>
      </c>
      <c r="P215" s="1">
        <v>148.0</v>
      </c>
      <c r="Q215" s="1">
        <v>88.0</v>
      </c>
    </row>
    <row r="216">
      <c r="A216" s="1">
        <f t="shared" si="1"/>
        <v>214</v>
      </c>
      <c r="B216" s="1" t="s">
        <v>1427</v>
      </c>
      <c r="C216" s="1" t="s">
        <v>1054</v>
      </c>
      <c r="D216" s="1" t="s">
        <v>66</v>
      </c>
      <c r="E216" s="1">
        <f t="shared" si="2"/>
        <v>172.5</v>
      </c>
      <c r="F216" s="1">
        <f t="shared" si="3"/>
        <v>3.38</v>
      </c>
      <c r="G216" s="1">
        <v>51.0</v>
      </c>
      <c r="H216" s="1">
        <v>6.0</v>
      </c>
      <c r="I216" s="1">
        <v>15.0</v>
      </c>
      <c r="J216" s="1">
        <v>21.0</v>
      </c>
      <c r="K216" s="1">
        <v>89.0</v>
      </c>
      <c r="L216" s="1">
        <v>1.0</v>
      </c>
      <c r="M216" s="1">
        <v>4.0</v>
      </c>
      <c r="N216" s="1">
        <v>0.0</v>
      </c>
      <c r="O216" s="1">
        <v>0.0</v>
      </c>
      <c r="P216" s="1">
        <v>74.0</v>
      </c>
      <c r="Q216" s="1">
        <v>75.0</v>
      </c>
    </row>
    <row r="217">
      <c r="A217" s="1">
        <f t="shared" si="1"/>
        <v>215</v>
      </c>
      <c r="B217" s="1" t="s">
        <v>1213</v>
      </c>
      <c r="C217" s="1" t="s">
        <v>1091</v>
      </c>
      <c r="D217" s="1" t="s">
        <v>31</v>
      </c>
      <c r="E217" s="1">
        <f t="shared" si="2"/>
        <v>172.25</v>
      </c>
      <c r="F217" s="1">
        <f t="shared" si="3"/>
        <v>3.25</v>
      </c>
      <c r="G217" s="1">
        <v>53.0</v>
      </c>
      <c r="H217" s="1">
        <v>9.0</v>
      </c>
      <c r="I217" s="1">
        <v>11.0</v>
      </c>
      <c r="J217" s="1">
        <v>20.0</v>
      </c>
      <c r="K217" s="1">
        <v>89.0</v>
      </c>
      <c r="L217" s="1">
        <v>0.0</v>
      </c>
      <c r="M217" s="1">
        <v>0.0</v>
      </c>
      <c r="N217" s="1">
        <v>1.0</v>
      </c>
      <c r="O217" s="1">
        <v>0.0</v>
      </c>
      <c r="P217" s="1">
        <v>141.0</v>
      </c>
      <c r="Q217" s="1">
        <v>34.0</v>
      </c>
    </row>
    <row r="218">
      <c r="A218" s="1">
        <f t="shared" si="1"/>
        <v>216</v>
      </c>
      <c r="B218" s="1" t="s">
        <v>1585</v>
      </c>
      <c r="C218" s="1" t="s">
        <v>1097</v>
      </c>
      <c r="D218" s="1" t="s">
        <v>28</v>
      </c>
      <c r="E218" s="1">
        <f t="shared" si="2"/>
        <v>171.75</v>
      </c>
      <c r="F218" s="1">
        <f t="shared" si="3"/>
        <v>3.44</v>
      </c>
      <c r="G218" s="1">
        <v>50.0</v>
      </c>
      <c r="H218" s="1">
        <v>10.0</v>
      </c>
      <c r="I218" s="1">
        <v>20.0</v>
      </c>
      <c r="J218" s="1">
        <v>30.0</v>
      </c>
      <c r="K218" s="1">
        <v>82.0</v>
      </c>
      <c r="L218" s="1">
        <v>2.0</v>
      </c>
      <c r="M218" s="1">
        <v>6.0</v>
      </c>
      <c r="N218" s="1">
        <v>0.0</v>
      </c>
      <c r="O218" s="1">
        <v>0.0</v>
      </c>
      <c r="P218" s="1">
        <v>63.0</v>
      </c>
      <c r="Q218" s="1">
        <v>20.0</v>
      </c>
    </row>
    <row r="219">
      <c r="A219" s="1">
        <f t="shared" si="1"/>
        <v>217</v>
      </c>
      <c r="B219" s="1" t="s">
        <v>1197</v>
      </c>
      <c r="C219" s="1" t="s">
        <v>1054</v>
      </c>
      <c r="D219" s="1" t="s">
        <v>36</v>
      </c>
      <c r="E219" s="1">
        <f t="shared" si="2"/>
        <v>171</v>
      </c>
      <c r="F219" s="1">
        <f t="shared" si="3"/>
        <v>4.07</v>
      </c>
      <c r="G219" s="1">
        <v>42.0</v>
      </c>
      <c r="H219" s="1">
        <v>11.0</v>
      </c>
      <c r="I219" s="1">
        <v>24.0</v>
      </c>
      <c r="J219" s="1">
        <v>35.0</v>
      </c>
      <c r="K219" s="1">
        <v>74.0</v>
      </c>
      <c r="L219" s="1">
        <v>3.0</v>
      </c>
      <c r="M219" s="1">
        <v>3.0</v>
      </c>
      <c r="N219" s="1">
        <v>0.0</v>
      </c>
      <c r="O219" s="1">
        <v>0.0</v>
      </c>
      <c r="P219" s="1">
        <v>12.0</v>
      </c>
      <c r="Q219" s="1">
        <v>19.0</v>
      </c>
    </row>
    <row r="220">
      <c r="A220" s="1">
        <f t="shared" si="1"/>
        <v>218</v>
      </c>
      <c r="B220" s="1" t="s">
        <v>1553</v>
      </c>
      <c r="C220" s="1" t="s">
        <v>1073</v>
      </c>
      <c r="D220" s="1" t="s">
        <v>66</v>
      </c>
      <c r="E220" s="1">
        <f t="shared" si="2"/>
        <v>170.75</v>
      </c>
      <c r="F220" s="1">
        <f t="shared" si="3"/>
        <v>3.1</v>
      </c>
      <c r="G220" s="1">
        <v>55.0</v>
      </c>
      <c r="H220" s="1">
        <v>4.0</v>
      </c>
      <c r="I220" s="1">
        <v>21.0</v>
      </c>
      <c r="J220" s="1">
        <v>25.0</v>
      </c>
      <c r="K220" s="1">
        <v>89.0</v>
      </c>
      <c r="L220" s="1">
        <v>1.0</v>
      </c>
      <c r="M220" s="1">
        <v>4.0</v>
      </c>
      <c r="N220" s="1">
        <v>0.0</v>
      </c>
      <c r="O220" s="1">
        <v>0.0</v>
      </c>
      <c r="P220" s="1">
        <v>17.0</v>
      </c>
      <c r="Q220" s="1">
        <v>82.0</v>
      </c>
    </row>
    <row r="221">
      <c r="A221" s="1">
        <f t="shared" si="1"/>
        <v>219</v>
      </c>
      <c r="B221" s="1" t="s">
        <v>1216</v>
      </c>
      <c r="C221" s="1" t="s">
        <v>1042</v>
      </c>
      <c r="D221" s="1" t="s">
        <v>31</v>
      </c>
      <c r="E221" s="1">
        <f t="shared" si="2"/>
        <v>170</v>
      </c>
      <c r="F221" s="1">
        <f t="shared" si="3"/>
        <v>3.33</v>
      </c>
      <c r="G221" s="1">
        <v>51.0</v>
      </c>
      <c r="H221" s="1">
        <v>13.0</v>
      </c>
      <c r="I221" s="1">
        <v>14.0</v>
      </c>
      <c r="J221" s="1">
        <v>27.0</v>
      </c>
      <c r="K221" s="1">
        <v>74.0</v>
      </c>
      <c r="L221" s="1">
        <v>5.0</v>
      </c>
      <c r="M221" s="1">
        <v>2.0</v>
      </c>
      <c r="N221" s="1">
        <v>0.0</v>
      </c>
      <c r="O221" s="1">
        <v>0.0</v>
      </c>
      <c r="P221" s="1">
        <v>46.0</v>
      </c>
      <c r="Q221" s="1">
        <v>42.0</v>
      </c>
    </row>
    <row r="222">
      <c r="A222" s="1">
        <f t="shared" si="1"/>
        <v>220</v>
      </c>
      <c r="B222" s="1" t="s">
        <v>1075</v>
      </c>
      <c r="C222" s="1" t="s">
        <v>1076</v>
      </c>
      <c r="D222" s="1" t="s">
        <v>28</v>
      </c>
      <c r="E222" s="1">
        <f t="shared" si="2"/>
        <v>169.75</v>
      </c>
      <c r="F222" s="1">
        <f t="shared" si="3"/>
        <v>3.69</v>
      </c>
      <c r="G222" s="1">
        <v>46.0</v>
      </c>
      <c r="H222" s="1">
        <v>7.0</v>
      </c>
      <c r="I222" s="1">
        <v>23.0</v>
      </c>
      <c r="J222" s="1">
        <v>30.0</v>
      </c>
      <c r="K222" s="1">
        <v>101.0</v>
      </c>
      <c r="L222" s="1">
        <v>2.0</v>
      </c>
      <c r="M222" s="1">
        <v>6.0</v>
      </c>
      <c r="N222" s="1">
        <v>0.0</v>
      </c>
      <c r="O222" s="1">
        <v>1.0</v>
      </c>
      <c r="P222" s="1">
        <v>31.0</v>
      </c>
      <c r="Q222" s="1">
        <v>18.0</v>
      </c>
    </row>
    <row r="223">
      <c r="A223" s="1">
        <f t="shared" si="1"/>
        <v>221</v>
      </c>
      <c r="B223" s="1" t="s">
        <v>2468</v>
      </c>
      <c r="C223" s="1" t="s">
        <v>1097</v>
      </c>
      <c r="D223" s="1" t="s">
        <v>66</v>
      </c>
      <c r="E223" s="1">
        <f t="shared" si="2"/>
        <v>169.5</v>
      </c>
      <c r="F223" s="1">
        <f t="shared" si="3"/>
        <v>3.53</v>
      </c>
      <c r="G223" s="1">
        <v>48.0</v>
      </c>
      <c r="H223" s="1">
        <v>6.0</v>
      </c>
      <c r="I223" s="1">
        <v>13.0</v>
      </c>
      <c r="J223" s="1">
        <v>19.0</v>
      </c>
      <c r="K223" s="1">
        <v>104.0</v>
      </c>
      <c r="L223" s="1">
        <v>4.0</v>
      </c>
      <c r="M223" s="1">
        <v>7.0</v>
      </c>
      <c r="N223" s="1">
        <v>0.0</v>
      </c>
      <c r="O223" s="1">
        <v>0.0</v>
      </c>
      <c r="P223" s="1">
        <v>70.0</v>
      </c>
      <c r="Q223" s="1">
        <v>68.0</v>
      </c>
    </row>
    <row r="224">
      <c r="A224" s="1">
        <f t="shared" si="1"/>
        <v>222</v>
      </c>
      <c r="B224" s="1" t="s">
        <v>1187</v>
      </c>
      <c r="C224" s="1" t="s">
        <v>1069</v>
      </c>
      <c r="D224" s="1" t="s">
        <v>31</v>
      </c>
      <c r="E224" s="1">
        <f t="shared" si="2"/>
        <v>169.25</v>
      </c>
      <c r="F224" s="1">
        <f t="shared" si="3"/>
        <v>3.39</v>
      </c>
      <c r="G224" s="1">
        <v>50.0</v>
      </c>
      <c r="H224" s="1">
        <v>10.0</v>
      </c>
      <c r="I224" s="1">
        <v>18.0</v>
      </c>
      <c r="J224" s="1">
        <v>28.0</v>
      </c>
      <c r="K224" s="1">
        <v>98.0</v>
      </c>
      <c r="L224" s="1">
        <v>4.0</v>
      </c>
      <c r="M224" s="1">
        <v>5.0</v>
      </c>
      <c r="N224" s="1">
        <v>0.0</v>
      </c>
      <c r="O224" s="1">
        <v>0.0</v>
      </c>
      <c r="P224" s="1">
        <v>49.0</v>
      </c>
      <c r="Q224" s="1">
        <v>18.0</v>
      </c>
    </row>
    <row r="225">
      <c r="A225" s="1">
        <f t="shared" si="1"/>
        <v>223</v>
      </c>
      <c r="B225" s="1" t="s">
        <v>1495</v>
      </c>
      <c r="C225" s="1" t="s">
        <v>1073</v>
      </c>
      <c r="D225" s="1" t="s">
        <v>5</v>
      </c>
      <c r="E225" s="1">
        <f t="shared" si="2"/>
        <v>169.2</v>
      </c>
      <c r="F225" s="1">
        <f t="shared" si="3"/>
        <v>7.36</v>
      </c>
      <c r="G225" s="1">
        <v>23.0</v>
      </c>
      <c r="R225" s="1">
        <v>15.0</v>
      </c>
      <c r="S225" s="1">
        <v>44.0</v>
      </c>
      <c r="T225" s="1">
        <v>604.0</v>
      </c>
      <c r="U225" s="1">
        <v>3.0</v>
      </c>
    </row>
    <row r="226">
      <c r="A226" s="1">
        <f t="shared" si="1"/>
        <v>224</v>
      </c>
      <c r="B226" s="1" t="s">
        <v>1474</v>
      </c>
      <c r="C226" s="1" t="s">
        <v>1038</v>
      </c>
      <c r="D226" s="1" t="s">
        <v>66</v>
      </c>
      <c r="E226" s="1">
        <f t="shared" si="2"/>
        <v>169</v>
      </c>
      <c r="F226" s="1">
        <f t="shared" si="3"/>
        <v>3.07</v>
      </c>
      <c r="G226" s="1">
        <v>55.0</v>
      </c>
      <c r="H226" s="1">
        <v>0.0</v>
      </c>
      <c r="I226" s="1">
        <v>27.0</v>
      </c>
      <c r="J226" s="1">
        <v>27.0</v>
      </c>
      <c r="K226" s="1">
        <v>98.0</v>
      </c>
      <c r="L226" s="1">
        <v>0.0</v>
      </c>
      <c r="M226" s="1">
        <v>4.0</v>
      </c>
      <c r="N226" s="1">
        <v>0.0</v>
      </c>
      <c r="O226" s="1">
        <v>0.0</v>
      </c>
      <c r="P226" s="1">
        <v>70.0</v>
      </c>
      <c r="Q226" s="1">
        <v>43.0</v>
      </c>
    </row>
    <row r="227">
      <c r="A227" s="1">
        <f t="shared" si="1"/>
        <v>225</v>
      </c>
      <c r="B227" s="1" t="s">
        <v>1240</v>
      </c>
      <c r="C227" s="1" t="s">
        <v>1032</v>
      </c>
      <c r="D227" s="1" t="s">
        <v>28</v>
      </c>
      <c r="E227" s="1">
        <f t="shared" si="2"/>
        <v>168.75</v>
      </c>
      <c r="F227" s="1">
        <f t="shared" si="3"/>
        <v>3.44</v>
      </c>
      <c r="G227" s="1">
        <v>49.0</v>
      </c>
      <c r="H227" s="1">
        <v>7.0</v>
      </c>
      <c r="I227" s="1">
        <v>13.0</v>
      </c>
      <c r="J227" s="1">
        <v>20.0</v>
      </c>
      <c r="K227" s="1">
        <v>81.0</v>
      </c>
      <c r="L227" s="1">
        <v>1.0</v>
      </c>
      <c r="M227" s="1">
        <v>1.0</v>
      </c>
      <c r="N227" s="1">
        <v>0.0</v>
      </c>
      <c r="O227" s="1">
        <v>3.0</v>
      </c>
      <c r="P227" s="1">
        <v>133.0</v>
      </c>
      <c r="Q227" s="1">
        <v>37.0</v>
      </c>
    </row>
    <row r="228">
      <c r="A228" s="1">
        <f t="shared" si="1"/>
        <v>226</v>
      </c>
      <c r="B228" s="1" t="s">
        <v>2101</v>
      </c>
      <c r="C228" s="1" t="s">
        <v>1087</v>
      </c>
      <c r="D228" s="1" t="s">
        <v>28</v>
      </c>
      <c r="E228" s="1">
        <f t="shared" si="2"/>
        <v>168.25</v>
      </c>
      <c r="F228" s="1">
        <f t="shared" si="3"/>
        <v>3.12</v>
      </c>
      <c r="G228" s="1">
        <v>54.0</v>
      </c>
      <c r="H228" s="1">
        <v>8.0</v>
      </c>
      <c r="I228" s="1">
        <v>27.0</v>
      </c>
      <c r="J228" s="1">
        <v>35.0</v>
      </c>
      <c r="K228" s="1">
        <v>77.0</v>
      </c>
      <c r="L228" s="1">
        <v>0.0</v>
      </c>
      <c r="M228" s="1">
        <v>9.0</v>
      </c>
      <c r="N228" s="1">
        <v>0.0</v>
      </c>
      <c r="O228" s="1">
        <v>0.0</v>
      </c>
      <c r="P228" s="1">
        <v>13.0</v>
      </c>
      <c r="Q228" s="1">
        <v>19.0</v>
      </c>
    </row>
    <row r="229">
      <c r="A229" s="1">
        <f t="shared" si="1"/>
        <v>226</v>
      </c>
      <c r="B229" s="1" t="s">
        <v>1293</v>
      </c>
      <c r="C229" s="1" t="s">
        <v>1175</v>
      </c>
      <c r="D229" s="1" t="s">
        <v>66</v>
      </c>
      <c r="E229" s="1">
        <f t="shared" si="2"/>
        <v>168.25</v>
      </c>
      <c r="F229" s="1">
        <f t="shared" si="3"/>
        <v>3</v>
      </c>
      <c r="G229" s="1">
        <v>56.0</v>
      </c>
      <c r="H229" s="1">
        <v>1.0</v>
      </c>
      <c r="I229" s="1">
        <v>16.0</v>
      </c>
      <c r="J229" s="1">
        <v>17.0</v>
      </c>
      <c r="K229" s="1">
        <v>58.0</v>
      </c>
      <c r="L229" s="1">
        <v>0.0</v>
      </c>
      <c r="M229" s="1">
        <v>4.0</v>
      </c>
      <c r="N229" s="1">
        <v>0.0</v>
      </c>
      <c r="O229" s="1">
        <v>0.0</v>
      </c>
      <c r="P229" s="1">
        <v>155.0</v>
      </c>
      <c r="Q229" s="1">
        <v>96.0</v>
      </c>
    </row>
    <row r="230">
      <c r="A230" s="1">
        <f t="shared" si="1"/>
        <v>228</v>
      </c>
      <c r="B230" s="1" t="s">
        <v>1119</v>
      </c>
      <c r="C230" s="1" t="s">
        <v>1120</v>
      </c>
      <c r="D230" s="1" t="s">
        <v>31</v>
      </c>
      <c r="E230" s="1">
        <f t="shared" si="2"/>
        <v>167.5</v>
      </c>
      <c r="F230" s="1">
        <f t="shared" si="3"/>
        <v>3.81</v>
      </c>
      <c r="G230" s="1">
        <v>44.0</v>
      </c>
      <c r="H230" s="1">
        <v>9.0</v>
      </c>
      <c r="I230" s="1">
        <v>14.0</v>
      </c>
      <c r="J230" s="1">
        <v>23.0</v>
      </c>
      <c r="K230" s="1">
        <v>134.0</v>
      </c>
      <c r="L230" s="1">
        <v>1.0</v>
      </c>
      <c r="M230" s="1">
        <v>5.0</v>
      </c>
      <c r="N230" s="1">
        <v>0.0</v>
      </c>
      <c r="O230" s="1">
        <v>0.0</v>
      </c>
      <c r="P230" s="1">
        <v>38.0</v>
      </c>
      <c r="Q230" s="1">
        <v>17.0</v>
      </c>
    </row>
    <row r="231">
      <c r="A231" s="1">
        <f t="shared" si="1"/>
        <v>228</v>
      </c>
      <c r="B231" s="1" t="s">
        <v>1312</v>
      </c>
      <c r="C231" s="1" t="s">
        <v>1036</v>
      </c>
      <c r="D231" s="1" t="s">
        <v>66</v>
      </c>
      <c r="E231" s="1">
        <f t="shared" si="2"/>
        <v>167.5</v>
      </c>
      <c r="F231" s="1">
        <f t="shared" si="3"/>
        <v>2.99</v>
      </c>
      <c r="G231" s="1">
        <v>56.0</v>
      </c>
      <c r="H231" s="1">
        <v>4.0</v>
      </c>
      <c r="I231" s="1">
        <v>6.0</v>
      </c>
      <c r="J231" s="1">
        <v>10.0</v>
      </c>
      <c r="K231" s="1">
        <v>52.0</v>
      </c>
      <c r="L231" s="1">
        <v>0.0</v>
      </c>
      <c r="M231" s="1">
        <v>0.0</v>
      </c>
      <c r="N231" s="1">
        <v>0.0</v>
      </c>
      <c r="O231" s="1">
        <v>0.0</v>
      </c>
      <c r="P231" s="1">
        <v>166.0</v>
      </c>
      <c r="Q231" s="1">
        <v>128.0</v>
      </c>
    </row>
    <row r="232">
      <c r="A232" s="1">
        <f t="shared" si="1"/>
        <v>230</v>
      </c>
      <c r="B232" s="1" t="s">
        <v>1532</v>
      </c>
      <c r="C232" s="1" t="s">
        <v>1065</v>
      </c>
      <c r="D232" s="1" t="s">
        <v>5</v>
      </c>
      <c r="E232" s="1">
        <f t="shared" si="2"/>
        <v>166.8</v>
      </c>
      <c r="F232" s="1">
        <f t="shared" si="3"/>
        <v>4.77</v>
      </c>
      <c r="G232" s="1">
        <v>35.0</v>
      </c>
      <c r="R232" s="1">
        <v>9.0</v>
      </c>
      <c r="S232" s="1">
        <v>101.0</v>
      </c>
      <c r="T232" s="1">
        <v>941.0</v>
      </c>
      <c r="U232" s="1">
        <v>3.0</v>
      </c>
    </row>
    <row r="233">
      <c r="A233" s="1">
        <f t="shared" si="1"/>
        <v>231</v>
      </c>
      <c r="B233" s="1" t="s">
        <v>1395</v>
      </c>
      <c r="C233" s="1" t="s">
        <v>1082</v>
      </c>
      <c r="D233" s="1" t="s">
        <v>66</v>
      </c>
      <c r="E233" s="1">
        <f t="shared" si="2"/>
        <v>166.25</v>
      </c>
      <c r="F233" s="1">
        <f t="shared" si="3"/>
        <v>3.26</v>
      </c>
      <c r="G233" s="1">
        <v>51.0</v>
      </c>
      <c r="H233" s="1">
        <v>8.0</v>
      </c>
      <c r="I233" s="1">
        <v>14.0</v>
      </c>
      <c r="J233" s="1">
        <v>22.0</v>
      </c>
      <c r="K233" s="1">
        <v>83.0</v>
      </c>
      <c r="L233" s="1">
        <v>0.0</v>
      </c>
      <c r="M233" s="1">
        <v>2.0</v>
      </c>
      <c r="N233" s="1">
        <v>0.0</v>
      </c>
      <c r="O233" s="1">
        <v>0.0</v>
      </c>
      <c r="P233" s="1">
        <v>87.0</v>
      </c>
      <c r="Q233" s="1">
        <v>50.0</v>
      </c>
    </row>
    <row r="234">
      <c r="A234" s="1">
        <f t="shared" si="1"/>
        <v>232</v>
      </c>
      <c r="B234" s="1" t="s">
        <v>1576</v>
      </c>
      <c r="C234" s="1" t="s">
        <v>1042</v>
      </c>
      <c r="D234" s="1" t="s">
        <v>31</v>
      </c>
      <c r="E234" s="1">
        <f t="shared" si="2"/>
        <v>166</v>
      </c>
      <c r="F234" s="1">
        <f t="shared" si="3"/>
        <v>3.39</v>
      </c>
      <c r="G234" s="1">
        <v>49.0</v>
      </c>
      <c r="H234" s="1">
        <v>13.0</v>
      </c>
      <c r="I234" s="1">
        <v>15.0</v>
      </c>
      <c r="J234" s="1">
        <v>28.0</v>
      </c>
      <c r="K234" s="1">
        <v>91.0</v>
      </c>
      <c r="L234" s="1">
        <v>2.0</v>
      </c>
      <c r="M234" s="1">
        <v>6.0</v>
      </c>
      <c r="N234" s="1">
        <v>1.0</v>
      </c>
      <c r="O234" s="1">
        <v>0.0</v>
      </c>
      <c r="P234" s="1">
        <v>30.0</v>
      </c>
      <c r="Q234" s="1">
        <v>15.0</v>
      </c>
    </row>
    <row r="235">
      <c r="A235" s="1">
        <f t="shared" si="1"/>
        <v>233</v>
      </c>
      <c r="B235" s="1" t="s">
        <v>1325</v>
      </c>
      <c r="C235" s="1" t="s">
        <v>1116</v>
      </c>
      <c r="D235" s="1" t="s">
        <v>31</v>
      </c>
      <c r="E235" s="1">
        <f t="shared" si="2"/>
        <v>165.25</v>
      </c>
      <c r="F235" s="1">
        <f t="shared" si="3"/>
        <v>2.95</v>
      </c>
      <c r="G235" s="1">
        <v>56.0</v>
      </c>
      <c r="H235" s="1">
        <v>12.0</v>
      </c>
      <c r="I235" s="1">
        <v>13.0</v>
      </c>
      <c r="J235" s="1">
        <v>25.0</v>
      </c>
      <c r="K235" s="1">
        <v>88.0</v>
      </c>
      <c r="L235" s="1">
        <v>0.0</v>
      </c>
      <c r="M235" s="1">
        <v>0.0</v>
      </c>
      <c r="N235" s="1">
        <v>0.0</v>
      </c>
      <c r="O235" s="1">
        <v>1.0</v>
      </c>
      <c r="P235" s="1">
        <v>61.0</v>
      </c>
      <c r="Q235" s="1">
        <v>22.0</v>
      </c>
    </row>
    <row r="236">
      <c r="A236" s="1">
        <f t="shared" si="1"/>
        <v>234</v>
      </c>
      <c r="B236" s="1" t="s">
        <v>1211</v>
      </c>
      <c r="C236" s="1" t="s">
        <v>1069</v>
      </c>
      <c r="D236" s="1" t="s">
        <v>66</v>
      </c>
      <c r="E236" s="1">
        <f t="shared" si="2"/>
        <v>164.75</v>
      </c>
      <c r="F236" s="1">
        <f t="shared" si="3"/>
        <v>2.94</v>
      </c>
      <c r="G236" s="1">
        <v>56.0</v>
      </c>
      <c r="H236" s="1">
        <v>5.0</v>
      </c>
      <c r="I236" s="1">
        <v>16.0</v>
      </c>
      <c r="J236" s="1">
        <v>21.0</v>
      </c>
      <c r="K236" s="1">
        <v>96.0</v>
      </c>
      <c r="L236" s="1">
        <v>1.0</v>
      </c>
      <c r="M236" s="1">
        <v>5.0</v>
      </c>
      <c r="N236" s="1">
        <v>0.0</v>
      </c>
      <c r="O236" s="1">
        <v>0.0</v>
      </c>
      <c r="P236" s="1">
        <v>49.0</v>
      </c>
      <c r="Q236" s="1">
        <v>68.0</v>
      </c>
    </row>
    <row r="237">
      <c r="A237" s="1">
        <f t="shared" si="1"/>
        <v>235</v>
      </c>
      <c r="B237" s="1" t="s">
        <v>1224</v>
      </c>
      <c r="C237" s="1" t="s">
        <v>1044</v>
      </c>
      <c r="D237" s="1" t="s">
        <v>28</v>
      </c>
      <c r="E237" s="1">
        <f t="shared" si="2"/>
        <v>164</v>
      </c>
      <c r="F237" s="1">
        <f t="shared" si="3"/>
        <v>2.93</v>
      </c>
      <c r="G237" s="1">
        <v>56.0</v>
      </c>
      <c r="H237" s="1">
        <v>5.0</v>
      </c>
      <c r="I237" s="1">
        <v>15.0</v>
      </c>
      <c r="J237" s="1">
        <v>20.0</v>
      </c>
      <c r="K237" s="1">
        <v>105.0</v>
      </c>
      <c r="L237" s="1">
        <v>0.0</v>
      </c>
      <c r="M237" s="1">
        <v>2.0</v>
      </c>
      <c r="N237" s="1">
        <v>1.0</v>
      </c>
      <c r="O237" s="1">
        <v>3.0</v>
      </c>
      <c r="P237" s="1">
        <v>74.0</v>
      </c>
      <c r="Q237" s="1">
        <v>35.0</v>
      </c>
    </row>
    <row r="238">
      <c r="A238" s="1">
        <f t="shared" si="1"/>
        <v>236</v>
      </c>
      <c r="B238" s="1" t="s">
        <v>1190</v>
      </c>
      <c r="C238" s="1" t="s">
        <v>1042</v>
      </c>
      <c r="D238" s="1" t="s">
        <v>66</v>
      </c>
      <c r="E238" s="1">
        <f t="shared" si="2"/>
        <v>163.75</v>
      </c>
      <c r="F238" s="1">
        <f t="shared" si="3"/>
        <v>3.41</v>
      </c>
      <c r="G238" s="1">
        <v>48.0</v>
      </c>
      <c r="H238" s="1">
        <v>6.0</v>
      </c>
      <c r="I238" s="1">
        <v>17.0</v>
      </c>
      <c r="J238" s="1">
        <v>23.0</v>
      </c>
      <c r="K238" s="1">
        <v>110.0</v>
      </c>
      <c r="L238" s="1">
        <v>0.0</v>
      </c>
      <c r="M238" s="1">
        <v>2.0</v>
      </c>
      <c r="N238" s="1">
        <v>0.0</v>
      </c>
      <c r="O238" s="1">
        <v>1.0</v>
      </c>
      <c r="P238" s="1">
        <v>23.0</v>
      </c>
      <c r="Q238" s="1">
        <v>46.0</v>
      </c>
    </row>
    <row r="239">
      <c r="A239" s="1">
        <f t="shared" si="1"/>
        <v>237</v>
      </c>
      <c r="B239" s="1" t="s">
        <v>1506</v>
      </c>
      <c r="C239" s="1" t="s">
        <v>1030</v>
      </c>
      <c r="D239" s="1" t="s">
        <v>66</v>
      </c>
      <c r="E239" s="1">
        <f t="shared" si="2"/>
        <v>163.25</v>
      </c>
      <c r="F239" s="1">
        <f t="shared" si="3"/>
        <v>3.02</v>
      </c>
      <c r="G239" s="1">
        <v>54.0</v>
      </c>
      <c r="H239" s="1">
        <v>2.0</v>
      </c>
      <c r="I239" s="1">
        <v>13.0</v>
      </c>
      <c r="J239" s="1">
        <v>15.0</v>
      </c>
      <c r="K239" s="1">
        <v>101.0</v>
      </c>
      <c r="L239" s="1">
        <v>0.0</v>
      </c>
      <c r="M239" s="1">
        <v>0.0</v>
      </c>
      <c r="N239" s="1">
        <v>0.0</v>
      </c>
      <c r="O239" s="1">
        <v>0.0</v>
      </c>
      <c r="P239" s="1">
        <v>77.0</v>
      </c>
      <c r="Q239" s="1">
        <v>91.0</v>
      </c>
    </row>
    <row r="240">
      <c r="A240" s="1">
        <f t="shared" si="1"/>
        <v>238</v>
      </c>
      <c r="B240" s="1" t="s">
        <v>1946</v>
      </c>
      <c r="C240" s="1" t="s">
        <v>1069</v>
      </c>
      <c r="D240" s="1" t="s">
        <v>28</v>
      </c>
      <c r="E240" s="1">
        <f t="shared" si="2"/>
        <v>161.75</v>
      </c>
      <c r="F240" s="1">
        <f t="shared" si="3"/>
        <v>2.89</v>
      </c>
      <c r="G240" s="1">
        <v>56.0</v>
      </c>
      <c r="H240" s="1">
        <v>10.0</v>
      </c>
      <c r="I240" s="1">
        <v>13.0</v>
      </c>
      <c r="J240" s="1">
        <v>23.0</v>
      </c>
      <c r="K240" s="1">
        <v>74.0</v>
      </c>
      <c r="L240" s="1">
        <v>2.0</v>
      </c>
      <c r="M240" s="1">
        <v>0.0</v>
      </c>
      <c r="N240" s="1">
        <v>0.0</v>
      </c>
      <c r="O240" s="1">
        <v>0.0</v>
      </c>
      <c r="P240" s="1">
        <v>139.0</v>
      </c>
      <c r="Q240" s="1">
        <v>12.0</v>
      </c>
    </row>
    <row r="241">
      <c r="A241" s="1">
        <f t="shared" si="1"/>
        <v>238</v>
      </c>
      <c r="B241" s="1" t="s">
        <v>1122</v>
      </c>
      <c r="C241" s="1" t="s">
        <v>1172</v>
      </c>
      <c r="D241" s="1" t="s">
        <v>28</v>
      </c>
      <c r="E241" s="1">
        <f t="shared" si="2"/>
        <v>161.75</v>
      </c>
      <c r="F241" s="1">
        <f t="shared" si="3"/>
        <v>3.11</v>
      </c>
      <c r="G241" s="1">
        <v>52.0</v>
      </c>
      <c r="H241" s="1">
        <v>9.0</v>
      </c>
      <c r="I241" s="1">
        <v>15.0</v>
      </c>
      <c r="J241" s="1">
        <v>24.0</v>
      </c>
      <c r="K241" s="1">
        <v>91.0</v>
      </c>
      <c r="L241" s="1">
        <v>0.0</v>
      </c>
      <c r="M241" s="1">
        <v>3.0</v>
      </c>
      <c r="N241" s="1">
        <v>0.0</v>
      </c>
      <c r="O241" s="1">
        <v>1.0</v>
      </c>
      <c r="P241" s="1">
        <v>59.0</v>
      </c>
      <c r="Q241" s="1">
        <v>28.0</v>
      </c>
    </row>
    <row r="242">
      <c r="A242" s="1">
        <f t="shared" si="1"/>
        <v>240</v>
      </c>
      <c r="B242" s="1" t="s">
        <v>1374</v>
      </c>
      <c r="C242" s="1" t="s">
        <v>1097</v>
      </c>
      <c r="D242" s="1" t="s">
        <v>36</v>
      </c>
      <c r="E242" s="1">
        <f t="shared" si="2"/>
        <v>160.5</v>
      </c>
      <c r="F242" s="1">
        <f t="shared" si="3"/>
        <v>4.59</v>
      </c>
      <c r="G242" s="1">
        <v>35.0</v>
      </c>
      <c r="H242" s="1">
        <v>14.0</v>
      </c>
      <c r="I242" s="1">
        <v>9.0</v>
      </c>
      <c r="J242" s="1">
        <v>23.0</v>
      </c>
      <c r="K242" s="1">
        <v>106.0</v>
      </c>
      <c r="L242" s="1">
        <v>3.0</v>
      </c>
      <c r="M242" s="1">
        <v>0.0</v>
      </c>
      <c r="N242" s="1">
        <v>0.0</v>
      </c>
      <c r="O242" s="1">
        <v>0.0</v>
      </c>
      <c r="P242" s="1">
        <v>46.0</v>
      </c>
      <c r="Q242" s="1">
        <v>12.0</v>
      </c>
    </row>
    <row r="243">
      <c r="A243" s="1">
        <f t="shared" si="1"/>
        <v>240</v>
      </c>
      <c r="B243" s="1" t="s">
        <v>1675</v>
      </c>
      <c r="C243" s="1" t="s">
        <v>1087</v>
      </c>
      <c r="D243" s="1" t="s">
        <v>66</v>
      </c>
      <c r="E243" s="1">
        <f t="shared" si="2"/>
        <v>160.5</v>
      </c>
      <c r="F243" s="1">
        <f t="shared" si="3"/>
        <v>2.87</v>
      </c>
      <c r="G243" s="1">
        <v>56.0</v>
      </c>
      <c r="H243" s="1">
        <v>2.0</v>
      </c>
      <c r="I243" s="1">
        <v>13.0</v>
      </c>
      <c r="J243" s="1">
        <v>15.0</v>
      </c>
      <c r="K243" s="1">
        <v>79.0</v>
      </c>
      <c r="L243" s="1">
        <v>0.0</v>
      </c>
      <c r="M243" s="1">
        <v>0.0</v>
      </c>
      <c r="N243" s="1">
        <v>0.0</v>
      </c>
      <c r="O243" s="1">
        <v>0.0</v>
      </c>
      <c r="P243" s="1">
        <v>76.0</v>
      </c>
      <c r="Q243" s="1">
        <v>108.0</v>
      </c>
    </row>
    <row r="244">
      <c r="A244" s="1">
        <f t="shared" si="1"/>
        <v>242</v>
      </c>
      <c r="B244" s="1" t="s">
        <v>2299</v>
      </c>
      <c r="C244" s="1" t="s">
        <v>1048</v>
      </c>
      <c r="D244" s="1" t="s">
        <v>66</v>
      </c>
      <c r="E244" s="1">
        <f t="shared" si="2"/>
        <v>160</v>
      </c>
      <c r="F244" s="1">
        <f t="shared" si="3"/>
        <v>2.86</v>
      </c>
      <c r="G244" s="1">
        <v>56.0</v>
      </c>
      <c r="H244" s="1">
        <v>3.0</v>
      </c>
      <c r="I244" s="1">
        <v>24.0</v>
      </c>
      <c r="J244" s="1">
        <v>27.0</v>
      </c>
      <c r="K244" s="1">
        <v>113.0</v>
      </c>
      <c r="L244" s="1">
        <v>1.0</v>
      </c>
      <c r="M244" s="1">
        <v>17.0</v>
      </c>
      <c r="N244" s="1">
        <v>0.0</v>
      </c>
      <c r="O244" s="1">
        <v>0.0</v>
      </c>
      <c r="P244" s="1">
        <v>18.0</v>
      </c>
      <c r="Q244" s="1">
        <v>27.0</v>
      </c>
    </row>
    <row r="245">
      <c r="A245" s="1">
        <f t="shared" si="1"/>
        <v>242</v>
      </c>
      <c r="B245" s="1" t="s">
        <v>1304</v>
      </c>
      <c r="C245" s="1" t="s">
        <v>1048</v>
      </c>
      <c r="D245" s="1" t="s">
        <v>66</v>
      </c>
      <c r="E245" s="1">
        <f t="shared" si="2"/>
        <v>160</v>
      </c>
      <c r="F245" s="1">
        <f t="shared" si="3"/>
        <v>3.2</v>
      </c>
      <c r="G245" s="1">
        <v>50.0</v>
      </c>
      <c r="H245" s="1">
        <v>7.0</v>
      </c>
      <c r="I245" s="1">
        <v>11.0</v>
      </c>
      <c r="J245" s="1">
        <v>18.0</v>
      </c>
      <c r="K245" s="1">
        <v>94.0</v>
      </c>
      <c r="L245" s="1">
        <v>0.0</v>
      </c>
      <c r="M245" s="1">
        <v>1.0</v>
      </c>
      <c r="N245" s="1">
        <v>2.0</v>
      </c>
      <c r="O245" s="1">
        <v>0.0</v>
      </c>
      <c r="P245" s="1">
        <v>54.0</v>
      </c>
      <c r="Q245" s="1">
        <v>62.0</v>
      </c>
    </row>
    <row r="246">
      <c r="A246" s="1">
        <f t="shared" si="1"/>
        <v>244</v>
      </c>
      <c r="B246" s="1" t="s">
        <v>2291</v>
      </c>
      <c r="C246" s="1" t="s">
        <v>1172</v>
      </c>
      <c r="D246" s="1" t="s">
        <v>66</v>
      </c>
      <c r="E246" s="1">
        <f t="shared" si="2"/>
        <v>159.75</v>
      </c>
      <c r="F246" s="1">
        <f t="shared" si="3"/>
        <v>2.96</v>
      </c>
      <c r="G246" s="1">
        <v>54.0</v>
      </c>
      <c r="H246" s="1">
        <v>4.0</v>
      </c>
      <c r="I246" s="1">
        <v>11.0</v>
      </c>
      <c r="J246" s="1">
        <v>15.0</v>
      </c>
      <c r="K246" s="1">
        <v>110.0</v>
      </c>
      <c r="L246" s="1">
        <v>1.0</v>
      </c>
      <c r="M246" s="1">
        <v>5.0</v>
      </c>
      <c r="N246" s="1">
        <v>0.0</v>
      </c>
      <c r="O246" s="1">
        <v>0.0</v>
      </c>
      <c r="P246" s="1">
        <v>33.0</v>
      </c>
      <c r="Q246" s="1">
        <v>91.0</v>
      </c>
    </row>
    <row r="247">
      <c r="A247" s="1">
        <f t="shared" si="1"/>
        <v>245</v>
      </c>
      <c r="B247" s="1" t="s">
        <v>1207</v>
      </c>
      <c r="C247" s="1" t="s">
        <v>1030</v>
      </c>
      <c r="D247" s="1" t="s">
        <v>28</v>
      </c>
      <c r="E247" s="1">
        <f t="shared" si="2"/>
        <v>159.25</v>
      </c>
      <c r="F247" s="1">
        <f t="shared" si="3"/>
        <v>2.9</v>
      </c>
      <c r="G247" s="1">
        <v>55.0</v>
      </c>
      <c r="H247" s="1">
        <v>10.0</v>
      </c>
      <c r="I247" s="1">
        <v>11.0</v>
      </c>
      <c r="J247" s="1">
        <v>21.0</v>
      </c>
      <c r="K247" s="1">
        <v>98.0</v>
      </c>
      <c r="L247" s="1">
        <v>0.0</v>
      </c>
      <c r="M247" s="1">
        <v>1.0</v>
      </c>
      <c r="N247" s="1">
        <v>1.0</v>
      </c>
      <c r="O247" s="1">
        <v>0.0</v>
      </c>
      <c r="P247" s="1">
        <v>65.0</v>
      </c>
      <c r="Q247" s="1">
        <v>28.0</v>
      </c>
    </row>
    <row r="248">
      <c r="A248" s="1">
        <f t="shared" si="1"/>
        <v>246</v>
      </c>
      <c r="B248" s="1" t="s">
        <v>1148</v>
      </c>
      <c r="C248" s="1" t="s">
        <v>1087</v>
      </c>
      <c r="D248" s="1" t="s">
        <v>36</v>
      </c>
      <c r="E248" s="1">
        <f t="shared" si="2"/>
        <v>159</v>
      </c>
      <c r="F248" s="1">
        <f t="shared" si="3"/>
        <v>3.12</v>
      </c>
      <c r="G248" s="1">
        <v>51.0</v>
      </c>
      <c r="H248" s="1">
        <v>10.0</v>
      </c>
      <c r="I248" s="1">
        <v>11.0</v>
      </c>
      <c r="J248" s="1">
        <v>21.0</v>
      </c>
      <c r="K248" s="1">
        <v>115.0</v>
      </c>
      <c r="L248" s="1">
        <v>2.0</v>
      </c>
      <c r="M248" s="1">
        <v>4.0</v>
      </c>
      <c r="N248" s="1">
        <v>1.0</v>
      </c>
      <c r="O248" s="1">
        <v>0.0</v>
      </c>
      <c r="P248" s="1">
        <v>62.0</v>
      </c>
      <c r="Q248" s="1">
        <v>12.0</v>
      </c>
    </row>
    <row r="249">
      <c r="A249" s="1">
        <f t="shared" si="1"/>
        <v>247</v>
      </c>
      <c r="B249" s="1" t="s">
        <v>1944</v>
      </c>
      <c r="C249" s="1" t="s">
        <v>1048</v>
      </c>
      <c r="D249" s="1" t="s">
        <v>5</v>
      </c>
      <c r="E249" s="1">
        <f t="shared" si="2"/>
        <v>158.4</v>
      </c>
      <c r="F249" s="1">
        <f t="shared" si="3"/>
        <v>6.89</v>
      </c>
      <c r="G249" s="1">
        <v>23.0</v>
      </c>
      <c r="R249" s="1">
        <v>14.0</v>
      </c>
      <c r="S249" s="1">
        <v>47.0</v>
      </c>
      <c r="T249" s="1">
        <v>593.0</v>
      </c>
      <c r="U249" s="1">
        <v>3.0</v>
      </c>
    </row>
    <row r="250">
      <c r="A250" s="1">
        <f t="shared" si="1"/>
        <v>248</v>
      </c>
      <c r="B250" s="1" t="s">
        <v>1676</v>
      </c>
      <c r="C250" s="1" t="s">
        <v>1175</v>
      </c>
      <c r="D250" s="1" t="s">
        <v>5</v>
      </c>
      <c r="E250" s="1">
        <f t="shared" si="2"/>
        <v>158.4</v>
      </c>
      <c r="F250" s="1">
        <f t="shared" si="3"/>
        <v>4.66</v>
      </c>
      <c r="G250" s="1">
        <v>34.0</v>
      </c>
      <c r="R250" s="1">
        <v>15.0</v>
      </c>
      <c r="S250" s="1">
        <v>102.0</v>
      </c>
      <c r="T250" s="1">
        <v>878.0</v>
      </c>
      <c r="U250" s="1">
        <v>1.0</v>
      </c>
    </row>
    <row r="251">
      <c r="A251" s="1">
        <f t="shared" si="1"/>
        <v>249</v>
      </c>
      <c r="B251" s="1" t="s">
        <v>2294</v>
      </c>
      <c r="C251" s="1" t="s">
        <v>1032</v>
      </c>
      <c r="D251" s="1" t="s">
        <v>31</v>
      </c>
      <c r="E251" s="1">
        <f t="shared" si="2"/>
        <v>157</v>
      </c>
      <c r="F251" s="1">
        <f t="shared" si="3"/>
        <v>2.91</v>
      </c>
      <c r="G251" s="1">
        <v>54.0</v>
      </c>
      <c r="H251" s="1">
        <v>10.0</v>
      </c>
      <c r="I251" s="1">
        <v>20.0</v>
      </c>
      <c r="J251" s="1">
        <v>30.0</v>
      </c>
      <c r="K251" s="1">
        <v>81.0</v>
      </c>
      <c r="L251" s="1">
        <v>1.0</v>
      </c>
      <c r="M251" s="1">
        <v>4.0</v>
      </c>
      <c r="N251" s="1">
        <v>0.0</v>
      </c>
      <c r="O251" s="1">
        <v>0.0</v>
      </c>
      <c r="P251" s="1">
        <v>26.0</v>
      </c>
      <c r="Q251" s="1">
        <v>10.0</v>
      </c>
    </row>
    <row r="252">
      <c r="A252" s="1">
        <f t="shared" si="1"/>
        <v>250</v>
      </c>
      <c r="B252" s="1" t="s">
        <v>2122</v>
      </c>
      <c r="C252" s="1" t="s">
        <v>1120</v>
      </c>
      <c r="D252" s="1" t="s">
        <v>5</v>
      </c>
      <c r="E252" s="1">
        <f t="shared" si="2"/>
        <v>156</v>
      </c>
      <c r="F252" s="1">
        <f t="shared" si="3"/>
        <v>4.59</v>
      </c>
      <c r="G252" s="1">
        <v>34.0</v>
      </c>
      <c r="R252" s="1">
        <v>8.0</v>
      </c>
      <c r="S252" s="1">
        <v>79.0</v>
      </c>
      <c r="T252" s="1">
        <v>815.0</v>
      </c>
      <c r="U252" s="1">
        <v>2.0</v>
      </c>
    </row>
    <row r="253">
      <c r="A253" s="1">
        <f t="shared" si="1"/>
        <v>250</v>
      </c>
      <c r="B253" s="1" t="s">
        <v>1801</v>
      </c>
      <c r="C253" s="1" t="s">
        <v>1032</v>
      </c>
      <c r="D253" s="1" t="s">
        <v>66</v>
      </c>
      <c r="E253" s="1">
        <f t="shared" si="2"/>
        <v>156</v>
      </c>
      <c r="F253" s="1">
        <f t="shared" si="3"/>
        <v>2.84</v>
      </c>
      <c r="G253" s="1">
        <v>55.0</v>
      </c>
      <c r="H253" s="1">
        <v>2.0</v>
      </c>
      <c r="I253" s="1">
        <v>18.0</v>
      </c>
      <c r="J253" s="1">
        <v>20.0</v>
      </c>
      <c r="K253" s="1">
        <v>57.0</v>
      </c>
      <c r="L253" s="1">
        <v>0.0</v>
      </c>
      <c r="M253" s="1">
        <v>0.0</v>
      </c>
      <c r="N253" s="1">
        <v>0.0</v>
      </c>
      <c r="O253" s="1">
        <v>1.0</v>
      </c>
      <c r="P253" s="1">
        <v>82.0</v>
      </c>
      <c r="Q253" s="1">
        <v>84.0</v>
      </c>
    </row>
    <row r="254">
      <c r="A254" s="1">
        <f t="shared" si="1"/>
        <v>252</v>
      </c>
      <c r="B254" s="1" t="s">
        <v>1297</v>
      </c>
      <c r="C254" s="1" t="s">
        <v>1082</v>
      </c>
      <c r="D254" s="1" t="s">
        <v>36</v>
      </c>
      <c r="E254" s="1">
        <f t="shared" si="2"/>
        <v>155.75</v>
      </c>
      <c r="F254" s="1">
        <f t="shared" si="3"/>
        <v>2.78</v>
      </c>
      <c r="G254" s="1">
        <v>56.0</v>
      </c>
      <c r="H254" s="1">
        <v>6.0</v>
      </c>
      <c r="I254" s="1">
        <v>12.0</v>
      </c>
      <c r="J254" s="1">
        <v>18.0</v>
      </c>
      <c r="K254" s="1">
        <v>62.0</v>
      </c>
      <c r="L254" s="1">
        <v>0.0</v>
      </c>
      <c r="M254" s="1">
        <v>0.0</v>
      </c>
      <c r="N254" s="1">
        <v>0.0</v>
      </c>
      <c r="O254" s="1">
        <v>1.0</v>
      </c>
      <c r="P254" s="1">
        <v>179.0</v>
      </c>
      <c r="Q254" s="1">
        <v>30.0</v>
      </c>
    </row>
    <row r="255">
      <c r="A255" s="1">
        <f t="shared" si="1"/>
        <v>253</v>
      </c>
      <c r="B255" s="1" t="s">
        <v>1549</v>
      </c>
      <c r="C255" s="1" t="s">
        <v>1052</v>
      </c>
      <c r="D255" s="1" t="s">
        <v>36</v>
      </c>
      <c r="E255" s="1">
        <f t="shared" si="2"/>
        <v>154.75</v>
      </c>
      <c r="F255" s="1">
        <f t="shared" si="3"/>
        <v>3.87</v>
      </c>
      <c r="G255" s="1">
        <v>40.0</v>
      </c>
      <c r="H255" s="1">
        <v>11.0</v>
      </c>
      <c r="I255" s="1">
        <v>19.0</v>
      </c>
      <c r="J255" s="1">
        <v>30.0</v>
      </c>
      <c r="K255" s="1">
        <v>68.0</v>
      </c>
      <c r="L255" s="1">
        <v>1.0</v>
      </c>
      <c r="M255" s="1">
        <v>3.0</v>
      </c>
      <c r="N255" s="1">
        <v>0.0</v>
      </c>
      <c r="O255" s="1">
        <v>0.0</v>
      </c>
      <c r="P255" s="1">
        <v>41.0</v>
      </c>
      <c r="Q255" s="1">
        <v>8.0</v>
      </c>
    </row>
    <row r="256">
      <c r="A256" s="1">
        <f t="shared" si="1"/>
        <v>254</v>
      </c>
      <c r="B256" s="1" t="s">
        <v>1260</v>
      </c>
      <c r="C256" s="1" t="s">
        <v>1078</v>
      </c>
      <c r="D256" s="1" t="s">
        <v>66</v>
      </c>
      <c r="E256" s="1">
        <f t="shared" si="2"/>
        <v>154.25</v>
      </c>
      <c r="F256" s="1">
        <f t="shared" si="3"/>
        <v>3.28</v>
      </c>
      <c r="G256" s="1">
        <v>47.0</v>
      </c>
      <c r="H256" s="1">
        <v>5.0</v>
      </c>
      <c r="I256" s="1">
        <v>13.0</v>
      </c>
      <c r="J256" s="1">
        <v>18.0</v>
      </c>
      <c r="K256" s="1">
        <v>92.0</v>
      </c>
      <c r="L256" s="1">
        <v>0.0</v>
      </c>
      <c r="M256" s="1">
        <v>1.0</v>
      </c>
      <c r="N256" s="1">
        <v>0.0</v>
      </c>
      <c r="O256" s="1">
        <v>0.0</v>
      </c>
      <c r="P256" s="1">
        <v>43.0</v>
      </c>
      <c r="Q256" s="1">
        <v>72.0</v>
      </c>
    </row>
    <row r="257">
      <c r="A257" s="1">
        <f t="shared" si="1"/>
        <v>254</v>
      </c>
      <c r="B257" s="1" t="s">
        <v>1273</v>
      </c>
      <c r="C257" s="1" t="s">
        <v>1073</v>
      </c>
      <c r="D257" s="1" t="s">
        <v>66</v>
      </c>
      <c r="E257" s="1">
        <f t="shared" si="2"/>
        <v>154.25</v>
      </c>
      <c r="F257" s="1">
        <f t="shared" si="3"/>
        <v>2.97</v>
      </c>
      <c r="G257" s="1">
        <v>52.0</v>
      </c>
      <c r="H257" s="1">
        <v>3.0</v>
      </c>
      <c r="I257" s="1">
        <v>12.0</v>
      </c>
      <c r="J257" s="1">
        <v>15.0</v>
      </c>
      <c r="K257" s="1">
        <v>101.0</v>
      </c>
      <c r="L257" s="1">
        <v>0.0</v>
      </c>
      <c r="M257" s="1">
        <v>1.0</v>
      </c>
      <c r="N257" s="1">
        <v>0.0</v>
      </c>
      <c r="O257" s="1">
        <v>1.0</v>
      </c>
      <c r="P257" s="1">
        <v>35.0</v>
      </c>
      <c r="Q257" s="1">
        <v>87.0</v>
      </c>
    </row>
    <row r="258">
      <c r="A258" s="1">
        <f t="shared" si="1"/>
        <v>254</v>
      </c>
      <c r="B258" s="1" t="s">
        <v>1447</v>
      </c>
      <c r="C258" s="1" t="s">
        <v>1076</v>
      </c>
      <c r="D258" s="1" t="s">
        <v>66</v>
      </c>
      <c r="E258" s="1">
        <f t="shared" si="2"/>
        <v>154.25</v>
      </c>
      <c r="F258" s="1">
        <f t="shared" si="3"/>
        <v>2.75</v>
      </c>
      <c r="G258" s="1">
        <v>56.0</v>
      </c>
      <c r="H258" s="1">
        <v>3.0</v>
      </c>
      <c r="I258" s="1">
        <v>18.0</v>
      </c>
      <c r="J258" s="1">
        <v>21.0</v>
      </c>
      <c r="K258" s="1">
        <v>91.0</v>
      </c>
      <c r="L258" s="1">
        <v>0.0</v>
      </c>
      <c r="M258" s="1">
        <v>4.0</v>
      </c>
      <c r="N258" s="1">
        <v>0.0</v>
      </c>
      <c r="O258" s="1">
        <v>1.0</v>
      </c>
      <c r="P258" s="1">
        <v>57.0</v>
      </c>
      <c r="Q258" s="1">
        <v>50.0</v>
      </c>
    </row>
    <row r="259">
      <c r="A259" s="1">
        <f t="shared" si="1"/>
        <v>257</v>
      </c>
      <c r="B259" s="1" t="s">
        <v>1578</v>
      </c>
      <c r="C259" s="1" t="s">
        <v>1082</v>
      </c>
      <c r="D259" s="1" t="s">
        <v>31</v>
      </c>
      <c r="E259" s="1">
        <f t="shared" si="2"/>
        <v>153.75</v>
      </c>
      <c r="F259" s="1">
        <f t="shared" si="3"/>
        <v>3.75</v>
      </c>
      <c r="G259" s="1">
        <v>41.0</v>
      </c>
      <c r="H259" s="1">
        <v>9.0</v>
      </c>
      <c r="I259" s="1">
        <v>20.0</v>
      </c>
      <c r="J259" s="1">
        <v>29.0</v>
      </c>
      <c r="K259" s="1">
        <v>78.0</v>
      </c>
      <c r="L259" s="1">
        <v>1.0</v>
      </c>
      <c r="M259" s="1">
        <v>7.0</v>
      </c>
      <c r="N259" s="1">
        <v>0.0</v>
      </c>
      <c r="O259" s="1">
        <v>0.0</v>
      </c>
      <c r="P259" s="1">
        <v>21.0</v>
      </c>
      <c r="Q259" s="1">
        <v>18.0</v>
      </c>
    </row>
    <row r="260">
      <c r="A260" s="1">
        <f t="shared" si="1"/>
        <v>257</v>
      </c>
      <c r="B260" s="1" t="s">
        <v>1757</v>
      </c>
      <c r="C260" s="1" t="s">
        <v>1054</v>
      </c>
      <c r="D260" s="1" t="s">
        <v>31</v>
      </c>
      <c r="E260" s="1">
        <f t="shared" si="2"/>
        <v>153.75</v>
      </c>
      <c r="F260" s="1">
        <f t="shared" si="3"/>
        <v>2.8</v>
      </c>
      <c r="G260" s="1">
        <v>55.0</v>
      </c>
      <c r="H260" s="1">
        <v>10.0</v>
      </c>
      <c r="I260" s="1">
        <v>16.0</v>
      </c>
      <c r="J260" s="1">
        <v>26.0</v>
      </c>
      <c r="K260" s="1">
        <v>66.0</v>
      </c>
      <c r="L260" s="1">
        <v>3.0</v>
      </c>
      <c r="M260" s="1">
        <v>2.0</v>
      </c>
      <c r="N260" s="1">
        <v>0.0</v>
      </c>
      <c r="O260" s="1">
        <v>0.0</v>
      </c>
      <c r="P260" s="1">
        <v>11.0</v>
      </c>
      <c r="Q260" s="1">
        <v>50.0</v>
      </c>
    </row>
    <row r="261">
      <c r="A261" s="1">
        <f t="shared" si="1"/>
        <v>257</v>
      </c>
      <c r="B261" s="1" t="s">
        <v>1335</v>
      </c>
      <c r="C261" s="1" t="s">
        <v>1082</v>
      </c>
      <c r="D261" s="1" t="s">
        <v>66</v>
      </c>
      <c r="E261" s="1">
        <f t="shared" si="2"/>
        <v>153.75</v>
      </c>
      <c r="F261" s="1">
        <f t="shared" si="3"/>
        <v>2.75</v>
      </c>
      <c r="G261" s="1">
        <v>56.0</v>
      </c>
      <c r="H261" s="1">
        <v>2.0</v>
      </c>
      <c r="I261" s="1">
        <v>17.0</v>
      </c>
      <c r="J261" s="1">
        <v>19.0</v>
      </c>
      <c r="K261" s="1">
        <v>51.0</v>
      </c>
      <c r="L261" s="1">
        <v>0.0</v>
      </c>
      <c r="M261" s="1">
        <v>1.0</v>
      </c>
      <c r="N261" s="1">
        <v>0.0</v>
      </c>
      <c r="O261" s="1">
        <v>1.0</v>
      </c>
      <c r="P261" s="1">
        <v>143.0</v>
      </c>
      <c r="Q261" s="1">
        <v>61.0</v>
      </c>
    </row>
    <row r="262">
      <c r="A262" s="1">
        <f t="shared" si="1"/>
        <v>260</v>
      </c>
      <c r="B262" s="1" t="s">
        <v>1451</v>
      </c>
      <c r="C262" s="1" t="s">
        <v>1080</v>
      </c>
      <c r="D262" s="1" t="s">
        <v>66</v>
      </c>
      <c r="E262" s="1">
        <f t="shared" si="2"/>
        <v>153.5</v>
      </c>
      <c r="F262" s="1">
        <f t="shared" si="3"/>
        <v>2.95</v>
      </c>
      <c r="G262" s="1">
        <v>52.0</v>
      </c>
      <c r="H262" s="1">
        <v>5.0</v>
      </c>
      <c r="I262" s="1">
        <v>12.0</v>
      </c>
      <c r="J262" s="1">
        <v>17.0</v>
      </c>
      <c r="K262" s="1">
        <v>78.0</v>
      </c>
      <c r="L262" s="1">
        <v>0.0</v>
      </c>
      <c r="M262" s="1">
        <v>0.0</v>
      </c>
      <c r="N262" s="1">
        <v>0.0</v>
      </c>
      <c r="O262" s="1">
        <v>0.0</v>
      </c>
      <c r="P262" s="1">
        <v>94.0</v>
      </c>
      <c r="Q262" s="1">
        <v>65.0</v>
      </c>
    </row>
    <row r="263">
      <c r="A263" s="1">
        <f t="shared" si="1"/>
        <v>260</v>
      </c>
      <c r="B263" s="1" t="s">
        <v>1659</v>
      </c>
      <c r="C263" s="1" t="s">
        <v>1046</v>
      </c>
      <c r="D263" s="1" t="s">
        <v>28</v>
      </c>
      <c r="E263" s="1">
        <f t="shared" si="2"/>
        <v>153.5</v>
      </c>
      <c r="F263" s="1">
        <f t="shared" si="3"/>
        <v>3.01</v>
      </c>
      <c r="G263" s="1">
        <v>51.0</v>
      </c>
      <c r="H263" s="1">
        <v>10.0</v>
      </c>
      <c r="I263" s="1">
        <v>8.0</v>
      </c>
      <c r="J263" s="1">
        <v>18.0</v>
      </c>
      <c r="K263" s="1">
        <v>110.0</v>
      </c>
      <c r="L263" s="1">
        <v>2.0</v>
      </c>
      <c r="M263" s="1">
        <v>1.0</v>
      </c>
      <c r="N263" s="1">
        <v>0.0</v>
      </c>
      <c r="O263" s="1">
        <v>1.0</v>
      </c>
      <c r="P263" s="1">
        <v>54.0</v>
      </c>
      <c r="Q263" s="1">
        <v>28.0</v>
      </c>
    </row>
    <row r="264">
      <c r="A264" s="1">
        <f t="shared" si="1"/>
        <v>262</v>
      </c>
      <c r="B264" s="1" t="s">
        <v>1489</v>
      </c>
      <c r="C264" s="1" t="s">
        <v>1156</v>
      </c>
      <c r="D264" s="1" t="s">
        <v>5</v>
      </c>
      <c r="E264" s="1">
        <f t="shared" si="2"/>
        <v>153.3</v>
      </c>
      <c r="F264" s="1">
        <f t="shared" si="3"/>
        <v>5.48</v>
      </c>
      <c r="G264" s="1">
        <v>28.0</v>
      </c>
      <c r="R264" s="1">
        <v>8.0</v>
      </c>
      <c r="S264" s="1">
        <v>69.0</v>
      </c>
      <c r="T264" s="1">
        <v>756.0</v>
      </c>
      <c r="U264" s="1">
        <v>2.0</v>
      </c>
    </row>
    <row r="265">
      <c r="A265" s="1">
        <f t="shared" si="1"/>
        <v>263</v>
      </c>
      <c r="B265" s="1" t="s">
        <v>1252</v>
      </c>
      <c r="C265" s="1" t="s">
        <v>1034</v>
      </c>
      <c r="D265" s="1" t="s">
        <v>31</v>
      </c>
      <c r="E265" s="1">
        <f t="shared" si="2"/>
        <v>153</v>
      </c>
      <c r="F265" s="1">
        <f t="shared" si="3"/>
        <v>3.06</v>
      </c>
      <c r="G265" s="1">
        <v>50.0</v>
      </c>
      <c r="H265" s="1">
        <v>9.0</v>
      </c>
      <c r="I265" s="1">
        <v>13.0</v>
      </c>
      <c r="J265" s="1">
        <v>22.0</v>
      </c>
      <c r="K265" s="1">
        <v>75.0</v>
      </c>
      <c r="L265" s="1">
        <v>1.0</v>
      </c>
      <c r="M265" s="1">
        <v>3.0</v>
      </c>
      <c r="N265" s="1">
        <v>2.0</v>
      </c>
      <c r="O265" s="1">
        <v>0.0</v>
      </c>
      <c r="P265" s="1">
        <v>64.0</v>
      </c>
      <c r="Q265" s="1">
        <v>32.0</v>
      </c>
    </row>
    <row r="266">
      <c r="A266" s="1">
        <f t="shared" si="1"/>
        <v>264</v>
      </c>
      <c r="B266" s="1" t="s">
        <v>1536</v>
      </c>
      <c r="C266" s="1" t="s">
        <v>1048</v>
      </c>
      <c r="D266" s="1" t="s">
        <v>66</v>
      </c>
      <c r="E266" s="1">
        <f t="shared" si="2"/>
        <v>152.5</v>
      </c>
      <c r="F266" s="1">
        <f t="shared" si="3"/>
        <v>4.36</v>
      </c>
      <c r="G266" s="1">
        <v>35.0</v>
      </c>
      <c r="H266" s="1">
        <v>11.0</v>
      </c>
      <c r="I266" s="1">
        <v>11.0</v>
      </c>
      <c r="J266" s="1">
        <v>22.0</v>
      </c>
      <c r="K266" s="1">
        <v>101.0</v>
      </c>
      <c r="L266" s="1">
        <v>6.0</v>
      </c>
      <c r="M266" s="1">
        <v>5.0</v>
      </c>
      <c r="N266" s="1">
        <v>0.0</v>
      </c>
      <c r="O266" s="1">
        <v>0.0</v>
      </c>
      <c r="P266" s="1">
        <v>24.0</v>
      </c>
      <c r="Q266" s="1">
        <v>27.0</v>
      </c>
    </row>
    <row r="267">
      <c r="A267" s="1">
        <f t="shared" si="1"/>
        <v>264</v>
      </c>
      <c r="B267" s="1" t="s">
        <v>2100</v>
      </c>
      <c r="C267" s="1" t="s">
        <v>1046</v>
      </c>
      <c r="D267" s="1" t="s">
        <v>66</v>
      </c>
      <c r="E267" s="1">
        <f t="shared" si="2"/>
        <v>152.5</v>
      </c>
      <c r="F267" s="1">
        <f t="shared" si="3"/>
        <v>2.93</v>
      </c>
      <c r="G267" s="1">
        <v>52.0</v>
      </c>
      <c r="H267" s="1">
        <v>0.0</v>
      </c>
      <c r="I267" s="1">
        <v>8.0</v>
      </c>
      <c r="J267" s="1">
        <v>8.0</v>
      </c>
      <c r="K267" s="1">
        <v>99.0</v>
      </c>
      <c r="L267" s="1">
        <v>0.0</v>
      </c>
      <c r="M267" s="1">
        <v>0.0</v>
      </c>
      <c r="N267" s="1">
        <v>0.0</v>
      </c>
      <c r="O267" s="1">
        <v>0.0</v>
      </c>
      <c r="P267" s="1">
        <v>80.0</v>
      </c>
      <c r="Q267" s="1">
        <v>118.0</v>
      </c>
    </row>
    <row r="268">
      <c r="A268" s="1">
        <f t="shared" si="1"/>
        <v>266</v>
      </c>
      <c r="B268" s="1" t="s">
        <v>1468</v>
      </c>
      <c r="C268" s="1" t="s">
        <v>1054</v>
      </c>
      <c r="D268" s="1" t="s">
        <v>28</v>
      </c>
      <c r="E268" s="1">
        <f t="shared" si="2"/>
        <v>152.25</v>
      </c>
      <c r="F268" s="1">
        <f t="shared" si="3"/>
        <v>3.9</v>
      </c>
      <c r="G268" s="1">
        <v>39.0</v>
      </c>
      <c r="H268" s="1">
        <v>11.0</v>
      </c>
      <c r="I268" s="1">
        <v>15.0</v>
      </c>
      <c r="J268" s="1">
        <v>26.0</v>
      </c>
      <c r="K268" s="1">
        <v>40.0</v>
      </c>
      <c r="L268" s="1">
        <v>0.0</v>
      </c>
      <c r="M268" s="1">
        <v>0.0</v>
      </c>
      <c r="N268" s="1">
        <v>1.0</v>
      </c>
      <c r="O268" s="1">
        <v>0.0</v>
      </c>
      <c r="P268" s="1">
        <v>109.0</v>
      </c>
      <c r="Q268" s="1">
        <v>17.0</v>
      </c>
    </row>
    <row r="269">
      <c r="A269" s="1">
        <f t="shared" si="1"/>
        <v>267</v>
      </c>
      <c r="B269" s="1" t="s">
        <v>1476</v>
      </c>
      <c r="C269" s="1" t="s">
        <v>1034</v>
      </c>
      <c r="D269" s="1" t="s">
        <v>66</v>
      </c>
      <c r="E269" s="1">
        <f t="shared" si="2"/>
        <v>151.5</v>
      </c>
      <c r="F269" s="1">
        <f t="shared" si="3"/>
        <v>3.29</v>
      </c>
      <c r="G269" s="1">
        <v>46.0</v>
      </c>
      <c r="H269" s="1">
        <v>5.0</v>
      </c>
      <c r="I269" s="1">
        <v>13.0</v>
      </c>
      <c r="J269" s="1">
        <v>18.0</v>
      </c>
      <c r="K269" s="1">
        <v>85.0</v>
      </c>
      <c r="L269" s="1">
        <v>0.0</v>
      </c>
      <c r="M269" s="1">
        <v>0.0</v>
      </c>
      <c r="N269" s="1">
        <v>0.0</v>
      </c>
      <c r="O269" s="1">
        <v>0.0</v>
      </c>
      <c r="P269" s="1">
        <v>98.0</v>
      </c>
      <c r="Q269" s="1">
        <v>46.0</v>
      </c>
    </row>
    <row r="270">
      <c r="A270" s="1">
        <f t="shared" si="1"/>
        <v>267</v>
      </c>
      <c r="B270" s="1" t="s">
        <v>1692</v>
      </c>
      <c r="C270" s="1" t="s">
        <v>1080</v>
      </c>
      <c r="D270" s="1" t="s">
        <v>31</v>
      </c>
      <c r="E270" s="1">
        <f t="shared" si="2"/>
        <v>151.5</v>
      </c>
      <c r="F270" s="1">
        <f t="shared" si="3"/>
        <v>2.71</v>
      </c>
      <c r="G270" s="1">
        <v>56.0</v>
      </c>
      <c r="H270" s="1">
        <v>11.0</v>
      </c>
      <c r="I270" s="1">
        <v>13.0</v>
      </c>
      <c r="J270" s="1">
        <v>24.0</v>
      </c>
      <c r="K270" s="1">
        <v>95.0</v>
      </c>
      <c r="L270" s="1">
        <v>4.0</v>
      </c>
      <c r="M270" s="1">
        <v>3.0</v>
      </c>
      <c r="N270" s="1">
        <v>1.0</v>
      </c>
      <c r="O270" s="1">
        <v>0.0</v>
      </c>
      <c r="P270" s="1">
        <v>26.0</v>
      </c>
      <c r="Q270" s="1">
        <v>14.0</v>
      </c>
    </row>
    <row r="271">
      <c r="A271" s="1">
        <f t="shared" si="1"/>
        <v>269</v>
      </c>
      <c r="B271" s="1" t="s">
        <v>1222</v>
      </c>
      <c r="C271" s="1" t="s">
        <v>1097</v>
      </c>
      <c r="D271" s="1" t="s">
        <v>31</v>
      </c>
      <c r="E271" s="1">
        <f t="shared" si="2"/>
        <v>151</v>
      </c>
      <c r="F271" s="1">
        <f t="shared" si="3"/>
        <v>2.85</v>
      </c>
      <c r="G271" s="1">
        <v>53.0</v>
      </c>
      <c r="H271" s="1">
        <v>5.0</v>
      </c>
      <c r="I271" s="1">
        <v>19.0</v>
      </c>
      <c r="J271" s="1">
        <v>24.0</v>
      </c>
      <c r="K271" s="1">
        <v>73.0</v>
      </c>
      <c r="L271" s="1">
        <v>0.0</v>
      </c>
      <c r="M271" s="1">
        <v>0.0</v>
      </c>
      <c r="N271" s="1">
        <v>0.0</v>
      </c>
      <c r="O271" s="1">
        <v>1.0</v>
      </c>
      <c r="P271" s="1">
        <v>76.0</v>
      </c>
      <c r="Q271" s="1">
        <v>28.0</v>
      </c>
    </row>
    <row r="272">
      <c r="A272" s="1">
        <f t="shared" si="1"/>
        <v>270</v>
      </c>
      <c r="B272" s="1" t="s">
        <v>1504</v>
      </c>
      <c r="C272" s="1" t="s">
        <v>1082</v>
      </c>
      <c r="D272" s="1" t="s">
        <v>66</v>
      </c>
      <c r="E272" s="1">
        <f t="shared" si="2"/>
        <v>150.5</v>
      </c>
      <c r="F272" s="1">
        <f t="shared" si="3"/>
        <v>3.27</v>
      </c>
      <c r="G272" s="1">
        <v>46.0</v>
      </c>
      <c r="H272" s="1">
        <v>3.0</v>
      </c>
      <c r="I272" s="1">
        <v>24.0</v>
      </c>
      <c r="J272" s="1">
        <v>27.0</v>
      </c>
      <c r="K272" s="1">
        <v>67.0</v>
      </c>
      <c r="L272" s="1">
        <v>0.0</v>
      </c>
      <c r="M272" s="1">
        <v>8.0</v>
      </c>
      <c r="N272" s="1">
        <v>0.0</v>
      </c>
      <c r="O272" s="1">
        <v>0.0</v>
      </c>
      <c r="P272" s="1">
        <v>28.0</v>
      </c>
      <c r="Q272" s="1">
        <v>49.0</v>
      </c>
    </row>
    <row r="273">
      <c r="A273" s="1">
        <f t="shared" si="1"/>
        <v>271</v>
      </c>
      <c r="B273" s="1" t="s">
        <v>1299</v>
      </c>
      <c r="C273" s="1" t="s">
        <v>1042</v>
      </c>
      <c r="D273" s="1" t="s">
        <v>31</v>
      </c>
      <c r="E273" s="1">
        <f t="shared" si="2"/>
        <v>150.25</v>
      </c>
      <c r="F273" s="1">
        <f t="shared" si="3"/>
        <v>2.95</v>
      </c>
      <c r="G273" s="1">
        <v>51.0</v>
      </c>
      <c r="H273" s="1">
        <v>9.0</v>
      </c>
      <c r="I273" s="1">
        <v>12.0</v>
      </c>
      <c r="J273" s="1">
        <v>21.0</v>
      </c>
      <c r="K273" s="1">
        <v>85.0</v>
      </c>
      <c r="L273" s="1">
        <v>1.0</v>
      </c>
      <c r="M273" s="1">
        <v>2.0</v>
      </c>
      <c r="N273" s="1">
        <v>2.0</v>
      </c>
      <c r="O273" s="1">
        <v>0.0</v>
      </c>
      <c r="P273" s="1">
        <v>63.0</v>
      </c>
      <c r="Q273" s="1">
        <v>23.0</v>
      </c>
    </row>
    <row r="274">
      <c r="A274" s="1">
        <f t="shared" si="1"/>
        <v>272</v>
      </c>
      <c r="B274" s="1" t="s">
        <v>1748</v>
      </c>
      <c r="C274" s="1" t="s">
        <v>1116</v>
      </c>
      <c r="D274" s="1" t="s">
        <v>66</v>
      </c>
      <c r="E274" s="1">
        <f t="shared" si="2"/>
        <v>150</v>
      </c>
      <c r="F274" s="1">
        <f t="shared" si="3"/>
        <v>2.68</v>
      </c>
      <c r="G274" s="1">
        <v>56.0</v>
      </c>
      <c r="H274" s="1">
        <v>2.0</v>
      </c>
      <c r="I274" s="1">
        <v>10.0</v>
      </c>
      <c r="J274" s="1">
        <v>12.0</v>
      </c>
      <c r="K274" s="1">
        <v>67.0</v>
      </c>
      <c r="L274" s="1">
        <v>0.0</v>
      </c>
      <c r="M274" s="1">
        <v>0.0</v>
      </c>
      <c r="N274" s="1">
        <v>0.0</v>
      </c>
      <c r="O274" s="1">
        <v>0.0</v>
      </c>
      <c r="P274" s="1">
        <v>80.0</v>
      </c>
      <c r="Q274" s="1">
        <v>115.0</v>
      </c>
    </row>
    <row r="275">
      <c r="A275" s="1">
        <f t="shared" si="1"/>
        <v>272</v>
      </c>
      <c r="B275" s="1" t="s">
        <v>1244</v>
      </c>
      <c r="C275" s="1" t="s">
        <v>1156</v>
      </c>
      <c r="D275" s="1" t="s">
        <v>28</v>
      </c>
      <c r="E275" s="1">
        <f t="shared" si="2"/>
        <v>150</v>
      </c>
      <c r="F275" s="1">
        <f t="shared" si="3"/>
        <v>3.66</v>
      </c>
      <c r="G275" s="1">
        <v>41.0</v>
      </c>
      <c r="H275" s="1">
        <v>8.0</v>
      </c>
      <c r="I275" s="1">
        <v>9.0</v>
      </c>
      <c r="J275" s="1">
        <v>17.0</v>
      </c>
      <c r="K275" s="1">
        <v>79.0</v>
      </c>
      <c r="L275" s="1">
        <v>1.0</v>
      </c>
      <c r="M275" s="1">
        <v>0.0</v>
      </c>
      <c r="N275" s="1">
        <v>1.0</v>
      </c>
      <c r="O275" s="1">
        <v>0.0</v>
      </c>
      <c r="P275" s="1">
        <v>76.0</v>
      </c>
      <c r="Q275" s="1">
        <v>53.0</v>
      </c>
    </row>
    <row r="276">
      <c r="A276" s="1">
        <f t="shared" si="1"/>
        <v>274</v>
      </c>
      <c r="B276" s="1" t="s">
        <v>1384</v>
      </c>
      <c r="C276" s="1" t="s">
        <v>1034</v>
      </c>
      <c r="D276" s="1" t="s">
        <v>66</v>
      </c>
      <c r="E276" s="1">
        <f t="shared" si="2"/>
        <v>149.75</v>
      </c>
      <c r="F276" s="1">
        <f t="shared" si="3"/>
        <v>3</v>
      </c>
      <c r="G276" s="1">
        <v>50.0</v>
      </c>
      <c r="H276" s="1">
        <v>4.0</v>
      </c>
      <c r="I276" s="1">
        <v>8.0</v>
      </c>
      <c r="J276" s="1">
        <v>12.0</v>
      </c>
      <c r="K276" s="1">
        <v>85.0</v>
      </c>
      <c r="L276" s="1">
        <v>0.0</v>
      </c>
      <c r="M276" s="1">
        <v>0.0</v>
      </c>
      <c r="N276" s="1">
        <v>0.0</v>
      </c>
      <c r="O276" s="1">
        <v>0.0</v>
      </c>
      <c r="P276" s="1">
        <v>69.0</v>
      </c>
      <c r="Q276" s="1">
        <v>96.0</v>
      </c>
    </row>
    <row r="277">
      <c r="A277" s="1">
        <f t="shared" si="1"/>
        <v>275</v>
      </c>
      <c r="B277" s="1" t="s">
        <v>1928</v>
      </c>
      <c r="C277" s="1" t="s">
        <v>1032</v>
      </c>
      <c r="D277" s="1" t="s">
        <v>5</v>
      </c>
      <c r="E277" s="1">
        <f t="shared" si="2"/>
        <v>149.7</v>
      </c>
      <c r="F277" s="1">
        <f t="shared" si="3"/>
        <v>6.8</v>
      </c>
      <c r="G277" s="1">
        <v>22.0</v>
      </c>
      <c r="R277" s="1">
        <v>17.0</v>
      </c>
      <c r="S277" s="1">
        <v>46.0</v>
      </c>
      <c r="T277" s="1">
        <v>539.0</v>
      </c>
      <c r="U277" s="1">
        <v>2.0</v>
      </c>
    </row>
    <row r="278">
      <c r="A278" s="1">
        <f t="shared" si="1"/>
        <v>276</v>
      </c>
      <c r="B278" s="1" t="s">
        <v>1795</v>
      </c>
      <c r="C278" s="1" t="s">
        <v>1087</v>
      </c>
      <c r="D278" s="1" t="s">
        <v>36</v>
      </c>
      <c r="E278" s="1">
        <f t="shared" si="2"/>
        <v>149.25</v>
      </c>
      <c r="F278" s="1">
        <f t="shared" si="3"/>
        <v>3.39</v>
      </c>
      <c r="G278" s="1">
        <v>44.0</v>
      </c>
      <c r="H278" s="1">
        <v>12.0</v>
      </c>
      <c r="I278" s="1">
        <v>9.0</v>
      </c>
      <c r="J278" s="1">
        <v>21.0</v>
      </c>
      <c r="K278" s="1">
        <v>94.0</v>
      </c>
      <c r="L278" s="1">
        <v>4.0</v>
      </c>
      <c r="M278" s="1">
        <v>6.0</v>
      </c>
      <c r="N278" s="1">
        <v>0.0</v>
      </c>
      <c r="O278" s="1">
        <v>0.0</v>
      </c>
      <c r="P278" s="1">
        <v>57.0</v>
      </c>
      <c r="Q278" s="1">
        <v>14.0</v>
      </c>
    </row>
    <row r="279">
      <c r="A279" s="1">
        <f t="shared" si="1"/>
        <v>277</v>
      </c>
      <c r="B279" s="1" t="s">
        <v>1354</v>
      </c>
      <c r="C279" s="1" t="s">
        <v>1111</v>
      </c>
      <c r="D279" s="1" t="s">
        <v>66</v>
      </c>
      <c r="E279" s="1">
        <f t="shared" si="2"/>
        <v>149</v>
      </c>
      <c r="F279" s="1">
        <f t="shared" si="3"/>
        <v>3.24</v>
      </c>
      <c r="G279" s="1">
        <v>46.0</v>
      </c>
      <c r="H279" s="1">
        <v>3.0</v>
      </c>
      <c r="I279" s="1">
        <v>21.0</v>
      </c>
      <c r="J279" s="1">
        <v>24.0</v>
      </c>
      <c r="K279" s="1">
        <v>83.0</v>
      </c>
      <c r="L279" s="1">
        <v>2.0</v>
      </c>
      <c r="M279" s="1">
        <v>12.0</v>
      </c>
      <c r="N279" s="1">
        <v>0.0</v>
      </c>
      <c r="O279" s="1">
        <v>0.0</v>
      </c>
      <c r="P279" s="1">
        <v>72.0</v>
      </c>
      <c r="Q279" s="1">
        <v>26.0</v>
      </c>
    </row>
    <row r="280">
      <c r="A280" s="1">
        <f t="shared" si="1"/>
        <v>278</v>
      </c>
      <c r="B280" s="1" t="s">
        <v>1191</v>
      </c>
      <c r="C280" s="1" t="s">
        <v>1091</v>
      </c>
      <c r="D280" s="1" t="s">
        <v>66</v>
      </c>
      <c r="E280" s="1">
        <f t="shared" si="2"/>
        <v>148</v>
      </c>
      <c r="F280" s="1">
        <f t="shared" si="3"/>
        <v>2.69</v>
      </c>
      <c r="G280" s="1">
        <v>55.0</v>
      </c>
      <c r="H280" s="1">
        <v>3.0</v>
      </c>
      <c r="I280" s="1">
        <v>12.0</v>
      </c>
      <c r="J280" s="1">
        <v>15.0</v>
      </c>
      <c r="K280" s="1">
        <v>100.0</v>
      </c>
      <c r="L280" s="1">
        <v>0.0</v>
      </c>
      <c r="M280" s="1">
        <v>0.0</v>
      </c>
      <c r="N280" s="1">
        <v>0.0</v>
      </c>
      <c r="O280" s="1">
        <v>0.0</v>
      </c>
      <c r="P280" s="1">
        <v>48.0</v>
      </c>
      <c r="Q280" s="1">
        <v>73.0</v>
      </c>
    </row>
    <row r="281">
      <c r="A281" s="1">
        <f t="shared" si="1"/>
        <v>279</v>
      </c>
      <c r="B281" s="1" t="s">
        <v>2280</v>
      </c>
      <c r="C281" s="1" t="s">
        <v>1085</v>
      </c>
      <c r="D281" s="1" t="s">
        <v>5</v>
      </c>
      <c r="E281" s="1">
        <f t="shared" si="2"/>
        <v>147.9</v>
      </c>
      <c r="F281" s="1">
        <f t="shared" si="3"/>
        <v>4.62</v>
      </c>
      <c r="G281" s="1">
        <v>32.0</v>
      </c>
      <c r="R281" s="1">
        <v>12.0</v>
      </c>
      <c r="S281" s="1">
        <v>76.0</v>
      </c>
      <c r="T281" s="1">
        <v>723.0</v>
      </c>
      <c r="U281" s="1">
        <v>3.0</v>
      </c>
    </row>
    <row r="282">
      <c r="A282" s="1">
        <f t="shared" si="1"/>
        <v>280</v>
      </c>
      <c r="B282" s="1" t="s">
        <v>1219</v>
      </c>
      <c r="C282" s="1" t="s">
        <v>1054</v>
      </c>
      <c r="D282" s="1" t="s">
        <v>36</v>
      </c>
      <c r="E282" s="1">
        <f t="shared" si="2"/>
        <v>147.75</v>
      </c>
      <c r="F282" s="1">
        <f t="shared" si="3"/>
        <v>2.9</v>
      </c>
      <c r="G282" s="1">
        <v>51.0</v>
      </c>
      <c r="H282" s="1">
        <v>7.0</v>
      </c>
      <c r="I282" s="1">
        <v>15.0</v>
      </c>
      <c r="J282" s="1">
        <v>22.0</v>
      </c>
      <c r="K282" s="1">
        <v>74.0</v>
      </c>
      <c r="L282" s="1">
        <v>0.0</v>
      </c>
      <c r="M282" s="1">
        <v>3.0</v>
      </c>
      <c r="N282" s="1">
        <v>1.0</v>
      </c>
      <c r="O282" s="1">
        <v>1.0</v>
      </c>
      <c r="P282" s="1">
        <v>55.0</v>
      </c>
      <c r="Q282" s="1">
        <v>33.0</v>
      </c>
    </row>
    <row r="283">
      <c r="A283" s="1">
        <f t="shared" si="1"/>
        <v>281</v>
      </c>
      <c r="B283" s="1" t="s">
        <v>1791</v>
      </c>
      <c r="C283" s="1" t="s">
        <v>1156</v>
      </c>
      <c r="D283" s="1" t="s">
        <v>36</v>
      </c>
      <c r="E283" s="1">
        <f t="shared" si="2"/>
        <v>147.5</v>
      </c>
      <c r="F283" s="1">
        <f t="shared" si="3"/>
        <v>3.21</v>
      </c>
      <c r="G283" s="1">
        <v>46.0</v>
      </c>
      <c r="H283" s="1">
        <v>12.0</v>
      </c>
      <c r="I283" s="1">
        <v>12.0</v>
      </c>
      <c r="J283" s="1">
        <v>24.0</v>
      </c>
      <c r="K283" s="1">
        <v>82.0</v>
      </c>
      <c r="L283" s="1">
        <v>4.0</v>
      </c>
      <c r="M283" s="1">
        <v>3.0</v>
      </c>
      <c r="N283" s="1">
        <v>0.0</v>
      </c>
      <c r="O283" s="1">
        <v>0.0</v>
      </c>
      <c r="P283" s="1">
        <v>36.0</v>
      </c>
      <c r="Q283" s="1">
        <v>15.0</v>
      </c>
    </row>
    <row r="284">
      <c r="A284" s="1">
        <f t="shared" si="1"/>
        <v>281</v>
      </c>
      <c r="B284" s="1" t="s">
        <v>1183</v>
      </c>
      <c r="C284" s="1" t="s">
        <v>1065</v>
      </c>
      <c r="D284" s="1" t="s">
        <v>31</v>
      </c>
      <c r="E284" s="1">
        <f t="shared" si="2"/>
        <v>147.5</v>
      </c>
      <c r="F284" s="1">
        <f t="shared" si="3"/>
        <v>3.28</v>
      </c>
      <c r="G284" s="1">
        <v>45.0</v>
      </c>
      <c r="H284" s="1">
        <v>12.0</v>
      </c>
      <c r="I284" s="1">
        <v>9.0</v>
      </c>
      <c r="J284" s="1">
        <v>21.0</v>
      </c>
      <c r="K284" s="1">
        <v>77.0</v>
      </c>
      <c r="L284" s="1">
        <v>1.0</v>
      </c>
      <c r="M284" s="1">
        <v>1.0</v>
      </c>
      <c r="N284" s="1">
        <v>0.0</v>
      </c>
      <c r="O284" s="1">
        <v>1.0</v>
      </c>
      <c r="P284" s="1">
        <v>40.0</v>
      </c>
      <c r="Q284" s="1">
        <v>32.0</v>
      </c>
    </row>
    <row r="285">
      <c r="A285" s="1">
        <f t="shared" si="1"/>
        <v>281</v>
      </c>
      <c r="B285" s="1" t="s">
        <v>1543</v>
      </c>
      <c r="C285" s="1" t="s">
        <v>1085</v>
      </c>
      <c r="D285" s="1" t="s">
        <v>31</v>
      </c>
      <c r="E285" s="1">
        <f t="shared" si="2"/>
        <v>147.5</v>
      </c>
      <c r="F285" s="1">
        <f t="shared" si="3"/>
        <v>2.68</v>
      </c>
      <c r="G285" s="1">
        <v>55.0</v>
      </c>
      <c r="H285" s="1">
        <v>6.0</v>
      </c>
      <c r="I285" s="1">
        <v>8.0</v>
      </c>
      <c r="J285" s="1">
        <v>14.0</v>
      </c>
      <c r="K285" s="1">
        <v>94.0</v>
      </c>
      <c r="L285" s="1">
        <v>1.0</v>
      </c>
      <c r="M285" s="1">
        <v>1.0</v>
      </c>
      <c r="N285" s="1">
        <v>1.0</v>
      </c>
      <c r="O285" s="1">
        <v>0.0</v>
      </c>
      <c r="P285" s="1">
        <v>100.0</v>
      </c>
      <c r="Q285" s="1">
        <v>45.0</v>
      </c>
    </row>
    <row r="286">
      <c r="A286" s="1">
        <f t="shared" si="1"/>
        <v>284</v>
      </c>
      <c r="B286" s="1" t="s">
        <v>2287</v>
      </c>
      <c r="C286" s="1" t="s">
        <v>1076</v>
      </c>
      <c r="D286" s="1" t="s">
        <v>66</v>
      </c>
      <c r="E286" s="1">
        <f t="shared" si="2"/>
        <v>147.25</v>
      </c>
      <c r="F286" s="1">
        <f t="shared" si="3"/>
        <v>3.35</v>
      </c>
      <c r="G286" s="1">
        <v>44.0</v>
      </c>
      <c r="H286" s="1">
        <v>5.0</v>
      </c>
      <c r="I286" s="1">
        <v>14.0</v>
      </c>
      <c r="J286" s="1">
        <v>19.0</v>
      </c>
      <c r="K286" s="1">
        <v>99.0</v>
      </c>
      <c r="L286" s="1">
        <v>2.0</v>
      </c>
      <c r="M286" s="1">
        <v>3.0</v>
      </c>
      <c r="N286" s="1">
        <v>0.0</v>
      </c>
      <c r="O286" s="1">
        <v>0.0</v>
      </c>
      <c r="P286" s="1">
        <v>41.0</v>
      </c>
      <c r="Q286" s="1">
        <v>46.0</v>
      </c>
    </row>
    <row r="287">
      <c r="A287" s="1">
        <f t="shared" si="1"/>
        <v>285</v>
      </c>
      <c r="B287" s="1" t="s">
        <v>1706</v>
      </c>
      <c r="C287" s="1" t="s">
        <v>1082</v>
      </c>
      <c r="D287" s="1" t="s">
        <v>28</v>
      </c>
      <c r="E287" s="1">
        <f t="shared" si="2"/>
        <v>147</v>
      </c>
      <c r="F287" s="1">
        <f t="shared" si="3"/>
        <v>2.77</v>
      </c>
      <c r="G287" s="1">
        <v>53.0</v>
      </c>
      <c r="H287" s="1">
        <v>14.0</v>
      </c>
      <c r="I287" s="1">
        <v>8.0</v>
      </c>
      <c r="J287" s="1">
        <v>22.0</v>
      </c>
      <c r="K287" s="1">
        <v>88.0</v>
      </c>
      <c r="L287" s="1">
        <v>1.0</v>
      </c>
      <c r="M287" s="1">
        <v>2.0</v>
      </c>
      <c r="N287" s="1">
        <v>0.0</v>
      </c>
      <c r="O287" s="1">
        <v>0.0</v>
      </c>
      <c r="P287" s="1">
        <v>24.0</v>
      </c>
      <c r="Q287" s="1">
        <v>20.0</v>
      </c>
    </row>
    <row r="288">
      <c r="A288" s="1">
        <f t="shared" si="1"/>
        <v>286</v>
      </c>
      <c r="B288" s="1" t="s">
        <v>1601</v>
      </c>
      <c r="C288" s="1" t="s">
        <v>1044</v>
      </c>
      <c r="D288" s="1" t="s">
        <v>36</v>
      </c>
      <c r="E288" s="1">
        <f t="shared" si="2"/>
        <v>146.5</v>
      </c>
      <c r="F288" s="1">
        <f t="shared" si="3"/>
        <v>2.66</v>
      </c>
      <c r="G288" s="1">
        <v>55.0</v>
      </c>
      <c r="H288" s="1">
        <v>13.0</v>
      </c>
      <c r="I288" s="1">
        <v>7.0</v>
      </c>
      <c r="J288" s="1">
        <v>20.0</v>
      </c>
      <c r="K288" s="1">
        <v>89.0</v>
      </c>
      <c r="L288" s="1">
        <v>0.0</v>
      </c>
      <c r="M288" s="1">
        <v>1.0</v>
      </c>
      <c r="N288" s="1">
        <v>0.0</v>
      </c>
      <c r="O288" s="1">
        <v>0.0</v>
      </c>
      <c r="P288" s="1">
        <v>38.0</v>
      </c>
      <c r="Q288" s="1">
        <v>26.0</v>
      </c>
    </row>
    <row r="289">
      <c r="A289" s="1">
        <f t="shared" si="1"/>
        <v>286</v>
      </c>
      <c r="B289" s="1" t="s">
        <v>1472</v>
      </c>
      <c r="C289" s="1" t="s">
        <v>1054</v>
      </c>
      <c r="D289" s="1" t="s">
        <v>66</v>
      </c>
      <c r="E289" s="1">
        <f t="shared" si="2"/>
        <v>146.5</v>
      </c>
      <c r="F289" s="1">
        <f t="shared" si="3"/>
        <v>2.62</v>
      </c>
      <c r="G289" s="1">
        <v>56.0</v>
      </c>
      <c r="H289" s="1">
        <v>3.0</v>
      </c>
      <c r="I289" s="1">
        <v>16.0</v>
      </c>
      <c r="J289" s="1">
        <v>19.0</v>
      </c>
      <c r="K289" s="1">
        <v>86.0</v>
      </c>
      <c r="L289" s="1">
        <v>1.0</v>
      </c>
      <c r="M289" s="1">
        <v>5.0</v>
      </c>
      <c r="N289" s="1">
        <v>0.0</v>
      </c>
      <c r="O289" s="1">
        <v>0.0</v>
      </c>
      <c r="P289" s="1">
        <v>38.0</v>
      </c>
      <c r="Q289" s="1">
        <v>65.0</v>
      </c>
    </row>
    <row r="290">
      <c r="A290" s="1">
        <f t="shared" si="1"/>
        <v>286</v>
      </c>
      <c r="B290" s="1" t="s">
        <v>1118</v>
      </c>
      <c r="C290" s="1" t="s">
        <v>1078</v>
      </c>
      <c r="D290" s="1" t="s">
        <v>28</v>
      </c>
      <c r="E290" s="1">
        <f t="shared" si="2"/>
        <v>146.5</v>
      </c>
      <c r="F290" s="1">
        <f t="shared" si="3"/>
        <v>2.62</v>
      </c>
      <c r="G290" s="1">
        <v>56.0</v>
      </c>
      <c r="H290" s="1">
        <v>10.0</v>
      </c>
      <c r="I290" s="1">
        <v>13.0</v>
      </c>
      <c r="J290" s="1">
        <v>23.0</v>
      </c>
      <c r="K290" s="1">
        <v>88.0</v>
      </c>
      <c r="L290" s="1">
        <v>1.0</v>
      </c>
      <c r="M290" s="1">
        <v>1.0</v>
      </c>
      <c r="N290" s="1">
        <v>2.0</v>
      </c>
      <c r="O290" s="1">
        <v>0.0</v>
      </c>
      <c r="P290" s="1">
        <v>38.0</v>
      </c>
      <c r="Q290" s="1">
        <v>10.0</v>
      </c>
    </row>
    <row r="291">
      <c r="A291" s="1">
        <f t="shared" si="1"/>
        <v>289</v>
      </c>
      <c r="B291" s="1" t="s">
        <v>1779</v>
      </c>
      <c r="C291" s="1" t="s">
        <v>1069</v>
      </c>
      <c r="D291" s="1" t="s">
        <v>31</v>
      </c>
      <c r="E291" s="1">
        <f t="shared" si="2"/>
        <v>146.25</v>
      </c>
      <c r="F291" s="1">
        <f t="shared" si="3"/>
        <v>2.87</v>
      </c>
      <c r="G291" s="1">
        <v>51.0</v>
      </c>
      <c r="H291" s="1">
        <v>11.0</v>
      </c>
      <c r="I291" s="1">
        <v>11.0</v>
      </c>
      <c r="J291" s="1">
        <v>22.0</v>
      </c>
      <c r="K291" s="1">
        <v>84.0</v>
      </c>
      <c r="L291" s="1">
        <v>2.0</v>
      </c>
      <c r="M291" s="1">
        <v>0.0</v>
      </c>
      <c r="N291" s="1">
        <v>0.0</v>
      </c>
      <c r="O291" s="1">
        <v>0.0</v>
      </c>
      <c r="P291" s="1">
        <v>59.0</v>
      </c>
      <c r="Q291" s="1">
        <v>14.0</v>
      </c>
    </row>
    <row r="292">
      <c r="A292" s="1">
        <f t="shared" si="1"/>
        <v>289</v>
      </c>
      <c r="B292" s="1" t="s">
        <v>1514</v>
      </c>
      <c r="C292" s="1" t="s">
        <v>1034</v>
      </c>
      <c r="D292" s="1" t="s">
        <v>28</v>
      </c>
      <c r="E292" s="1">
        <f t="shared" si="2"/>
        <v>146.25</v>
      </c>
      <c r="F292" s="1">
        <f t="shared" si="3"/>
        <v>2.66</v>
      </c>
      <c r="G292" s="1">
        <v>55.0</v>
      </c>
      <c r="H292" s="1">
        <v>6.0</v>
      </c>
      <c r="I292" s="1">
        <v>14.0</v>
      </c>
      <c r="J292" s="1">
        <v>20.0</v>
      </c>
      <c r="K292" s="1">
        <v>72.0</v>
      </c>
      <c r="L292" s="1">
        <v>0.0</v>
      </c>
      <c r="M292" s="1">
        <v>0.0</v>
      </c>
      <c r="N292" s="1">
        <v>0.0</v>
      </c>
      <c r="O292" s="1">
        <v>0.0</v>
      </c>
      <c r="P292" s="1">
        <v>111.0</v>
      </c>
      <c r="Q292" s="1">
        <v>27.0</v>
      </c>
    </row>
    <row r="293">
      <c r="A293" s="1">
        <f t="shared" si="1"/>
        <v>291</v>
      </c>
      <c r="B293" s="1" t="s">
        <v>2099</v>
      </c>
      <c r="C293" s="1" t="s">
        <v>1036</v>
      </c>
      <c r="D293" s="1" t="s">
        <v>36</v>
      </c>
      <c r="E293" s="1">
        <f t="shared" si="2"/>
        <v>146</v>
      </c>
      <c r="F293" s="1">
        <f t="shared" si="3"/>
        <v>2.81</v>
      </c>
      <c r="G293" s="1">
        <v>52.0</v>
      </c>
      <c r="H293" s="1">
        <v>7.0</v>
      </c>
      <c r="I293" s="1">
        <v>6.0</v>
      </c>
      <c r="J293" s="1">
        <v>13.0</v>
      </c>
      <c r="K293" s="1">
        <v>62.0</v>
      </c>
      <c r="L293" s="1">
        <v>0.0</v>
      </c>
      <c r="M293" s="1">
        <v>0.0</v>
      </c>
      <c r="N293" s="1">
        <v>0.0</v>
      </c>
      <c r="O293" s="1">
        <v>0.0</v>
      </c>
      <c r="P293" s="1">
        <v>192.0</v>
      </c>
      <c r="Q293" s="1">
        <v>35.0</v>
      </c>
    </row>
    <row r="294">
      <c r="A294" s="1">
        <f t="shared" si="1"/>
        <v>291</v>
      </c>
      <c r="B294" s="1" t="s">
        <v>1548</v>
      </c>
      <c r="C294" s="1" t="s">
        <v>1087</v>
      </c>
      <c r="D294" s="1" t="s">
        <v>66</v>
      </c>
      <c r="E294" s="1">
        <f t="shared" si="2"/>
        <v>146</v>
      </c>
      <c r="F294" s="1">
        <f t="shared" si="3"/>
        <v>2.61</v>
      </c>
      <c r="G294" s="1">
        <v>56.0</v>
      </c>
      <c r="H294" s="1">
        <v>4.0</v>
      </c>
      <c r="I294" s="1">
        <v>10.0</v>
      </c>
      <c r="J294" s="1">
        <v>14.0</v>
      </c>
      <c r="K294" s="1">
        <v>82.0</v>
      </c>
      <c r="L294" s="1">
        <v>0.0</v>
      </c>
      <c r="M294" s="1">
        <v>0.0</v>
      </c>
      <c r="N294" s="1">
        <v>1.0</v>
      </c>
      <c r="O294" s="1">
        <v>1.0</v>
      </c>
      <c r="P294" s="1">
        <v>66.0</v>
      </c>
      <c r="Q294" s="1">
        <v>73.0</v>
      </c>
    </row>
    <row r="295">
      <c r="A295" s="1">
        <f t="shared" si="1"/>
        <v>293</v>
      </c>
      <c r="B295" s="1" t="s">
        <v>1449</v>
      </c>
      <c r="C295" s="1" t="s">
        <v>1097</v>
      </c>
      <c r="D295" s="1" t="s">
        <v>31</v>
      </c>
      <c r="E295" s="1">
        <f t="shared" si="2"/>
        <v>145.5</v>
      </c>
      <c r="F295" s="1">
        <f t="shared" si="3"/>
        <v>2.6</v>
      </c>
      <c r="G295" s="1">
        <v>56.0</v>
      </c>
      <c r="H295" s="1">
        <v>5.0</v>
      </c>
      <c r="I295" s="1">
        <v>15.0</v>
      </c>
      <c r="J295" s="1">
        <v>20.0</v>
      </c>
      <c r="K295" s="1">
        <v>87.0</v>
      </c>
      <c r="L295" s="1">
        <v>0.0</v>
      </c>
      <c r="M295" s="1">
        <v>4.0</v>
      </c>
      <c r="N295" s="1">
        <v>0.0</v>
      </c>
      <c r="O295" s="1">
        <v>0.0</v>
      </c>
      <c r="P295" s="1">
        <v>84.0</v>
      </c>
      <c r="Q295" s="1">
        <v>27.0</v>
      </c>
    </row>
    <row r="296">
      <c r="A296" s="1">
        <f t="shared" si="1"/>
        <v>294</v>
      </c>
      <c r="B296" s="1" t="s">
        <v>1677</v>
      </c>
      <c r="C296" s="1" t="s">
        <v>1036</v>
      </c>
      <c r="D296" s="1" t="s">
        <v>28</v>
      </c>
      <c r="E296" s="1">
        <f t="shared" si="2"/>
        <v>144.5</v>
      </c>
      <c r="F296" s="1">
        <f t="shared" si="3"/>
        <v>2.78</v>
      </c>
      <c r="G296" s="1">
        <v>52.0</v>
      </c>
      <c r="H296" s="1">
        <v>8.0</v>
      </c>
      <c r="I296" s="1">
        <v>13.0</v>
      </c>
      <c r="J296" s="1">
        <v>21.0</v>
      </c>
      <c r="K296" s="1">
        <v>69.0</v>
      </c>
      <c r="L296" s="1">
        <v>1.0</v>
      </c>
      <c r="M296" s="1">
        <v>1.0</v>
      </c>
      <c r="N296" s="1">
        <v>0.0</v>
      </c>
      <c r="O296" s="1">
        <v>1.0</v>
      </c>
      <c r="P296" s="1">
        <v>52.0</v>
      </c>
      <c r="Q296" s="1">
        <v>40.0</v>
      </c>
    </row>
    <row r="297">
      <c r="A297" s="1">
        <f t="shared" si="1"/>
        <v>295</v>
      </c>
      <c r="B297" s="1" t="s">
        <v>1282</v>
      </c>
      <c r="C297" s="1" t="s">
        <v>1032</v>
      </c>
      <c r="D297" s="1" t="s">
        <v>31</v>
      </c>
      <c r="E297" s="1">
        <f t="shared" si="2"/>
        <v>144.25</v>
      </c>
      <c r="F297" s="1">
        <f t="shared" si="3"/>
        <v>2.58</v>
      </c>
      <c r="G297" s="1">
        <v>56.0</v>
      </c>
      <c r="H297" s="1">
        <v>8.0</v>
      </c>
      <c r="I297" s="1">
        <v>15.0</v>
      </c>
      <c r="J297" s="1">
        <v>23.0</v>
      </c>
      <c r="K297" s="1">
        <v>68.0</v>
      </c>
      <c r="L297" s="1">
        <v>0.0</v>
      </c>
      <c r="M297" s="1">
        <v>2.0</v>
      </c>
      <c r="N297" s="1">
        <v>1.0</v>
      </c>
      <c r="O297" s="1">
        <v>0.0</v>
      </c>
      <c r="P297" s="1">
        <v>41.0</v>
      </c>
      <c r="Q297" s="1">
        <v>34.0</v>
      </c>
    </row>
    <row r="298">
      <c r="A298" s="1">
        <f t="shared" si="1"/>
        <v>296</v>
      </c>
      <c r="B298" s="1" t="s">
        <v>1237</v>
      </c>
      <c r="C298" s="1" t="s">
        <v>1091</v>
      </c>
      <c r="D298" s="1" t="s">
        <v>66</v>
      </c>
      <c r="E298" s="1">
        <f t="shared" si="2"/>
        <v>144</v>
      </c>
      <c r="F298" s="1">
        <f t="shared" si="3"/>
        <v>3.51</v>
      </c>
      <c r="G298" s="1">
        <v>41.0</v>
      </c>
      <c r="H298" s="1">
        <v>9.0</v>
      </c>
      <c r="I298" s="1">
        <v>11.0</v>
      </c>
      <c r="J298" s="1">
        <v>20.0</v>
      </c>
      <c r="K298" s="1">
        <v>85.0</v>
      </c>
      <c r="L298" s="1">
        <v>5.0</v>
      </c>
      <c r="M298" s="1">
        <v>4.0</v>
      </c>
      <c r="N298" s="1">
        <v>0.0</v>
      </c>
      <c r="O298" s="1">
        <v>0.0</v>
      </c>
      <c r="P298" s="1">
        <v>18.0</v>
      </c>
      <c r="Q298" s="1">
        <v>47.0</v>
      </c>
    </row>
    <row r="299">
      <c r="A299" s="1">
        <f t="shared" si="1"/>
        <v>296</v>
      </c>
      <c r="B299" s="1" t="s">
        <v>1381</v>
      </c>
      <c r="C299" s="1" t="s">
        <v>1175</v>
      </c>
      <c r="D299" s="1" t="s">
        <v>31</v>
      </c>
      <c r="E299" s="1">
        <f t="shared" si="2"/>
        <v>144</v>
      </c>
      <c r="F299" s="1">
        <f t="shared" si="3"/>
        <v>2.88</v>
      </c>
      <c r="G299" s="1">
        <v>50.0</v>
      </c>
      <c r="H299" s="1">
        <v>6.0</v>
      </c>
      <c r="I299" s="1">
        <v>14.0</v>
      </c>
      <c r="J299" s="1">
        <v>20.0</v>
      </c>
      <c r="K299" s="1">
        <v>104.0</v>
      </c>
      <c r="L299" s="1">
        <v>2.0</v>
      </c>
      <c r="M299" s="1">
        <v>4.0</v>
      </c>
      <c r="N299" s="1">
        <v>0.0</v>
      </c>
      <c r="O299" s="1">
        <v>0.0</v>
      </c>
      <c r="P299" s="1">
        <v>50.0</v>
      </c>
      <c r="Q299" s="1">
        <v>21.0</v>
      </c>
    </row>
    <row r="300">
      <c r="A300" s="1">
        <f t="shared" si="1"/>
        <v>296</v>
      </c>
      <c r="B300" s="1" t="s">
        <v>1697</v>
      </c>
      <c r="C300" s="1" t="s">
        <v>1097</v>
      </c>
      <c r="D300" s="1" t="s">
        <v>66</v>
      </c>
      <c r="E300" s="1">
        <f t="shared" si="2"/>
        <v>144</v>
      </c>
      <c r="F300" s="1">
        <f t="shared" si="3"/>
        <v>2.62</v>
      </c>
      <c r="G300" s="1">
        <v>55.0</v>
      </c>
      <c r="H300" s="1">
        <v>3.0</v>
      </c>
      <c r="I300" s="1">
        <v>10.0</v>
      </c>
      <c r="J300" s="1">
        <v>13.0</v>
      </c>
      <c r="K300" s="1">
        <v>77.0</v>
      </c>
      <c r="L300" s="1">
        <v>0.0</v>
      </c>
      <c r="M300" s="1">
        <v>0.0</v>
      </c>
      <c r="N300" s="1">
        <v>0.0</v>
      </c>
      <c r="O300" s="1">
        <v>0.0</v>
      </c>
      <c r="P300" s="1">
        <v>98.0</v>
      </c>
      <c r="Q300" s="1">
        <v>75.0</v>
      </c>
    </row>
    <row r="301">
      <c r="A301" s="1">
        <f t="shared" si="1"/>
        <v>299</v>
      </c>
      <c r="B301" s="1" t="s">
        <v>1247</v>
      </c>
      <c r="C301" s="1" t="s">
        <v>1040</v>
      </c>
      <c r="D301" s="1" t="s">
        <v>66</v>
      </c>
      <c r="E301" s="1">
        <f t="shared" si="2"/>
        <v>143.75</v>
      </c>
      <c r="F301" s="1">
        <f t="shared" si="3"/>
        <v>3.78</v>
      </c>
      <c r="G301" s="1">
        <v>38.0</v>
      </c>
      <c r="H301" s="1">
        <v>2.0</v>
      </c>
      <c r="I301" s="1">
        <v>10.0</v>
      </c>
      <c r="J301" s="1">
        <v>12.0</v>
      </c>
      <c r="K301" s="1">
        <v>70.0</v>
      </c>
      <c r="L301" s="1">
        <v>0.0</v>
      </c>
      <c r="M301" s="1">
        <v>1.0</v>
      </c>
      <c r="N301" s="1">
        <v>0.0</v>
      </c>
      <c r="O301" s="1">
        <v>0.0</v>
      </c>
      <c r="P301" s="1">
        <v>111.0</v>
      </c>
      <c r="Q301" s="1">
        <v>84.0</v>
      </c>
    </row>
    <row r="302">
      <c r="A302" s="1">
        <f t="shared" si="1"/>
        <v>299</v>
      </c>
      <c r="B302" s="1" t="s">
        <v>1328</v>
      </c>
      <c r="C302" s="1" t="s">
        <v>1156</v>
      </c>
      <c r="D302" s="1" t="s">
        <v>31</v>
      </c>
      <c r="E302" s="1">
        <f t="shared" si="2"/>
        <v>143.75</v>
      </c>
      <c r="F302" s="1">
        <f t="shared" si="3"/>
        <v>2.66</v>
      </c>
      <c r="G302" s="1">
        <v>54.0</v>
      </c>
      <c r="H302" s="1">
        <v>9.0</v>
      </c>
      <c r="I302" s="1">
        <v>15.0</v>
      </c>
      <c r="J302" s="1">
        <v>24.0</v>
      </c>
      <c r="K302" s="1">
        <v>99.0</v>
      </c>
      <c r="L302" s="1">
        <v>2.0</v>
      </c>
      <c r="M302" s="1">
        <v>1.0</v>
      </c>
      <c r="N302" s="1">
        <v>0.0</v>
      </c>
      <c r="O302" s="1">
        <v>0.0</v>
      </c>
      <c r="P302" s="1">
        <v>15.0</v>
      </c>
      <c r="Q302" s="1">
        <v>10.0</v>
      </c>
    </row>
    <row r="303">
      <c r="A303" s="1">
        <f t="shared" si="1"/>
        <v>301</v>
      </c>
      <c r="B303" s="1" t="s">
        <v>1416</v>
      </c>
      <c r="C303" s="1" t="s">
        <v>1034</v>
      </c>
      <c r="D303" s="1" t="s">
        <v>66</v>
      </c>
      <c r="E303" s="1">
        <f t="shared" si="2"/>
        <v>143.5</v>
      </c>
      <c r="F303" s="1">
        <f t="shared" si="3"/>
        <v>2.66</v>
      </c>
      <c r="G303" s="1">
        <v>54.0</v>
      </c>
      <c r="H303" s="1">
        <v>1.0</v>
      </c>
      <c r="I303" s="1">
        <v>5.0</v>
      </c>
      <c r="J303" s="1">
        <v>6.0</v>
      </c>
      <c r="K303" s="1">
        <v>69.0</v>
      </c>
      <c r="L303" s="1">
        <v>0.0</v>
      </c>
      <c r="M303" s="1">
        <v>0.0</v>
      </c>
      <c r="N303" s="1">
        <v>0.0</v>
      </c>
      <c r="O303" s="1">
        <v>1.0</v>
      </c>
      <c r="P303" s="1">
        <v>132.0</v>
      </c>
      <c r="Q303" s="1">
        <v>109.0</v>
      </c>
    </row>
    <row r="304">
      <c r="A304" s="1">
        <f t="shared" si="1"/>
        <v>302</v>
      </c>
      <c r="B304" s="1" t="s">
        <v>1424</v>
      </c>
      <c r="C304" s="1" t="s">
        <v>1032</v>
      </c>
      <c r="D304" s="1" t="s">
        <v>36</v>
      </c>
      <c r="E304" s="1">
        <f t="shared" si="2"/>
        <v>143.25</v>
      </c>
      <c r="F304" s="1">
        <f t="shared" si="3"/>
        <v>2.65</v>
      </c>
      <c r="G304" s="1">
        <v>54.0</v>
      </c>
      <c r="H304" s="1">
        <v>7.0</v>
      </c>
      <c r="I304" s="1">
        <v>10.0</v>
      </c>
      <c r="J304" s="1">
        <v>17.0</v>
      </c>
      <c r="K304" s="1">
        <v>107.0</v>
      </c>
      <c r="L304" s="1">
        <v>0.0</v>
      </c>
      <c r="M304" s="1">
        <v>0.0</v>
      </c>
      <c r="N304" s="1">
        <v>0.0</v>
      </c>
      <c r="O304" s="1">
        <v>1.0</v>
      </c>
      <c r="P304" s="1">
        <v>49.0</v>
      </c>
      <c r="Q304" s="1">
        <v>28.0</v>
      </c>
    </row>
    <row r="305">
      <c r="A305" s="1">
        <f t="shared" si="1"/>
        <v>303</v>
      </c>
      <c r="B305" s="1" t="s">
        <v>1479</v>
      </c>
      <c r="C305" s="1" t="s">
        <v>1082</v>
      </c>
      <c r="D305" s="1" t="s">
        <v>31</v>
      </c>
      <c r="E305" s="1">
        <f t="shared" si="2"/>
        <v>142.75</v>
      </c>
      <c r="F305" s="1">
        <f t="shared" si="3"/>
        <v>2.55</v>
      </c>
      <c r="G305" s="1">
        <v>56.0</v>
      </c>
      <c r="H305" s="1">
        <v>11.0</v>
      </c>
      <c r="I305" s="1">
        <v>4.0</v>
      </c>
      <c r="J305" s="1">
        <v>15.0</v>
      </c>
      <c r="K305" s="1">
        <v>68.0</v>
      </c>
      <c r="L305" s="1">
        <v>0.0</v>
      </c>
      <c r="M305" s="1">
        <v>0.0</v>
      </c>
      <c r="N305" s="1">
        <v>0.0</v>
      </c>
      <c r="O305" s="1">
        <v>0.0</v>
      </c>
      <c r="P305" s="1">
        <v>109.0</v>
      </c>
      <c r="Q305" s="1">
        <v>40.0</v>
      </c>
    </row>
    <row r="306">
      <c r="A306" s="1">
        <f t="shared" si="1"/>
        <v>304</v>
      </c>
      <c r="B306" s="1" t="s">
        <v>1142</v>
      </c>
      <c r="C306" s="1" t="s">
        <v>1052</v>
      </c>
      <c r="D306" s="1" t="s">
        <v>31</v>
      </c>
      <c r="E306" s="1">
        <f t="shared" si="2"/>
        <v>142.5</v>
      </c>
      <c r="F306" s="1">
        <f t="shared" si="3"/>
        <v>4.32</v>
      </c>
      <c r="G306" s="1">
        <v>33.0</v>
      </c>
      <c r="H306" s="1">
        <v>8.0</v>
      </c>
      <c r="I306" s="1">
        <v>20.0</v>
      </c>
      <c r="J306" s="1">
        <v>28.0</v>
      </c>
      <c r="K306" s="1">
        <v>72.0</v>
      </c>
      <c r="L306" s="1">
        <v>4.0</v>
      </c>
      <c r="M306" s="1">
        <v>5.0</v>
      </c>
      <c r="N306" s="1">
        <v>0.0</v>
      </c>
      <c r="O306" s="1">
        <v>0.0</v>
      </c>
      <c r="P306" s="1">
        <v>18.0</v>
      </c>
      <c r="Q306" s="1">
        <v>12.0</v>
      </c>
    </row>
    <row r="307">
      <c r="A307" s="1">
        <f t="shared" si="1"/>
        <v>304</v>
      </c>
      <c r="B307" s="1" t="s">
        <v>1192</v>
      </c>
      <c r="C307" s="1" t="s">
        <v>1042</v>
      </c>
      <c r="D307" s="1" t="s">
        <v>28</v>
      </c>
      <c r="E307" s="1">
        <f t="shared" si="2"/>
        <v>142.5</v>
      </c>
      <c r="F307" s="1">
        <f t="shared" si="3"/>
        <v>3.56</v>
      </c>
      <c r="G307" s="1">
        <v>40.0</v>
      </c>
      <c r="H307" s="1">
        <v>11.0</v>
      </c>
      <c r="I307" s="1">
        <v>11.0</v>
      </c>
      <c r="J307" s="1">
        <v>22.0</v>
      </c>
      <c r="K307" s="1">
        <v>65.0</v>
      </c>
      <c r="L307" s="1">
        <v>6.0</v>
      </c>
      <c r="M307" s="1">
        <v>6.0</v>
      </c>
      <c r="N307" s="1">
        <v>0.0</v>
      </c>
      <c r="O307" s="1">
        <v>0.0</v>
      </c>
      <c r="P307" s="1">
        <v>78.0</v>
      </c>
      <c r="Q307" s="1">
        <v>16.0</v>
      </c>
    </row>
    <row r="308">
      <c r="A308" s="1">
        <f t="shared" si="1"/>
        <v>306</v>
      </c>
      <c r="B308" s="1" t="s">
        <v>1298</v>
      </c>
      <c r="C308" s="1" t="s">
        <v>1116</v>
      </c>
      <c r="D308" s="1" t="s">
        <v>31</v>
      </c>
      <c r="E308" s="1">
        <f t="shared" si="2"/>
        <v>142.25</v>
      </c>
      <c r="F308" s="1">
        <f t="shared" si="3"/>
        <v>3.09</v>
      </c>
      <c r="G308" s="1">
        <v>46.0</v>
      </c>
      <c r="H308" s="1">
        <v>9.0</v>
      </c>
      <c r="I308" s="1">
        <v>12.0</v>
      </c>
      <c r="J308" s="1">
        <v>21.0</v>
      </c>
      <c r="K308" s="1">
        <v>76.0</v>
      </c>
      <c r="L308" s="1">
        <v>1.0</v>
      </c>
      <c r="M308" s="1">
        <v>5.0</v>
      </c>
      <c r="N308" s="1">
        <v>0.0</v>
      </c>
      <c r="O308" s="1">
        <v>0.0</v>
      </c>
      <c r="P308" s="1">
        <v>59.0</v>
      </c>
      <c r="Q308" s="1">
        <v>26.0</v>
      </c>
    </row>
    <row r="309">
      <c r="A309" s="1">
        <f t="shared" si="1"/>
        <v>307</v>
      </c>
      <c r="B309" s="1" t="s">
        <v>1379</v>
      </c>
      <c r="C309" s="1" t="s">
        <v>1120</v>
      </c>
      <c r="D309" s="1" t="s">
        <v>31</v>
      </c>
      <c r="E309" s="1">
        <f t="shared" si="2"/>
        <v>141.75</v>
      </c>
      <c r="F309" s="1">
        <f t="shared" si="3"/>
        <v>2.67</v>
      </c>
      <c r="G309" s="1">
        <v>53.0</v>
      </c>
      <c r="H309" s="1">
        <v>8.0</v>
      </c>
      <c r="I309" s="1">
        <v>9.0</v>
      </c>
      <c r="J309" s="1">
        <v>17.0</v>
      </c>
      <c r="K309" s="1">
        <v>87.0</v>
      </c>
      <c r="L309" s="1">
        <v>0.0</v>
      </c>
      <c r="M309" s="1">
        <v>0.0</v>
      </c>
      <c r="N309" s="1">
        <v>0.0</v>
      </c>
      <c r="O309" s="1">
        <v>0.0</v>
      </c>
      <c r="P309" s="1">
        <v>71.0</v>
      </c>
      <c r="Q309" s="1">
        <v>35.0</v>
      </c>
    </row>
    <row r="310">
      <c r="A310" s="1">
        <f t="shared" si="1"/>
        <v>307</v>
      </c>
      <c r="B310" s="1" t="s">
        <v>2318</v>
      </c>
      <c r="C310" s="1" t="s">
        <v>1156</v>
      </c>
      <c r="D310" s="1" t="s">
        <v>66</v>
      </c>
      <c r="E310" s="1">
        <f t="shared" si="2"/>
        <v>141.75</v>
      </c>
      <c r="F310" s="1">
        <f t="shared" si="3"/>
        <v>2.67</v>
      </c>
      <c r="G310" s="1">
        <v>53.0</v>
      </c>
      <c r="H310" s="1">
        <v>4.0</v>
      </c>
      <c r="I310" s="1">
        <v>9.0</v>
      </c>
      <c r="J310" s="1">
        <v>13.0</v>
      </c>
      <c r="K310" s="1">
        <v>77.0</v>
      </c>
      <c r="L310" s="1">
        <v>0.0</v>
      </c>
      <c r="M310" s="1">
        <v>0.0</v>
      </c>
      <c r="N310" s="1">
        <v>0.0</v>
      </c>
      <c r="O310" s="1">
        <v>0.0</v>
      </c>
      <c r="P310" s="1">
        <v>125.0</v>
      </c>
      <c r="Q310" s="1">
        <v>54.0</v>
      </c>
    </row>
    <row r="311">
      <c r="A311" s="1">
        <f t="shared" si="1"/>
        <v>309</v>
      </c>
      <c r="B311" s="1" t="s">
        <v>1233</v>
      </c>
      <c r="C311" s="1" t="s">
        <v>1073</v>
      </c>
      <c r="D311" s="1" t="s">
        <v>28</v>
      </c>
      <c r="E311" s="1">
        <f t="shared" si="2"/>
        <v>141.5</v>
      </c>
      <c r="F311" s="1">
        <f t="shared" si="3"/>
        <v>2.67</v>
      </c>
      <c r="G311" s="1">
        <v>53.0</v>
      </c>
      <c r="H311" s="1">
        <v>10.0</v>
      </c>
      <c r="I311" s="1">
        <v>10.0</v>
      </c>
      <c r="J311" s="1">
        <v>20.0</v>
      </c>
      <c r="K311" s="1">
        <v>91.0</v>
      </c>
      <c r="L311" s="1">
        <v>0.0</v>
      </c>
      <c r="M311" s="1">
        <v>0.0</v>
      </c>
      <c r="N311" s="1">
        <v>0.0</v>
      </c>
      <c r="O311" s="1">
        <v>0.0</v>
      </c>
      <c r="P311" s="1">
        <v>60.0</v>
      </c>
      <c r="Q311" s="1">
        <v>12.0</v>
      </c>
    </row>
    <row r="312">
      <c r="A312" s="1">
        <f t="shared" si="1"/>
        <v>310</v>
      </c>
      <c r="B312" s="1" t="s">
        <v>1566</v>
      </c>
      <c r="C312" s="1" t="s">
        <v>1097</v>
      </c>
      <c r="D312" s="1" t="s">
        <v>5</v>
      </c>
      <c r="E312" s="1">
        <f t="shared" si="2"/>
        <v>141.3</v>
      </c>
      <c r="F312" s="1">
        <f t="shared" si="3"/>
        <v>4.87</v>
      </c>
      <c r="G312" s="1">
        <v>29.0</v>
      </c>
      <c r="R312" s="1">
        <v>11.0</v>
      </c>
      <c r="S312" s="1">
        <v>76.0</v>
      </c>
      <c r="T312" s="1">
        <v>741.0</v>
      </c>
      <c r="U312" s="1">
        <v>0.0</v>
      </c>
    </row>
    <row r="313">
      <c r="A313" s="1">
        <f t="shared" si="1"/>
        <v>311</v>
      </c>
      <c r="B313" s="1" t="s">
        <v>1843</v>
      </c>
      <c r="C313" s="1" t="s">
        <v>1120</v>
      </c>
      <c r="D313" s="1" t="s">
        <v>28</v>
      </c>
      <c r="E313" s="1">
        <f t="shared" si="2"/>
        <v>140.5</v>
      </c>
      <c r="F313" s="1">
        <f t="shared" si="3"/>
        <v>3.12</v>
      </c>
      <c r="G313" s="1">
        <v>45.0</v>
      </c>
      <c r="H313" s="1">
        <v>11.0</v>
      </c>
      <c r="I313" s="1">
        <v>9.0</v>
      </c>
      <c r="J313" s="1">
        <v>20.0</v>
      </c>
      <c r="K313" s="1">
        <v>71.0</v>
      </c>
      <c r="L313" s="1">
        <v>3.0</v>
      </c>
      <c r="M313" s="1">
        <v>3.0</v>
      </c>
      <c r="N313" s="1">
        <v>0.0</v>
      </c>
      <c r="O313" s="1">
        <v>0.0</v>
      </c>
      <c r="P313" s="1">
        <v>82.0</v>
      </c>
      <c r="Q313" s="1">
        <v>16.0</v>
      </c>
    </row>
    <row r="314">
      <c r="A314" s="1">
        <f t="shared" si="1"/>
        <v>312</v>
      </c>
      <c r="B314" s="1" t="s">
        <v>1309</v>
      </c>
      <c r="C314" s="1" t="s">
        <v>1106</v>
      </c>
      <c r="D314" s="1" t="s">
        <v>66</v>
      </c>
      <c r="E314" s="1">
        <f t="shared" si="2"/>
        <v>140</v>
      </c>
      <c r="F314" s="1">
        <f t="shared" si="3"/>
        <v>3.26</v>
      </c>
      <c r="G314" s="1">
        <v>43.0</v>
      </c>
      <c r="H314" s="1">
        <v>6.0</v>
      </c>
      <c r="I314" s="1">
        <v>14.0</v>
      </c>
      <c r="J314" s="1">
        <v>20.0</v>
      </c>
      <c r="K314" s="1">
        <v>73.0</v>
      </c>
      <c r="L314" s="1">
        <v>2.0</v>
      </c>
      <c r="M314" s="1">
        <v>5.0</v>
      </c>
      <c r="N314" s="1">
        <v>0.0</v>
      </c>
      <c r="O314" s="1">
        <v>0.0</v>
      </c>
      <c r="P314" s="1">
        <v>36.0</v>
      </c>
      <c r="Q314" s="1">
        <v>51.0</v>
      </c>
    </row>
    <row r="315">
      <c r="A315" s="1">
        <f t="shared" si="1"/>
        <v>313</v>
      </c>
      <c r="B315" s="1" t="s">
        <v>1433</v>
      </c>
      <c r="C315" s="1" t="s">
        <v>1034</v>
      </c>
      <c r="D315" s="1" t="s">
        <v>31</v>
      </c>
      <c r="E315" s="1">
        <f t="shared" si="2"/>
        <v>139.75</v>
      </c>
      <c r="F315" s="1">
        <f t="shared" si="3"/>
        <v>2.54</v>
      </c>
      <c r="G315" s="1">
        <v>55.0</v>
      </c>
      <c r="H315" s="1">
        <v>8.0</v>
      </c>
      <c r="I315" s="1">
        <v>14.0</v>
      </c>
      <c r="J315" s="1">
        <v>22.0</v>
      </c>
      <c r="K315" s="1">
        <v>77.0</v>
      </c>
      <c r="L315" s="1">
        <v>2.0</v>
      </c>
      <c r="M315" s="1">
        <v>1.0</v>
      </c>
      <c r="N315" s="1">
        <v>0.0</v>
      </c>
      <c r="O315" s="1">
        <v>0.0</v>
      </c>
      <c r="P315" s="1">
        <v>63.0</v>
      </c>
      <c r="Q315" s="1">
        <v>15.0</v>
      </c>
    </row>
    <row r="316">
      <c r="A316" s="1">
        <f t="shared" si="1"/>
        <v>313</v>
      </c>
      <c r="B316" s="1" t="s">
        <v>1828</v>
      </c>
      <c r="C316" s="1" t="s">
        <v>1106</v>
      </c>
      <c r="D316" s="1" t="s">
        <v>28</v>
      </c>
      <c r="E316" s="1">
        <f t="shared" si="2"/>
        <v>139.75</v>
      </c>
      <c r="F316" s="1">
        <f t="shared" si="3"/>
        <v>2.69</v>
      </c>
      <c r="G316" s="1">
        <v>52.0</v>
      </c>
      <c r="H316" s="1">
        <v>10.0</v>
      </c>
      <c r="I316" s="1">
        <v>6.0</v>
      </c>
      <c r="J316" s="1">
        <v>16.0</v>
      </c>
      <c r="K316" s="1">
        <v>67.0</v>
      </c>
      <c r="L316" s="1">
        <v>3.0</v>
      </c>
      <c r="M316" s="1">
        <v>0.0</v>
      </c>
      <c r="N316" s="1">
        <v>1.0</v>
      </c>
      <c r="O316" s="1">
        <v>1.0</v>
      </c>
      <c r="P316" s="1">
        <v>69.0</v>
      </c>
      <c r="Q316" s="1">
        <v>44.0</v>
      </c>
    </row>
    <row r="317">
      <c r="A317" s="1">
        <f t="shared" si="1"/>
        <v>315</v>
      </c>
      <c r="B317" s="1" t="s">
        <v>1408</v>
      </c>
      <c r="C317" s="1" t="s">
        <v>1052</v>
      </c>
      <c r="D317" s="1" t="s">
        <v>66</v>
      </c>
      <c r="E317" s="1">
        <f t="shared" si="2"/>
        <v>139.5</v>
      </c>
      <c r="F317" s="1">
        <f t="shared" si="3"/>
        <v>2.63</v>
      </c>
      <c r="G317" s="1">
        <v>53.0</v>
      </c>
      <c r="H317" s="1">
        <v>4.0</v>
      </c>
      <c r="I317" s="1">
        <v>13.0</v>
      </c>
      <c r="J317" s="1">
        <v>17.0</v>
      </c>
      <c r="K317" s="1">
        <v>58.0</v>
      </c>
      <c r="L317" s="1">
        <v>0.0</v>
      </c>
      <c r="M317" s="1">
        <v>0.0</v>
      </c>
      <c r="N317" s="1">
        <v>0.0</v>
      </c>
      <c r="O317" s="1">
        <v>0.0</v>
      </c>
      <c r="P317" s="1">
        <v>74.0</v>
      </c>
      <c r="Q317" s="1">
        <v>70.0</v>
      </c>
    </row>
    <row r="318">
      <c r="A318" s="1">
        <f t="shared" si="1"/>
        <v>316</v>
      </c>
      <c r="B318" s="1" t="s">
        <v>1459</v>
      </c>
      <c r="C318" s="1" t="s">
        <v>1073</v>
      </c>
      <c r="D318" s="1" t="s">
        <v>66</v>
      </c>
      <c r="E318" s="1">
        <f t="shared" si="2"/>
        <v>139.25</v>
      </c>
      <c r="F318" s="1">
        <f t="shared" si="3"/>
        <v>2.44</v>
      </c>
      <c r="G318" s="1">
        <v>57.0</v>
      </c>
      <c r="H318" s="1">
        <v>2.0</v>
      </c>
      <c r="I318" s="1">
        <v>2.0</v>
      </c>
      <c r="J318" s="1">
        <v>4.0</v>
      </c>
      <c r="K318" s="1">
        <v>54.0</v>
      </c>
      <c r="L318" s="1">
        <v>0.0</v>
      </c>
      <c r="M318" s="1">
        <v>0.0</v>
      </c>
      <c r="N318" s="1">
        <v>0.0</v>
      </c>
      <c r="O318" s="1">
        <v>1.0</v>
      </c>
      <c r="P318" s="1">
        <v>215.0</v>
      </c>
      <c r="Q318" s="1">
        <v>83.0</v>
      </c>
    </row>
    <row r="319">
      <c r="A319" s="1">
        <f t="shared" si="1"/>
        <v>317</v>
      </c>
      <c r="B319" s="1" t="s">
        <v>1567</v>
      </c>
      <c r="C319" s="1" t="s">
        <v>1054</v>
      </c>
      <c r="D319" s="1" t="s">
        <v>5</v>
      </c>
      <c r="E319" s="1">
        <f t="shared" si="2"/>
        <v>139.2</v>
      </c>
      <c r="F319" s="1">
        <f t="shared" si="3"/>
        <v>5.8</v>
      </c>
      <c r="G319" s="1">
        <v>24.0</v>
      </c>
      <c r="R319" s="1">
        <v>16.0</v>
      </c>
      <c r="S319" s="1">
        <v>68.0</v>
      </c>
      <c r="T319" s="1">
        <v>624.0</v>
      </c>
      <c r="U319" s="1">
        <v>2.0</v>
      </c>
    </row>
    <row r="320">
      <c r="A320" s="1">
        <f t="shared" si="1"/>
        <v>318</v>
      </c>
      <c r="B320" s="1" t="s">
        <v>2392</v>
      </c>
      <c r="C320" s="1" t="s">
        <v>1038</v>
      </c>
      <c r="D320" s="1" t="s">
        <v>5</v>
      </c>
      <c r="E320" s="1">
        <f t="shared" si="2"/>
        <v>138.9</v>
      </c>
      <c r="F320" s="1">
        <f t="shared" si="3"/>
        <v>5.79</v>
      </c>
      <c r="G320" s="1">
        <v>24.0</v>
      </c>
      <c r="R320" s="1">
        <v>15.0</v>
      </c>
      <c r="S320" s="1">
        <v>53.0</v>
      </c>
      <c r="T320" s="1">
        <v>558.0</v>
      </c>
      <c r="U320" s="1">
        <v>2.0</v>
      </c>
    </row>
    <row r="321">
      <c r="A321" s="1">
        <f t="shared" si="1"/>
        <v>319</v>
      </c>
      <c r="B321" s="1" t="s">
        <v>1320</v>
      </c>
      <c r="C321" s="1" t="s">
        <v>1065</v>
      </c>
      <c r="D321" s="1" t="s">
        <v>66</v>
      </c>
      <c r="E321" s="1">
        <f t="shared" si="2"/>
        <v>138.75</v>
      </c>
      <c r="F321" s="1">
        <f t="shared" si="3"/>
        <v>2.48</v>
      </c>
      <c r="G321" s="1">
        <v>56.0</v>
      </c>
      <c r="H321" s="1">
        <v>5.0</v>
      </c>
      <c r="I321" s="1">
        <v>18.0</v>
      </c>
      <c r="J321" s="1">
        <v>23.0</v>
      </c>
      <c r="K321" s="1">
        <v>75.0</v>
      </c>
      <c r="L321" s="1">
        <v>0.0</v>
      </c>
      <c r="M321" s="1">
        <v>4.0</v>
      </c>
      <c r="N321" s="1">
        <v>0.0</v>
      </c>
      <c r="O321" s="1">
        <v>0.0</v>
      </c>
      <c r="P321" s="1">
        <v>27.0</v>
      </c>
      <c r="Q321" s="1">
        <v>36.0</v>
      </c>
    </row>
    <row r="322">
      <c r="A322" s="1">
        <f t="shared" si="1"/>
        <v>320</v>
      </c>
      <c r="B322" s="1" t="s">
        <v>1432</v>
      </c>
      <c r="C322" s="1" t="s">
        <v>1042</v>
      </c>
      <c r="D322" s="1" t="s">
        <v>31</v>
      </c>
      <c r="E322" s="1">
        <f t="shared" si="2"/>
        <v>138.5</v>
      </c>
      <c r="F322" s="1">
        <f t="shared" si="3"/>
        <v>3.64</v>
      </c>
      <c r="G322" s="1">
        <v>38.0</v>
      </c>
      <c r="H322" s="1">
        <v>10.0</v>
      </c>
      <c r="I322" s="1">
        <v>9.0</v>
      </c>
      <c r="J322" s="1">
        <v>19.0</v>
      </c>
      <c r="K322" s="1">
        <v>71.0</v>
      </c>
      <c r="L322" s="1">
        <v>0.0</v>
      </c>
      <c r="M322" s="1">
        <v>0.0</v>
      </c>
      <c r="N322" s="1">
        <v>0.0</v>
      </c>
      <c r="O322" s="1">
        <v>0.0</v>
      </c>
      <c r="P322" s="1">
        <v>84.0</v>
      </c>
      <c r="Q322" s="1">
        <v>20.0</v>
      </c>
    </row>
    <row r="323">
      <c r="A323" s="1">
        <f t="shared" si="1"/>
        <v>321</v>
      </c>
      <c r="B323" s="1" t="s">
        <v>1307</v>
      </c>
      <c r="C323" s="1" t="s">
        <v>1040</v>
      </c>
      <c r="D323" s="1" t="s">
        <v>66</v>
      </c>
      <c r="E323" s="1">
        <f t="shared" si="2"/>
        <v>138.25</v>
      </c>
      <c r="F323" s="1">
        <f t="shared" si="3"/>
        <v>2.61</v>
      </c>
      <c r="G323" s="1">
        <v>53.0</v>
      </c>
      <c r="H323" s="1">
        <v>5.0</v>
      </c>
      <c r="I323" s="1">
        <v>7.0</v>
      </c>
      <c r="J323" s="1">
        <v>12.0</v>
      </c>
      <c r="K323" s="1">
        <v>62.0</v>
      </c>
      <c r="L323" s="1">
        <v>0.0</v>
      </c>
      <c r="M323" s="1">
        <v>1.0</v>
      </c>
      <c r="N323" s="1">
        <v>0.0</v>
      </c>
      <c r="O323" s="1">
        <v>1.0</v>
      </c>
      <c r="P323" s="1">
        <v>93.0</v>
      </c>
      <c r="Q323" s="1">
        <v>77.0</v>
      </c>
    </row>
    <row r="324">
      <c r="A324" s="1">
        <f t="shared" si="1"/>
        <v>322</v>
      </c>
      <c r="B324" s="1" t="s">
        <v>1496</v>
      </c>
      <c r="C324" s="1" t="s">
        <v>1065</v>
      </c>
      <c r="D324" s="1" t="s">
        <v>66</v>
      </c>
      <c r="E324" s="1">
        <f t="shared" si="2"/>
        <v>137.75</v>
      </c>
      <c r="F324" s="1">
        <f t="shared" si="3"/>
        <v>2.5</v>
      </c>
      <c r="G324" s="1">
        <v>55.0</v>
      </c>
      <c r="H324" s="1">
        <v>2.0</v>
      </c>
      <c r="I324" s="1">
        <v>13.0</v>
      </c>
      <c r="J324" s="1">
        <v>15.0</v>
      </c>
      <c r="K324" s="1">
        <v>93.0</v>
      </c>
      <c r="L324" s="1">
        <v>1.0</v>
      </c>
      <c r="M324" s="1">
        <v>4.0</v>
      </c>
      <c r="N324" s="1">
        <v>0.0</v>
      </c>
      <c r="O324" s="1">
        <v>0.0</v>
      </c>
      <c r="P324" s="1">
        <v>57.0</v>
      </c>
      <c r="Q324" s="1">
        <v>58.0</v>
      </c>
    </row>
    <row r="325">
      <c r="A325" s="1">
        <f t="shared" si="1"/>
        <v>323</v>
      </c>
      <c r="B325" s="1" t="s">
        <v>1336</v>
      </c>
      <c r="C325" s="1" t="s">
        <v>1030</v>
      </c>
      <c r="D325" s="1" t="s">
        <v>28</v>
      </c>
      <c r="E325" s="1">
        <f t="shared" si="2"/>
        <v>137.5</v>
      </c>
      <c r="F325" s="1">
        <f t="shared" si="3"/>
        <v>3.13</v>
      </c>
      <c r="G325" s="1">
        <v>44.0</v>
      </c>
      <c r="H325" s="1">
        <v>15.0</v>
      </c>
      <c r="I325" s="1">
        <v>9.0</v>
      </c>
      <c r="J325" s="1">
        <v>24.0</v>
      </c>
      <c r="K325" s="1">
        <v>68.0</v>
      </c>
      <c r="L325" s="1">
        <v>2.0</v>
      </c>
      <c r="M325" s="1">
        <v>1.0</v>
      </c>
      <c r="N325" s="1">
        <v>0.0</v>
      </c>
      <c r="O325" s="1">
        <v>0.0</v>
      </c>
      <c r="P325" s="1">
        <v>16.0</v>
      </c>
      <c r="Q325" s="1">
        <v>10.0</v>
      </c>
    </row>
    <row r="326">
      <c r="A326" s="1">
        <f t="shared" si="1"/>
        <v>324</v>
      </c>
      <c r="B326" s="1" t="s">
        <v>1785</v>
      </c>
      <c r="C326" s="1" t="s">
        <v>1078</v>
      </c>
      <c r="D326" s="1" t="s">
        <v>31</v>
      </c>
      <c r="E326" s="1">
        <f t="shared" si="2"/>
        <v>137.25</v>
      </c>
      <c r="F326" s="1">
        <f t="shared" si="3"/>
        <v>2.92</v>
      </c>
      <c r="G326" s="1">
        <v>47.0</v>
      </c>
      <c r="H326" s="1">
        <v>10.0</v>
      </c>
      <c r="I326" s="1">
        <v>13.0</v>
      </c>
      <c r="J326" s="1">
        <v>23.0</v>
      </c>
      <c r="K326" s="1">
        <v>85.0</v>
      </c>
      <c r="L326" s="1">
        <v>0.0</v>
      </c>
      <c r="M326" s="1">
        <v>1.0</v>
      </c>
      <c r="N326" s="1">
        <v>0.0</v>
      </c>
      <c r="O326" s="1">
        <v>0.0</v>
      </c>
      <c r="P326" s="1">
        <v>11.0</v>
      </c>
      <c r="Q326" s="1">
        <v>16.0</v>
      </c>
    </row>
    <row r="327">
      <c r="A327" s="1">
        <f t="shared" si="1"/>
        <v>325</v>
      </c>
      <c r="B327" s="1" t="s">
        <v>2340</v>
      </c>
      <c r="C327" s="1" t="s">
        <v>1120</v>
      </c>
      <c r="D327" s="1" t="s">
        <v>5</v>
      </c>
      <c r="E327" s="1">
        <f t="shared" si="2"/>
        <v>137.1</v>
      </c>
      <c r="F327" s="1">
        <f t="shared" si="3"/>
        <v>5.71</v>
      </c>
      <c r="G327" s="1">
        <v>24.0</v>
      </c>
      <c r="R327" s="1">
        <v>9.0</v>
      </c>
      <c r="S327" s="1">
        <v>65.0</v>
      </c>
      <c r="T327" s="1">
        <v>692.0</v>
      </c>
      <c r="U327" s="1">
        <v>0.0</v>
      </c>
    </row>
    <row r="328">
      <c r="A328" s="1">
        <f t="shared" si="1"/>
        <v>326</v>
      </c>
      <c r="B328" s="1" t="s">
        <v>1695</v>
      </c>
      <c r="C328" s="1" t="s">
        <v>1156</v>
      </c>
      <c r="D328" s="1" t="s">
        <v>28</v>
      </c>
      <c r="E328" s="1">
        <f t="shared" si="2"/>
        <v>137</v>
      </c>
      <c r="F328" s="1">
        <f t="shared" si="3"/>
        <v>2.45</v>
      </c>
      <c r="G328" s="1">
        <v>56.0</v>
      </c>
      <c r="H328" s="1">
        <v>8.0</v>
      </c>
      <c r="I328" s="1">
        <v>10.0</v>
      </c>
      <c r="J328" s="1">
        <v>18.0</v>
      </c>
      <c r="K328" s="1">
        <v>75.0</v>
      </c>
      <c r="L328" s="1">
        <v>0.0</v>
      </c>
      <c r="M328" s="1">
        <v>0.0</v>
      </c>
      <c r="N328" s="1">
        <v>1.0</v>
      </c>
      <c r="O328" s="1">
        <v>0.0</v>
      </c>
      <c r="P328" s="1">
        <v>94.0</v>
      </c>
      <c r="Q328" s="1">
        <v>16.0</v>
      </c>
    </row>
    <row r="329">
      <c r="A329" s="1">
        <f t="shared" si="1"/>
        <v>327</v>
      </c>
      <c r="B329" s="1" t="s">
        <v>1662</v>
      </c>
      <c r="C329" s="1" t="s">
        <v>1040</v>
      </c>
      <c r="D329" s="1" t="s">
        <v>31</v>
      </c>
      <c r="E329" s="1">
        <f t="shared" si="2"/>
        <v>136.75</v>
      </c>
      <c r="F329" s="1">
        <f t="shared" si="3"/>
        <v>2.91</v>
      </c>
      <c r="G329" s="1">
        <v>47.0</v>
      </c>
      <c r="H329" s="1">
        <v>12.0</v>
      </c>
      <c r="I329" s="1">
        <v>10.0</v>
      </c>
      <c r="J329" s="1">
        <v>22.0</v>
      </c>
      <c r="K329" s="1">
        <v>64.0</v>
      </c>
      <c r="L329" s="1">
        <v>3.0</v>
      </c>
      <c r="M329" s="1">
        <v>2.0</v>
      </c>
      <c r="N329" s="1">
        <v>0.0</v>
      </c>
      <c r="O329" s="1">
        <v>0.0</v>
      </c>
      <c r="P329" s="1">
        <v>45.0</v>
      </c>
      <c r="Q329" s="1">
        <v>19.0</v>
      </c>
    </row>
    <row r="330">
      <c r="A330" s="1">
        <f t="shared" si="1"/>
        <v>328</v>
      </c>
      <c r="B330" s="1" t="s">
        <v>1421</v>
      </c>
      <c r="C330" s="1" t="s">
        <v>1172</v>
      </c>
      <c r="D330" s="1" t="s">
        <v>66</v>
      </c>
      <c r="E330" s="1">
        <f t="shared" si="2"/>
        <v>136</v>
      </c>
      <c r="F330" s="1">
        <f t="shared" si="3"/>
        <v>2.47</v>
      </c>
      <c r="G330" s="1">
        <v>55.0</v>
      </c>
      <c r="H330" s="1">
        <v>1.0</v>
      </c>
      <c r="I330" s="1">
        <v>7.0</v>
      </c>
      <c r="J330" s="1">
        <v>8.0</v>
      </c>
      <c r="K330" s="1">
        <v>52.0</v>
      </c>
      <c r="L330" s="1">
        <v>0.0</v>
      </c>
      <c r="M330" s="1">
        <v>0.0</v>
      </c>
      <c r="N330" s="1">
        <v>0.0</v>
      </c>
      <c r="O330" s="1">
        <v>0.0</v>
      </c>
      <c r="P330" s="1">
        <v>190.0</v>
      </c>
      <c r="Q330" s="1">
        <v>74.0</v>
      </c>
    </row>
    <row r="331">
      <c r="A331" s="1">
        <f t="shared" si="1"/>
        <v>328</v>
      </c>
      <c r="B331" s="1" t="s">
        <v>1194</v>
      </c>
      <c r="C331" s="1" t="s">
        <v>1073</v>
      </c>
      <c r="D331" s="1" t="s">
        <v>66</v>
      </c>
      <c r="E331" s="1">
        <f t="shared" si="2"/>
        <v>136</v>
      </c>
      <c r="F331" s="1">
        <f t="shared" si="3"/>
        <v>2.62</v>
      </c>
      <c r="G331" s="1">
        <v>52.0</v>
      </c>
      <c r="H331" s="1">
        <v>3.0</v>
      </c>
      <c r="I331" s="1">
        <v>7.0</v>
      </c>
      <c r="J331" s="1">
        <v>10.0</v>
      </c>
      <c r="K331" s="1">
        <v>104.0</v>
      </c>
      <c r="L331" s="1">
        <v>0.0</v>
      </c>
      <c r="M331" s="1">
        <v>0.0</v>
      </c>
      <c r="N331" s="1">
        <v>0.0</v>
      </c>
      <c r="O331" s="1">
        <v>1.0</v>
      </c>
      <c r="P331" s="1">
        <v>66.0</v>
      </c>
      <c r="Q331" s="1">
        <v>62.0</v>
      </c>
    </row>
    <row r="332">
      <c r="A332" s="1">
        <f t="shared" si="1"/>
        <v>330</v>
      </c>
      <c r="B332" s="1" t="s">
        <v>2361</v>
      </c>
      <c r="C332" s="1" t="s">
        <v>1042</v>
      </c>
      <c r="D332" s="1" t="s">
        <v>66</v>
      </c>
      <c r="E332" s="1">
        <f t="shared" si="2"/>
        <v>135.75</v>
      </c>
      <c r="F332" s="1">
        <f t="shared" si="3"/>
        <v>3.88</v>
      </c>
      <c r="G332" s="1">
        <v>35.0</v>
      </c>
      <c r="H332" s="1">
        <v>5.0</v>
      </c>
      <c r="I332" s="1">
        <v>13.0</v>
      </c>
      <c r="J332" s="1">
        <v>18.0</v>
      </c>
      <c r="K332" s="1">
        <v>75.0</v>
      </c>
      <c r="L332" s="1">
        <v>2.0</v>
      </c>
      <c r="M332" s="1">
        <v>2.0</v>
      </c>
      <c r="N332" s="1">
        <v>0.0</v>
      </c>
      <c r="O332" s="1">
        <v>0.0</v>
      </c>
      <c r="P332" s="1">
        <v>21.0</v>
      </c>
      <c r="Q332" s="1">
        <v>63.0</v>
      </c>
    </row>
    <row r="333">
      <c r="A333" s="1">
        <f t="shared" si="1"/>
        <v>330</v>
      </c>
      <c r="B333" s="1" t="s">
        <v>2048</v>
      </c>
      <c r="C333" s="1" t="s">
        <v>1052</v>
      </c>
      <c r="D333" s="1" t="s">
        <v>31</v>
      </c>
      <c r="E333" s="1">
        <f t="shared" si="2"/>
        <v>135.75</v>
      </c>
      <c r="F333" s="1">
        <f t="shared" si="3"/>
        <v>3.02</v>
      </c>
      <c r="G333" s="1">
        <v>45.0</v>
      </c>
      <c r="H333" s="1">
        <v>9.0</v>
      </c>
      <c r="I333" s="1">
        <v>6.0</v>
      </c>
      <c r="J333" s="1">
        <v>15.0</v>
      </c>
      <c r="K333" s="1">
        <v>79.0</v>
      </c>
      <c r="L333" s="1">
        <v>0.0</v>
      </c>
      <c r="M333" s="1">
        <v>0.0</v>
      </c>
      <c r="N333" s="1">
        <v>1.0</v>
      </c>
      <c r="O333" s="1">
        <v>0.0</v>
      </c>
      <c r="P333" s="1">
        <v>95.0</v>
      </c>
      <c r="Q333" s="1">
        <v>24.0</v>
      </c>
    </row>
    <row r="334">
      <c r="A334" s="1">
        <f t="shared" si="1"/>
        <v>332</v>
      </c>
      <c r="B334" s="1" t="s">
        <v>1231</v>
      </c>
      <c r="C334" s="1" t="s">
        <v>1085</v>
      </c>
      <c r="D334" s="1" t="s">
        <v>5</v>
      </c>
      <c r="E334" s="1">
        <f t="shared" si="2"/>
        <v>135.6</v>
      </c>
      <c r="F334" s="1">
        <f t="shared" si="3"/>
        <v>4.68</v>
      </c>
      <c r="G334" s="1">
        <v>29.0</v>
      </c>
      <c r="R334" s="1">
        <v>11.0</v>
      </c>
      <c r="S334" s="1">
        <v>63.0</v>
      </c>
      <c r="T334" s="1">
        <v>647.0</v>
      </c>
      <c r="U334" s="1">
        <v>1.0</v>
      </c>
    </row>
    <row r="335">
      <c r="A335" s="1">
        <f t="shared" si="1"/>
        <v>333</v>
      </c>
      <c r="B335" s="1" t="s">
        <v>1505</v>
      </c>
      <c r="C335" s="1" t="s">
        <v>1052</v>
      </c>
      <c r="D335" s="1" t="s">
        <v>28</v>
      </c>
      <c r="E335" s="1">
        <f t="shared" si="2"/>
        <v>135.25</v>
      </c>
      <c r="F335" s="1">
        <f t="shared" si="3"/>
        <v>4.23</v>
      </c>
      <c r="G335" s="1">
        <v>32.0</v>
      </c>
      <c r="H335" s="1">
        <v>7.0</v>
      </c>
      <c r="I335" s="1">
        <v>9.0</v>
      </c>
      <c r="J335" s="1">
        <v>16.0</v>
      </c>
      <c r="K335" s="1">
        <v>43.0</v>
      </c>
      <c r="L335" s="1">
        <v>0.0</v>
      </c>
      <c r="M335" s="1">
        <v>0.0</v>
      </c>
      <c r="N335" s="1">
        <v>1.0</v>
      </c>
      <c r="O335" s="1">
        <v>1.0</v>
      </c>
      <c r="P335" s="1">
        <v>139.0</v>
      </c>
      <c r="Q335" s="1">
        <v>33.0</v>
      </c>
    </row>
    <row r="336">
      <c r="A336" s="1">
        <f t="shared" si="1"/>
        <v>334</v>
      </c>
      <c r="B336" s="1" t="s">
        <v>1155</v>
      </c>
      <c r="C336" s="1" t="s">
        <v>1156</v>
      </c>
      <c r="D336" s="1" t="s">
        <v>66</v>
      </c>
      <c r="E336" s="1">
        <f t="shared" si="2"/>
        <v>134.75</v>
      </c>
      <c r="F336" s="1">
        <f t="shared" si="3"/>
        <v>3.85</v>
      </c>
      <c r="G336" s="1">
        <v>35.0</v>
      </c>
      <c r="H336" s="1">
        <v>7.0</v>
      </c>
      <c r="I336" s="1">
        <v>13.0</v>
      </c>
      <c r="J336" s="1">
        <v>20.0</v>
      </c>
      <c r="K336" s="1">
        <v>79.0</v>
      </c>
      <c r="L336" s="1">
        <v>0.0</v>
      </c>
      <c r="M336" s="1">
        <v>5.0</v>
      </c>
      <c r="N336" s="1">
        <v>0.0</v>
      </c>
      <c r="O336" s="1">
        <v>0.0</v>
      </c>
      <c r="P336" s="1">
        <v>21.0</v>
      </c>
      <c r="Q336" s="1">
        <v>39.0</v>
      </c>
    </row>
    <row r="337">
      <c r="A337" s="1">
        <f t="shared" si="1"/>
        <v>335</v>
      </c>
      <c r="B337" s="1" t="s">
        <v>1198</v>
      </c>
      <c r="C337" s="1" t="s">
        <v>1087</v>
      </c>
      <c r="D337" s="1" t="s">
        <v>5</v>
      </c>
      <c r="E337" s="1">
        <f t="shared" si="2"/>
        <v>134.1</v>
      </c>
      <c r="F337" s="1">
        <f t="shared" si="3"/>
        <v>6.1</v>
      </c>
      <c r="G337" s="1">
        <v>22.0</v>
      </c>
      <c r="R337" s="1">
        <v>13.0</v>
      </c>
      <c r="S337" s="1">
        <v>46.0</v>
      </c>
      <c r="T337" s="1">
        <v>517.0</v>
      </c>
      <c r="U337" s="1">
        <v>3.0</v>
      </c>
    </row>
    <row r="338">
      <c r="A338" s="1">
        <f t="shared" si="1"/>
        <v>336</v>
      </c>
      <c r="B338" s="1" t="s">
        <v>1236</v>
      </c>
      <c r="C338" s="1" t="s">
        <v>1048</v>
      </c>
      <c r="D338" s="1" t="s">
        <v>66</v>
      </c>
      <c r="E338" s="1">
        <f t="shared" si="2"/>
        <v>134</v>
      </c>
      <c r="F338" s="1">
        <f t="shared" si="3"/>
        <v>3.12</v>
      </c>
      <c r="G338" s="1">
        <v>43.0</v>
      </c>
      <c r="H338" s="1">
        <v>5.0</v>
      </c>
      <c r="I338" s="1">
        <v>12.0</v>
      </c>
      <c r="J338" s="1">
        <v>17.0</v>
      </c>
      <c r="K338" s="1">
        <v>94.0</v>
      </c>
      <c r="L338" s="1">
        <v>1.0</v>
      </c>
      <c r="M338" s="1">
        <v>3.0</v>
      </c>
      <c r="N338" s="1">
        <v>0.0</v>
      </c>
      <c r="O338" s="1">
        <v>0.0</v>
      </c>
      <c r="P338" s="1">
        <v>30.0</v>
      </c>
      <c r="Q338" s="1">
        <v>42.0</v>
      </c>
    </row>
    <row r="339">
      <c r="A339" s="1">
        <f t="shared" si="1"/>
        <v>336</v>
      </c>
      <c r="B339" s="1" t="s">
        <v>1780</v>
      </c>
      <c r="C339" s="1" t="s">
        <v>1040</v>
      </c>
      <c r="D339" s="1" t="s">
        <v>31</v>
      </c>
      <c r="E339" s="1">
        <f t="shared" si="2"/>
        <v>134</v>
      </c>
      <c r="F339" s="1">
        <f t="shared" si="3"/>
        <v>2.48</v>
      </c>
      <c r="G339" s="1">
        <v>54.0</v>
      </c>
      <c r="H339" s="1">
        <v>8.0</v>
      </c>
      <c r="I339" s="1">
        <v>6.0</v>
      </c>
      <c r="J339" s="1">
        <v>14.0</v>
      </c>
      <c r="K339" s="1">
        <v>62.0</v>
      </c>
      <c r="L339" s="1">
        <v>0.0</v>
      </c>
      <c r="M339" s="1">
        <v>0.0</v>
      </c>
      <c r="N339" s="1">
        <v>2.0</v>
      </c>
      <c r="O339" s="1">
        <v>0.0</v>
      </c>
      <c r="P339" s="1">
        <v>110.0</v>
      </c>
      <c r="Q339" s="1">
        <v>35.0</v>
      </c>
    </row>
    <row r="340">
      <c r="A340" s="1">
        <f t="shared" si="1"/>
        <v>338</v>
      </c>
      <c r="B340" s="1" t="s">
        <v>1186</v>
      </c>
      <c r="C340" s="1" t="s">
        <v>1111</v>
      </c>
      <c r="D340" s="1" t="s">
        <v>28</v>
      </c>
      <c r="E340" s="1">
        <f t="shared" si="2"/>
        <v>133.75</v>
      </c>
      <c r="F340" s="1">
        <f t="shared" si="3"/>
        <v>2.62</v>
      </c>
      <c r="G340" s="1">
        <v>51.0</v>
      </c>
      <c r="H340" s="1">
        <v>4.0</v>
      </c>
      <c r="I340" s="1">
        <v>9.0</v>
      </c>
      <c r="J340" s="1">
        <v>13.0</v>
      </c>
      <c r="K340" s="1">
        <v>70.0</v>
      </c>
      <c r="L340" s="1">
        <v>0.0</v>
      </c>
      <c r="M340" s="1">
        <v>2.0</v>
      </c>
      <c r="N340" s="1">
        <v>0.0</v>
      </c>
      <c r="O340" s="1">
        <v>0.0</v>
      </c>
      <c r="P340" s="1">
        <v>155.0</v>
      </c>
      <c r="Q340" s="1">
        <v>30.0</v>
      </c>
    </row>
    <row r="341">
      <c r="A341" s="1">
        <f t="shared" si="1"/>
        <v>338</v>
      </c>
      <c r="B341" s="1" t="s">
        <v>1431</v>
      </c>
      <c r="C341" s="1" t="s">
        <v>1069</v>
      </c>
      <c r="D341" s="1" t="s">
        <v>66</v>
      </c>
      <c r="E341" s="1">
        <f t="shared" si="2"/>
        <v>133.75</v>
      </c>
      <c r="F341" s="1">
        <f t="shared" si="3"/>
        <v>2.39</v>
      </c>
      <c r="G341" s="1">
        <v>56.0</v>
      </c>
      <c r="H341" s="1">
        <v>2.0</v>
      </c>
      <c r="I341" s="1">
        <v>10.0</v>
      </c>
      <c r="J341" s="1">
        <v>12.0</v>
      </c>
      <c r="K341" s="1">
        <v>66.0</v>
      </c>
      <c r="L341" s="1">
        <v>0.0</v>
      </c>
      <c r="M341" s="1">
        <v>0.0</v>
      </c>
      <c r="N341" s="1">
        <v>0.0</v>
      </c>
      <c r="O341" s="1">
        <v>0.0</v>
      </c>
      <c r="P341" s="1">
        <v>33.0</v>
      </c>
      <c r="Q341" s="1">
        <v>107.0</v>
      </c>
    </row>
    <row r="342">
      <c r="A342" s="1">
        <f t="shared" si="1"/>
        <v>340</v>
      </c>
      <c r="B342" s="1" t="s">
        <v>1497</v>
      </c>
      <c r="C342" s="1" t="s">
        <v>1040</v>
      </c>
      <c r="D342" s="1" t="s">
        <v>66</v>
      </c>
      <c r="E342" s="1">
        <f t="shared" si="2"/>
        <v>133.5</v>
      </c>
      <c r="F342" s="1">
        <f t="shared" si="3"/>
        <v>2.62</v>
      </c>
      <c r="G342" s="1">
        <v>51.0</v>
      </c>
      <c r="H342" s="1">
        <v>1.0</v>
      </c>
      <c r="I342" s="1">
        <v>15.0</v>
      </c>
      <c r="J342" s="1">
        <v>16.0</v>
      </c>
      <c r="K342" s="1">
        <v>65.0</v>
      </c>
      <c r="L342" s="1">
        <v>0.0</v>
      </c>
      <c r="M342" s="1">
        <v>0.0</v>
      </c>
      <c r="N342" s="1">
        <v>0.0</v>
      </c>
      <c r="O342" s="1">
        <v>1.0</v>
      </c>
      <c r="P342" s="1">
        <v>98.0</v>
      </c>
      <c r="Q342" s="1">
        <v>50.0</v>
      </c>
    </row>
    <row r="343">
      <c r="A343" s="1">
        <f t="shared" si="1"/>
        <v>341</v>
      </c>
      <c r="B343" s="1" t="s">
        <v>1610</v>
      </c>
      <c r="C343" s="1" t="s">
        <v>1111</v>
      </c>
      <c r="D343" s="1" t="s">
        <v>5</v>
      </c>
      <c r="E343" s="1">
        <f t="shared" si="2"/>
        <v>133.2</v>
      </c>
      <c r="F343" s="1">
        <f t="shared" si="3"/>
        <v>4.93</v>
      </c>
      <c r="G343" s="1">
        <v>27.0</v>
      </c>
      <c r="R343" s="1">
        <v>10.0</v>
      </c>
      <c r="S343" s="1">
        <v>64.0</v>
      </c>
      <c r="T343" s="1">
        <v>644.0</v>
      </c>
      <c r="U343" s="1">
        <v>2.0</v>
      </c>
    </row>
    <row r="344">
      <c r="A344" s="1">
        <f t="shared" si="1"/>
        <v>342</v>
      </c>
      <c r="B344" s="1" t="s">
        <v>1457</v>
      </c>
      <c r="C344" s="1" t="s">
        <v>1106</v>
      </c>
      <c r="D344" s="1" t="s">
        <v>28</v>
      </c>
      <c r="E344" s="1">
        <f t="shared" si="2"/>
        <v>133</v>
      </c>
      <c r="F344" s="1">
        <f t="shared" si="3"/>
        <v>3.33</v>
      </c>
      <c r="G344" s="1">
        <v>40.0</v>
      </c>
      <c r="H344" s="1">
        <v>8.0</v>
      </c>
      <c r="I344" s="1">
        <v>13.0</v>
      </c>
      <c r="J344" s="1">
        <v>21.0</v>
      </c>
      <c r="K344" s="1">
        <v>70.0</v>
      </c>
      <c r="L344" s="1">
        <v>1.0</v>
      </c>
      <c r="M344" s="1">
        <v>2.0</v>
      </c>
      <c r="N344" s="1">
        <v>0.0</v>
      </c>
      <c r="O344" s="1">
        <v>0.0</v>
      </c>
      <c r="P344" s="1">
        <v>40.0</v>
      </c>
      <c r="Q344" s="1">
        <v>26.0</v>
      </c>
    </row>
    <row r="345">
      <c r="A345" s="1">
        <f t="shared" si="1"/>
        <v>342</v>
      </c>
      <c r="B345" s="1" t="s">
        <v>2285</v>
      </c>
      <c r="C345" s="1" t="s">
        <v>1065</v>
      </c>
      <c r="D345" s="1" t="s">
        <v>31</v>
      </c>
      <c r="E345" s="1">
        <f t="shared" si="2"/>
        <v>133</v>
      </c>
      <c r="F345" s="1">
        <f t="shared" si="3"/>
        <v>2.77</v>
      </c>
      <c r="G345" s="1">
        <v>48.0</v>
      </c>
      <c r="H345" s="1">
        <v>5.0</v>
      </c>
      <c r="I345" s="1">
        <v>12.0</v>
      </c>
      <c r="J345" s="1">
        <v>17.0</v>
      </c>
      <c r="K345" s="1">
        <v>70.0</v>
      </c>
      <c r="L345" s="1">
        <v>3.0</v>
      </c>
      <c r="M345" s="1">
        <v>1.0</v>
      </c>
      <c r="N345" s="1">
        <v>0.0</v>
      </c>
      <c r="O345" s="1">
        <v>0.0</v>
      </c>
      <c r="P345" s="1">
        <v>66.0</v>
      </c>
      <c r="Q345" s="1">
        <v>46.0</v>
      </c>
    </row>
    <row r="346">
      <c r="A346" s="1">
        <f t="shared" si="1"/>
        <v>342</v>
      </c>
      <c r="B346" s="1" t="s">
        <v>1589</v>
      </c>
      <c r="C346" s="1" t="s">
        <v>1120</v>
      </c>
      <c r="D346" s="1" t="s">
        <v>36</v>
      </c>
      <c r="E346" s="1">
        <f t="shared" si="2"/>
        <v>133</v>
      </c>
      <c r="F346" s="1">
        <f t="shared" si="3"/>
        <v>2.46</v>
      </c>
      <c r="G346" s="1">
        <v>54.0</v>
      </c>
      <c r="H346" s="1">
        <v>6.0</v>
      </c>
      <c r="I346" s="1">
        <v>9.0</v>
      </c>
      <c r="J346" s="1">
        <v>15.0</v>
      </c>
      <c r="K346" s="1">
        <v>67.0</v>
      </c>
      <c r="L346" s="1">
        <v>0.0</v>
      </c>
      <c r="M346" s="1">
        <v>0.0</v>
      </c>
      <c r="N346" s="1">
        <v>0.0</v>
      </c>
      <c r="O346" s="1">
        <v>0.0</v>
      </c>
      <c r="P346" s="1">
        <v>68.0</v>
      </c>
      <c r="Q346" s="1">
        <v>57.0</v>
      </c>
    </row>
    <row r="347">
      <c r="A347" s="1">
        <f t="shared" si="1"/>
        <v>345</v>
      </c>
      <c r="B347" s="1" t="s">
        <v>1654</v>
      </c>
      <c r="C347" s="1" t="s">
        <v>1087</v>
      </c>
      <c r="D347" s="1" t="s">
        <v>28</v>
      </c>
      <c r="E347" s="1">
        <f t="shared" si="2"/>
        <v>132.75</v>
      </c>
      <c r="F347" s="1">
        <f t="shared" si="3"/>
        <v>2.46</v>
      </c>
      <c r="G347" s="1">
        <v>54.0</v>
      </c>
      <c r="H347" s="1">
        <v>6.0</v>
      </c>
      <c r="I347" s="1">
        <v>5.0</v>
      </c>
      <c r="J347" s="1">
        <v>11.0</v>
      </c>
      <c r="K347" s="1">
        <v>68.0</v>
      </c>
      <c r="L347" s="1">
        <v>1.0</v>
      </c>
      <c r="M347" s="1">
        <v>1.0</v>
      </c>
      <c r="N347" s="1">
        <v>0.0</v>
      </c>
      <c r="O347" s="1">
        <v>0.0</v>
      </c>
      <c r="P347" s="1">
        <v>181.0</v>
      </c>
      <c r="Q347" s="1">
        <v>23.0</v>
      </c>
    </row>
    <row r="348">
      <c r="A348" s="1">
        <f t="shared" si="1"/>
        <v>345</v>
      </c>
      <c r="B348" s="1" t="s">
        <v>1439</v>
      </c>
      <c r="C348" s="1" t="s">
        <v>1052</v>
      </c>
      <c r="D348" s="1" t="s">
        <v>31</v>
      </c>
      <c r="E348" s="1">
        <f t="shared" si="2"/>
        <v>132.75</v>
      </c>
      <c r="F348" s="1">
        <f t="shared" si="3"/>
        <v>3.09</v>
      </c>
      <c r="G348" s="1">
        <v>43.0</v>
      </c>
      <c r="H348" s="1">
        <v>7.0</v>
      </c>
      <c r="I348" s="1">
        <v>15.0</v>
      </c>
      <c r="J348" s="1">
        <v>22.0</v>
      </c>
      <c r="K348" s="1">
        <v>49.0</v>
      </c>
      <c r="L348" s="1">
        <v>0.0</v>
      </c>
      <c r="M348" s="1">
        <v>0.0</v>
      </c>
      <c r="N348" s="1">
        <v>3.0</v>
      </c>
      <c r="O348" s="1">
        <v>0.0</v>
      </c>
      <c r="P348" s="1">
        <v>53.0</v>
      </c>
      <c r="Q348" s="1">
        <v>25.0</v>
      </c>
    </row>
    <row r="349">
      <c r="A349" s="1">
        <f t="shared" si="1"/>
        <v>347</v>
      </c>
      <c r="B349" s="1" t="s">
        <v>1351</v>
      </c>
      <c r="C349" s="1" t="s">
        <v>1082</v>
      </c>
      <c r="D349" s="1" t="s">
        <v>31</v>
      </c>
      <c r="E349" s="1">
        <f t="shared" si="2"/>
        <v>132.5</v>
      </c>
      <c r="F349" s="1">
        <f t="shared" si="3"/>
        <v>3.01</v>
      </c>
      <c r="G349" s="1">
        <v>44.0</v>
      </c>
      <c r="H349" s="1">
        <v>8.0</v>
      </c>
      <c r="I349" s="1">
        <v>15.0</v>
      </c>
      <c r="J349" s="1">
        <v>23.0</v>
      </c>
      <c r="K349" s="1">
        <v>69.0</v>
      </c>
      <c r="L349" s="1">
        <v>0.0</v>
      </c>
      <c r="M349" s="1">
        <v>4.0</v>
      </c>
      <c r="N349" s="1">
        <v>0.0</v>
      </c>
      <c r="O349" s="1">
        <v>0.0</v>
      </c>
      <c r="P349" s="1">
        <v>36.0</v>
      </c>
      <c r="Q349" s="1">
        <v>16.0</v>
      </c>
    </row>
    <row r="350">
      <c r="A350" s="1">
        <f t="shared" si="1"/>
        <v>347</v>
      </c>
      <c r="B350" s="1" t="s">
        <v>1261</v>
      </c>
      <c r="C350" s="1" t="s">
        <v>1085</v>
      </c>
      <c r="D350" s="1" t="s">
        <v>31</v>
      </c>
      <c r="E350" s="1">
        <f t="shared" si="2"/>
        <v>132.5</v>
      </c>
      <c r="F350" s="1">
        <f t="shared" si="3"/>
        <v>2.6</v>
      </c>
      <c r="G350" s="1">
        <v>51.0</v>
      </c>
      <c r="H350" s="1">
        <v>7.0</v>
      </c>
      <c r="I350" s="1">
        <v>8.0</v>
      </c>
      <c r="J350" s="1">
        <v>15.0</v>
      </c>
      <c r="K350" s="1">
        <v>66.0</v>
      </c>
      <c r="L350" s="1">
        <v>0.0</v>
      </c>
      <c r="M350" s="1">
        <v>1.0</v>
      </c>
      <c r="N350" s="1">
        <v>0.0</v>
      </c>
      <c r="O350" s="1">
        <v>0.0</v>
      </c>
      <c r="P350" s="1">
        <v>78.0</v>
      </c>
      <c r="Q350" s="1">
        <v>49.0</v>
      </c>
    </row>
    <row r="351">
      <c r="A351" s="1">
        <f t="shared" si="1"/>
        <v>347</v>
      </c>
      <c r="B351" s="1" t="s">
        <v>1339</v>
      </c>
      <c r="C351" s="1" t="s">
        <v>1034</v>
      </c>
      <c r="D351" s="1" t="s">
        <v>36</v>
      </c>
      <c r="E351" s="1">
        <f t="shared" si="2"/>
        <v>132.5</v>
      </c>
      <c r="F351" s="1">
        <f t="shared" si="3"/>
        <v>2.37</v>
      </c>
      <c r="G351" s="1">
        <v>56.0</v>
      </c>
      <c r="H351" s="1">
        <v>12.0</v>
      </c>
      <c r="I351" s="1">
        <v>7.0</v>
      </c>
      <c r="J351" s="1">
        <v>19.0</v>
      </c>
      <c r="K351" s="1">
        <v>59.0</v>
      </c>
      <c r="L351" s="1">
        <v>1.0</v>
      </c>
      <c r="M351" s="1">
        <v>1.0</v>
      </c>
      <c r="N351" s="1">
        <v>0.0</v>
      </c>
      <c r="O351" s="1">
        <v>0.0</v>
      </c>
      <c r="P351" s="1">
        <v>82.0</v>
      </c>
      <c r="Q351" s="1">
        <v>15.0</v>
      </c>
    </row>
    <row r="352">
      <c r="A352" s="1">
        <f t="shared" si="1"/>
        <v>350</v>
      </c>
      <c r="B352" s="1" t="s">
        <v>1598</v>
      </c>
      <c r="C352" s="1" t="s">
        <v>1046</v>
      </c>
      <c r="D352" s="1" t="s">
        <v>66</v>
      </c>
      <c r="E352" s="1">
        <f t="shared" si="2"/>
        <v>132.25</v>
      </c>
      <c r="F352" s="1">
        <f t="shared" si="3"/>
        <v>2.45</v>
      </c>
      <c r="G352" s="1">
        <v>54.0</v>
      </c>
      <c r="H352" s="1">
        <v>5.0</v>
      </c>
      <c r="I352" s="1">
        <v>10.0</v>
      </c>
      <c r="J352" s="1">
        <v>15.0</v>
      </c>
      <c r="K352" s="1">
        <v>76.0</v>
      </c>
      <c r="L352" s="1">
        <v>0.0</v>
      </c>
      <c r="M352" s="1">
        <v>0.0</v>
      </c>
      <c r="N352" s="1">
        <v>0.0</v>
      </c>
      <c r="O352" s="1">
        <v>1.0</v>
      </c>
      <c r="P352" s="1">
        <v>15.0</v>
      </c>
      <c r="Q352" s="1">
        <v>72.0</v>
      </c>
    </row>
    <row r="353">
      <c r="A353" s="1">
        <f t="shared" si="1"/>
        <v>351</v>
      </c>
      <c r="B353" s="1" t="s">
        <v>2157</v>
      </c>
      <c r="C353" s="1" t="s">
        <v>1076</v>
      </c>
      <c r="D353" s="1" t="s">
        <v>66</v>
      </c>
      <c r="E353" s="1">
        <f t="shared" si="2"/>
        <v>132</v>
      </c>
      <c r="F353" s="1">
        <f t="shared" si="3"/>
        <v>2.75</v>
      </c>
      <c r="G353" s="1">
        <v>48.0</v>
      </c>
      <c r="H353" s="1">
        <v>2.0</v>
      </c>
      <c r="I353" s="1">
        <v>21.0</v>
      </c>
      <c r="J353" s="1">
        <v>23.0</v>
      </c>
      <c r="K353" s="1">
        <v>69.0</v>
      </c>
      <c r="L353" s="1">
        <v>1.0</v>
      </c>
      <c r="M353" s="1">
        <v>6.0</v>
      </c>
      <c r="N353" s="1">
        <v>0.0</v>
      </c>
      <c r="O353" s="1">
        <v>0.0</v>
      </c>
      <c r="P353" s="1">
        <v>32.0</v>
      </c>
      <c r="Q353" s="1">
        <v>35.0</v>
      </c>
    </row>
    <row r="354">
      <c r="A354" s="1">
        <f t="shared" si="1"/>
        <v>352</v>
      </c>
      <c r="B354" s="1" t="s">
        <v>1206</v>
      </c>
      <c r="C354" s="1" t="s">
        <v>1087</v>
      </c>
      <c r="D354" s="1" t="s">
        <v>31</v>
      </c>
      <c r="E354" s="1">
        <f t="shared" si="2"/>
        <v>131.25</v>
      </c>
      <c r="F354" s="1">
        <f t="shared" si="3"/>
        <v>4.86</v>
      </c>
      <c r="G354" s="1">
        <v>27.0</v>
      </c>
      <c r="H354" s="1">
        <v>12.0</v>
      </c>
      <c r="I354" s="1">
        <v>7.0</v>
      </c>
      <c r="J354" s="1">
        <v>19.0</v>
      </c>
      <c r="K354" s="1">
        <v>80.0</v>
      </c>
      <c r="L354" s="1">
        <v>3.0</v>
      </c>
      <c r="M354" s="1">
        <v>1.0</v>
      </c>
      <c r="N354" s="1">
        <v>0.0</v>
      </c>
      <c r="O354" s="1">
        <v>0.0</v>
      </c>
      <c r="P354" s="1">
        <v>39.0</v>
      </c>
      <c r="Q354" s="1">
        <v>13.0</v>
      </c>
    </row>
    <row r="355">
      <c r="A355" s="1">
        <f t="shared" si="1"/>
        <v>353</v>
      </c>
      <c r="B355" s="1" t="s">
        <v>1484</v>
      </c>
      <c r="C355" s="1" t="s">
        <v>1120</v>
      </c>
      <c r="D355" s="1" t="s">
        <v>28</v>
      </c>
      <c r="E355" s="1">
        <f t="shared" si="2"/>
        <v>131</v>
      </c>
      <c r="F355" s="1">
        <f t="shared" si="3"/>
        <v>2.67</v>
      </c>
      <c r="G355" s="1">
        <v>49.0</v>
      </c>
      <c r="H355" s="1">
        <v>6.0</v>
      </c>
      <c r="I355" s="1">
        <v>13.0</v>
      </c>
      <c r="J355" s="1">
        <v>19.0</v>
      </c>
      <c r="K355" s="1">
        <v>97.0</v>
      </c>
      <c r="L355" s="1">
        <v>3.0</v>
      </c>
      <c r="M355" s="1">
        <v>3.0</v>
      </c>
      <c r="N355" s="1">
        <v>0.0</v>
      </c>
      <c r="O355" s="1">
        <v>0.0</v>
      </c>
      <c r="P355" s="1">
        <v>22.0</v>
      </c>
      <c r="Q355" s="1">
        <v>22.0</v>
      </c>
    </row>
    <row r="356">
      <c r="A356" s="1">
        <f t="shared" si="1"/>
        <v>354</v>
      </c>
      <c r="B356" s="1" t="s">
        <v>2154</v>
      </c>
      <c r="C356" s="1" t="s">
        <v>1175</v>
      </c>
      <c r="D356" s="1" t="s">
        <v>28</v>
      </c>
      <c r="E356" s="1">
        <f t="shared" si="2"/>
        <v>130.75</v>
      </c>
      <c r="F356" s="1">
        <f t="shared" si="3"/>
        <v>3.19</v>
      </c>
      <c r="G356" s="1">
        <v>41.0</v>
      </c>
      <c r="H356" s="1">
        <v>8.0</v>
      </c>
      <c r="I356" s="1">
        <v>9.0</v>
      </c>
      <c r="J356" s="1">
        <v>17.0</v>
      </c>
      <c r="K356" s="1">
        <v>66.0</v>
      </c>
      <c r="L356" s="1">
        <v>0.0</v>
      </c>
      <c r="M356" s="1">
        <v>1.0</v>
      </c>
      <c r="N356" s="1">
        <v>0.0</v>
      </c>
      <c r="O356" s="1">
        <v>0.0</v>
      </c>
      <c r="P356" s="1">
        <v>81.0</v>
      </c>
      <c r="Q356" s="1">
        <v>29.0</v>
      </c>
    </row>
    <row r="357">
      <c r="A357" s="1">
        <f t="shared" si="1"/>
        <v>354</v>
      </c>
      <c r="B357" s="1" t="s">
        <v>1163</v>
      </c>
      <c r="C357" s="1" t="s">
        <v>1040</v>
      </c>
      <c r="D357" s="1" t="s">
        <v>28</v>
      </c>
      <c r="E357" s="1">
        <f t="shared" si="2"/>
        <v>130.75</v>
      </c>
      <c r="F357" s="1">
        <f t="shared" si="3"/>
        <v>2.33</v>
      </c>
      <c r="G357" s="1">
        <v>56.0</v>
      </c>
      <c r="H357" s="1">
        <v>12.0</v>
      </c>
      <c r="I357" s="1">
        <v>9.0</v>
      </c>
      <c r="J357" s="1">
        <v>21.0</v>
      </c>
      <c r="K357" s="1">
        <v>67.0</v>
      </c>
      <c r="L357" s="1">
        <v>0.0</v>
      </c>
      <c r="M357" s="1">
        <v>0.0</v>
      </c>
      <c r="N357" s="1">
        <v>0.0</v>
      </c>
      <c r="O357" s="1">
        <v>0.0</v>
      </c>
      <c r="P357" s="1">
        <v>43.0</v>
      </c>
      <c r="Q357" s="1">
        <v>11.0</v>
      </c>
    </row>
    <row r="358">
      <c r="A358" s="1">
        <f t="shared" si="1"/>
        <v>356</v>
      </c>
      <c r="B358" s="1" t="s">
        <v>1410</v>
      </c>
      <c r="C358" s="1" t="s">
        <v>1078</v>
      </c>
      <c r="D358" s="1" t="s">
        <v>31</v>
      </c>
      <c r="E358" s="1">
        <f t="shared" si="2"/>
        <v>130.5</v>
      </c>
      <c r="F358" s="1">
        <f t="shared" si="3"/>
        <v>2.42</v>
      </c>
      <c r="G358" s="1">
        <v>54.0</v>
      </c>
      <c r="H358" s="1">
        <v>10.0</v>
      </c>
      <c r="I358" s="1">
        <v>13.0</v>
      </c>
      <c r="J358" s="1">
        <v>23.0</v>
      </c>
      <c r="K358" s="1">
        <v>65.0</v>
      </c>
      <c r="L358" s="1">
        <v>3.0</v>
      </c>
      <c r="M358" s="1">
        <v>1.0</v>
      </c>
      <c r="N358" s="1">
        <v>0.0</v>
      </c>
      <c r="O358" s="1">
        <v>0.0</v>
      </c>
      <c r="P358" s="1">
        <v>18.0</v>
      </c>
      <c r="Q358" s="1">
        <v>19.0</v>
      </c>
    </row>
    <row r="359">
      <c r="A359" s="1">
        <f t="shared" si="1"/>
        <v>357</v>
      </c>
      <c r="B359" s="1" t="s">
        <v>2308</v>
      </c>
      <c r="C359" s="1" t="s">
        <v>1076</v>
      </c>
      <c r="D359" s="1" t="s">
        <v>28</v>
      </c>
      <c r="E359" s="1">
        <f t="shared" si="2"/>
        <v>129.5</v>
      </c>
      <c r="F359" s="1">
        <f t="shared" si="3"/>
        <v>2.59</v>
      </c>
      <c r="G359" s="1">
        <v>50.0</v>
      </c>
      <c r="H359" s="1">
        <v>8.0</v>
      </c>
      <c r="I359" s="1">
        <v>17.0</v>
      </c>
      <c r="J359" s="1">
        <v>25.0</v>
      </c>
      <c r="K359" s="1">
        <v>61.0</v>
      </c>
      <c r="L359" s="1">
        <v>1.0</v>
      </c>
      <c r="M359" s="1">
        <v>3.0</v>
      </c>
      <c r="N359" s="1">
        <v>0.0</v>
      </c>
      <c r="O359" s="1">
        <v>0.0</v>
      </c>
      <c r="P359" s="1">
        <v>10.0</v>
      </c>
      <c r="Q359" s="1">
        <v>19.0</v>
      </c>
    </row>
    <row r="360">
      <c r="A360" s="1">
        <f t="shared" si="1"/>
        <v>358</v>
      </c>
      <c r="B360" s="1" t="s">
        <v>1650</v>
      </c>
      <c r="C360" s="1" t="s">
        <v>1038</v>
      </c>
      <c r="D360" s="1" t="s">
        <v>66</v>
      </c>
      <c r="E360" s="1">
        <f t="shared" si="2"/>
        <v>129.25</v>
      </c>
      <c r="F360" s="1">
        <f t="shared" si="3"/>
        <v>3.49</v>
      </c>
      <c r="G360" s="1">
        <v>37.0</v>
      </c>
      <c r="H360" s="1">
        <v>5.0</v>
      </c>
      <c r="I360" s="1">
        <v>15.0</v>
      </c>
      <c r="J360" s="1">
        <v>20.0</v>
      </c>
      <c r="K360" s="1">
        <v>80.0</v>
      </c>
      <c r="L360" s="1">
        <v>1.0</v>
      </c>
      <c r="M360" s="1">
        <v>6.0</v>
      </c>
      <c r="N360" s="1">
        <v>0.0</v>
      </c>
      <c r="O360" s="1">
        <v>0.0</v>
      </c>
      <c r="P360" s="1">
        <v>19.0</v>
      </c>
      <c r="Q360" s="1">
        <v>34.0</v>
      </c>
    </row>
    <row r="361">
      <c r="A361" s="1">
        <f t="shared" si="1"/>
        <v>358</v>
      </c>
      <c r="B361" s="1" t="s">
        <v>1863</v>
      </c>
      <c r="C361" s="1" t="s">
        <v>1040</v>
      </c>
      <c r="D361" s="1" t="s">
        <v>31</v>
      </c>
      <c r="E361" s="1">
        <f t="shared" si="2"/>
        <v>129.25</v>
      </c>
      <c r="F361" s="1">
        <f t="shared" si="3"/>
        <v>3.08</v>
      </c>
      <c r="G361" s="1">
        <v>42.0</v>
      </c>
      <c r="H361" s="1">
        <v>8.0</v>
      </c>
      <c r="I361" s="1">
        <v>14.0</v>
      </c>
      <c r="J361" s="1">
        <v>22.0</v>
      </c>
      <c r="K361" s="1">
        <v>76.0</v>
      </c>
      <c r="L361" s="1">
        <v>0.0</v>
      </c>
      <c r="M361" s="1">
        <v>0.0</v>
      </c>
      <c r="N361" s="1">
        <v>0.0</v>
      </c>
      <c r="O361" s="1">
        <v>0.0</v>
      </c>
      <c r="P361" s="1">
        <v>15.0</v>
      </c>
      <c r="Q361" s="1">
        <v>19.0</v>
      </c>
    </row>
    <row r="362">
      <c r="A362" s="1">
        <f t="shared" si="1"/>
        <v>358</v>
      </c>
      <c r="B362" s="1" t="s">
        <v>1602</v>
      </c>
      <c r="C362" s="1" t="s">
        <v>1048</v>
      </c>
      <c r="D362" s="1" t="s">
        <v>31</v>
      </c>
      <c r="E362" s="1">
        <f t="shared" si="2"/>
        <v>129.25</v>
      </c>
      <c r="F362" s="1">
        <f t="shared" si="3"/>
        <v>3.15</v>
      </c>
      <c r="G362" s="1">
        <v>41.0</v>
      </c>
      <c r="H362" s="1">
        <v>4.0</v>
      </c>
      <c r="I362" s="1">
        <v>7.0</v>
      </c>
      <c r="J362" s="1">
        <v>11.0</v>
      </c>
      <c r="K362" s="1">
        <v>68.0</v>
      </c>
      <c r="L362" s="1">
        <v>1.0</v>
      </c>
      <c r="M362" s="1">
        <v>2.0</v>
      </c>
      <c r="N362" s="1">
        <v>0.0</v>
      </c>
      <c r="O362" s="1">
        <v>1.0</v>
      </c>
      <c r="P362" s="1">
        <v>91.0</v>
      </c>
      <c r="Q362" s="1">
        <v>63.0</v>
      </c>
    </row>
    <row r="363">
      <c r="A363" s="1">
        <f t="shared" si="1"/>
        <v>361</v>
      </c>
      <c r="B363" s="1" t="s">
        <v>2282</v>
      </c>
      <c r="C363" s="1" t="s">
        <v>1036</v>
      </c>
      <c r="D363" s="1" t="s">
        <v>5</v>
      </c>
      <c r="E363" s="1">
        <f t="shared" si="2"/>
        <v>129</v>
      </c>
      <c r="F363" s="1">
        <f t="shared" si="3"/>
        <v>4.96</v>
      </c>
      <c r="G363" s="1">
        <v>26.0</v>
      </c>
      <c r="R363" s="1">
        <v>13.0</v>
      </c>
      <c r="S363" s="1">
        <v>76.0</v>
      </c>
      <c r="T363" s="1">
        <v>680.0</v>
      </c>
      <c r="U363" s="1">
        <v>0.0</v>
      </c>
    </row>
    <row r="364">
      <c r="A364" s="1">
        <f t="shared" si="1"/>
        <v>361</v>
      </c>
      <c r="B364" s="1" t="s">
        <v>1584</v>
      </c>
      <c r="C364" s="1" t="s">
        <v>1097</v>
      </c>
      <c r="D364" s="1" t="s">
        <v>36</v>
      </c>
      <c r="E364" s="1">
        <f t="shared" si="2"/>
        <v>129</v>
      </c>
      <c r="F364" s="1">
        <f t="shared" si="3"/>
        <v>2.63</v>
      </c>
      <c r="G364" s="1">
        <v>49.0</v>
      </c>
      <c r="H364" s="1">
        <v>9.0</v>
      </c>
      <c r="I364" s="1">
        <v>12.0</v>
      </c>
      <c r="J364" s="1">
        <v>21.0</v>
      </c>
      <c r="K364" s="1">
        <v>62.0</v>
      </c>
      <c r="L364" s="1">
        <v>1.0</v>
      </c>
      <c r="M364" s="1">
        <v>6.0</v>
      </c>
      <c r="N364" s="1">
        <v>0.0</v>
      </c>
      <c r="O364" s="1">
        <v>0.0</v>
      </c>
      <c r="P364" s="1">
        <v>56.0</v>
      </c>
      <c r="Q364" s="1">
        <v>15.0</v>
      </c>
    </row>
    <row r="365">
      <c r="A365" s="1">
        <f t="shared" si="1"/>
        <v>361</v>
      </c>
      <c r="B365" s="1" t="s">
        <v>2327</v>
      </c>
      <c r="C365" s="1" t="s">
        <v>1116</v>
      </c>
      <c r="D365" s="1" t="s">
        <v>31</v>
      </c>
      <c r="E365" s="1">
        <f t="shared" si="2"/>
        <v>129</v>
      </c>
      <c r="F365" s="1">
        <f t="shared" si="3"/>
        <v>2.3</v>
      </c>
      <c r="G365" s="1">
        <v>56.0</v>
      </c>
      <c r="H365" s="1">
        <v>9.0</v>
      </c>
      <c r="I365" s="1">
        <v>10.0</v>
      </c>
      <c r="J365" s="1">
        <v>19.0</v>
      </c>
      <c r="K365" s="1">
        <v>57.0</v>
      </c>
      <c r="L365" s="1">
        <v>2.0</v>
      </c>
      <c r="M365" s="1">
        <v>2.0</v>
      </c>
      <c r="N365" s="1">
        <v>0.0</v>
      </c>
      <c r="O365" s="1">
        <v>0.0</v>
      </c>
      <c r="P365" s="1">
        <v>84.0</v>
      </c>
      <c r="Q365" s="1">
        <v>18.0</v>
      </c>
    </row>
    <row r="366">
      <c r="A366" s="1">
        <f t="shared" si="1"/>
        <v>361</v>
      </c>
      <c r="B366" s="1" t="s">
        <v>1426</v>
      </c>
      <c r="C366" s="1" t="s">
        <v>1087</v>
      </c>
      <c r="D366" s="1" t="s">
        <v>31</v>
      </c>
      <c r="E366" s="1">
        <f t="shared" si="2"/>
        <v>129</v>
      </c>
      <c r="F366" s="1">
        <f t="shared" si="3"/>
        <v>2.3</v>
      </c>
      <c r="G366" s="1">
        <v>56.0</v>
      </c>
      <c r="H366" s="1">
        <v>7.0</v>
      </c>
      <c r="I366" s="1">
        <v>7.0</v>
      </c>
      <c r="J366" s="1">
        <v>14.0</v>
      </c>
      <c r="K366" s="1">
        <v>72.0</v>
      </c>
      <c r="L366" s="1">
        <v>0.0</v>
      </c>
      <c r="M366" s="1">
        <v>0.0</v>
      </c>
      <c r="N366" s="1">
        <v>0.0</v>
      </c>
      <c r="O366" s="1">
        <v>0.0</v>
      </c>
      <c r="P366" s="1">
        <v>112.0</v>
      </c>
      <c r="Q366" s="1">
        <v>25.0</v>
      </c>
    </row>
    <row r="367">
      <c r="A367" s="1">
        <f t="shared" si="1"/>
        <v>365</v>
      </c>
      <c r="B367" s="1" t="s">
        <v>1109</v>
      </c>
      <c r="C367" s="1" t="s">
        <v>1052</v>
      </c>
      <c r="D367" s="1" t="s">
        <v>66</v>
      </c>
      <c r="E367" s="1">
        <f t="shared" si="2"/>
        <v>128.75</v>
      </c>
      <c r="F367" s="1">
        <f t="shared" si="3"/>
        <v>2.93</v>
      </c>
      <c r="G367" s="1">
        <v>44.0</v>
      </c>
      <c r="H367" s="1">
        <v>5.0</v>
      </c>
      <c r="I367" s="1">
        <v>11.0</v>
      </c>
      <c r="J367" s="1">
        <v>16.0</v>
      </c>
      <c r="K367" s="1">
        <v>86.0</v>
      </c>
      <c r="L367" s="1">
        <v>0.0</v>
      </c>
      <c r="M367" s="1">
        <v>1.0</v>
      </c>
      <c r="N367" s="1">
        <v>0.0</v>
      </c>
      <c r="O367" s="1">
        <v>0.0</v>
      </c>
      <c r="P367" s="1">
        <v>41.0</v>
      </c>
      <c r="Q367" s="1">
        <v>40.0</v>
      </c>
    </row>
    <row r="368">
      <c r="A368" s="1">
        <f t="shared" si="1"/>
        <v>365</v>
      </c>
      <c r="B368" s="1" t="s">
        <v>1561</v>
      </c>
      <c r="C368" s="1" t="s">
        <v>1042</v>
      </c>
      <c r="D368" s="1" t="s">
        <v>31</v>
      </c>
      <c r="E368" s="1">
        <f t="shared" si="2"/>
        <v>128.75</v>
      </c>
      <c r="F368" s="1">
        <f t="shared" si="3"/>
        <v>2.68</v>
      </c>
      <c r="G368" s="1">
        <v>48.0</v>
      </c>
      <c r="H368" s="1">
        <v>7.0</v>
      </c>
      <c r="I368" s="1">
        <v>15.0</v>
      </c>
      <c r="J368" s="1">
        <v>22.0</v>
      </c>
      <c r="K368" s="1">
        <v>67.0</v>
      </c>
      <c r="L368" s="1">
        <v>3.0</v>
      </c>
      <c r="M368" s="1">
        <v>4.0</v>
      </c>
      <c r="N368" s="1">
        <v>0.0</v>
      </c>
      <c r="O368" s="1">
        <v>0.0</v>
      </c>
      <c r="P368" s="1">
        <v>43.0</v>
      </c>
      <c r="Q368" s="1">
        <v>16.0</v>
      </c>
    </row>
    <row r="369">
      <c r="A369" s="1">
        <f t="shared" si="1"/>
        <v>367</v>
      </c>
      <c r="B369" s="1" t="s">
        <v>2469</v>
      </c>
      <c r="C369" s="1" t="s">
        <v>1030</v>
      </c>
      <c r="D369" s="1" t="s">
        <v>31</v>
      </c>
      <c r="E369" s="1">
        <f t="shared" si="2"/>
        <v>128.5</v>
      </c>
      <c r="F369" s="1">
        <f t="shared" si="3"/>
        <v>2.86</v>
      </c>
      <c r="G369" s="1">
        <v>45.0</v>
      </c>
      <c r="H369" s="1">
        <v>7.0</v>
      </c>
      <c r="I369" s="1">
        <v>10.0</v>
      </c>
      <c r="J369" s="1">
        <v>17.0</v>
      </c>
      <c r="K369" s="1">
        <v>61.0</v>
      </c>
      <c r="L369" s="1">
        <v>4.0</v>
      </c>
      <c r="M369" s="1">
        <v>1.0</v>
      </c>
      <c r="N369" s="1">
        <v>0.0</v>
      </c>
      <c r="O369" s="1">
        <v>1.0</v>
      </c>
      <c r="P369" s="1">
        <v>66.0</v>
      </c>
      <c r="Q369" s="1">
        <v>36.0</v>
      </c>
    </row>
    <row r="370">
      <c r="A370" s="1">
        <f t="shared" si="1"/>
        <v>368</v>
      </c>
      <c r="B370" s="1" t="s">
        <v>1764</v>
      </c>
      <c r="C370" s="1" t="s">
        <v>1030</v>
      </c>
      <c r="D370" s="1" t="s">
        <v>31</v>
      </c>
      <c r="E370" s="1">
        <f t="shared" si="2"/>
        <v>128.25</v>
      </c>
      <c r="F370" s="1">
        <f t="shared" si="3"/>
        <v>2.38</v>
      </c>
      <c r="G370" s="1">
        <v>54.0</v>
      </c>
      <c r="H370" s="1">
        <v>7.0</v>
      </c>
      <c r="I370" s="1">
        <v>10.0</v>
      </c>
      <c r="J370" s="1">
        <v>17.0</v>
      </c>
      <c r="K370" s="1">
        <v>92.0</v>
      </c>
      <c r="L370" s="1">
        <v>0.0</v>
      </c>
      <c r="M370" s="1">
        <v>0.0</v>
      </c>
      <c r="N370" s="1">
        <v>0.0</v>
      </c>
      <c r="O370" s="1">
        <v>0.0</v>
      </c>
      <c r="P370" s="1">
        <v>45.0</v>
      </c>
      <c r="Q370" s="1">
        <v>19.0</v>
      </c>
    </row>
    <row r="371">
      <c r="A371" s="1">
        <f t="shared" si="1"/>
        <v>369</v>
      </c>
      <c r="B371" s="1" t="s">
        <v>2094</v>
      </c>
      <c r="C371" s="1" t="s">
        <v>1111</v>
      </c>
      <c r="D371" s="1" t="s">
        <v>31</v>
      </c>
      <c r="E371" s="1">
        <f t="shared" si="2"/>
        <v>128</v>
      </c>
      <c r="F371" s="1">
        <f t="shared" si="3"/>
        <v>2.42</v>
      </c>
      <c r="G371" s="1">
        <v>53.0</v>
      </c>
      <c r="H371" s="1">
        <v>8.0</v>
      </c>
      <c r="I371" s="1">
        <v>12.0</v>
      </c>
      <c r="J371" s="1">
        <v>20.0</v>
      </c>
      <c r="K371" s="1">
        <v>67.0</v>
      </c>
      <c r="L371" s="1">
        <v>4.0</v>
      </c>
      <c r="M371" s="1">
        <v>2.0</v>
      </c>
      <c r="N371" s="1">
        <v>0.0</v>
      </c>
      <c r="O371" s="1">
        <v>0.0</v>
      </c>
      <c r="P371" s="1">
        <v>80.0</v>
      </c>
      <c r="Q371" s="1">
        <v>5.0</v>
      </c>
    </row>
    <row r="372">
      <c r="A372" s="1">
        <f t="shared" si="1"/>
        <v>370</v>
      </c>
      <c r="B372" s="1" t="s">
        <v>1616</v>
      </c>
      <c r="C372" s="1" t="s">
        <v>1172</v>
      </c>
      <c r="D372" s="1" t="s">
        <v>66</v>
      </c>
      <c r="E372" s="1">
        <f t="shared" si="2"/>
        <v>127.75</v>
      </c>
      <c r="F372" s="1">
        <f t="shared" si="3"/>
        <v>2.9</v>
      </c>
      <c r="G372" s="1">
        <v>44.0</v>
      </c>
      <c r="H372" s="1">
        <v>1.0</v>
      </c>
      <c r="I372" s="1">
        <v>9.0</v>
      </c>
      <c r="J372" s="1">
        <v>10.0</v>
      </c>
      <c r="K372" s="1">
        <v>58.0</v>
      </c>
      <c r="L372" s="1">
        <v>0.0</v>
      </c>
      <c r="M372" s="1">
        <v>1.0</v>
      </c>
      <c r="N372" s="1">
        <v>0.0</v>
      </c>
      <c r="O372" s="1">
        <v>0.0</v>
      </c>
      <c r="P372" s="1">
        <v>99.0</v>
      </c>
      <c r="Q372" s="1">
        <v>85.0</v>
      </c>
    </row>
    <row r="373">
      <c r="A373" s="1">
        <f t="shared" si="1"/>
        <v>371</v>
      </c>
      <c r="B373" s="1" t="s">
        <v>1444</v>
      </c>
      <c r="C373" s="1" t="s">
        <v>1097</v>
      </c>
      <c r="D373" s="1" t="s">
        <v>28</v>
      </c>
      <c r="E373" s="1">
        <f t="shared" si="2"/>
        <v>127.25</v>
      </c>
      <c r="F373" s="1">
        <f t="shared" si="3"/>
        <v>2.71</v>
      </c>
      <c r="G373" s="1">
        <v>47.0</v>
      </c>
      <c r="H373" s="1">
        <v>7.0</v>
      </c>
      <c r="I373" s="1">
        <v>6.0</v>
      </c>
      <c r="J373" s="1">
        <v>13.0</v>
      </c>
      <c r="K373" s="1">
        <v>78.0</v>
      </c>
      <c r="L373" s="1">
        <v>0.0</v>
      </c>
      <c r="M373" s="1">
        <v>0.0</v>
      </c>
      <c r="N373" s="1">
        <v>2.0</v>
      </c>
      <c r="O373" s="1">
        <v>1.0</v>
      </c>
      <c r="P373" s="1">
        <v>85.0</v>
      </c>
      <c r="Q373" s="1">
        <v>23.0</v>
      </c>
    </row>
    <row r="374">
      <c r="A374" s="1">
        <f t="shared" si="1"/>
        <v>372</v>
      </c>
      <c r="B374" s="1" t="s">
        <v>1903</v>
      </c>
      <c r="C374" s="1" t="s">
        <v>1044</v>
      </c>
      <c r="D374" s="1" t="s">
        <v>31</v>
      </c>
      <c r="E374" s="1">
        <f t="shared" si="2"/>
        <v>127</v>
      </c>
      <c r="F374" s="1">
        <f t="shared" si="3"/>
        <v>2.82</v>
      </c>
      <c r="G374" s="1">
        <v>45.0</v>
      </c>
      <c r="H374" s="1">
        <v>10.0</v>
      </c>
      <c r="I374" s="1">
        <v>8.0</v>
      </c>
      <c r="J374" s="1">
        <v>18.0</v>
      </c>
      <c r="K374" s="1">
        <v>69.0</v>
      </c>
      <c r="L374" s="1">
        <v>2.0</v>
      </c>
      <c r="M374" s="1">
        <v>2.0</v>
      </c>
      <c r="N374" s="1">
        <v>0.0</v>
      </c>
      <c r="O374" s="1">
        <v>0.0</v>
      </c>
      <c r="P374" s="1">
        <v>58.0</v>
      </c>
      <c r="Q374" s="1">
        <v>18.0</v>
      </c>
    </row>
    <row r="375">
      <c r="A375" s="1">
        <f t="shared" si="1"/>
        <v>373</v>
      </c>
      <c r="B375" s="1" t="s">
        <v>1633</v>
      </c>
      <c r="C375" s="1" t="s">
        <v>1073</v>
      </c>
      <c r="D375" s="1" t="s">
        <v>5</v>
      </c>
      <c r="E375" s="1">
        <f t="shared" si="2"/>
        <v>126.9</v>
      </c>
      <c r="F375" s="1">
        <f t="shared" si="3"/>
        <v>5.77</v>
      </c>
      <c r="G375" s="1">
        <v>22.0</v>
      </c>
      <c r="R375" s="1">
        <v>15.0</v>
      </c>
      <c r="S375" s="1">
        <v>59.0</v>
      </c>
      <c r="T375" s="1">
        <v>568.0</v>
      </c>
      <c r="U375" s="1">
        <v>0.0</v>
      </c>
    </row>
    <row r="376">
      <c r="A376" s="1">
        <f t="shared" si="1"/>
        <v>374</v>
      </c>
      <c r="B376" s="1" t="s">
        <v>1702</v>
      </c>
      <c r="C376" s="1" t="s">
        <v>1046</v>
      </c>
      <c r="D376" s="1" t="s">
        <v>66</v>
      </c>
      <c r="E376" s="1">
        <f t="shared" si="2"/>
        <v>126.5</v>
      </c>
      <c r="F376" s="1">
        <f t="shared" si="3"/>
        <v>3.33</v>
      </c>
      <c r="G376" s="1">
        <v>38.0</v>
      </c>
      <c r="H376" s="1">
        <v>3.0</v>
      </c>
      <c r="I376" s="1">
        <v>7.0</v>
      </c>
      <c r="J376" s="1">
        <v>10.0</v>
      </c>
      <c r="K376" s="1">
        <v>79.0</v>
      </c>
      <c r="L376" s="1">
        <v>0.0</v>
      </c>
      <c r="M376" s="1">
        <v>0.0</v>
      </c>
      <c r="N376" s="1">
        <v>0.0</v>
      </c>
      <c r="O376" s="1">
        <v>0.0</v>
      </c>
      <c r="P376" s="1">
        <v>48.0</v>
      </c>
      <c r="Q376" s="1">
        <v>81.0</v>
      </c>
    </row>
    <row r="377">
      <c r="A377" s="1">
        <f t="shared" si="1"/>
        <v>375</v>
      </c>
      <c r="B377" s="1" t="s">
        <v>1370</v>
      </c>
      <c r="C377" s="1" t="s">
        <v>1052</v>
      </c>
      <c r="D377" s="1" t="s">
        <v>28</v>
      </c>
      <c r="E377" s="1">
        <f t="shared" si="2"/>
        <v>125.75</v>
      </c>
      <c r="F377" s="1">
        <f t="shared" si="3"/>
        <v>3.31</v>
      </c>
      <c r="G377" s="1">
        <v>38.0</v>
      </c>
      <c r="H377" s="1">
        <v>9.0</v>
      </c>
      <c r="I377" s="1">
        <v>9.0</v>
      </c>
      <c r="J377" s="1">
        <v>18.0</v>
      </c>
      <c r="K377" s="1">
        <v>67.0</v>
      </c>
      <c r="L377" s="1">
        <v>1.0</v>
      </c>
      <c r="M377" s="1">
        <v>3.0</v>
      </c>
      <c r="N377" s="1">
        <v>0.0</v>
      </c>
      <c r="O377" s="1">
        <v>0.0</v>
      </c>
      <c r="P377" s="1">
        <v>69.0</v>
      </c>
      <c r="Q377" s="1">
        <v>15.0</v>
      </c>
    </row>
    <row r="378">
      <c r="A378" s="1">
        <f t="shared" si="1"/>
        <v>375</v>
      </c>
      <c r="B378" s="1" t="s">
        <v>1689</v>
      </c>
      <c r="C378" s="1" t="s">
        <v>1080</v>
      </c>
      <c r="D378" s="1" t="s">
        <v>28</v>
      </c>
      <c r="E378" s="1">
        <f t="shared" si="2"/>
        <v>125.75</v>
      </c>
      <c r="F378" s="1">
        <f t="shared" si="3"/>
        <v>2.42</v>
      </c>
      <c r="G378" s="1">
        <v>52.0</v>
      </c>
      <c r="H378" s="1">
        <v>6.0</v>
      </c>
      <c r="I378" s="1">
        <v>9.0</v>
      </c>
      <c r="J378" s="1">
        <v>15.0</v>
      </c>
      <c r="K378" s="1">
        <v>65.0</v>
      </c>
      <c r="L378" s="1">
        <v>0.0</v>
      </c>
      <c r="M378" s="1">
        <v>0.0</v>
      </c>
      <c r="N378" s="1">
        <v>0.0</v>
      </c>
      <c r="O378" s="1">
        <v>0.0</v>
      </c>
      <c r="P378" s="1">
        <v>131.0</v>
      </c>
      <c r="Q378" s="1">
        <v>13.0</v>
      </c>
    </row>
    <row r="379">
      <c r="A379" s="1">
        <f t="shared" si="1"/>
        <v>377</v>
      </c>
      <c r="B379" s="1" t="s">
        <v>2385</v>
      </c>
      <c r="C379" s="1" t="s">
        <v>1085</v>
      </c>
      <c r="D379" s="1" t="s">
        <v>28</v>
      </c>
      <c r="E379" s="1">
        <f t="shared" si="2"/>
        <v>125.5</v>
      </c>
      <c r="F379" s="1">
        <f t="shared" si="3"/>
        <v>2.46</v>
      </c>
      <c r="G379" s="1">
        <v>51.0</v>
      </c>
      <c r="H379" s="1">
        <v>4.0</v>
      </c>
      <c r="I379" s="1">
        <v>10.0</v>
      </c>
      <c r="J379" s="1">
        <v>14.0</v>
      </c>
      <c r="K379" s="1">
        <v>76.0</v>
      </c>
      <c r="L379" s="1">
        <v>0.0</v>
      </c>
      <c r="M379" s="1">
        <v>0.0</v>
      </c>
      <c r="N379" s="1">
        <v>0.0</v>
      </c>
      <c r="O379" s="1">
        <v>2.0</v>
      </c>
      <c r="P379" s="1">
        <v>106.0</v>
      </c>
      <c r="Q379" s="1">
        <v>18.0</v>
      </c>
    </row>
    <row r="380">
      <c r="A380" s="1">
        <f t="shared" si="1"/>
        <v>378</v>
      </c>
      <c r="B380" s="1" t="s">
        <v>1409</v>
      </c>
      <c r="C380" s="1" t="s">
        <v>1156</v>
      </c>
      <c r="D380" s="1" t="s">
        <v>5</v>
      </c>
      <c r="E380" s="1">
        <f t="shared" si="2"/>
        <v>125.4</v>
      </c>
      <c r="F380" s="1">
        <f t="shared" si="3"/>
        <v>3.8</v>
      </c>
      <c r="G380" s="1">
        <v>33.0</v>
      </c>
      <c r="R380" s="1">
        <v>9.0</v>
      </c>
      <c r="S380" s="1">
        <v>96.0</v>
      </c>
      <c r="T380" s="1">
        <v>808.0</v>
      </c>
      <c r="U380" s="1">
        <v>0.0</v>
      </c>
    </row>
    <row r="381">
      <c r="A381" s="1">
        <f t="shared" si="1"/>
        <v>379</v>
      </c>
      <c r="B381" s="1" t="s">
        <v>2110</v>
      </c>
      <c r="C381" s="1" t="s">
        <v>1065</v>
      </c>
      <c r="D381" s="1" t="s">
        <v>31</v>
      </c>
      <c r="E381" s="1">
        <f t="shared" si="2"/>
        <v>125.25</v>
      </c>
      <c r="F381" s="1">
        <f t="shared" si="3"/>
        <v>2.72</v>
      </c>
      <c r="G381" s="1">
        <v>46.0</v>
      </c>
      <c r="H381" s="1">
        <v>6.0</v>
      </c>
      <c r="I381" s="1">
        <v>9.0</v>
      </c>
      <c r="J381" s="1">
        <v>15.0</v>
      </c>
      <c r="K381" s="1">
        <v>66.0</v>
      </c>
      <c r="L381" s="1">
        <v>0.0</v>
      </c>
      <c r="M381" s="1">
        <v>0.0</v>
      </c>
      <c r="N381" s="1">
        <v>1.0</v>
      </c>
      <c r="O381" s="1">
        <v>0.0</v>
      </c>
      <c r="P381" s="1">
        <v>65.0</v>
      </c>
      <c r="Q381" s="1">
        <v>40.0</v>
      </c>
    </row>
    <row r="382">
      <c r="A382" s="1">
        <f t="shared" si="1"/>
        <v>379</v>
      </c>
      <c r="B382" s="1" t="s">
        <v>1593</v>
      </c>
      <c r="C382" s="1" t="s">
        <v>1065</v>
      </c>
      <c r="D382" s="1" t="s">
        <v>36</v>
      </c>
      <c r="E382" s="1">
        <f t="shared" si="2"/>
        <v>125.25</v>
      </c>
      <c r="F382" s="1">
        <f t="shared" si="3"/>
        <v>2.66</v>
      </c>
      <c r="G382" s="1">
        <v>47.0</v>
      </c>
      <c r="H382" s="1">
        <v>8.0</v>
      </c>
      <c r="I382" s="1">
        <v>8.0</v>
      </c>
      <c r="J382" s="1">
        <v>16.0</v>
      </c>
      <c r="K382" s="1">
        <v>91.0</v>
      </c>
      <c r="L382" s="1">
        <v>2.0</v>
      </c>
      <c r="M382" s="1">
        <v>1.0</v>
      </c>
      <c r="N382" s="1">
        <v>1.0</v>
      </c>
      <c r="O382" s="1">
        <v>0.0</v>
      </c>
      <c r="P382" s="1">
        <v>19.0</v>
      </c>
      <c r="Q382" s="1">
        <v>26.0</v>
      </c>
    </row>
    <row r="383">
      <c r="A383" s="1">
        <f t="shared" si="1"/>
        <v>379</v>
      </c>
      <c r="B383" s="1" t="s">
        <v>1401</v>
      </c>
      <c r="C383" s="1" t="s">
        <v>1087</v>
      </c>
      <c r="D383" s="1" t="s">
        <v>36</v>
      </c>
      <c r="E383" s="1">
        <f t="shared" si="2"/>
        <v>125.25</v>
      </c>
      <c r="F383" s="1">
        <f t="shared" si="3"/>
        <v>2.51</v>
      </c>
      <c r="G383" s="1">
        <v>50.0</v>
      </c>
      <c r="H383" s="1">
        <v>4.0</v>
      </c>
      <c r="I383" s="1">
        <v>7.0</v>
      </c>
      <c r="J383" s="1">
        <v>11.0</v>
      </c>
      <c r="K383" s="1">
        <v>50.0</v>
      </c>
      <c r="L383" s="1">
        <v>0.0</v>
      </c>
      <c r="M383" s="1">
        <v>0.0</v>
      </c>
      <c r="N383" s="1">
        <v>1.0</v>
      </c>
      <c r="O383" s="1">
        <v>0.0</v>
      </c>
      <c r="P383" s="1">
        <v>191.0</v>
      </c>
      <c r="Q383" s="1">
        <v>23.0</v>
      </c>
    </row>
    <row r="384">
      <c r="A384" s="1">
        <f t="shared" si="1"/>
        <v>382</v>
      </c>
      <c r="B384" s="1" t="s">
        <v>2112</v>
      </c>
      <c r="C384" s="1" t="s">
        <v>1091</v>
      </c>
      <c r="D384" s="1" t="s">
        <v>5</v>
      </c>
      <c r="E384" s="1">
        <f t="shared" si="2"/>
        <v>124.8</v>
      </c>
      <c r="F384" s="1">
        <f t="shared" si="3"/>
        <v>4.16</v>
      </c>
      <c r="G384" s="1">
        <v>30.0</v>
      </c>
      <c r="R384" s="1">
        <v>15.0</v>
      </c>
      <c r="S384" s="1">
        <v>82.0</v>
      </c>
      <c r="T384" s="1">
        <v>656.0</v>
      </c>
      <c r="U384" s="1">
        <v>2.0</v>
      </c>
    </row>
    <row r="385">
      <c r="A385" s="1">
        <f t="shared" si="1"/>
        <v>383</v>
      </c>
      <c r="B385" s="1" t="s">
        <v>1104</v>
      </c>
      <c r="C385" s="1" t="s">
        <v>1048</v>
      </c>
      <c r="D385" s="1" t="s">
        <v>36</v>
      </c>
      <c r="E385" s="1">
        <f t="shared" si="2"/>
        <v>124.75</v>
      </c>
      <c r="F385" s="1">
        <f t="shared" si="3"/>
        <v>2.77</v>
      </c>
      <c r="G385" s="1">
        <v>45.0</v>
      </c>
      <c r="H385" s="1">
        <v>7.0</v>
      </c>
      <c r="I385" s="1">
        <v>11.0</v>
      </c>
      <c r="J385" s="1">
        <v>18.0</v>
      </c>
      <c r="K385" s="1">
        <v>86.0</v>
      </c>
      <c r="L385" s="1">
        <v>2.0</v>
      </c>
      <c r="M385" s="1">
        <v>1.0</v>
      </c>
      <c r="N385" s="1">
        <v>0.0</v>
      </c>
      <c r="O385" s="1">
        <v>0.0</v>
      </c>
      <c r="P385" s="1">
        <v>59.0</v>
      </c>
      <c r="Q385" s="1">
        <v>5.0</v>
      </c>
    </row>
    <row r="386">
      <c r="A386" s="1">
        <f t="shared" si="1"/>
        <v>383</v>
      </c>
      <c r="B386" s="1" t="s">
        <v>1531</v>
      </c>
      <c r="C386" s="1" t="s">
        <v>1080</v>
      </c>
      <c r="D386" s="1" t="s">
        <v>66</v>
      </c>
      <c r="E386" s="1">
        <f t="shared" si="2"/>
        <v>124.75</v>
      </c>
      <c r="F386" s="1">
        <f t="shared" si="3"/>
        <v>2.45</v>
      </c>
      <c r="G386" s="1">
        <v>51.0</v>
      </c>
      <c r="H386" s="1">
        <v>2.0</v>
      </c>
      <c r="I386" s="1">
        <v>10.0</v>
      </c>
      <c r="J386" s="1">
        <v>12.0</v>
      </c>
      <c r="K386" s="1">
        <v>54.0</v>
      </c>
      <c r="L386" s="1">
        <v>0.0</v>
      </c>
      <c r="M386" s="1">
        <v>0.0</v>
      </c>
      <c r="N386" s="1">
        <v>0.0</v>
      </c>
      <c r="O386" s="1">
        <v>0.0</v>
      </c>
      <c r="P386" s="1">
        <v>85.0</v>
      </c>
      <c r="Q386" s="1">
        <v>75.0</v>
      </c>
    </row>
    <row r="387">
      <c r="A387" s="1">
        <f t="shared" si="1"/>
        <v>383</v>
      </c>
      <c r="B387" s="1" t="s">
        <v>1137</v>
      </c>
      <c r="C387" s="1" t="s">
        <v>1038</v>
      </c>
      <c r="D387" s="1" t="s">
        <v>31</v>
      </c>
      <c r="E387" s="1">
        <f t="shared" si="2"/>
        <v>124.75</v>
      </c>
      <c r="F387" s="1">
        <f t="shared" si="3"/>
        <v>2.45</v>
      </c>
      <c r="G387" s="1">
        <v>51.0</v>
      </c>
      <c r="H387" s="1">
        <v>6.0</v>
      </c>
      <c r="I387" s="1">
        <v>10.0</v>
      </c>
      <c r="J387" s="1">
        <v>16.0</v>
      </c>
      <c r="K387" s="1">
        <v>79.0</v>
      </c>
      <c r="L387" s="1">
        <v>0.0</v>
      </c>
      <c r="M387" s="1">
        <v>2.0</v>
      </c>
      <c r="N387" s="1">
        <v>1.0</v>
      </c>
      <c r="O387" s="1">
        <v>0.0</v>
      </c>
      <c r="P387" s="1">
        <v>57.0</v>
      </c>
      <c r="Q387" s="1">
        <v>24.0</v>
      </c>
    </row>
    <row r="388">
      <c r="A388" s="1">
        <f t="shared" si="1"/>
        <v>386</v>
      </c>
      <c r="B388" s="1" t="s">
        <v>1639</v>
      </c>
      <c r="C388" s="1" t="s">
        <v>1054</v>
      </c>
      <c r="D388" s="1" t="s">
        <v>31</v>
      </c>
      <c r="E388" s="1">
        <f t="shared" si="2"/>
        <v>124.5</v>
      </c>
      <c r="F388" s="1">
        <f t="shared" si="3"/>
        <v>2.49</v>
      </c>
      <c r="G388" s="1">
        <v>50.0</v>
      </c>
      <c r="H388" s="1">
        <v>11.0</v>
      </c>
      <c r="I388" s="1">
        <v>6.0</v>
      </c>
      <c r="J388" s="1">
        <v>17.0</v>
      </c>
      <c r="K388" s="1">
        <v>64.0</v>
      </c>
      <c r="L388" s="1">
        <v>0.0</v>
      </c>
      <c r="M388" s="1">
        <v>0.0</v>
      </c>
      <c r="N388" s="1">
        <v>0.0</v>
      </c>
      <c r="O388" s="1">
        <v>0.0</v>
      </c>
      <c r="P388" s="1">
        <v>48.0</v>
      </c>
      <c r="Q388" s="1">
        <v>26.0</v>
      </c>
    </row>
    <row r="389">
      <c r="A389" s="1">
        <f t="shared" si="1"/>
        <v>387</v>
      </c>
      <c r="B389" s="1" t="s">
        <v>1322</v>
      </c>
      <c r="C389" s="1" t="s">
        <v>1082</v>
      </c>
      <c r="D389" s="1" t="s">
        <v>36</v>
      </c>
      <c r="E389" s="1">
        <f t="shared" si="2"/>
        <v>124</v>
      </c>
      <c r="F389" s="1">
        <f t="shared" si="3"/>
        <v>2.95</v>
      </c>
      <c r="G389" s="1">
        <v>42.0</v>
      </c>
      <c r="H389" s="1">
        <v>13.0</v>
      </c>
      <c r="I389" s="1">
        <v>7.0</v>
      </c>
      <c r="J389" s="1">
        <v>20.0</v>
      </c>
      <c r="K389" s="1">
        <v>74.0</v>
      </c>
      <c r="L389" s="1">
        <v>0.0</v>
      </c>
      <c r="M389" s="1">
        <v>0.0</v>
      </c>
      <c r="N389" s="1">
        <v>0.0</v>
      </c>
      <c r="O389" s="1">
        <v>0.0</v>
      </c>
      <c r="P389" s="1">
        <v>28.0</v>
      </c>
      <c r="Q389" s="1">
        <v>1.0</v>
      </c>
    </row>
    <row r="390">
      <c r="A390" s="1">
        <f t="shared" si="1"/>
        <v>387</v>
      </c>
      <c r="B390" s="1" t="s">
        <v>1256</v>
      </c>
      <c r="C390" s="1" t="s">
        <v>1097</v>
      </c>
      <c r="D390" s="1" t="s">
        <v>31</v>
      </c>
      <c r="E390" s="1">
        <f t="shared" si="2"/>
        <v>124</v>
      </c>
      <c r="F390" s="1">
        <f t="shared" si="3"/>
        <v>2.82</v>
      </c>
      <c r="G390" s="1">
        <v>44.0</v>
      </c>
      <c r="H390" s="1">
        <v>2.0</v>
      </c>
      <c r="I390" s="1">
        <v>21.0</v>
      </c>
      <c r="J390" s="1">
        <v>23.0</v>
      </c>
      <c r="K390" s="1">
        <v>76.0</v>
      </c>
      <c r="L390" s="1">
        <v>0.0</v>
      </c>
      <c r="M390" s="1">
        <v>5.0</v>
      </c>
      <c r="N390" s="1">
        <v>0.0</v>
      </c>
      <c r="O390" s="1">
        <v>0.0</v>
      </c>
      <c r="P390" s="1">
        <v>42.0</v>
      </c>
      <c r="Q390" s="1">
        <v>7.0</v>
      </c>
    </row>
    <row r="391">
      <c r="A391" s="1">
        <f t="shared" si="1"/>
        <v>387</v>
      </c>
      <c r="B391" s="1" t="s">
        <v>1742</v>
      </c>
      <c r="C391" s="1" t="s">
        <v>1054</v>
      </c>
      <c r="D391" s="1" t="s">
        <v>28</v>
      </c>
      <c r="E391" s="1">
        <f t="shared" si="2"/>
        <v>124</v>
      </c>
      <c r="F391" s="1">
        <f t="shared" si="3"/>
        <v>2.76</v>
      </c>
      <c r="G391" s="1">
        <v>45.0</v>
      </c>
      <c r="H391" s="1">
        <v>7.0</v>
      </c>
      <c r="I391" s="1">
        <v>11.0</v>
      </c>
      <c r="J391" s="1">
        <v>18.0</v>
      </c>
      <c r="K391" s="1">
        <v>90.0</v>
      </c>
      <c r="L391" s="1">
        <v>0.0</v>
      </c>
      <c r="M391" s="1">
        <v>2.0</v>
      </c>
      <c r="N391" s="1">
        <v>0.0</v>
      </c>
      <c r="O391" s="1">
        <v>0.0</v>
      </c>
      <c r="P391" s="1">
        <v>18.0</v>
      </c>
      <c r="Q391" s="1">
        <v>20.0</v>
      </c>
    </row>
    <row r="392">
      <c r="A392" s="1">
        <f t="shared" si="1"/>
        <v>390</v>
      </c>
      <c r="B392" s="1" t="s">
        <v>1265</v>
      </c>
      <c r="C392" s="1" t="s">
        <v>1067</v>
      </c>
      <c r="D392" s="1" t="s">
        <v>31</v>
      </c>
      <c r="E392" s="1">
        <f t="shared" si="2"/>
        <v>123.75</v>
      </c>
      <c r="F392" s="1">
        <f t="shared" si="3"/>
        <v>3.02</v>
      </c>
      <c r="G392" s="1">
        <v>41.0</v>
      </c>
      <c r="H392" s="1">
        <v>10.0</v>
      </c>
      <c r="I392" s="1">
        <v>12.0</v>
      </c>
      <c r="J392" s="1">
        <v>22.0</v>
      </c>
      <c r="K392" s="1">
        <v>61.0</v>
      </c>
      <c r="L392" s="1">
        <v>3.0</v>
      </c>
      <c r="M392" s="1">
        <v>3.0</v>
      </c>
      <c r="N392" s="1">
        <v>1.0</v>
      </c>
      <c r="O392" s="1">
        <v>1.0</v>
      </c>
      <c r="P392" s="1">
        <v>9.0</v>
      </c>
      <c r="Q392" s="1">
        <v>12.0</v>
      </c>
    </row>
    <row r="393">
      <c r="A393" s="1">
        <f t="shared" si="1"/>
        <v>391</v>
      </c>
      <c r="B393" s="1" t="s">
        <v>2470</v>
      </c>
      <c r="C393" s="1" t="s">
        <v>1042</v>
      </c>
      <c r="D393" s="1" t="s">
        <v>5</v>
      </c>
      <c r="E393" s="1">
        <f t="shared" si="2"/>
        <v>123.6</v>
      </c>
      <c r="F393" s="1">
        <f t="shared" si="3"/>
        <v>5.15</v>
      </c>
      <c r="G393" s="1">
        <v>24.0</v>
      </c>
      <c r="R393" s="1">
        <v>10.0</v>
      </c>
      <c r="S393" s="1">
        <v>62.0</v>
      </c>
      <c r="T393" s="1">
        <v>602.0</v>
      </c>
      <c r="U393" s="1">
        <v>2.0</v>
      </c>
    </row>
    <row r="394">
      <c r="A394" s="1">
        <f t="shared" si="1"/>
        <v>392</v>
      </c>
      <c r="B394" s="1" t="s">
        <v>1367</v>
      </c>
      <c r="C394" s="1" t="s">
        <v>1044</v>
      </c>
      <c r="D394" s="1" t="s">
        <v>66</v>
      </c>
      <c r="E394" s="1">
        <f t="shared" si="2"/>
        <v>123.25</v>
      </c>
      <c r="F394" s="1">
        <f t="shared" si="3"/>
        <v>2.62</v>
      </c>
      <c r="G394" s="1">
        <v>47.0</v>
      </c>
      <c r="H394" s="1">
        <v>3.0</v>
      </c>
      <c r="I394" s="1">
        <v>11.0</v>
      </c>
      <c r="J394" s="1">
        <v>14.0</v>
      </c>
      <c r="K394" s="1">
        <v>39.0</v>
      </c>
      <c r="L394" s="1">
        <v>0.0</v>
      </c>
      <c r="M394" s="1">
        <v>0.0</v>
      </c>
      <c r="N394" s="1">
        <v>0.0</v>
      </c>
      <c r="O394" s="1">
        <v>0.0</v>
      </c>
      <c r="P394" s="1">
        <v>89.0</v>
      </c>
      <c r="Q394" s="1">
        <v>70.0</v>
      </c>
    </row>
    <row r="395">
      <c r="A395" s="1">
        <f t="shared" si="1"/>
        <v>393</v>
      </c>
      <c r="B395" s="1" t="s">
        <v>1195</v>
      </c>
      <c r="C395" s="1" t="s">
        <v>1069</v>
      </c>
      <c r="D395" s="1" t="s">
        <v>66</v>
      </c>
      <c r="E395" s="1">
        <f t="shared" si="2"/>
        <v>122.5</v>
      </c>
      <c r="F395" s="1">
        <f t="shared" si="3"/>
        <v>2.61</v>
      </c>
      <c r="G395" s="1">
        <v>47.0</v>
      </c>
      <c r="H395" s="1">
        <v>4.0</v>
      </c>
      <c r="I395" s="1">
        <v>11.0</v>
      </c>
      <c r="J395" s="1">
        <v>15.0</v>
      </c>
      <c r="K395" s="1">
        <v>89.0</v>
      </c>
      <c r="L395" s="1">
        <v>0.0</v>
      </c>
      <c r="M395" s="1">
        <v>3.0</v>
      </c>
      <c r="N395" s="1">
        <v>0.0</v>
      </c>
      <c r="O395" s="1">
        <v>0.0</v>
      </c>
      <c r="P395" s="1">
        <v>28.0</v>
      </c>
      <c r="Q395" s="1">
        <v>40.0</v>
      </c>
    </row>
    <row r="396">
      <c r="A396" s="1">
        <f t="shared" si="1"/>
        <v>394</v>
      </c>
      <c r="B396" s="1" t="s">
        <v>1667</v>
      </c>
      <c r="C396" s="1" t="s">
        <v>1067</v>
      </c>
      <c r="D396" s="1" t="s">
        <v>66</v>
      </c>
      <c r="E396" s="1">
        <f t="shared" si="2"/>
        <v>122.25</v>
      </c>
      <c r="F396" s="1">
        <f t="shared" si="3"/>
        <v>2.55</v>
      </c>
      <c r="G396" s="1">
        <v>48.0</v>
      </c>
      <c r="H396" s="1">
        <v>4.0</v>
      </c>
      <c r="I396" s="1">
        <v>8.0</v>
      </c>
      <c r="J396" s="1">
        <v>12.0</v>
      </c>
      <c r="K396" s="1">
        <v>64.0</v>
      </c>
      <c r="L396" s="1">
        <v>1.0</v>
      </c>
      <c r="M396" s="1">
        <v>3.0</v>
      </c>
      <c r="N396" s="1">
        <v>0.0</v>
      </c>
      <c r="O396" s="1">
        <v>0.0</v>
      </c>
      <c r="P396" s="1">
        <v>91.0</v>
      </c>
      <c r="Q396" s="1">
        <v>51.0</v>
      </c>
    </row>
    <row r="397">
      <c r="A397" s="1">
        <f t="shared" si="1"/>
        <v>395</v>
      </c>
      <c r="B397" s="1" t="s">
        <v>1214</v>
      </c>
      <c r="C397" s="1" t="s">
        <v>1054</v>
      </c>
      <c r="D397" s="1" t="s">
        <v>31</v>
      </c>
      <c r="E397" s="1">
        <f t="shared" si="2"/>
        <v>122</v>
      </c>
      <c r="F397" s="1">
        <f t="shared" si="3"/>
        <v>2.77</v>
      </c>
      <c r="G397" s="1">
        <v>44.0</v>
      </c>
      <c r="H397" s="1">
        <v>6.0</v>
      </c>
      <c r="I397" s="1">
        <v>11.0</v>
      </c>
      <c r="J397" s="1">
        <v>17.0</v>
      </c>
      <c r="K397" s="1">
        <v>78.0</v>
      </c>
      <c r="L397" s="1">
        <v>0.0</v>
      </c>
      <c r="M397" s="1">
        <v>1.0</v>
      </c>
      <c r="N397" s="1">
        <v>0.0</v>
      </c>
      <c r="O397" s="1">
        <v>0.0</v>
      </c>
      <c r="P397" s="1">
        <v>48.0</v>
      </c>
      <c r="Q397" s="1">
        <v>22.0</v>
      </c>
    </row>
    <row r="398">
      <c r="A398" s="1">
        <f t="shared" si="1"/>
        <v>395</v>
      </c>
      <c r="B398" s="1" t="s">
        <v>2293</v>
      </c>
      <c r="C398" s="1" t="s">
        <v>1082</v>
      </c>
      <c r="D398" s="1" t="s">
        <v>66</v>
      </c>
      <c r="E398" s="1">
        <f t="shared" si="2"/>
        <v>122</v>
      </c>
      <c r="F398" s="1">
        <f t="shared" si="3"/>
        <v>2.22</v>
      </c>
      <c r="G398" s="1">
        <v>55.0</v>
      </c>
      <c r="H398" s="1">
        <v>2.0</v>
      </c>
      <c r="I398" s="1">
        <v>8.0</v>
      </c>
      <c r="J398" s="1">
        <v>10.0</v>
      </c>
      <c r="K398" s="1">
        <v>67.0</v>
      </c>
      <c r="L398" s="1">
        <v>0.0</v>
      </c>
      <c r="M398" s="1">
        <v>0.0</v>
      </c>
      <c r="N398" s="1">
        <v>0.0</v>
      </c>
      <c r="O398" s="1">
        <v>0.0</v>
      </c>
      <c r="P398" s="1">
        <v>88.0</v>
      </c>
      <c r="Q398" s="1">
        <v>67.0</v>
      </c>
    </row>
    <row r="399">
      <c r="A399" s="1">
        <f t="shared" si="1"/>
        <v>395</v>
      </c>
      <c r="B399" s="1" t="s">
        <v>1279</v>
      </c>
      <c r="C399" s="1" t="s">
        <v>1042</v>
      </c>
      <c r="D399" s="1" t="s">
        <v>36</v>
      </c>
      <c r="E399" s="1">
        <f t="shared" si="2"/>
        <v>122</v>
      </c>
      <c r="F399" s="1">
        <f t="shared" si="3"/>
        <v>2.26</v>
      </c>
      <c r="G399" s="1">
        <v>54.0</v>
      </c>
      <c r="H399" s="1">
        <v>8.0</v>
      </c>
      <c r="I399" s="1">
        <v>7.0</v>
      </c>
      <c r="J399" s="1">
        <v>15.0</v>
      </c>
      <c r="K399" s="1">
        <v>58.0</v>
      </c>
      <c r="L399" s="1">
        <v>0.0</v>
      </c>
      <c r="M399" s="1">
        <v>0.0</v>
      </c>
      <c r="N399" s="1">
        <v>1.0</v>
      </c>
      <c r="O399" s="1">
        <v>1.0</v>
      </c>
      <c r="P399" s="1">
        <v>74.0</v>
      </c>
      <c r="Q399" s="1">
        <v>27.0</v>
      </c>
    </row>
    <row r="400">
      <c r="A400" s="1">
        <f t="shared" si="1"/>
        <v>398</v>
      </c>
      <c r="B400" s="1" t="s">
        <v>1554</v>
      </c>
      <c r="C400" s="1" t="s">
        <v>1082</v>
      </c>
      <c r="D400" s="1" t="s">
        <v>66</v>
      </c>
      <c r="E400" s="1">
        <f t="shared" si="2"/>
        <v>121.5</v>
      </c>
      <c r="F400" s="1">
        <f t="shared" si="3"/>
        <v>2.29</v>
      </c>
      <c r="G400" s="1">
        <v>53.0</v>
      </c>
      <c r="H400" s="1">
        <v>2.0</v>
      </c>
      <c r="I400" s="1">
        <v>12.0</v>
      </c>
      <c r="J400" s="1">
        <v>14.0</v>
      </c>
      <c r="K400" s="1">
        <v>60.0</v>
      </c>
      <c r="L400" s="1">
        <v>0.0</v>
      </c>
      <c r="M400" s="1">
        <v>0.0</v>
      </c>
      <c r="N400" s="1">
        <v>0.0</v>
      </c>
      <c r="O400" s="1">
        <v>0.0</v>
      </c>
      <c r="P400" s="1">
        <v>56.0</v>
      </c>
      <c r="Q400" s="1">
        <v>65.0</v>
      </c>
    </row>
    <row r="401">
      <c r="A401" s="1">
        <f t="shared" si="1"/>
        <v>399</v>
      </c>
      <c r="B401" s="1" t="s">
        <v>1422</v>
      </c>
      <c r="C401" s="1" t="s">
        <v>1097</v>
      </c>
      <c r="D401" s="1" t="s">
        <v>36</v>
      </c>
      <c r="E401" s="1">
        <f t="shared" si="2"/>
        <v>121</v>
      </c>
      <c r="F401" s="1">
        <f t="shared" si="3"/>
        <v>2.95</v>
      </c>
      <c r="G401" s="1">
        <v>41.0</v>
      </c>
      <c r="H401" s="1">
        <v>7.0</v>
      </c>
      <c r="I401" s="1">
        <v>7.0</v>
      </c>
      <c r="J401" s="1">
        <v>14.0</v>
      </c>
      <c r="K401" s="1">
        <v>73.0</v>
      </c>
      <c r="L401" s="1">
        <v>1.0</v>
      </c>
      <c r="M401" s="1">
        <v>0.0</v>
      </c>
      <c r="N401" s="1">
        <v>1.0</v>
      </c>
      <c r="O401" s="1">
        <v>1.0</v>
      </c>
      <c r="P401" s="1">
        <v>86.0</v>
      </c>
      <c r="Q401" s="1">
        <v>13.0</v>
      </c>
    </row>
    <row r="402">
      <c r="A402" s="1">
        <f t="shared" si="1"/>
        <v>400</v>
      </c>
      <c r="B402" s="1" t="s">
        <v>2471</v>
      </c>
      <c r="C402" s="1" t="s">
        <v>1087</v>
      </c>
      <c r="D402" s="1" t="s">
        <v>31</v>
      </c>
      <c r="E402" s="1">
        <f t="shared" si="2"/>
        <v>120.75</v>
      </c>
      <c r="F402" s="1">
        <f t="shared" si="3"/>
        <v>2.63</v>
      </c>
      <c r="G402" s="1">
        <v>46.0</v>
      </c>
      <c r="H402" s="1">
        <v>8.0</v>
      </c>
      <c r="I402" s="1">
        <v>12.0</v>
      </c>
      <c r="J402" s="1">
        <v>20.0</v>
      </c>
      <c r="K402" s="1">
        <v>50.0</v>
      </c>
      <c r="L402" s="1">
        <v>0.0</v>
      </c>
      <c r="M402" s="1">
        <v>1.0</v>
      </c>
      <c r="N402" s="1">
        <v>0.0</v>
      </c>
      <c r="O402" s="1">
        <v>0.0</v>
      </c>
      <c r="P402" s="1">
        <v>51.0</v>
      </c>
      <c r="Q402" s="1">
        <v>22.0</v>
      </c>
    </row>
    <row r="403">
      <c r="A403" s="1">
        <f t="shared" si="1"/>
        <v>400</v>
      </c>
      <c r="B403" s="1" t="s">
        <v>1573</v>
      </c>
      <c r="C403" s="1" t="s">
        <v>1076</v>
      </c>
      <c r="D403" s="1" t="s">
        <v>31</v>
      </c>
      <c r="E403" s="1">
        <f t="shared" si="2"/>
        <v>120.75</v>
      </c>
      <c r="F403" s="1">
        <f t="shared" si="3"/>
        <v>2.32</v>
      </c>
      <c r="G403" s="1">
        <v>52.0</v>
      </c>
      <c r="H403" s="1">
        <v>9.0</v>
      </c>
      <c r="I403" s="1">
        <v>6.0</v>
      </c>
      <c r="J403" s="1">
        <v>15.0</v>
      </c>
      <c r="K403" s="1">
        <v>60.0</v>
      </c>
      <c r="L403" s="1">
        <v>0.0</v>
      </c>
      <c r="M403" s="1">
        <v>0.0</v>
      </c>
      <c r="N403" s="1">
        <v>0.0</v>
      </c>
      <c r="O403" s="1">
        <v>0.0</v>
      </c>
      <c r="P403" s="1">
        <v>89.0</v>
      </c>
      <c r="Q403" s="1">
        <v>20.0</v>
      </c>
    </row>
    <row r="404">
      <c r="A404" s="1">
        <f t="shared" si="1"/>
        <v>400</v>
      </c>
      <c r="B404" s="1" t="s">
        <v>2309</v>
      </c>
      <c r="C404" s="1" t="s">
        <v>1054</v>
      </c>
      <c r="D404" s="1" t="s">
        <v>31</v>
      </c>
      <c r="E404" s="1">
        <f t="shared" si="2"/>
        <v>120.75</v>
      </c>
      <c r="F404" s="1">
        <f t="shared" si="3"/>
        <v>2.24</v>
      </c>
      <c r="G404" s="1">
        <v>54.0</v>
      </c>
      <c r="H404" s="1">
        <v>10.0</v>
      </c>
      <c r="I404" s="1">
        <v>13.0</v>
      </c>
      <c r="J404" s="1">
        <v>23.0</v>
      </c>
      <c r="K404" s="1">
        <v>53.0</v>
      </c>
      <c r="L404" s="1">
        <v>1.0</v>
      </c>
      <c r="M404" s="1">
        <v>5.0</v>
      </c>
      <c r="N404" s="1">
        <v>0.0</v>
      </c>
      <c r="O404" s="1">
        <v>0.0</v>
      </c>
      <c r="P404" s="1">
        <v>21.0</v>
      </c>
      <c r="Q404" s="1">
        <v>10.0</v>
      </c>
    </row>
    <row r="405">
      <c r="A405" s="1">
        <f t="shared" si="1"/>
        <v>403</v>
      </c>
      <c r="B405" s="1" t="s">
        <v>1093</v>
      </c>
      <c r="C405" s="1" t="s">
        <v>1087</v>
      </c>
      <c r="D405" s="1" t="s">
        <v>66</v>
      </c>
      <c r="E405" s="1">
        <f t="shared" si="2"/>
        <v>120.5</v>
      </c>
      <c r="F405" s="1">
        <f t="shared" si="3"/>
        <v>2.62</v>
      </c>
      <c r="G405" s="1">
        <v>46.0</v>
      </c>
      <c r="H405" s="1">
        <v>3.0</v>
      </c>
      <c r="I405" s="1">
        <v>11.0</v>
      </c>
      <c r="J405" s="1">
        <v>14.0</v>
      </c>
      <c r="K405" s="1">
        <v>69.0</v>
      </c>
      <c r="L405" s="1">
        <v>0.0</v>
      </c>
      <c r="M405" s="1">
        <v>5.0</v>
      </c>
      <c r="N405" s="1">
        <v>0.0</v>
      </c>
      <c r="O405" s="1">
        <v>0.0</v>
      </c>
      <c r="P405" s="1">
        <v>40.0</v>
      </c>
      <c r="Q405" s="1">
        <v>59.0</v>
      </c>
    </row>
    <row r="406">
      <c r="A406" s="1">
        <f t="shared" si="1"/>
        <v>404</v>
      </c>
      <c r="B406" s="1" t="s">
        <v>2372</v>
      </c>
      <c r="C406" s="1" t="s">
        <v>1097</v>
      </c>
      <c r="D406" s="1" t="s">
        <v>5</v>
      </c>
      <c r="E406" s="1">
        <f t="shared" si="2"/>
        <v>119.7</v>
      </c>
      <c r="F406" s="1">
        <f t="shared" si="3"/>
        <v>4.79</v>
      </c>
      <c r="G406" s="1">
        <v>25.0</v>
      </c>
      <c r="R406" s="1">
        <v>12.0</v>
      </c>
      <c r="S406" s="1">
        <v>65.0</v>
      </c>
      <c r="T406" s="1">
        <v>594.0</v>
      </c>
      <c r="U406" s="1">
        <v>1.0</v>
      </c>
    </row>
    <row r="407">
      <c r="A407" s="1">
        <f t="shared" si="1"/>
        <v>405</v>
      </c>
      <c r="B407" s="1" t="s">
        <v>1278</v>
      </c>
      <c r="C407" s="1" t="s">
        <v>1030</v>
      </c>
      <c r="D407" s="1" t="s">
        <v>31</v>
      </c>
      <c r="E407" s="1">
        <f t="shared" si="2"/>
        <v>119.5</v>
      </c>
      <c r="F407" s="1">
        <f t="shared" si="3"/>
        <v>2.49</v>
      </c>
      <c r="G407" s="1">
        <v>48.0</v>
      </c>
      <c r="H407" s="1">
        <v>10.0</v>
      </c>
      <c r="I407" s="1">
        <v>8.0</v>
      </c>
      <c r="J407" s="1">
        <v>18.0</v>
      </c>
      <c r="K407" s="1">
        <v>47.0</v>
      </c>
      <c r="L407" s="1">
        <v>1.0</v>
      </c>
      <c r="M407" s="1">
        <v>1.0</v>
      </c>
      <c r="N407" s="1">
        <v>0.0</v>
      </c>
      <c r="O407" s="1">
        <v>0.0</v>
      </c>
      <c r="P407" s="1">
        <v>32.0</v>
      </c>
      <c r="Q407" s="1">
        <v>38.0</v>
      </c>
    </row>
    <row r="408">
      <c r="A408" s="1">
        <f t="shared" si="1"/>
        <v>405</v>
      </c>
      <c r="B408" s="1" t="s">
        <v>1283</v>
      </c>
      <c r="C408" s="1" t="s">
        <v>1097</v>
      </c>
      <c r="D408" s="1" t="s">
        <v>66</v>
      </c>
      <c r="E408" s="1">
        <f t="shared" si="2"/>
        <v>119.5</v>
      </c>
      <c r="F408" s="1">
        <f t="shared" si="3"/>
        <v>2.21</v>
      </c>
      <c r="G408" s="1">
        <v>54.0</v>
      </c>
      <c r="H408" s="1">
        <v>1.0</v>
      </c>
      <c r="I408" s="1">
        <v>5.0</v>
      </c>
      <c r="J408" s="1">
        <v>6.0</v>
      </c>
      <c r="K408" s="1">
        <v>71.0</v>
      </c>
      <c r="L408" s="1">
        <v>0.0</v>
      </c>
      <c r="M408" s="1">
        <v>1.0</v>
      </c>
      <c r="N408" s="1">
        <v>0.0</v>
      </c>
      <c r="O408" s="1">
        <v>0.0</v>
      </c>
      <c r="P408" s="1">
        <v>138.0</v>
      </c>
      <c r="Q408" s="1">
        <v>60.0</v>
      </c>
    </row>
    <row r="409">
      <c r="A409" s="1">
        <f t="shared" si="1"/>
        <v>405</v>
      </c>
      <c r="B409" s="1" t="s">
        <v>2325</v>
      </c>
      <c r="C409" s="1" t="s">
        <v>1097</v>
      </c>
      <c r="D409" s="1" t="s">
        <v>31</v>
      </c>
      <c r="E409" s="1">
        <f t="shared" si="2"/>
        <v>119.5</v>
      </c>
      <c r="F409" s="1">
        <f t="shared" si="3"/>
        <v>2.6</v>
      </c>
      <c r="G409" s="1">
        <v>46.0</v>
      </c>
      <c r="H409" s="1">
        <v>5.0</v>
      </c>
      <c r="I409" s="1">
        <v>11.0</v>
      </c>
      <c r="J409" s="1">
        <v>16.0</v>
      </c>
      <c r="K409" s="1">
        <v>44.0</v>
      </c>
      <c r="L409" s="1">
        <v>0.0</v>
      </c>
      <c r="M409" s="1">
        <v>0.0</v>
      </c>
      <c r="N409" s="1">
        <v>1.0</v>
      </c>
      <c r="O409" s="1">
        <v>0.0</v>
      </c>
      <c r="P409" s="1">
        <v>116.0</v>
      </c>
      <c r="Q409" s="1">
        <v>22.0</v>
      </c>
    </row>
    <row r="410">
      <c r="A410" s="1">
        <f t="shared" si="1"/>
        <v>408</v>
      </c>
      <c r="B410" s="1" t="s">
        <v>2303</v>
      </c>
      <c r="C410" s="1" t="s">
        <v>1111</v>
      </c>
      <c r="D410" s="1" t="s">
        <v>31</v>
      </c>
      <c r="E410" s="1">
        <f t="shared" si="2"/>
        <v>119.25</v>
      </c>
      <c r="F410" s="1">
        <f t="shared" si="3"/>
        <v>2.29</v>
      </c>
      <c r="G410" s="1">
        <v>52.0</v>
      </c>
      <c r="H410" s="1">
        <v>8.0</v>
      </c>
      <c r="I410" s="1">
        <v>6.0</v>
      </c>
      <c r="J410" s="1">
        <v>14.0</v>
      </c>
      <c r="K410" s="1">
        <v>58.0</v>
      </c>
      <c r="L410" s="1">
        <v>0.0</v>
      </c>
      <c r="M410" s="1">
        <v>0.0</v>
      </c>
      <c r="N410" s="1">
        <v>0.0</v>
      </c>
      <c r="O410" s="1">
        <v>0.0</v>
      </c>
      <c r="P410" s="1">
        <v>77.0</v>
      </c>
      <c r="Q410" s="1">
        <v>34.0</v>
      </c>
    </row>
    <row r="411">
      <c r="A411" s="1">
        <f t="shared" si="1"/>
        <v>409</v>
      </c>
      <c r="B411" s="1" t="s">
        <v>1246</v>
      </c>
      <c r="C411" s="1" t="s">
        <v>1067</v>
      </c>
      <c r="D411" s="1" t="s">
        <v>28</v>
      </c>
      <c r="E411" s="1">
        <f t="shared" si="2"/>
        <v>119</v>
      </c>
      <c r="F411" s="1">
        <f t="shared" si="3"/>
        <v>2.25</v>
      </c>
      <c r="G411" s="1">
        <v>53.0</v>
      </c>
      <c r="H411" s="1">
        <v>7.0</v>
      </c>
      <c r="I411" s="1">
        <v>7.0</v>
      </c>
      <c r="J411" s="1">
        <v>14.0</v>
      </c>
      <c r="K411" s="1">
        <v>111.0</v>
      </c>
      <c r="L411" s="1">
        <v>1.0</v>
      </c>
      <c r="M411" s="1">
        <v>0.0</v>
      </c>
      <c r="N411" s="1">
        <v>0.0</v>
      </c>
      <c r="O411" s="1">
        <v>0.0</v>
      </c>
      <c r="P411" s="1">
        <v>20.0</v>
      </c>
      <c r="Q411" s="1">
        <v>12.0</v>
      </c>
    </row>
    <row r="412">
      <c r="A412" s="1">
        <f t="shared" si="1"/>
        <v>410</v>
      </c>
      <c r="B412" s="1" t="s">
        <v>1417</v>
      </c>
      <c r="C412" s="1" t="s">
        <v>1156</v>
      </c>
      <c r="D412" s="1" t="s">
        <v>66</v>
      </c>
      <c r="E412" s="1">
        <f t="shared" si="2"/>
        <v>118.75</v>
      </c>
      <c r="F412" s="1">
        <f t="shared" si="3"/>
        <v>2.16</v>
      </c>
      <c r="G412" s="1">
        <v>55.0</v>
      </c>
      <c r="H412" s="1">
        <v>2.0</v>
      </c>
      <c r="I412" s="1">
        <v>10.0</v>
      </c>
      <c r="J412" s="1">
        <v>12.0</v>
      </c>
      <c r="K412" s="1">
        <v>48.0</v>
      </c>
      <c r="L412" s="1">
        <v>0.0</v>
      </c>
      <c r="M412" s="1">
        <v>0.0</v>
      </c>
      <c r="N412" s="1">
        <v>0.0</v>
      </c>
      <c r="O412" s="1">
        <v>0.0</v>
      </c>
      <c r="P412" s="1">
        <v>69.0</v>
      </c>
      <c r="Q412" s="1">
        <v>77.0</v>
      </c>
    </row>
    <row r="413">
      <c r="A413" s="1">
        <f t="shared" si="1"/>
        <v>410</v>
      </c>
      <c r="B413" s="1" t="s">
        <v>1060</v>
      </c>
      <c r="C413" s="1" t="s">
        <v>1046</v>
      </c>
      <c r="D413" s="1" t="s">
        <v>31</v>
      </c>
      <c r="E413" s="1">
        <f t="shared" si="2"/>
        <v>118.75</v>
      </c>
      <c r="F413" s="1">
        <f t="shared" si="3"/>
        <v>4.57</v>
      </c>
      <c r="G413" s="1">
        <v>26.0</v>
      </c>
      <c r="H413" s="1">
        <v>10.0</v>
      </c>
      <c r="I413" s="1">
        <v>11.0</v>
      </c>
      <c r="J413" s="1">
        <v>21.0</v>
      </c>
      <c r="K413" s="1">
        <v>63.0</v>
      </c>
      <c r="L413" s="1">
        <v>4.0</v>
      </c>
      <c r="M413" s="1">
        <v>1.0</v>
      </c>
      <c r="N413" s="1">
        <v>0.0</v>
      </c>
      <c r="O413" s="1">
        <v>1.0</v>
      </c>
      <c r="P413" s="1">
        <v>11.0</v>
      </c>
      <c r="Q413" s="1">
        <v>9.0</v>
      </c>
    </row>
    <row r="414">
      <c r="A414" s="1">
        <f t="shared" si="1"/>
        <v>412</v>
      </c>
      <c r="B414" s="1" t="s">
        <v>1568</v>
      </c>
      <c r="C414" s="1" t="s">
        <v>1052</v>
      </c>
      <c r="D414" s="1" t="s">
        <v>66</v>
      </c>
      <c r="E414" s="1">
        <f t="shared" si="2"/>
        <v>118.25</v>
      </c>
      <c r="F414" s="1">
        <f t="shared" si="3"/>
        <v>2.88</v>
      </c>
      <c r="G414" s="1">
        <v>41.0</v>
      </c>
      <c r="H414" s="1">
        <v>4.0</v>
      </c>
      <c r="I414" s="1">
        <v>10.0</v>
      </c>
      <c r="J414" s="1">
        <v>14.0</v>
      </c>
      <c r="K414" s="1">
        <v>50.0</v>
      </c>
      <c r="L414" s="1">
        <v>0.0</v>
      </c>
      <c r="M414" s="1">
        <v>0.0</v>
      </c>
      <c r="N414" s="1">
        <v>0.0</v>
      </c>
      <c r="O414" s="1">
        <v>1.0</v>
      </c>
      <c r="P414" s="1">
        <v>63.0</v>
      </c>
      <c r="Q414" s="1">
        <v>55.0</v>
      </c>
    </row>
    <row r="415">
      <c r="A415" s="1">
        <f t="shared" si="1"/>
        <v>412</v>
      </c>
      <c r="B415" s="1" t="s">
        <v>1620</v>
      </c>
      <c r="C415" s="1" t="s">
        <v>1085</v>
      </c>
      <c r="D415" s="1" t="s">
        <v>28</v>
      </c>
      <c r="E415" s="1">
        <f t="shared" si="2"/>
        <v>118.25</v>
      </c>
      <c r="F415" s="1">
        <f t="shared" si="3"/>
        <v>2.19</v>
      </c>
      <c r="G415" s="1">
        <v>54.0</v>
      </c>
      <c r="H415" s="1">
        <v>5.0</v>
      </c>
      <c r="I415" s="1">
        <v>6.0</v>
      </c>
      <c r="J415" s="1">
        <v>11.0</v>
      </c>
      <c r="K415" s="1">
        <v>88.0</v>
      </c>
      <c r="L415" s="1">
        <v>0.0</v>
      </c>
      <c r="M415" s="1">
        <v>0.0</v>
      </c>
      <c r="N415" s="1">
        <v>1.0</v>
      </c>
      <c r="O415" s="1">
        <v>0.0</v>
      </c>
      <c r="P415" s="1">
        <v>79.0</v>
      </c>
      <c r="Q415" s="1">
        <v>24.0</v>
      </c>
    </row>
    <row r="416">
      <c r="A416" s="1">
        <f t="shared" si="1"/>
        <v>414</v>
      </c>
      <c r="B416" s="1" t="s">
        <v>1453</v>
      </c>
      <c r="C416" s="1" t="s">
        <v>1032</v>
      </c>
      <c r="D416" s="1" t="s">
        <v>66</v>
      </c>
      <c r="E416" s="1">
        <f t="shared" si="2"/>
        <v>118</v>
      </c>
      <c r="F416" s="1">
        <f t="shared" si="3"/>
        <v>2.11</v>
      </c>
      <c r="G416" s="1">
        <v>56.0</v>
      </c>
      <c r="H416" s="1">
        <v>1.0</v>
      </c>
      <c r="I416" s="1">
        <v>13.0</v>
      </c>
      <c r="J416" s="1">
        <v>14.0</v>
      </c>
      <c r="K416" s="1">
        <v>48.0</v>
      </c>
      <c r="L416" s="1">
        <v>0.0</v>
      </c>
      <c r="M416" s="1">
        <v>3.0</v>
      </c>
      <c r="N416" s="1">
        <v>0.0</v>
      </c>
      <c r="O416" s="1">
        <v>0.0</v>
      </c>
      <c r="P416" s="1">
        <v>34.0</v>
      </c>
      <c r="Q416" s="1">
        <v>84.0</v>
      </c>
    </row>
    <row r="417">
      <c r="A417" s="1">
        <f t="shared" si="1"/>
        <v>414</v>
      </c>
      <c r="B417" s="1" t="s">
        <v>1420</v>
      </c>
      <c r="C417" s="1" t="s">
        <v>1078</v>
      </c>
      <c r="D417" s="1" t="s">
        <v>66</v>
      </c>
      <c r="E417" s="1">
        <f t="shared" si="2"/>
        <v>118</v>
      </c>
      <c r="F417" s="1">
        <f t="shared" si="3"/>
        <v>2.19</v>
      </c>
      <c r="G417" s="1">
        <v>54.0</v>
      </c>
      <c r="H417" s="1">
        <v>1.0</v>
      </c>
      <c r="I417" s="1">
        <v>10.0</v>
      </c>
      <c r="J417" s="1">
        <v>11.0</v>
      </c>
      <c r="K417" s="1">
        <v>52.0</v>
      </c>
      <c r="L417" s="1">
        <v>0.0</v>
      </c>
      <c r="M417" s="1">
        <v>0.0</v>
      </c>
      <c r="N417" s="1">
        <v>0.0</v>
      </c>
      <c r="O417" s="1">
        <v>2.0</v>
      </c>
      <c r="P417" s="1">
        <v>66.0</v>
      </c>
      <c r="Q417" s="1">
        <v>74.0</v>
      </c>
    </row>
    <row r="418">
      <c r="A418" s="1">
        <f t="shared" si="1"/>
        <v>416</v>
      </c>
      <c r="B418" s="1" t="s">
        <v>1804</v>
      </c>
      <c r="C418" s="1" t="s">
        <v>1080</v>
      </c>
      <c r="D418" s="1" t="s">
        <v>28</v>
      </c>
      <c r="E418" s="1">
        <f t="shared" si="2"/>
        <v>117.25</v>
      </c>
      <c r="F418" s="1">
        <f t="shared" si="3"/>
        <v>3.09</v>
      </c>
      <c r="G418" s="1">
        <v>38.0</v>
      </c>
      <c r="H418" s="1">
        <v>8.0</v>
      </c>
      <c r="I418" s="1">
        <v>10.0</v>
      </c>
      <c r="J418" s="1">
        <v>18.0</v>
      </c>
      <c r="K418" s="1">
        <v>59.0</v>
      </c>
      <c r="L418" s="1">
        <v>0.0</v>
      </c>
      <c r="M418" s="1">
        <v>1.0</v>
      </c>
      <c r="N418" s="1">
        <v>0.0</v>
      </c>
      <c r="O418" s="1">
        <v>0.0</v>
      </c>
      <c r="P418" s="1">
        <v>51.0</v>
      </c>
      <c r="Q418" s="1">
        <v>18.0</v>
      </c>
    </row>
    <row r="419">
      <c r="A419" s="1">
        <f t="shared" si="1"/>
        <v>417</v>
      </c>
      <c r="B419" s="1" t="s">
        <v>1606</v>
      </c>
      <c r="C419" s="1" t="s">
        <v>1040</v>
      </c>
      <c r="D419" s="1" t="s">
        <v>36</v>
      </c>
      <c r="E419" s="1">
        <f t="shared" si="2"/>
        <v>116.5</v>
      </c>
      <c r="F419" s="1">
        <f t="shared" si="3"/>
        <v>2.43</v>
      </c>
      <c r="G419" s="1">
        <v>48.0</v>
      </c>
      <c r="H419" s="1">
        <v>9.0</v>
      </c>
      <c r="I419" s="1">
        <v>8.0</v>
      </c>
      <c r="J419" s="1">
        <v>17.0</v>
      </c>
      <c r="K419" s="1">
        <v>81.0</v>
      </c>
      <c r="L419" s="1">
        <v>2.0</v>
      </c>
      <c r="M419" s="1">
        <v>1.0</v>
      </c>
      <c r="N419" s="1">
        <v>0.0</v>
      </c>
      <c r="O419" s="1">
        <v>0.0</v>
      </c>
      <c r="P419" s="1">
        <v>14.0</v>
      </c>
      <c r="Q419" s="1">
        <v>16.0</v>
      </c>
    </row>
    <row r="420">
      <c r="A420" s="1">
        <f t="shared" si="1"/>
        <v>417</v>
      </c>
      <c r="B420" s="1" t="s">
        <v>2315</v>
      </c>
      <c r="C420" s="1" t="s">
        <v>1082</v>
      </c>
      <c r="D420" s="1" t="s">
        <v>28</v>
      </c>
      <c r="E420" s="1">
        <f t="shared" si="2"/>
        <v>116.5</v>
      </c>
      <c r="F420" s="1">
        <f t="shared" si="3"/>
        <v>2.08</v>
      </c>
      <c r="G420" s="1">
        <v>56.0</v>
      </c>
      <c r="H420" s="1">
        <v>6.0</v>
      </c>
      <c r="I420" s="1">
        <v>10.0</v>
      </c>
      <c r="J420" s="1">
        <v>16.0</v>
      </c>
      <c r="K420" s="1">
        <v>85.0</v>
      </c>
      <c r="L420" s="1">
        <v>0.0</v>
      </c>
      <c r="M420" s="1">
        <v>0.0</v>
      </c>
      <c r="N420" s="1">
        <v>1.0</v>
      </c>
      <c r="O420" s="1">
        <v>0.0</v>
      </c>
      <c r="P420" s="1">
        <v>22.0</v>
      </c>
      <c r="Q420" s="1">
        <v>19.0</v>
      </c>
    </row>
    <row r="421">
      <c r="A421" s="1">
        <f t="shared" si="1"/>
        <v>419</v>
      </c>
      <c r="B421" s="1" t="s">
        <v>2103</v>
      </c>
      <c r="C421" s="1" t="s">
        <v>1030</v>
      </c>
      <c r="D421" s="1" t="s">
        <v>66</v>
      </c>
      <c r="E421" s="1">
        <f t="shared" si="2"/>
        <v>116.25</v>
      </c>
      <c r="F421" s="1">
        <f t="shared" si="3"/>
        <v>2.24</v>
      </c>
      <c r="G421" s="1">
        <v>52.0</v>
      </c>
      <c r="H421" s="1">
        <v>3.0</v>
      </c>
      <c r="I421" s="1">
        <v>7.0</v>
      </c>
      <c r="J421" s="1">
        <v>10.0</v>
      </c>
      <c r="K421" s="1">
        <v>53.0</v>
      </c>
      <c r="L421" s="1">
        <v>0.0</v>
      </c>
      <c r="M421" s="1">
        <v>0.0</v>
      </c>
      <c r="N421" s="1">
        <v>0.0</v>
      </c>
      <c r="O421" s="1">
        <v>0.0</v>
      </c>
      <c r="P421" s="1">
        <v>87.0</v>
      </c>
      <c r="Q421" s="1">
        <v>67.0</v>
      </c>
    </row>
    <row r="422">
      <c r="A422" s="1">
        <f t="shared" si="1"/>
        <v>419</v>
      </c>
      <c r="B422" s="1" t="s">
        <v>1777</v>
      </c>
      <c r="C422" s="1" t="s">
        <v>1044</v>
      </c>
      <c r="D422" s="1" t="s">
        <v>31</v>
      </c>
      <c r="E422" s="1">
        <f t="shared" si="2"/>
        <v>116.25</v>
      </c>
      <c r="F422" s="1">
        <f t="shared" si="3"/>
        <v>2.11</v>
      </c>
      <c r="G422" s="1">
        <v>55.0</v>
      </c>
      <c r="H422" s="1">
        <v>6.0</v>
      </c>
      <c r="I422" s="1">
        <v>13.0</v>
      </c>
      <c r="J422" s="1">
        <v>19.0</v>
      </c>
      <c r="K422" s="1">
        <v>53.0</v>
      </c>
      <c r="L422" s="1">
        <v>0.0</v>
      </c>
      <c r="M422" s="1">
        <v>0.0</v>
      </c>
      <c r="N422" s="1">
        <v>0.0</v>
      </c>
      <c r="O422" s="1">
        <v>1.0</v>
      </c>
      <c r="P422" s="1">
        <v>23.0</v>
      </c>
      <c r="Q422" s="1">
        <v>32.0</v>
      </c>
    </row>
    <row r="423">
      <c r="A423" s="1">
        <f t="shared" si="1"/>
        <v>421</v>
      </c>
      <c r="B423" s="1" t="s">
        <v>1340</v>
      </c>
      <c r="C423" s="1" t="s">
        <v>1067</v>
      </c>
      <c r="D423" s="1" t="s">
        <v>5</v>
      </c>
      <c r="E423" s="1">
        <f t="shared" si="2"/>
        <v>116.1</v>
      </c>
      <c r="F423" s="1">
        <f t="shared" si="3"/>
        <v>5.81</v>
      </c>
      <c r="G423" s="1">
        <v>20.0</v>
      </c>
      <c r="R423" s="1">
        <v>9.0</v>
      </c>
      <c r="S423" s="1">
        <v>49.0</v>
      </c>
      <c r="T423" s="1">
        <v>542.0</v>
      </c>
      <c r="U423" s="1">
        <v>0.0</v>
      </c>
    </row>
    <row r="424">
      <c r="A424" s="1">
        <f t="shared" si="1"/>
        <v>422</v>
      </c>
      <c r="B424" s="1" t="s">
        <v>1597</v>
      </c>
      <c r="C424" s="1" t="s">
        <v>1073</v>
      </c>
      <c r="D424" s="1" t="s">
        <v>36</v>
      </c>
      <c r="E424" s="1">
        <f t="shared" si="2"/>
        <v>116</v>
      </c>
      <c r="F424" s="1">
        <f t="shared" si="3"/>
        <v>2.52</v>
      </c>
      <c r="G424" s="1">
        <v>46.0</v>
      </c>
      <c r="H424" s="1">
        <v>6.0</v>
      </c>
      <c r="I424" s="1">
        <v>13.0</v>
      </c>
      <c r="J424" s="1">
        <v>19.0</v>
      </c>
      <c r="K424" s="1">
        <v>38.0</v>
      </c>
      <c r="L424" s="1">
        <v>1.0</v>
      </c>
      <c r="M424" s="1">
        <v>3.0</v>
      </c>
      <c r="N424" s="1">
        <v>0.0</v>
      </c>
      <c r="O424" s="1">
        <v>0.0</v>
      </c>
      <c r="P424" s="1">
        <v>78.0</v>
      </c>
      <c r="Q424" s="1">
        <v>23.0</v>
      </c>
    </row>
    <row r="425">
      <c r="A425" s="1">
        <f t="shared" si="1"/>
        <v>422</v>
      </c>
      <c r="B425" s="1" t="s">
        <v>1724</v>
      </c>
      <c r="C425" s="1" t="s">
        <v>1054</v>
      </c>
      <c r="D425" s="1" t="s">
        <v>66</v>
      </c>
      <c r="E425" s="1">
        <f t="shared" si="2"/>
        <v>116</v>
      </c>
      <c r="F425" s="1">
        <f t="shared" si="3"/>
        <v>2.32</v>
      </c>
      <c r="G425" s="1">
        <v>50.0</v>
      </c>
      <c r="H425" s="1">
        <v>1.0</v>
      </c>
      <c r="I425" s="1">
        <v>16.0</v>
      </c>
      <c r="J425" s="1">
        <v>17.0</v>
      </c>
      <c r="K425" s="1">
        <v>47.0</v>
      </c>
      <c r="L425" s="1">
        <v>0.0</v>
      </c>
      <c r="M425" s="1">
        <v>0.0</v>
      </c>
      <c r="N425" s="1">
        <v>0.0</v>
      </c>
      <c r="O425" s="1">
        <v>0.0</v>
      </c>
      <c r="P425" s="1">
        <v>62.0</v>
      </c>
      <c r="Q425" s="1">
        <v>49.0</v>
      </c>
    </row>
    <row r="426">
      <c r="A426" s="1">
        <f t="shared" si="1"/>
        <v>424</v>
      </c>
      <c r="B426" s="1" t="s">
        <v>2120</v>
      </c>
      <c r="C426" s="1" t="s">
        <v>1175</v>
      </c>
      <c r="D426" s="1" t="s">
        <v>31</v>
      </c>
      <c r="E426" s="1">
        <f t="shared" si="2"/>
        <v>115.75</v>
      </c>
      <c r="F426" s="1">
        <f t="shared" si="3"/>
        <v>2.36</v>
      </c>
      <c r="G426" s="1">
        <v>49.0</v>
      </c>
      <c r="H426" s="1">
        <v>5.0</v>
      </c>
      <c r="I426" s="1">
        <v>7.0</v>
      </c>
      <c r="J426" s="1">
        <v>12.0</v>
      </c>
      <c r="K426" s="1">
        <v>48.0</v>
      </c>
      <c r="L426" s="1">
        <v>0.0</v>
      </c>
      <c r="M426" s="1">
        <v>0.0</v>
      </c>
      <c r="N426" s="1">
        <v>1.0</v>
      </c>
      <c r="O426" s="1">
        <v>0.0</v>
      </c>
      <c r="P426" s="1">
        <v>77.0</v>
      </c>
      <c r="Q426" s="1">
        <v>54.0</v>
      </c>
    </row>
    <row r="427">
      <c r="A427" s="1">
        <f t="shared" si="1"/>
        <v>425</v>
      </c>
      <c r="B427" s="1" t="s">
        <v>1648</v>
      </c>
      <c r="C427" s="1" t="s">
        <v>1052</v>
      </c>
      <c r="D427" s="1" t="s">
        <v>5</v>
      </c>
      <c r="E427" s="1">
        <f t="shared" si="2"/>
        <v>115.5</v>
      </c>
      <c r="F427" s="1">
        <f t="shared" si="3"/>
        <v>5.78</v>
      </c>
      <c r="G427" s="1">
        <v>20.0</v>
      </c>
      <c r="R427" s="1">
        <v>11.0</v>
      </c>
      <c r="S427" s="1">
        <v>48.0</v>
      </c>
      <c r="T427" s="1">
        <v>495.0</v>
      </c>
      <c r="U427" s="1">
        <v>2.0</v>
      </c>
    </row>
    <row r="428">
      <c r="A428" s="1">
        <f t="shared" si="1"/>
        <v>426</v>
      </c>
      <c r="B428" s="1" t="s">
        <v>1938</v>
      </c>
      <c r="C428" s="1" t="s">
        <v>1044</v>
      </c>
      <c r="D428" s="1" t="s">
        <v>5</v>
      </c>
      <c r="E428" s="1">
        <f t="shared" si="2"/>
        <v>115.2</v>
      </c>
      <c r="F428" s="1">
        <f t="shared" si="3"/>
        <v>4.27</v>
      </c>
      <c r="G428" s="1">
        <v>27.0</v>
      </c>
      <c r="R428" s="1">
        <v>10.0</v>
      </c>
      <c r="S428" s="1">
        <v>79.0</v>
      </c>
      <c r="T428" s="1">
        <v>659.0</v>
      </c>
      <c r="U428" s="1">
        <v>2.0</v>
      </c>
    </row>
    <row r="429">
      <c r="A429" s="1">
        <f t="shared" si="1"/>
        <v>427</v>
      </c>
      <c r="B429" s="1" t="s">
        <v>1419</v>
      </c>
      <c r="C429" s="1" t="s">
        <v>1120</v>
      </c>
      <c r="D429" s="1" t="s">
        <v>28</v>
      </c>
      <c r="E429" s="1">
        <f t="shared" si="2"/>
        <v>115</v>
      </c>
      <c r="F429" s="1">
        <f t="shared" si="3"/>
        <v>3.83</v>
      </c>
      <c r="G429" s="1">
        <v>30.0</v>
      </c>
      <c r="H429" s="1">
        <v>10.0</v>
      </c>
      <c r="I429" s="1">
        <v>8.0</v>
      </c>
      <c r="J429" s="1">
        <v>18.0</v>
      </c>
      <c r="K429" s="1">
        <v>58.0</v>
      </c>
      <c r="L429" s="1">
        <v>0.0</v>
      </c>
      <c r="M429" s="1">
        <v>2.0</v>
      </c>
      <c r="N429" s="1">
        <v>0.0</v>
      </c>
      <c r="O429" s="1">
        <v>0.0</v>
      </c>
      <c r="P429" s="1">
        <v>34.0</v>
      </c>
      <c r="Q429" s="1">
        <v>17.0</v>
      </c>
    </row>
    <row r="430">
      <c r="A430" s="1">
        <f t="shared" si="1"/>
        <v>427</v>
      </c>
      <c r="B430" s="1" t="s">
        <v>2305</v>
      </c>
      <c r="C430" s="1" t="s">
        <v>1120</v>
      </c>
      <c r="D430" s="1" t="s">
        <v>66</v>
      </c>
      <c r="E430" s="1">
        <f t="shared" si="2"/>
        <v>115</v>
      </c>
      <c r="F430" s="1">
        <f t="shared" si="3"/>
        <v>2.45</v>
      </c>
      <c r="G430" s="1">
        <v>47.0</v>
      </c>
      <c r="H430" s="1">
        <v>4.0</v>
      </c>
      <c r="I430" s="1">
        <v>8.0</v>
      </c>
      <c r="J430" s="1">
        <v>12.0</v>
      </c>
      <c r="K430" s="1">
        <v>43.0</v>
      </c>
      <c r="L430" s="1">
        <v>0.0</v>
      </c>
      <c r="M430" s="1">
        <v>0.0</v>
      </c>
      <c r="N430" s="1">
        <v>0.0</v>
      </c>
      <c r="O430" s="1">
        <v>0.0</v>
      </c>
      <c r="P430" s="1">
        <v>44.0</v>
      </c>
      <c r="Q430" s="1">
        <v>81.0</v>
      </c>
    </row>
    <row r="431">
      <c r="A431" s="1">
        <f t="shared" si="1"/>
        <v>429</v>
      </c>
      <c r="B431" s="1" t="s">
        <v>2284</v>
      </c>
      <c r="C431" s="1" t="s">
        <v>1080</v>
      </c>
      <c r="D431" s="1" t="s">
        <v>5</v>
      </c>
      <c r="E431" s="1">
        <f t="shared" si="2"/>
        <v>114.3</v>
      </c>
      <c r="F431" s="1">
        <f t="shared" si="3"/>
        <v>6.02</v>
      </c>
      <c r="G431" s="1">
        <v>19.0</v>
      </c>
      <c r="R431" s="1">
        <v>13.0</v>
      </c>
      <c r="S431" s="1">
        <v>44.0</v>
      </c>
      <c r="T431" s="1">
        <v>461.0</v>
      </c>
      <c r="U431" s="1">
        <v>1.0</v>
      </c>
    </row>
    <row r="432">
      <c r="A432" s="1">
        <f t="shared" si="1"/>
        <v>430</v>
      </c>
      <c r="B432" s="1" t="s">
        <v>1490</v>
      </c>
      <c r="C432" s="1" t="s">
        <v>1038</v>
      </c>
      <c r="D432" s="1" t="s">
        <v>31</v>
      </c>
      <c r="E432" s="1">
        <f t="shared" si="2"/>
        <v>114.25</v>
      </c>
      <c r="F432" s="1">
        <f t="shared" si="3"/>
        <v>2.43</v>
      </c>
      <c r="G432" s="1">
        <v>47.0</v>
      </c>
      <c r="H432" s="1">
        <v>4.0</v>
      </c>
      <c r="I432" s="1">
        <v>5.0</v>
      </c>
      <c r="J432" s="1">
        <v>9.0</v>
      </c>
      <c r="K432" s="1">
        <v>88.0</v>
      </c>
      <c r="L432" s="1">
        <v>0.0</v>
      </c>
      <c r="M432" s="1">
        <v>0.0</v>
      </c>
      <c r="N432" s="1">
        <v>0.0</v>
      </c>
      <c r="O432" s="1">
        <v>1.0</v>
      </c>
      <c r="P432" s="1">
        <v>99.0</v>
      </c>
      <c r="Q432" s="1">
        <v>21.0</v>
      </c>
    </row>
    <row r="433">
      <c r="A433" s="1">
        <f t="shared" si="1"/>
        <v>431</v>
      </c>
      <c r="B433" s="1" t="s">
        <v>1673</v>
      </c>
      <c r="C433" s="1" t="s">
        <v>1065</v>
      </c>
      <c r="D433" s="1" t="s">
        <v>28</v>
      </c>
      <c r="E433" s="1">
        <f t="shared" si="2"/>
        <v>114</v>
      </c>
      <c r="F433" s="1">
        <f t="shared" si="3"/>
        <v>2.33</v>
      </c>
      <c r="G433" s="1">
        <v>49.0</v>
      </c>
      <c r="H433" s="1">
        <v>5.0</v>
      </c>
      <c r="I433" s="1">
        <v>5.0</v>
      </c>
      <c r="J433" s="1">
        <v>10.0</v>
      </c>
      <c r="K433" s="1">
        <v>65.0</v>
      </c>
      <c r="L433" s="1">
        <v>0.0</v>
      </c>
      <c r="M433" s="1">
        <v>0.0</v>
      </c>
      <c r="N433" s="1">
        <v>0.0</v>
      </c>
      <c r="O433" s="1">
        <v>0.0</v>
      </c>
      <c r="P433" s="1">
        <v>136.0</v>
      </c>
      <c r="Q433" s="1">
        <v>20.0</v>
      </c>
    </row>
    <row r="434">
      <c r="A434" s="1">
        <f t="shared" si="1"/>
        <v>432</v>
      </c>
      <c r="B434" s="1" t="s">
        <v>1232</v>
      </c>
      <c r="C434" s="1" t="s">
        <v>1038</v>
      </c>
      <c r="D434" s="1" t="s">
        <v>28</v>
      </c>
      <c r="E434" s="1">
        <f t="shared" si="2"/>
        <v>113.75</v>
      </c>
      <c r="F434" s="1">
        <f t="shared" si="3"/>
        <v>2.77</v>
      </c>
      <c r="G434" s="1">
        <v>41.0</v>
      </c>
      <c r="H434" s="1">
        <v>5.0</v>
      </c>
      <c r="I434" s="1">
        <v>9.0</v>
      </c>
      <c r="J434" s="1">
        <v>14.0</v>
      </c>
      <c r="K434" s="1">
        <v>92.0</v>
      </c>
      <c r="L434" s="1">
        <v>2.0</v>
      </c>
      <c r="M434" s="1">
        <v>1.0</v>
      </c>
      <c r="N434" s="1">
        <v>0.0</v>
      </c>
      <c r="O434" s="1">
        <v>0.0</v>
      </c>
      <c r="P434" s="1">
        <v>33.0</v>
      </c>
      <c r="Q434" s="1">
        <v>20.0</v>
      </c>
    </row>
    <row r="435">
      <c r="A435" s="1">
        <f t="shared" si="1"/>
        <v>433</v>
      </c>
      <c r="B435" s="1" t="s">
        <v>1345</v>
      </c>
      <c r="C435" s="1" t="s">
        <v>1065</v>
      </c>
      <c r="D435" s="1" t="s">
        <v>31</v>
      </c>
      <c r="E435" s="1">
        <f t="shared" si="2"/>
        <v>113.5</v>
      </c>
      <c r="F435" s="1">
        <f t="shared" si="3"/>
        <v>2.64</v>
      </c>
      <c r="G435" s="1">
        <v>43.0</v>
      </c>
      <c r="H435" s="1">
        <v>7.0</v>
      </c>
      <c r="I435" s="1">
        <v>7.0</v>
      </c>
      <c r="J435" s="1">
        <v>14.0</v>
      </c>
      <c r="K435" s="1">
        <v>76.0</v>
      </c>
      <c r="L435" s="1">
        <v>1.0</v>
      </c>
      <c r="M435" s="1">
        <v>0.0</v>
      </c>
      <c r="N435" s="1">
        <v>0.0</v>
      </c>
      <c r="O435" s="1">
        <v>0.0</v>
      </c>
      <c r="P435" s="1">
        <v>32.0</v>
      </c>
      <c r="Q435" s="1">
        <v>30.0</v>
      </c>
    </row>
    <row r="436">
      <c r="A436" s="1">
        <f t="shared" si="1"/>
        <v>434</v>
      </c>
      <c r="B436" s="1" t="s">
        <v>1656</v>
      </c>
      <c r="C436" s="1" t="s">
        <v>1032</v>
      </c>
      <c r="D436" s="1" t="s">
        <v>5</v>
      </c>
      <c r="E436" s="1">
        <f t="shared" si="2"/>
        <v>113.4</v>
      </c>
      <c r="F436" s="1">
        <f t="shared" si="3"/>
        <v>4.73</v>
      </c>
      <c r="G436" s="1">
        <v>24.0</v>
      </c>
      <c r="R436" s="1">
        <v>13.0</v>
      </c>
      <c r="S436" s="1">
        <v>70.0</v>
      </c>
      <c r="T436" s="1">
        <v>598.0</v>
      </c>
      <c r="U436" s="1">
        <v>0.0</v>
      </c>
    </row>
    <row r="437">
      <c r="A437" s="1">
        <f t="shared" si="1"/>
        <v>435</v>
      </c>
      <c r="B437" s="1" t="s">
        <v>1239</v>
      </c>
      <c r="C437" s="1" t="s">
        <v>1065</v>
      </c>
      <c r="D437" s="1" t="s">
        <v>31</v>
      </c>
      <c r="E437" s="1">
        <f t="shared" si="2"/>
        <v>112.75</v>
      </c>
      <c r="F437" s="1">
        <f t="shared" si="3"/>
        <v>2.35</v>
      </c>
      <c r="G437" s="1">
        <v>48.0</v>
      </c>
      <c r="H437" s="1">
        <v>7.0</v>
      </c>
      <c r="I437" s="1">
        <v>13.0</v>
      </c>
      <c r="J437" s="1">
        <v>20.0</v>
      </c>
      <c r="K437" s="1">
        <v>69.0</v>
      </c>
      <c r="L437" s="1">
        <v>0.0</v>
      </c>
      <c r="M437" s="1">
        <v>0.0</v>
      </c>
      <c r="N437" s="1">
        <v>0.0</v>
      </c>
      <c r="O437" s="1">
        <v>0.0</v>
      </c>
      <c r="P437" s="1">
        <v>5.0</v>
      </c>
      <c r="Q437" s="1">
        <v>13.0</v>
      </c>
    </row>
    <row r="438">
      <c r="A438" s="1">
        <f t="shared" si="1"/>
        <v>435</v>
      </c>
      <c r="B438" s="1" t="s">
        <v>1407</v>
      </c>
      <c r="C438" s="1" t="s">
        <v>1038</v>
      </c>
      <c r="D438" s="1" t="s">
        <v>31</v>
      </c>
      <c r="E438" s="1">
        <f t="shared" si="2"/>
        <v>112.75</v>
      </c>
      <c r="F438" s="1">
        <f t="shared" si="3"/>
        <v>2.26</v>
      </c>
      <c r="G438" s="1">
        <v>50.0</v>
      </c>
      <c r="H438" s="1">
        <v>7.0</v>
      </c>
      <c r="I438" s="1">
        <v>6.0</v>
      </c>
      <c r="J438" s="1">
        <v>13.0</v>
      </c>
      <c r="K438" s="1">
        <v>55.0</v>
      </c>
      <c r="L438" s="1">
        <v>0.0</v>
      </c>
      <c r="M438" s="1">
        <v>0.0</v>
      </c>
      <c r="N438" s="1">
        <v>0.0</v>
      </c>
      <c r="O438" s="1">
        <v>0.0</v>
      </c>
      <c r="P438" s="1">
        <v>99.0</v>
      </c>
      <c r="Q438" s="1">
        <v>22.0</v>
      </c>
    </row>
    <row r="439">
      <c r="A439" s="1">
        <f t="shared" si="1"/>
        <v>435</v>
      </c>
      <c r="B439" s="1" t="s">
        <v>1784</v>
      </c>
      <c r="C439" s="1" t="s">
        <v>1111</v>
      </c>
      <c r="D439" s="1" t="s">
        <v>31</v>
      </c>
      <c r="E439" s="1">
        <f t="shared" si="2"/>
        <v>112.75</v>
      </c>
      <c r="F439" s="1">
        <f t="shared" si="3"/>
        <v>2.97</v>
      </c>
      <c r="G439" s="1">
        <v>38.0</v>
      </c>
      <c r="H439" s="1">
        <v>6.0</v>
      </c>
      <c r="I439" s="1">
        <v>5.0</v>
      </c>
      <c r="J439" s="1">
        <v>11.0</v>
      </c>
      <c r="K439" s="1">
        <v>56.0</v>
      </c>
      <c r="L439" s="1">
        <v>0.0</v>
      </c>
      <c r="M439" s="1">
        <v>1.0</v>
      </c>
      <c r="N439" s="1">
        <v>1.0</v>
      </c>
      <c r="O439" s="1">
        <v>0.0</v>
      </c>
      <c r="P439" s="1">
        <v>81.0</v>
      </c>
      <c r="Q439" s="1">
        <v>41.0</v>
      </c>
    </row>
    <row r="440">
      <c r="A440" s="1">
        <f t="shared" si="1"/>
        <v>438</v>
      </c>
      <c r="B440" s="1" t="s">
        <v>1607</v>
      </c>
      <c r="C440" s="1" t="s">
        <v>1065</v>
      </c>
      <c r="D440" s="1" t="s">
        <v>28</v>
      </c>
      <c r="E440" s="1">
        <f t="shared" si="2"/>
        <v>112.5</v>
      </c>
      <c r="F440" s="1">
        <f t="shared" si="3"/>
        <v>2.45</v>
      </c>
      <c r="G440" s="1">
        <v>46.0</v>
      </c>
      <c r="H440" s="1">
        <v>7.0</v>
      </c>
      <c r="I440" s="1">
        <v>4.0</v>
      </c>
      <c r="J440" s="1">
        <v>11.0</v>
      </c>
      <c r="K440" s="1">
        <v>77.0</v>
      </c>
      <c r="L440" s="1">
        <v>2.0</v>
      </c>
      <c r="M440" s="1">
        <v>1.0</v>
      </c>
      <c r="N440" s="1">
        <v>0.0</v>
      </c>
      <c r="O440" s="1">
        <v>0.0</v>
      </c>
      <c r="P440" s="1">
        <v>100.0</v>
      </c>
      <c r="Q440" s="1">
        <v>11.0</v>
      </c>
    </row>
    <row r="441">
      <c r="A441" s="1">
        <f t="shared" si="1"/>
        <v>438</v>
      </c>
      <c r="B441" s="1" t="s">
        <v>1595</v>
      </c>
      <c r="C441" s="1" t="s">
        <v>1078</v>
      </c>
      <c r="D441" s="1" t="s">
        <v>28</v>
      </c>
      <c r="E441" s="1">
        <f t="shared" si="2"/>
        <v>112.5</v>
      </c>
      <c r="F441" s="1">
        <f t="shared" si="3"/>
        <v>2.39</v>
      </c>
      <c r="G441" s="1">
        <v>47.0</v>
      </c>
      <c r="H441" s="1">
        <v>6.0</v>
      </c>
      <c r="I441" s="1">
        <v>5.0</v>
      </c>
      <c r="J441" s="1">
        <v>11.0</v>
      </c>
      <c r="K441" s="1">
        <v>66.0</v>
      </c>
      <c r="L441" s="1">
        <v>0.0</v>
      </c>
      <c r="M441" s="1">
        <v>2.0</v>
      </c>
      <c r="N441" s="1">
        <v>0.0</v>
      </c>
      <c r="O441" s="1">
        <v>0.0</v>
      </c>
      <c r="P441" s="1">
        <v>104.0</v>
      </c>
      <c r="Q441" s="1">
        <v>23.0</v>
      </c>
    </row>
    <row r="442">
      <c r="A442" s="1">
        <f t="shared" si="1"/>
        <v>440</v>
      </c>
      <c r="B442" s="1" t="s">
        <v>1135</v>
      </c>
      <c r="C442" s="1" t="s">
        <v>1067</v>
      </c>
      <c r="D442" s="1" t="s">
        <v>36</v>
      </c>
      <c r="E442" s="1">
        <f t="shared" si="2"/>
        <v>112.25</v>
      </c>
      <c r="F442" s="1">
        <f t="shared" si="3"/>
        <v>2.95</v>
      </c>
      <c r="G442" s="1">
        <v>38.0</v>
      </c>
      <c r="H442" s="1">
        <v>8.0</v>
      </c>
      <c r="I442" s="1">
        <v>6.0</v>
      </c>
      <c r="J442" s="1">
        <v>14.0</v>
      </c>
      <c r="K442" s="1">
        <v>96.0</v>
      </c>
      <c r="L442" s="1">
        <v>2.0</v>
      </c>
      <c r="M442" s="1">
        <v>1.0</v>
      </c>
      <c r="N442" s="1">
        <v>0.0</v>
      </c>
      <c r="O442" s="1">
        <v>0.0</v>
      </c>
      <c r="P442" s="1">
        <v>25.0</v>
      </c>
      <c r="Q442" s="1">
        <v>8.0</v>
      </c>
    </row>
    <row r="443">
      <c r="A443" s="1">
        <f t="shared" si="1"/>
        <v>440</v>
      </c>
      <c r="B443" s="1" t="s">
        <v>1311</v>
      </c>
      <c r="C443" s="1" t="s">
        <v>1097</v>
      </c>
      <c r="D443" s="1" t="s">
        <v>66</v>
      </c>
      <c r="E443" s="1">
        <f t="shared" si="2"/>
        <v>112.25</v>
      </c>
      <c r="F443" s="1">
        <f t="shared" si="3"/>
        <v>2.74</v>
      </c>
      <c r="G443" s="1">
        <v>41.0</v>
      </c>
      <c r="H443" s="1">
        <v>1.0</v>
      </c>
      <c r="I443" s="1">
        <v>6.0</v>
      </c>
      <c r="J443" s="1">
        <v>7.0</v>
      </c>
      <c r="K443" s="1">
        <v>81.0</v>
      </c>
      <c r="L443" s="1">
        <v>1.0</v>
      </c>
      <c r="M443" s="1">
        <v>0.0</v>
      </c>
      <c r="N443" s="1">
        <v>0.0</v>
      </c>
      <c r="O443" s="1">
        <v>0.0</v>
      </c>
      <c r="P443" s="1">
        <v>77.0</v>
      </c>
      <c r="Q443" s="1">
        <v>60.0</v>
      </c>
    </row>
    <row r="444">
      <c r="A444" s="1">
        <f t="shared" si="1"/>
        <v>440</v>
      </c>
      <c r="B444" s="1" t="s">
        <v>1228</v>
      </c>
      <c r="C444" s="1" t="s">
        <v>1078</v>
      </c>
      <c r="D444" s="1" t="s">
        <v>66</v>
      </c>
      <c r="E444" s="1">
        <f t="shared" si="2"/>
        <v>112.25</v>
      </c>
      <c r="F444" s="1">
        <f t="shared" si="3"/>
        <v>2.55</v>
      </c>
      <c r="G444" s="1">
        <v>44.0</v>
      </c>
      <c r="H444" s="1">
        <v>2.0</v>
      </c>
      <c r="I444" s="1">
        <v>8.0</v>
      </c>
      <c r="J444" s="1">
        <v>10.0</v>
      </c>
      <c r="K444" s="1">
        <v>57.0</v>
      </c>
      <c r="L444" s="1">
        <v>0.0</v>
      </c>
      <c r="M444" s="1">
        <v>1.0</v>
      </c>
      <c r="N444" s="1">
        <v>0.0</v>
      </c>
      <c r="O444" s="1">
        <v>1.0</v>
      </c>
      <c r="P444" s="1">
        <v>61.0</v>
      </c>
      <c r="Q444" s="1">
        <v>67.0</v>
      </c>
    </row>
    <row r="445">
      <c r="A445" s="1">
        <f t="shared" si="1"/>
        <v>443</v>
      </c>
      <c r="B445" s="1" t="s">
        <v>1159</v>
      </c>
      <c r="C445" s="1" t="s">
        <v>1172</v>
      </c>
      <c r="D445" s="1" t="s">
        <v>31</v>
      </c>
      <c r="E445" s="1">
        <f t="shared" si="2"/>
        <v>111.5</v>
      </c>
      <c r="F445" s="1">
        <f t="shared" si="3"/>
        <v>2.79</v>
      </c>
      <c r="G445" s="1">
        <v>40.0</v>
      </c>
      <c r="H445" s="1">
        <v>9.0</v>
      </c>
      <c r="I445" s="1">
        <v>8.0</v>
      </c>
      <c r="J445" s="1">
        <v>17.0</v>
      </c>
      <c r="K445" s="1">
        <v>71.0</v>
      </c>
      <c r="L445" s="1">
        <v>4.0</v>
      </c>
      <c r="M445" s="1">
        <v>3.0</v>
      </c>
      <c r="N445" s="1">
        <v>0.0</v>
      </c>
      <c r="O445" s="1">
        <v>0.0</v>
      </c>
      <c r="P445" s="1">
        <v>8.0</v>
      </c>
      <c r="Q445" s="1">
        <v>19.0</v>
      </c>
    </row>
    <row r="446">
      <c r="A446" s="1">
        <f t="shared" si="1"/>
        <v>443</v>
      </c>
      <c r="B446" s="1" t="s">
        <v>1525</v>
      </c>
      <c r="C446" s="1" t="s">
        <v>1042</v>
      </c>
      <c r="D446" s="1" t="s">
        <v>31</v>
      </c>
      <c r="E446" s="1">
        <f t="shared" si="2"/>
        <v>111.5</v>
      </c>
      <c r="F446" s="1">
        <f t="shared" si="3"/>
        <v>2.14</v>
      </c>
      <c r="G446" s="1">
        <v>52.0</v>
      </c>
      <c r="H446" s="1">
        <v>5.0</v>
      </c>
      <c r="I446" s="1">
        <v>13.0</v>
      </c>
      <c r="J446" s="1">
        <v>18.0</v>
      </c>
      <c r="K446" s="1">
        <v>60.0</v>
      </c>
      <c r="L446" s="1">
        <v>0.0</v>
      </c>
      <c r="M446" s="1">
        <v>4.0</v>
      </c>
      <c r="N446" s="1">
        <v>0.0</v>
      </c>
      <c r="O446" s="1">
        <v>0.0</v>
      </c>
      <c r="P446" s="1">
        <v>48.0</v>
      </c>
      <c r="Q446" s="1">
        <v>16.0</v>
      </c>
    </row>
    <row r="447">
      <c r="A447" s="1">
        <f t="shared" si="1"/>
        <v>443</v>
      </c>
      <c r="B447" s="1" t="s">
        <v>1524</v>
      </c>
      <c r="C447" s="1" t="s">
        <v>1111</v>
      </c>
      <c r="D447" s="1" t="s">
        <v>36</v>
      </c>
      <c r="E447" s="1">
        <f t="shared" si="2"/>
        <v>111.5</v>
      </c>
      <c r="F447" s="1">
        <f t="shared" si="3"/>
        <v>2.14</v>
      </c>
      <c r="G447" s="1">
        <v>52.0</v>
      </c>
      <c r="H447" s="1">
        <v>3.0</v>
      </c>
      <c r="I447" s="1">
        <v>8.0</v>
      </c>
      <c r="J447" s="1">
        <v>11.0</v>
      </c>
      <c r="K447" s="1">
        <v>47.0</v>
      </c>
      <c r="L447" s="1">
        <v>0.0</v>
      </c>
      <c r="M447" s="1">
        <v>1.0</v>
      </c>
      <c r="N447" s="1">
        <v>0.0</v>
      </c>
      <c r="O447" s="1">
        <v>0.0</v>
      </c>
      <c r="P447" s="1">
        <v>148.0</v>
      </c>
      <c r="Q447" s="1">
        <v>27.0</v>
      </c>
    </row>
    <row r="448">
      <c r="A448" s="1">
        <f t="shared" si="1"/>
        <v>446</v>
      </c>
      <c r="B448" s="1" t="s">
        <v>1377</v>
      </c>
      <c r="C448" s="1" t="s">
        <v>1073</v>
      </c>
      <c r="D448" s="1" t="s">
        <v>28</v>
      </c>
      <c r="E448" s="1">
        <f t="shared" si="2"/>
        <v>110.5</v>
      </c>
      <c r="F448" s="1">
        <f t="shared" si="3"/>
        <v>2.51</v>
      </c>
      <c r="G448" s="1">
        <v>44.0</v>
      </c>
      <c r="H448" s="1">
        <v>4.0</v>
      </c>
      <c r="I448" s="1">
        <v>9.0</v>
      </c>
      <c r="J448" s="1">
        <v>13.0</v>
      </c>
      <c r="K448" s="1">
        <v>62.0</v>
      </c>
      <c r="L448" s="1">
        <v>0.0</v>
      </c>
      <c r="M448" s="1">
        <v>0.0</v>
      </c>
      <c r="N448" s="1">
        <v>0.0</v>
      </c>
      <c r="O448" s="1">
        <v>1.0</v>
      </c>
      <c r="P448" s="1">
        <v>90.0</v>
      </c>
      <c r="Q448" s="1">
        <v>20.0</v>
      </c>
    </row>
    <row r="449">
      <c r="A449" s="1">
        <f t="shared" si="1"/>
        <v>446</v>
      </c>
      <c r="B449" s="1" t="s">
        <v>1535</v>
      </c>
      <c r="C449" s="1" t="s">
        <v>1052</v>
      </c>
      <c r="D449" s="1" t="s">
        <v>66</v>
      </c>
      <c r="E449" s="1">
        <f t="shared" si="2"/>
        <v>110.5</v>
      </c>
      <c r="F449" s="1">
        <f t="shared" si="3"/>
        <v>2.13</v>
      </c>
      <c r="G449" s="1">
        <v>52.0</v>
      </c>
      <c r="H449" s="1">
        <v>3.0</v>
      </c>
      <c r="I449" s="1">
        <v>10.0</v>
      </c>
      <c r="J449" s="1">
        <v>13.0</v>
      </c>
      <c r="K449" s="1">
        <v>56.0</v>
      </c>
      <c r="L449" s="1">
        <v>1.0</v>
      </c>
      <c r="M449" s="1">
        <v>3.0</v>
      </c>
      <c r="N449" s="1">
        <v>0.0</v>
      </c>
      <c r="O449" s="1">
        <v>1.0</v>
      </c>
      <c r="P449" s="1">
        <v>48.0</v>
      </c>
      <c r="Q449" s="1">
        <v>50.0</v>
      </c>
    </row>
    <row r="450">
      <c r="A450" s="1">
        <f t="shared" si="1"/>
        <v>448</v>
      </c>
      <c r="B450" s="1" t="s">
        <v>1966</v>
      </c>
      <c r="C450" s="1" t="s">
        <v>1091</v>
      </c>
      <c r="D450" s="1" t="s">
        <v>66</v>
      </c>
      <c r="E450" s="1">
        <f t="shared" si="2"/>
        <v>110.25</v>
      </c>
      <c r="F450" s="1">
        <f t="shared" si="3"/>
        <v>2.51</v>
      </c>
      <c r="G450" s="1">
        <v>44.0</v>
      </c>
      <c r="H450" s="1">
        <v>1.0</v>
      </c>
      <c r="I450" s="1">
        <v>10.0</v>
      </c>
      <c r="J450" s="1">
        <v>11.0</v>
      </c>
      <c r="K450" s="1">
        <v>77.0</v>
      </c>
      <c r="L450" s="1">
        <v>0.0</v>
      </c>
      <c r="M450" s="1">
        <v>0.0</v>
      </c>
      <c r="N450" s="1">
        <v>0.0</v>
      </c>
      <c r="O450" s="1">
        <v>0.0</v>
      </c>
      <c r="P450" s="1">
        <v>69.0</v>
      </c>
      <c r="Q450" s="1">
        <v>40.0</v>
      </c>
    </row>
    <row r="451">
      <c r="A451" s="1">
        <f t="shared" si="1"/>
        <v>448</v>
      </c>
      <c r="B451" s="1" t="s">
        <v>1443</v>
      </c>
      <c r="C451" s="1" t="s">
        <v>1156</v>
      </c>
      <c r="D451" s="1" t="s">
        <v>31</v>
      </c>
      <c r="E451" s="1">
        <f t="shared" si="2"/>
        <v>110.25</v>
      </c>
      <c r="F451" s="1">
        <f t="shared" si="3"/>
        <v>2.25</v>
      </c>
      <c r="G451" s="1">
        <v>49.0</v>
      </c>
      <c r="H451" s="1">
        <v>4.0</v>
      </c>
      <c r="I451" s="1">
        <v>11.0</v>
      </c>
      <c r="J451" s="1">
        <v>15.0</v>
      </c>
      <c r="K451" s="1">
        <v>75.0</v>
      </c>
      <c r="L451" s="1">
        <v>0.0</v>
      </c>
      <c r="M451" s="1">
        <v>0.0</v>
      </c>
      <c r="N451" s="1">
        <v>0.0</v>
      </c>
      <c r="O451" s="1">
        <v>0.0</v>
      </c>
      <c r="P451" s="1">
        <v>49.0</v>
      </c>
      <c r="Q451" s="1">
        <v>19.0</v>
      </c>
    </row>
    <row r="452">
      <c r="A452" s="1">
        <f t="shared" si="1"/>
        <v>450</v>
      </c>
      <c r="B452" s="1" t="s">
        <v>1204</v>
      </c>
      <c r="C452" s="1" t="s">
        <v>1106</v>
      </c>
      <c r="D452" s="1" t="s">
        <v>66</v>
      </c>
      <c r="E452" s="1">
        <f t="shared" si="2"/>
        <v>109.75</v>
      </c>
      <c r="F452" s="1">
        <f t="shared" si="3"/>
        <v>3.43</v>
      </c>
      <c r="G452" s="1">
        <v>32.0</v>
      </c>
      <c r="H452" s="1">
        <v>2.0</v>
      </c>
      <c r="I452" s="1">
        <v>10.0</v>
      </c>
      <c r="J452" s="1">
        <v>12.0</v>
      </c>
      <c r="K452" s="1">
        <v>60.0</v>
      </c>
      <c r="L452" s="1">
        <v>0.0</v>
      </c>
      <c r="M452" s="1">
        <v>0.0</v>
      </c>
      <c r="N452" s="1">
        <v>0.0</v>
      </c>
      <c r="O452" s="1">
        <v>0.0</v>
      </c>
      <c r="P452" s="1">
        <v>35.0</v>
      </c>
      <c r="Q452" s="1">
        <v>64.0</v>
      </c>
    </row>
    <row r="453">
      <c r="A453" s="1">
        <f t="shared" si="1"/>
        <v>451</v>
      </c>
      <c r="B453" s="1" t="s">
        <v>1263</v>
      </c>
      <c r="C453" s="1" t="s">
        <v>1172</v>
      </c>
      <c r="D453" s="1" t="s">
        <v>28</v>
      </c>
      <c r="E453" s="1">
        <f t="shared" si="2"/>
        <v>109.5</v>
      </c>
      <c r="F453" s="1">
        <f t="shared" si="3"/>
        <v>2.03</v>
      </c>
      <c r="G453" s="1">
        <v>54.0</v>
      </c>
      <c r="H453" s="1">
        <v>8.0</v>
      </c>
      <c r="I453" s="1">
        <v>8.0</v>
      </c>
      <c r="J453" s="1">
        <v>16.0</v>
      </c>
      <c r="K453" s="1">
        <v>65.0</v>
      </c>
      <c r="L453" s="1">
        <v>2.0</v>
      </c>
      <c r="M453" s="1">
        <v>3.0</v>
      </c>
      <c r="N453" s="1">
        <v>0.0</v>
      </c>
      <c r="O453" s="1">
        <v>0.0</v>
      </c>
      <c r="P453" s="1">
        <v>32.0</v>
      </c>
      <c r="Q453" s="1">
        <v>18.0</v>
      </c>
    </row>
    <row r="454">
      <c r="A454" s="1">
        <f t="shared" si="1"/>
        <v>452</v>
      </c>
      <c r="B454" s="1" t="s">
        <v>1461</v>
      </c>
      <c r="C454" s="1" t="s">
        <v>1111</v>
      </c>
      <c r="D454" s="1" t="s">
        <v>5</v>
      </c>
      <c r="E454" s="1">
        <f t="shared" si="2"/>
        <v>109.2</v>
      </c>
      <c r="F454" s="1">
        <f t="shared" si="3"/>
        <v>5.75</v>
      </c>
      <c r="G454" s="1">
        <v>19.0</v>
      </c>
      <c r="R454" s="1">
        <v>9.0</v>
      </c>
      <c r="S454" s="1">
        <v>46.0</v>
      </c>
      <c r="T454" s="1">
        <v>484.0</v>
      </c>
      <c r="U454" s="1">
        <v>2.0</v>
      </c>
    </row>
    <row r="455">
      <c r="A455" s="1">
        <f t="shared" si="1"/>
        <v>453</v>
      </c>
      <c r="B455" s="1" t="s">
        <v>1267</v>
      </c>
      <c r="C455" s="1" t="s">
        <v>1080</v>
      </c>
      <c r="D455" s="1" t="s">
        <v>66</v>
      </c>
      <c r="E455" s="1">
        <f t="shared" si="2"/>
        <v>109</v>
      </c>
      <c r="F455" s="1">
        <f t="shared" si="3"/>
        <v>2.66</v>
      </c>
      <c r="G455" s="1">
        <v>41.0</v>
      </c>
      <c r="H455" s="1">
        <v>2.0</v>
      </c>
      <c r="I455" s="1">
        <v>6.0</v>
      </c>
      <c r="J455" s="1">
        <v>8.0</v>
      </c>
      <c r="K455" s="1">
        <v>39.0</v>
      </c>
      <c r="L455" s="1">
        <v>0.0</v>
      </c>
      <c r="M455" s="1">
        <v>0.0</v>
      </c>
      <c r="N455" s="1">
        <v>0.0</v>
      </c>
      <c r="O455" s="1">
        <v>0.0</v>
      </c>
      <c r="P455" s="1">
        <v>98.0</v>
      </c>
      <c r="Q455" s="1">
        <v>76.0</v>
      </c>
    </row>
    <row r="456">
      <c r="A456" s="1">
        <f t="shared" si="1"/>
        <v>453</v>
      </c>
      <c r="B456" s="1" t="s">
        <v>1564</v>
      </c>
      <c r="C456" s="1" t="s">
        <v>1069</v>
      </c>
      <c r="D456" s="1" t="s">
        <v>66</v>
      </c>
      <c r="E456" s="1">
        <f t="shared" si="2"/>
        <v>109</v>
      </c>
      <c r="F456" s="1">
        <f t="shared" si="3"/>
        <v>2.22</v>
      </c>
      <c r="G456" s="1">
        <v>49.0</v>
      </c>
      <c r="H456" s="1">
        <v>2.0</v>
      </c>
      <c r="I456" s="1">
        <v>9.0</v>
      </c>
      <c r="J456" s="1">
        <v>11.0</v>
      </c>
      <c r="K456" s="1">
        <v>72.0</v>
      </c>
      <c r="L456" s="1">
        <v>0.0</v>
      </c>
      <c r="M456" s="1">
        <v>0.0</v>
      </c>
      <c r="N456" s="1">
        <v>0.0</v>
      </c>
      <c r="O456" s="1">
        <v>0.0</v>
      </c>
      <c r="P456" s="1">
        <v>28.0</v>
      </c>
      <c r="Q456" s="1">
        <v>60.0</v>
      </c>
    </row>
    <row r="457">
      <c r="A457" s="1">
        <f t="shared" si="1"/>
        <v>455</v>
      </c>
      <c r="B457" s="1" t="s">
        <v>1523</v>
      </c>
      <c r="C457" s="1" t="s">
        <v>1040</v>
      </c>
      <c r="D457" s="1" t="s">
        <v>66</v>
      </c>
      <c r="E457" s="1">
        <f t="shared" si="2"/>
        <v>108</v>
      </c>
      <c r="F457" s="1">
        <f t="shared" si="3"/>
        <v>2.25</v>
      </c>
      <c r="G457" s="1">
        <v>48.0</v>
      </c>
      <c r="H457" s="1">
        <v>5.0</v>
      </c>
      <c r="I457" s="1">
        <v>5.0</v>
      </c>
      <c r="J457" s="1">
        <v>10.0</v>
      </c>
      <c r="K457" s="1">
        <v>58.0</v>
      </c>
      <c r="L457" s="1">
        <v>0.0</v>
      </c>
      <c r="M457" s="1">
        <v>0.0</v>
      </c>
      <c r="N457" s="1">
        <v>0.0</v>
      </c>
      <c r="O457" s="1">
        <v>0.0</v>
      </c>
      <c r="P457" s="1">
        <v>84.0</v>
      </c>
      <c r="Q457" s="1">
        <v>41.0</v>
      </c>
    </row>
    <row r="458">
      <c r="A458" s="1">
        <f t="shared" si="1"/>
        <v>455</v>
      </c>
      <c r="B458" s="1" t="s">
        <v>1709</v>
      </c>
      <c r="C458" s="1" t="s">
        <v>1106</v>
      </c>
      <c r="D458" s="1" t="s">
        <v>66</v>
      </c>
      <c r="E458" s="1">
        <f t="shared" si="2"/>
        <v>108</v>
      </c>
      <c r="F458" s="1">
        <f t="shared" si="3"/>
        <v>2.2</v>
      </c>
      <c r="G458" s="1">
        <v>49.0</v>
      </c>
      <c r="H458" s="1">
        <v>3.0</v>
      </c>
      <c r="I458" s="1">
        <v>6.0</v>
      </c>
      <c r="J458" s="1">
        <v>9.0</v>
      </c>
      <c r="K458" s="1">
        <v>55.0</v>
      </c>
      <c r="L458" s="1">
        <v>0.0</v>
      </c>
      <c r="M458" s="1">
        <v>0.0</v>
      </c>
      <c r="N458" s="1">
        <v>0.0</v>
      </c>
      <c r="O458" s="1">
        <v>1.0</v>
      </c>
      <c r="P458" s="1">
        <v>60.0</v>
      </c>
      <c r="Q458" s="1">
        <v>64.0</v>
      </c>
    </row>
    <row r="459">
      <c r="A459" s="1">
        <f t="shared" si="1"/>
        <v>457</v>
      </c>
      <c r="B459" s="1" t="s">
        <v>1753</v>
      </c>
      <c r="C459" s="1" t="s">
        <v>1120</v>
      </c>
      <c r="D459" s="1" t="s">
        <v>31</v>
      </c>
      <c r="E459" s="1">
        <f t="shared" si="2"/>
        <v>107.75</v>
      </c>
      <c r="F459" s="1">
        <f t="shared" si="3"/>
        <v>2.57</v>
      </c>
      <c r="G459" s="1">
        <v>42.0</v>
      </c>
      <c r="H459" s="1">
        <v>7.0</v>
      </c>
      <c r="I459" s="1">
        <v>8.0</v>
      </c>
      <c r="J459" s="1">
        <v>15.0</v>
      </c>
      <c r="K459" s="1">
        <v>88.0</v>
      </c>
      <c r="L459" s="1">
        <v>1.0</v>
      </c>
      <c r="M459" s="1">
        <v>0.0</v>
      </c>
      <c r="N459" s="1">
        <v>0.0</v>
      </c>
      <c r="O459" s="1">
        <v>0.0</v>
      </c>
      <c r="P459" s="1">
        <v>5.0</v>
      </c>
      <c r="Q459" s="1">
        <v>14.0</v>
      </c>
    </row>
    <row r="460">
      <c r="A460" s="1">
        <f t="shared" si="1"/>
        <v>457</v>
      </c>
      <c r="B460" s="1" t="s">
        <v>1452</v>
      </c>
      <c r="C460" s="1" t="s">
        <v>1097</v>
      </c>
      <c r="D460" s="1" t="s">
        <v>28</v>
      </c>
      <c r="E460" s="1">
        <f t="shared" si="2"/>
        <v>107.75</v>
      </c>
      <c r="F460" s="1">
        <f t="shared" si="3"/>
        <v>2.29</v>
      </c>
      <c r="G460" s="1">
        <v>47.0</v>
      </c>
      <c r="H460" s="1">
        <v>3.0</v>
      </c>
      <c r="I460" s="1">
        <v>10.0</v>
      </c>
      <c r="J460" s="1">
        <v>13.0</v>
      </c>
      <c r="K460" s="1">
        <v>55.0</v>
      </c>
      <c r="L460" s="1">
        <v>0.0</v>
      </c>
      <c r="M460" s="1">
        <v>0.0</v>
      </c>
      <c r="N460" s="1">
        <v>1.0</v>
      </c>
      <c r="O460" s="1">
        <v>1.0</v>
      </c>
      <c r="P460" s="1">
        <v>79.0</v>
      </c>
      <c r="Q460" s="1">
        <v>26.0</v>
      </c>
    </row>
    <row r="461">
      <c r="A461" s="1">
        <f t="shared" si="1"/>
        <v>459</v>
      </c>
      <c r="B461" s="1" t="s">
        <v>2141</v>
      </c>
      <c r="C461" s="1" t="s">
        <v>1036</v>
      </c>
      <c r="D461" s="1" t="s">
        <v>36</v>
      </c>
      <c r="E461" s="1">
        <f t="shared" si="2"/>
        <v>107.5</v>
      </c>
      <c r="F461" s="1">
        <f t="shared" si="3"/>
        <v>2.39</v>
      </c>
      <c r="G461" s="1">
        <v>45.0</v>
      </c>
      <c r="H461" s="1">
        <v>9.0</v>
      </c>
      <c r="I461" s="1">
        <v>7.0</v>
      </c>
      <c r="J461" s="1">
        <v>16.0</v>
      </c>
      <c r="K461" s="1">
        <v>65.0</v>
      </c>
      <c r="L461" s="1">
        <v>5.0</v>
      </c>
      <c r="M461" s="1">
        <v>2.0</v>
      </c>
      <c r="N461" s="1">
        <v>0.0</v>
      </c>
      <c r="O461" s="1">
        <v>0.0</v>
      </c>
      <c r="P461" s="1">
        <v>40.0</v>
      </c>
      <c r="Q461" s="1">
        <v>7.0</v>
      </c>
    </row>
    <row r="462">
      <c r="A462" s="1">
        <f t="shared" si="1"/>
        <v>460</v>
      </c>
      <c r="B462" s="1" t="s">
        <v>1488</v>
      </c>
      <c r="C462" s="1" t="s">
        <v>1082</v>
      </c>
      <c r="D462" s="1" t="s">
        <v>5</v>
      </c>
      <c r="E462" s="1">
        <f t="shared" si="2"/>
        <v>106.5</v>
      </c>
      <c r="F462" s="1">
        <f t="shared" si="3"/>
        <v>5.61</v>
      </c>
      <c r="G462" s="1">
        <v>19.0</v>
      </c>
      <c r="R462" s="1">
        <v>13.0</v>
      </c>
      <c r="S462" s="1">
        <v>49.0</v>
      </c>
      <c r="T462" s="1">
        <v>450.0</v>
      </c>
      <c r="U462" s="1">
        <v>2.0</v>
      </c>
    </row>
    <row r="463">
      <c r="A463" s="1">
        <f t="shared" si="1"/>
        <v>460</v>
      </c>
      <c r="B463" s="1" t="s">
        <v>1911</v>
      </c>
      <c r="C463" s="1" t="s">
        <v>1175</v>
      </c>
      <c r="D463" s="1" t="s">
        <v>66</v>
      </c>
      <c r="E463" s="1">
        <f t="shared" si="2"/>
        <v>106.5</v>
      </c>
      <c r="F463" s="1">
        <f t="shared" si="3"/>
        <v>1.9</v>
      </c>
      <c r="G463" s="1">
        <v>56.0</v>
      </c>
      <c r="H463" s="1">
        <v>2.0</v>
      </c>
      <c r="I463" s="1">
        <v>8.0</v>
      </c>
      <c r="J463" s="1">
        <v>10.0</v>
      </c>
      <c r="K463" s="1">
        <v>51.0</v>
      </c>
      <c r="L463" s="1">
        <v>0.0</v>
      </c>
      <c r="M463" s="1">
        <v>0.0</v>
      </c>
      <c r="N463" s="1">
        <v>0.0</v>
      </c>
      <c r="O463" s="1">
        <v>0.0</v>
      </c>
      <c r="P463" s="1">
        <v>84.0</v>
      </c>
      <c r="Q463" s="1">
        <v>54.0</v>
      </c>
    </row>
    <row r="464">
      <c r="A464" s="1">
        <f t="shared" si="1"/>
        <v>460</v>
      </c>
      <c r="B464" s="1" t="s">
        <v>1799</v>
      </c>
      <c r="C464" s="1" t="s">
        <v>1044</v>
      </c>
      <c r="D464" s="1" t="s">
        <v>28</v>
      </c>
      <c r="E464" s="1">
        <f t="shared" si="2"/>
        <v>106.5</v>
      </c>
      <c r="F464" s="1">
        <f t="shared" si="3"/>
        <v>3.13</v>
      </c>
      <c r="G464" s="1">
        <v>34.0</v>
      </c>
      <c r="H464" s="1">
        <v>3.0</v>
      </c>
      <c r="I464" s="1">
        <v>7.0</v>
      </c>
      <c r="J464" s="1">
        <v>10.0</v>
      </c>
      <c r="K464" s="1">
        <v>41.0</v>
      </c>
      <c r="L464" s="1">
        <v>0.0</v>
      </c>
      <c r="M464" s="1">
        <v>0.0</v>
      </c>
      <c r="N464" s="1">
        <v>0.0</v>
      </c>
      <c r="O464" s="1">
        <v>1.0</v>
      </c>
      <c r="P464" s="1">
        <v>100.0</v>
      </c>
      <c r="Q464" s="1">
        <v>49.0</v>
      </c>
    </row>
    <row r="465">
      <c r="A465" s="1">
        <f t="shared" si="1"/>
        <v>463</v>
      </c>
      <c r="B465" s="1" t="s">
        <v>2052</v>
      </c>
      <c r="C465" s="1" t="s">
        <v>1036</v>
      </c>
      <c r="D465" s="1" t="s">
        <v>31</v>
      </c>
      <c r="E465" s="1">
        <f t="shared" si="2"/>
        <v>106.25</v>
      </c>
      <c r="F465" s="1">
        <f t="shared" si="3"/>
        <v>2.66</v>
      </c>
      <c r="G465" s="1">
        <v>40.0</v>
      </c>
      <c r="H465" s="1">
        <v>3.0</v>
      </c>
      <c r="I465" s="1">
        <v>8.0</v>
      </c>
      <c r="J465" s="1">
        <v>11.0</v>
      </c>
      <c r="K465" s="1">
        <v>41.0</v>
      </c>
      <c r="L465" s="1">
        <v>0.0</v>
      </c>
      <c r="M465" s="1">
        <v>0.0</v>
      </c>
      <c r="N465" s="1">
        <v>0.0</v>
      </c>
      <c r="O465" s="1">
        <v>0.0</v>
      </c>
      <c r="P465" s="1">
        <v>151.0</v>
      </c>
      <c r="Q465" s="1">
        <v>21.0</v>
      </c>
    </row>
    <row r="466">
      <c r="A466" s="1">
        <f t="shared" si="1"/>
        <v>464</v>
      </c>
      <c r="B466" s="1" t="s">
        <v>2060</v>
      </c>
      <c r="C466" s="1" t="s">
        <v>1091</v>
      </c>
      <c r="D466" s="1" t="s">
        <v>28</v>
      </c>
      <c r="E466" s="1">
        <f t="shared" si="2"/>
        <v>105.75</v>
      </c>
      <c r="F466" s="1">
        <f t="shared" si="3"/>
        <v>2.12</v>
      </c>
      <c r="G466" s="1">
        <v>50.0</v>
      </c>
      <c r="H466" s="1">
        <v>8.0</v>
      </c>
      <c r="I466" s="1">
        <v>6.0</v>
      </c>
      <c r="J466" s="1">
        <v>14.0</v>
      </c>
      <c r="K466" s="1">
        <v>58.0</v>
      </c>
      <c r="L466" s="1">
        <v>0.0</v>
      </c>
      <c r="M466" s="1">
        <v>0.0</v>
      </c>
      <c r="N466" s="1">
        <v>0.0</v>
      </c>
      <c r="O466" s="1">
        <v>0.0</v>
      </c>
      <c r="P466" s="1">
        <v>43.0</v>
      </c>
      <c r="Q466" s="1">
        <v>24.0</v>
      </c>
    </row>
    <row r="467">
      <c r="A467" s="1">
        <f t="shared" si="1"/>
        <v>465</v>
      </c>
      <c r="B467" s="1" t="s">
        <v>1403</v>
      </c>
      <c r="C467" s="1" t="s">
        <v>1042</v>
      </c>
      <c r="D467" s="1" t="s">
        <v>31</v>
      </c>
      <c r="E467" s="1">
        <f t="shared" si="2"/>
        <v>105.5</v>
      </c>
      <c r="F467" s="1">
        <f t="shared" si="3"/>
        <v>2.34</v>
      </c>
      <c r="G467" s="1">
        <v>45.0</v>
      </c>
      <c r="H467" s="1">
        <v>5.0</v>
      </c>
      <c r="I467" s="1">
        <v>6.0</v>
      </c>
      <c r="J467" s="1">
        <v>11.0</v>
      </c>
      <c r="K467" s="1">
        <v>62.0</v>
      </c>
      <c r="L467" s="1">
        <v>0.0</v>
      </c>
      <c r="M467" s="1">
        <v>0.0</v>
      </c>
      <c r="N467" s="1">
        <v>0.0</v>
      </c>
      <c r="O467" s="1">
        <v>0.0</v>
      </c>
      <c r="P467" s="1">
        <v>94.0</v>
      </c>
      <c r="Q467" s="1">
        <v>21.0</v>
      </c>
    </row>
    <row r="468">
      <c r="A468" s="1">
        <f t="shared" si="1"/>
        <v>466</v>
      </c>
      <c r="B468" s="1" t="s">
        <v>2472</v>
      </c>
      <c r="C468" s="1" t="s">
        <v>1120</v>
      </c>
      <c r="D468" s="1" t="s">
        <v>36</v>
      </c>
      <c r="E468" s="1">
        <f t="shared" si="2"/>
        <v>105.25</v>
      </c>
      <c r="F468" s="1">
        <f t="shared" si="3"/>
        <v>3.19</v>
      </c>
      <c r="G468" s="1">
        <v>33.0</v>
      </c>
      <c r="H468" s="1">
        <v>7.0</v>
      </c>
      <c r="I468" s="1">
        <v>7.0</v>
      </c>
      <c r="J468" s="1">
        <v>14.0</v>
      </c>
      <c r="K468" s="1">
        <v>73.0</v>
      </c>
      <c r="L468" s="1">
        <v>1.0</v>
      </c>
      <c r="M468" s="1">
        <v>2.0</v>
      </c>
      <c r="N468" s="1">
        <v>0.0</v>
      </c>
      <c r="O468" s="1">
        <v>0.0</v>
      </c>
      <c r="P468" s="1">
        <v>31.0</v>
      </c>
      <c r="Q468" s="1">
        <v>17.0</v>
      </c>
    </row>
    <row r="469">
      <c r="A469" s="1">
        <f t="shared" si="1"/>
        <v>467</v>
      </c>
      <c r="B469" s="1" t="s">
        <v>1622</v>
      </c>
      <c r="C469" s="1" t="s">
        <v>1042</v>
      </c>
      <c r="D469" s="1" t="s">
        <v>66</v>
      </c>
      <c r="E469" s="1">
        <f t="shared" si="2"/>
        <v>105</v>
      </c>
      <c r="F469" s="1">
        <f t="shared" si="3"/>
        <v>2.63</v>
      </c>
      <c r="G469" s="1">
        <v>40.0</v>
      </c>
      <c r="H469" s="1">
        <v>2.0</v>
      </c>
      <c r="I469" s="1">
        <v>10.0</v>
      </c>
      <c r="J469" s="1">
        <v>12.0</v>
      </c>
      <c r="K469" s="1">
        <v>59.0</v>
      </c>
      <c r="L469" s="1">
        <v>1.0</v>
      </c>
      <c r="M469" s="1">
        <v>1.0</v>
      </c>
      <c r="N469" s="1">
        <v>0.0</v>
      </c>
      <c r="O469" s="1">
        <v>0.0</v>
      </c>
      <c r="P469" s="1">
        <v>32.0</v>
      </c>
      <c r="Q469" s="1">
        <v>57.0</v>
      </c>
    </row>
    <row r="470">
      <c r="A470" s="1">
        <f t="shared" si="1"/>
        <v>467</v>
      </c>
      <c r="B470" s="1" t="s">
        <v>1574</v>
      </c>
      <c r="C470" s="1" t="s">
        <v>1091</v>
      </c>
      <c r="D470" s="1" t="s">
        <v>31</v>
      </c>
      <c r="E470" s="1">
        <f t="shared" si="2"/>
        <v>105</v>
      </c>
      <c r="F470" s="1">
        <f t="shared" si="3"/>
        <v>2.1</v>
      </c>
      <c r="G470" s="1">
        <v>50.0</v>
      </c>
      <c r="H470" s="1">
        <v>3.0</v>
      </c>
      <c r="I470" s="1">
        <v>9.0</v>
      </c>
      <c r="J470" s="1">
        <v>12.0</v>
      </c>
      <c r="K470" s="1">
        <v>53.0</v>
      </c>
      <c r="L470" s="1">
        <v>0.0</v>
      </c>
      <c r="M470" s="1">
        <v>0.0</v>
      </c>
      <c r="N470" s="1">
        <v>0.0</v>
      </c>
      <c r="O470" s="1">
        <v>0.0</v>
      </c>
      <c r="P470" s="1">
        <v>120.0</v>
      </c>
      <c r="Q470" s="1">
        <v>16.0</v>
      </c>
    </row>
    <row r="471">
      <c r="A471" s="1">
        <f t="shared" si="1"/>
        <v>467</v>
      </c>
      <c r="B471" s="1" t="s">
        <v>2136</v>
      </c>
      <c r="C471" s="1" t="s">
        <v>1091</v>
      </c>
      <c r="D471" s="1" t="s">
        <v>66</v>
      </c>
      <c r="E471" s="1">
        <f t="shared" si="2"/>
        <v>105</v>
      </c>
      <c r="F471" s="1">
        <f t="shared" si="3"/>
        <v>1.98</v>
      </c>
      <c r="G471" s="1">
        <v>53.0</v>
      </c>
      <c r="H471" s="1">
        <v>1.0</v>
      </c>
      <c r="I471" s="1">
        <v>5.0</v>
      </c>
      <c r="J471" s="1">
        <v>6.0</v>
      </c>
      <c r="K471" s="1">
        <v>59.0</v>
      </c>
      <c r="L471" s="1">
        <v>0.0</v>
      </c>
      <c r="M471" s="1">
        <v>0.0</v>
      </c>
      <c r="N471" s="1">
        <v>0.0</v>
      </c>
      <c r="O471" s="1">
        <v>0.0</v>
      </c>
      <c r="P471" s="1">
        <v>78.0</v>
      </c>
      <c r="Q471" s="1">
        <v>73.0</v>
      </c>
    </row>
    <row r="472">
      <c r="A472" s="1">
        <f t="shared" si="1"/>
        <v>470</v>
      </c>
      <c r="B472" s="1" t="s">
        <v>1663</v>
      </c>
      <c r="C472" s="1" t="s">
        <v>1034</v>
      </c>
      <c r="D472" s="1" t="s">
        <v>28</v>
      </c>
      <c r="E472" s="1">
        <f t="shared" si="2"/>
        <v>104.75</v>
      </c>
      <c r="F472" s="1">
        <f t="shared" si="3"/>
        <v>1.9</v>
      </c>
      <c r="G472" s="1">
        <v>55.0</v>
      </c>
      <c r="H472" s="1">
        <v>4.0</v>
      </c>
      <c r="I472" s="1">
        <v>14.0</v>
      </c>
      <c r="J472" s="1">
        <v>18.0</v>
      </c>
      <c r="K472" s="1">
        <v>46.0</v>
      </c>
      <c r="L472" s="1">
        <v>2.0</v>
      </c>
      <c r="M472" s="1">
        <v>2.0</v>
      </c>
      <c r="N472" s="1">
        <v>0.0</v>
      </c>
      <c r="O472" s="1">
        <v>0.0</v>
      </c>
      <c r="P472" s="1">
        <v>75.0</v>
      </c>
      <c r="Q472" s="1">
        <v>6.0</v>
      </c>
    </row>
    <row r="473">
      <c r="A473" s="1">
        <f t="shared" si="1"/>
        <v>471</v>
      </c>
      <c r="B473" s="1" t="s">
        <v>2473</v>
      </c>
      <c r="C473" s="1" t="s">
        <v>1046</v>
      </c>
      <c r="D473" s="1" t="s">
        <v>31</v>
      </c>
      <c r="E473" s="1">
        <f t="shared" si="2"/>
        <v>104.5</v>
      </c>
      <c r="F473" s="1">
        <f t="shared" si="3"/>
        <v>2.43</v>
      </c>
      <c r="G473" s="1">
        <v>43.0</v>
      </c>
      <c r="H473" s="1">
        <v>9.0</v>
      </c>
      <c r="I473" s="1">
        <v>3.0</v>
      </c>
      <c r="J473" s="1">
        <v>12.0</v>
      </c>
      <c r="K473" s="1">
        <v>65.0</v>
      </c>
      <c r="L473" s="1">
        <v>0.0</v>
      </c>
      <c r="M473" s="1">
        <v>0.0</v>
      </c>
      <c r="N473" s="1">
        <v>2.0</v>
      </c>
      <c r="O473" s="1">
        <v>0.0</v>
      </c>
      <c r="P473" s="1">
        <v>18.0</v>
      </c>
      <c r="Q473" s="1">
        <v>28.0</v>
      </c>
    </row>
    <row r="474">
      <c r="A474" s="1">
        <f t="shared" si="1"/>
        <v>472</v>
      </c>
      <c r="B474" s="1" t="s">
        <v>1539</v>
      </c>
      <c r="C474" s="1" t="s">
        <v>1078</v>
      </c>
      <c r="D474" s="1" t="s">
        <v>5</v>
      </c>
      <c r="E474" s="1">
        <f t="shared" si="2"/>
        <v>104.4</v>
      </c>
      <c r="F474" s="1">
        <f t="shared" si="3"/>
        <v>4.75</v>
      </c>
      <c r="G474" s="1">
        <v>22.0</v>
      </c>
      <c r="R474" s="1">
        <v>11.0</v>
      </c>
      <c r="S474" s="1">
        <v>58.0</v>
      </c>
      <c r="T474" s="1">
        <v>508.0</v>
      </c>
      <c r="U474" s="1">
        <v>2.0</v>
      </c>
    </row>
    <row r="475">
      <c r="A475" s="1">
        <f t="shared" si="1"/>
        <v>473</v>
      </c>
      <c r="B475" s="1" t="s">
        <v>1802</v>
      </c>
      <c r="C475" s="1" t="s">
        <v>1078</v>
      </c>
      <c r="D475" s="1" t="s">
        <v>28</v>
      </c>
      <c r="E475" s="1">
        <f t="shared" si="2"/>
        <v>104.25</v>
      </c>
      <c r="F475" s="1">
        <f t="shared" si="3"/>
        <v>2.13</v>
      </c>
      <c r="G475" s="1">
        <v>49.0</v>
      </c>
      <c r="H475" s="1">
        <v>4.0</v>
      </c>
      <c r="I475" s="1">
        <v>7.0</v>
      </c>
      <c r="J475" s="1">
        <v>11.0</v>
      </c>
      <c r="K475" s="1">
        <v>50.0</v>
      </c>
      <c r="L475" s="1">
        <v>0.0</v>
      </c>
      <c r="M475" s="1">
        <v>0.0</v>
      </c>
      <c r="N475" s="1">
        <v>0.0</v>
      </c>
      <c r="O475" s="1">
        <v>0.0</v>
      </c>
      <c r="P475" s="1">
        <v>109.0</v>
      </c>
      <c r="Q475" s="1">
        <v>26.0</v>
      </c>
    </row>
    <row r="476">
      <c r="A476" s="1">
        <f t="shared" si="1"/>
        <v>473</v>
      </c>
      <c r="B476" s="1" t="s">
        <v>1480</v>
      </c>
      <c r="C476" s="1" t="s">
        <v>1116</v>
      </c>
      <c r="D476" s="1" t="s">
        <v>31</v>
      </c>
      <c r="E476" s="1">
        <f t="shared" si="2"/>
        <v>104.25</v>
      </c>
      <c r="F476" s="1">
        <f t="shared" si="3"/>
        <v>1.86</v>
      </c>
      <c r="G476" s="1">
        <v>56.0</v>
      </c>
      <c r="H476" s="1">
        <v>5.0</v>
      </c>
      <c r="I476" s="1">
        <v>5.0</v>
      </c>
      <c r="J476" s="1">
        <v>10.0</v>
      </c>
      <c r="K476" s="1">
        <v>68.0</v>
      </c>
      <c r="L476" s="1">
        <v>0.0</v>
      </c>
      <c r="M476" s="1">
        <v>0.0</v>
      </c>
      <c r="N476" s="1">
        <v>2.0</v>
      </c>
      <c r="O476" s="1">
        <v>0.0</v>
      </c>
      <c r="P476" s="1">
        <v>71.0</v>
      </c>
      <c r="Q476" s="1">
        <v>22.0</v>
      </c>
    </row>
    <row r="477">
      <c r="A477" s="1">
        <f t="shared" si="1"/>
        <v>475</v>
      </c>
      <c r="B477" s="1" t="s">
        <v>1625</v>
      </c>
      <c r="C477" s="1" t="s">
        <v>1076</v>
      </c>
      <c r="D477" s="1" t="s">
        <v>36</v>
      </c>
      <c r="E477" s="1">
        <f t="shared" si="2"/>
        <v>104</v>
      </c>
      <c r="F477" s="1">
        <f t="shared" si="3"/>
        <v>2.54</v>
      </c>
      <c r="G477" s="1">
        <v>41.0</v>
      </c>
      <c r="H477" s="1">
        <v>3.0</v>
      </c>
      <c r="I477" s="1">
        <v>7.0</v>
      </c>
      <c r="J477" s="1">
        <v>10.0</v>
      </c>
      <c r="K477" s="1">
        <v>46.0</v>
      </c>
      <c r="L477" s="1">
        <v>0.0</v>
      </c>
      <c r="M477" s="1">
        <v>0.0</v>
      </c>
      <c r="N477" s="1">
        <v>0.0</v>
      </c>
      <c r="O477" s="1">
        <v>0.0</v>
      </c>
      <c r="P477" s="1">
        <v>136.0</v>
      </c>
      <c r="Q477" s="1">
        <v>25.0</v>
      </c>
    </row>
    <row r="478">
      <c r="A478" s="1">
        <f t="shared" si="1"/>
        <v>475</v>
      </c>
      <c r="B478" s="1" t="s">
        <v>1348</v>
      </c>
      <c r="C478" s="1" t="s">
        <v>1080</v>
      </c>
      <c r="D478" s="1" t="s">
        <v>31</v>
      </c>
      <c r="E478" s="1">
        <f t="shared" si="2"/>
        <v>104</v>
      </c>
      <c r="F478" s="1">
        <f t="shared" si="3"/>
        <v>2.08</v>
      </c>
      <c r="G478" s="1">
        <v>50.0</v>
      </c>
      <c r="H478" s="1">
        <v>6.0</v>
      </c>
      <c r="I478" s="1">
        <v>9.0</v>
      </c>
      <c r="J478" s="1">
        <v>15.0</v>
      </c>
      <c r="K478" s="1">
        <v>52.0</v>
      </c>
      <c r="L478" s="1">
        <v>0.0</v>
      </c>
      <c r="M478" s="1">
        <v>0.0</v>
      </c>
      <c r="N478" s="1">
        <v>0.0</v>
      </c>
      <c r="O478" s="1">
        <v>0.0</v>
      </c>
      <c r="P478" s="1">
        <v>50.0</v>
      </c>
      <c r="Q478" s="1">
        <v>23.0</v>
      </c>
    </row>
    <row r="479">
      <c r="A479" s="1">
        <f t="shared" si="1"/>
        <v>477</v>
      </c>
      <c r="B479" s="1" t="s">
        <v>1314</v>
      </c>
      <c r="C479" s="1" t="s">
        <v>1120</v>
      </c>
      <c r="D479" s="1" t="s">
        <v>31</v>
      </c>
      <c r="E479" s="1">
        <f t="shared" si="2"/>
        <v>103.5</v>
      </c>
      <c r="F479" s="1">
        <f t="shared" si="3"/>
        <v>2.59</v>
      </c>
      <c r="G479" s="1">
        <v>40.0</v>
      </c>
      <c r="H479" s="1">
        <v>3.0</v>
      </c>
      <c r="I479" s="1">
        <v>9.0</v>
      </c>
      <c r="J479" s="1">
        <v>12.0</v>
      </c>
      <c r="K479" s="1">
        <v>62.0</v>
      </c>
      <c r="L479" s="1">
        <v>0.0</v>
      </c>
      <c r="M479" s="1">
        <v>2.0</v>
      </c>
      <c r="N479" s="1">
        <v>0.0</v>
      </c>
      <c r="O479" s="1">
        <v>0.0</v>
      </c>
      <c r="P479" s="1">
        <v>72.0</v>
      </c>
      <c r="Q479" s="1">
        <v>28.0</v>
      </c>
    </row>
    <row r="480">
      <c r="A480" s="1">
        <f t="shared" si="1"/>
        <v>478</v>
      </c>
      <c r="B480" s="1" t="s">
        <v>1668</v>
      </c>
      <c r="C480" s="1" t="s">
        <v>1106</v>
      </c>
      <c r="D480" s="1" t="s">
        <v>28</v>
      </c>
      <c r="E480" s="1">
        <f t="shared" si="2"/>
        <v>103.25</v>
      </c>
      <c r="F480" s="1">
        <f t="shared" si="3"/>
        <v>2.87</v>
      </c>
      <c r="G480" s="1">
        <v>36.0</v>
      </c>
      <c r="H480" s="1">
        <v>8.0</v>
      </c>
      <c r="I480" s="1">
        <v>7.0</v>
      </c>
      <c r="J480" s="1">
        <v>15.0</v>
      </c>
      <c r="K480" s="1">
        <v>31.0</v>
      </c>
      <c r="L480" s="1">
        <v>0.0</v>
      </c>
      <c r="M480" s="1">
        <v>0.0</v>
      </c>
      <c r="N480" s="1">
        <v>0.0</v>
      </c>
      <c r="O480" s="1">
        <v>0.0</v>
      </c>
      <c r="P480" s="1">
        <v>103.0</v>
      </c>
      <c r="Q480" s="1">
        <v>10.0</v>
      </c>
    </row>
    <row r="481">
      <c r="A481" s="1">
        <f t="shared" si="1"/>
        <v>479</v>
      </c>
      <c r="B481" s="1" t="s">
        <v>2390</v>
      </c>
      <c r="C481" s="1" t="s">
        <v>1120</v>
      </c>
      <c r="D481" s="1" t="s">
        <v>36</v>
      </c>
      <c r="E481" s="1">
        <f t="shared" si="2"/>
        <v>102.5</v>
      </c>
      <c r="F481" s="1">
        <f t="shared" si="3"/>
        <v>2.14</v>
      </c>
      <c r="G481" s="1">
        <v>48.0</v>
      </c>
      <c r="H481" s="1">
        <v>4.0</v>
      </c>
      <c r="I481" s="1">
        <v>9.0</v>
      </c>
      <c r="J481" s="1">
        <v>13.0</v>
      </c>
      <c r="K481" s="1">
        <v>59.0</v>
      </c>
      <c r="L481" s="1">
        <v>1.0</v>
      </c>
      <c r="M481" s="1">
        <v>0.0</v>
      </c>
      <c r="N481" s="1">
        <v>0.0</v>
      </c>
      <c r="O481" s="1">
        <v>0.0</v>
      </c>
      <c r="P481" s="1">
        <v>70.0</v>
      </c>
      <c r="Q481" s="1">
        <v>21.0</v>
      </c>
    </row>
    <row r="482">
      <c r="A482" s="1">
        <f t="shared" si="1"/>
        <v>479</v>
      </c>
      <c r="B482" s="1" t="s">
        <v>2178</v>
      </c>
      <c r="C482" s="1" t="s">
        <v>1076</v>
      </c>
      <c r="D482" s="1" t="s">
        <v>66</v>
      </c>
      <c r="E482" s="1">
        <f t="shared" si="2"/>
        <v>102.5</v>
      </c>
      <c r="F482" s="1">
        <f t="shared" si="3"/>
        <v>2.14</v>
      </c>
      <c r="G482" s="1">
        <v>48.0</v>
      </c>
      <c r="H482" s="1">
        <v>0.0</v>
      </c>
      <c r="I482" s="1">
        <v>14.0</v>
      </c>
      <c r="J482" s="1">
        <v>14.0</v>
      </c>
      <c r="K482" s="1">
        <v>29.0</v>
      </c>
      <c r="L482" s="1">
        <v>0.0</v>
      </c>
      <c r="M482" s="1">
        <v>0.0</v>
      </c>
      <c r="N482" s="1">
        <v>0.0</v>
      </c>
      <c r="O482" s="1">
        <v>0.0</v>
      </c>
      <c r="P482" s="1">
        <v>38.0</v>
      </c>
      <c r="Q482" s="1">
        <v>73.0</v>
      </c>
    </row>
    <row r="483">
      <c r="A483" s="1">
        <f t="shared" si="1"/>
        <v>479</v>
      </c>
      <c r="B483" s="1" t="s">
        <v>1253</v>
      </c>
      <c r="C483" s="1" t="s">
        <v>1038</v>
      </c>
      <c r="D483" s="1" t="s">
        <v>66</v>
      </c>
      <c r="E483" s="1">
        <f t="shared" si="2"/>
        <v>102.5</v>
      </c>
      <c r="F483" s="1">
        <f t="shared" si="3"/>
        <v>2.5</v>
      </c>
      <c r="G483" s="1">
        <v>41.0</v>
      </c>
      <c r="H483" s="1">
        <v>1.0</v>
      </c>
      <c r="I483" s="1">
        <v>7.0</v>
      </c>
      <c r="J483" s="1">
        <v>8.0</v>
      </c>
      <c r="K483" s="1">
        <v>48.0</v>
      </c>
      <c r="L483" s="1">
        <v>0.0</v>
      </c>
      <c r="M483" s="1">
        <v>0.0</v>
      </c>
      <c r="N483" s="1">
        <v>0.0</v>
      </c>
      <c r="O483" s="1">
        <v>1.0</v>
      </c>
      <c r="P483" s="1">
        <v>98.0</v>
      </c>
      <c r="Q483" s="1">
        <v>53.0</v>
      </c>
    </row>
    <row r="484">
      <c r="A484" s="1">
        <f t="shared" si="1"/>
        <v>482</v>
      </c>
      <c r="B484" s="1" t="s">
        <v>1331</v>
      </c>
      <c r="C484" s="1" t="s">
        <v>1042</v>
      </c>
      <c r="D484" s="1" t="s">
        <v>66</v>
      </c>
      <c r="E484" s="1">
        <f t="shared" si="2"/>
        <v>102.25</v>
      </c>
      <c r="F484" s="1">
        <f t="shared" si="3"/>
        <v>2.27</v>
      </c>
      <c r="G484" s="1">
        <v>45.0</v>
      </c>
      <c r="H484" s="1">
        <v>1.0</v>
      </c>
      <c r="I484" s="1">
        <v>3.0</v>
      </c>
      <c r="J484" s="1">
        <v>4.0</v>
      </c>
      <c r="K484" s="1">
        <v>58.0</v>
      </c>
      <c r="L484" s="1">
        <v>0.0</v>
      </c>
      <c r="M484" s="1">
        <v>0.0</v>
      </c>
      <c r="N484" s="1">
        <v>0.0</v>
      </c>
      <c r="O484" s="1">
        <v>0.0</v>
      </c>
      <c r="P484" s="1">
        <v>111.0</v>
      </c>
      <c r="Q484" s="1">
        <v>64.0</v>
      </c>
    </row>
    <row r="485">
      <c r="A485" s="1">
        <f t="shared" si="1"/>
        <v>482</v>
      </c>
      <c r="B485" s="1" t="s">
        <v>2474</v>
      </c>
      <c r="C485" s="1" t="s">
        <v>1036</v>
      </c>
      <c r="D485" s="1" t="s">
        <v>31</v>
      </c>
      <c r="E485" s="1">
        <f t="shared" si="2"/>
        <v>102.25</v>
      </c>
      <c r="F485" s="1">
        <f t="shared" si="3"/>
        <v>2.13</v>
      </c>
      <c r="G485" s="1">
        <v>48.0</v>
      </c>
      <c r="H485" s="1">
        <v>9.0</v>
      </c>
      <c r="I485" s="1">
        <v>6.0</v>
      </c>
      <c r="J485" s="1">
        <v>15.0</v>
      </c>
      <c r="K485" s="1">
        <v>69.0</v>
      </c>
      <c r="L485" s="1">
        <v>0.0</v>
      </c>
      <c r="M485" s="1">
        <v>1.0</v>
      </c>
      <c r="N485" s="1">
        <v>0.0</v>
      </c>
      <c r="O485" s="1">
        <v>0.0</v>
      </c>
      <c r="P485" s="1">
        <v>13.0</v>
      </c>
      <c r="Q485" s="1">
        <v>12.0</v>
      </c>
    </row>
    <row r="486">
      <c r="A486" s="1">
        <f t="shared" si="1"/>
        <v>484</v>
      </c>
      <c r="B486" s="1" t="s">
        <v>2328</v>
      </c>
      <c r="C486" s="1" t="s">
        <v>1032</v>
      </c>
      <c r="D486" s="1" t="s">
        <v>31</v>
      </c>
      <c r="E486" s="1">
        <f t="shared" si="2"/>
        <v>101.5</v>
      </c>
      <c r="F486" s="1">
        <f t="shared" si="3"/>
        <v>2.31</v>
      </c>
      <c r="G486" s="1">
        <v>44.0</v>
      </c>
      <c r="H486" s="1">
        <v>5.0</v>
      </c>
      <c r="I486" s="1">
        <v>15.0</v>
      </c>
      <c r="J486" s="1">
        <v>20.0</v>
      </c>
      <c r="K486" s="1">
        <v>42.0</v>
      </c>
      <c r="L486" s="1">
        <v>0.0</v>
      </c>
      <c r="M486" s="1">
        <v>5.0</v>
      </c>
      <c r="N486" s="1">
        <v>0.0</v>
      </c>
      <c r="O486" s="1">
        <v>0.0</v>
      </c>
      <c r="P486" s="1">
        <v>32.0</v>
      </c>
      <c r="Q486" s="1">
        <v>10.0</v>
      </c>
    </row>
    <row r="487">
      <c r="A487" s="1">
        <f t="shared" si="1"/>
        <v>484</v>
      </c>
      <c r="B487" s="1" t="s">
        <v>1388</v>
      </c>
      <c r="C487" s="1" t="s">
        <v>1038</v>
      </c>
      <c r="D487" s="1" t="s">
        <v>66</v>
      </c>
      <c r="E487" s="1">
        <f t="shared" si="2"/>
        <v>101.5</v>
      </c>
      <c r="F487" s="1">
        <f t="shared" si="3"/>
        <v>2.31</v>
      </c>
      <c r="G487" s="1">
        <v>44.0</v>
      </c>
      <c r="H487" s="1">
        <v>1.0</v>
      </c>
      <c r="I487" s="1">
        <v>6.0</v>
      </c>
      <c r="J487" s="1">
        <v>7.0</v>
      </c>
      <c r="K487" s="1">
        <v>48.0</v>
      </c>
      <c r="L487" s="1">
        <v>0.0</v>
      </c>
      <c r="M487" s="1">
        <v>0.0</v>
      </c>
      <c r="N487" s="1">
        <v>0.0</v>
      </c>
      <c r="O487" s="1">
        <v>1.0</v>
      </c>
      <c r="P487" s="1">
        <v>108.0</v>
      </c>
      <c r="Q487" s="1">
        <v>52.0</v>
      </c>
    </row>
    <row r="488">
      <c r="A488" s="1">
        <f t="shared" si="1"/>
        <v>486</v>
      </c>
      <c r="B488" s="1" t="s">
        <v>2301</v>
      </c>
      <c r="C488" s="1" t="s">
        <v>1087</v>
      </c>
      <c r="D488" s="1" t="s">
        <v>66</v>
      </c>
      <c r="E488" s="1">
        <f t="shared" si="2"/>
        <v>101.25</v>
      </c>
      <c r="F488" s="1">
        <f t="shared" si="3"/>
        <v>1.84</v>
      </c>
      <c r="G488" s="1">
        <v>55.0</v>
      </c>
      <c r="H488" s="1">
        <v>1.0</v>
      </c>
      <c r="I488" s="1">
        <v>4.0</v>
      </c>
      <c r="J488" s="1">
        <v>5.0</v>
      </c>
      <c r="K488" s="1">
        <v>50.0</v>
      </c>
      <c r="L488" s="1">
        <v>0.0</v>
      </c>
      <c r="M488" s="1">
        <v>0.0</v>
      </c>
      <c r="N488" s="1">
        <v>0.0</v>
      </c>
      <c r="O488" s="1">
        <v>0.0</v>
      </c>
      <c r="P488" s="1">
        <v>41.0</v>
      </c>
      <c r="Q488" s="1">
        <v>99.0</v>
      </c>
    </row>
    <row r="489">
      <c r="A489" s="1">
        <f t="shared" si="1"/>
        <v>487</v>
      </c>
      <c r="B489" s="1" t="s">
        <v>1794</v>
      </c>
      <c r="C489" s="1" t="s">
        <v>1030</v>
      </c>
      <c r="D489" s="1" t="s">
        <v>31</v>
      </c>
      <c r="E489" s="1">
        <f t="shared" si="2"/>
        <v>101</v>
      </c>
      <c r="F489" s="1">
        <f t="shared" si="3"/>
        <v>1.91</v>
      </c>
      <c r="G489" s="1">
        <v>53.0</v>
      </c>
      <c r="H489" s="1">
        <v>9.0</v>
      </c>
      <c r="I489" s="1">
        <v>2.0</v>
      </c>
      <c r="J489" s="1">
        <v>11.0</v>
      </c>
      <c r="K489" s="1">
        <v>60.0</v>
      </c>
      <c r="L489" s="1">
        <v>0.0</v>
      </c>
      <c r="M489" s="1">
        <v>0.0</v>
      </c>
      <c r="N489" s="1">
        <v>0.0</v>
      </c>
      <c r="O489" s="1">
        <v>0.0</v>
      </c>
      <c r="P489" s="1">
        <v>26.0</v>
      </c>
      <c r="Q489" s="1">
        <v>36.0</v>
      </c>
    </row>
    <row r="490">
      <c r="A490" s="1">
        <f t="shared" si="1"/>
        <v>488</v>
      </c>
      <c r="B490" s="1" t="s">
        <v>1396</v>
      </c>
      <c r="C490" s="1" t="s">
        <v>1080</v>
      </c>
      <c r="D490" s="1" t="s">
        <v>36</v>
      </c>
      <c r="E490" s="1">
        <f t="shared" si="2"/>
        <v>100.75</v>
      </c>
      <c r="F490" s="1">
        <f t="shared" si="3"/>
        <v>2.29</v>
      </c>
      <c r="G490" s="1">
        <v>44.0</v>
      </c>
      <c r="H490" s="1">
        <v>3.0</v>
      </c>
      <c r="I490" s="1">
        <v>10.0</v>
      </c>
      <c r="J490" s="1">
        <v>13.0</v>
      </c>
      <c r="K490" s="1">
        <v>46.0</v>
      </c>
      <c r="L490" s="1">
        <v>0.0</v>
      </c>
      <c r="M490" s="1">
        <v>0.0</v>
      </c>
      <c r="N490" s="1">
        <v>0.0</v>
      </c>
      <c r="O490" s="1">
        <v>0.0</v>
      </c>
      <c r="P490" s="1">
        <v>107.0</v>
      </c>
      <c r="Q490" s="1">
        <v>15.0</v>
      </c>
    </row>
    <row r="491">
      <c r="A491" s="1">
        <f t="shared" si="1"/>
        <v>488</v>
      </c>
      <c r="B491" s="1" t="s">
        <v>2090</v>
      </c>
      <c r="C491" s="1" t="s">
        <v>1097</v>
      </c>
      <c r="D491" s="1" t="s">
        <v>31</v>
      </c>
      <c r="E491" s="1">
        <f t="shared" si="2"/>
        <v>100.75</v>
      </c>
      <c r="F491" s="1">
        <f t="shared" si="3"/>
        <v>1.9</v>
      </c>
      <c r="G491" s="1">
        <v>53.0</v>
      </c>
      <c r="H491" s="1">
        <v>5.0</v>
      </c>
      <c r="I491" s="1">
        <v>8.0</v>
      </c>
      <c r="J491" s="1">
        <v>13.0</v>
      </c>
      <c r="K491" s="1">
        <v>82.0</v>
      </c>
      <c r="L491" s="1">
        <v>1.0</v>
      </c>
      <c r="M491" s="1">
        <v>2.0</v>
      </c>
      <c r="N491" s="1">
        <v>0.0</v>
      </c>
      <c r="O491" s="1">
        <v>0.0</v>
      </c>
      <c r="P491" s="1">
        <v>23.0</v>
      </c>
      <c r="Q491" s="1">
        <v>15.0</v>
      </c>
    </row>
    <row r="492">
      <c r="A492" s="1">
        <f t="shared" si="1"/>
        <v>490</v>
      </c>
      <c r="B492" s="1" t="s">
        <v>1094</v>
      </c>
      <c r="C492" s="1" t="s">
        <v>1067</v>
      </c>
      <c r="D492" s="1" t="s">
        <v>31</v>
      </c>
      <c r="E492" s="1">
        <f t="shared" si="2"/>
        <v>100</v>
      </c>
      <c r="F492" s="1">
        <f t="shared" si="3"/>
        <v>4.76</v>
      </c>
      <c r="G492" s="1">
        <v>21.0</v>
      </c>
      <c r="H492" s="1">
        <v>2.0</v>
      </c>
      <c r="I492" s="1">
        <v>16.0</v>
      </c>
      <c r="J492" s="1">
        <v>18.0</v>
      </c>
      <c r="K492" s="1">
        <v>61.0</v>
      </c>
      <c r="L492" s="1">
        <v>1.0</v>
      </c>
      <c r="M492" s="1">
        <v>8.0</v>
      </c>
      <c r="N492" s="1">
        <v>0.0</v>
      </c>
      <c r="O492" s="1">
        <v>0.0</v>
      </c>
      <c r="P492" s="1">
        <v>20.0</v>
      </c>
      <c r="Q492" s="1">
        <v>15.0</v>
      </c>
    </row>
    <row r="493">
      <c r="A493" s="1">
        <f t="shared" si="1"/>
        <v>491</v>
      </c>
      <c r="B493" s="1" t="s">
        <v>1839</v>
      </c>
      <c r="C493" s="1" t="s">
        <v>1073</v>
      </c>
      <c r="D493" s="1" t="s">
        <v>28</v>
      </c>
      <c r="E493" s="1">
        <f t="shared" si="2"/>
        <v>99</v>
      </c>
      <c r="F493" s="1">
        <f t="shared" si="3"/>
        <v>2.68</v>
      </c>
      <c r="G493" s="1">
        <v>37.0</v>
      </c>
      <c r="H493" s="1">
        <v>8.0</v>
      </c>
      <c r="I493" s="1">
        <v>5.0</v>
      </c>
      <c r="J493" s="1">
        <v>13.0</v>
      </c>
      <c r="K493" s="1">
        <v>58.0</v>
      </c>
      <c r="L493" s="1">
        <v>0.0</v>
      </c>
      <c r="M493" s="1">
        <v>0.0</v>
      </c>
      <c r="N493" s="1">
        <v>1.0</v>
      </c>
      <c r="O493" s="1">
        <v>0.0</v>
      </c>
      <c r="P493" s="1">
        <v>44.0</v>
      </c>
      <c r="Q493" s="1">
        <v>12.0</v>
      </c>
    </row>
    <row r="494">
      <c r="A494" s="1">
        <f t="shared" si="1"/>
        <v>491</v>
      </c>
      <c r="B494" s="1" t="s">
        <v>1301</v>
      </c>
      <c r="C494" s="1" t="s">
        <v>1116</v>
      </c>
      <c r="D494" s="1" t="s">
        <v>66</v>
      </c>
      <c r="E494" s="1">
        <f t="shared" si="2"/>
        <v>99</v>
      </c>
      <c r="F494" s="1">
        <f t="shared" si="3"/>
        <v>1.9</v>
      </c>
      <c r="G494" s="1">
        <v>52.0</v>
      </c>
      <c r="H494" s="1">
        <v>0.0</v>
      </c>
      <c r="I494" s="1">
        <v>9.0</v>
      </c>
      <c r="J494" s="1">
        <v>9.0</v>
      </c>
      <c r="K494" s="1">
        <v>44.0</v>
      </c>
      <c r="L494" s="1">
        <v>0.0</v>
      </c>
      <c r="M494" s="1">
        <v>0.0</v>
      </c>
      <c r="N494" s="1">
        <v>0.0</v>
      </c>
      <c r="O494" s="1">
        <v>1.0</v>
      </c>
      <c r="P494" s="1">
        <v>76.0</v>
      </c>
      <c r="Q494" s="1">
        <v>58.0</v>
      </c>
    </row>
    <row r="495">
      <c r="A495" s="1">
        <f t="shared" si="1"/>
        <v>493</v>
      </c>
      <c r="B495" s="1" t="s">
        <v>1811</v>
      </c>
      <c r="C495" s="1" t="s">
        <v>1120</v>
      </c>
      <c r="D495" s="1" t="s">
        <v>66</v>
      </c>
      <c r="E495" s="1">
        <f t="shared" si="2"/>
        <v>98</v>
      </c>
      <c r="F495" s="1">
        <f t="shared" si="3"/>
        <v>1.75</v>
      </c>
      <c r="G495" s="1">
        <v>56.0</v>
      </c>
      <c r="H495" s="1">
        <v>3.0</v>
      </c>
      <c r="I495" s="1">
        <v>7.0</v>
      </c>
      <c r="J495" s="1">
        <v>10.0</v>
      </c>
      <c r="K495" s="1">
        <v>53.0</v>
      </c>
      <c r="L495" s="1">
        <v>0.0</v>
      </c>
      <c r="M495" s="1">
        <v>0.0</v>
      </c>
      <c r="N495" s="1">
        <v>0.0</v>
      </c>
      <c r="O495" s="1">
        <v>0.0</v>
      </c>
      <c r="P495" s="1">
        <v>58.0</v>
      </c>
      <c r="Q495" s="1">
        <v>45.0</v>
      </c>
    </row>
    <row r="496">
      <c r="A496" s="1">
        <f t="shared" si="1"/>
        <v>494</v>
      </c>
      <c r="B496" s="1" t="s">
        <v>1169</v>
      </c>
      <c r="C496" s="1" t="s">
        <v>1042</v>
      </c>
      <c r="D496" s="1" t="s">
        <v>31</v>
      </c>
      <c r="E496" s="1">
        <f t="shared" si="2"/>
        <v>97</v>
      </c>
      <c r="F496" s="1">
        <f t="shared" si="3"/>
        <v>2.85</v>
      </c>
      <c r="G496" s="1">
        <v>34.0</v>
      </c>
      <c r="H496" s="1">
        <v>6.0</v>
      </c>
      <c r="I496" s="1">
        <v>7.0</v>
      </c>
      <c r="J496" s="1">
        <v>13.0</v>
      </c>
      <c r="K496" s="1">
        <v>73.0</v>
      </c>
      <c r="L496" s="1">
        <v>1.0</v>
      </c>
      <c r="M496" s="1">
        <v>2.0</v>
      </c>
      <c r="N496" s="1">
        <v>0.0</v>
      </c>
      <c r="O496" s="1">
        <v>0.0</v>
      </c>
      <c r="P496" s="1">
        <v>30.0</v>
      </c>
      <c r="Q496" s="1">
        <v>10.0</v>
      </c>
    </row>
    <row r="497">
      <c r="A497" s="1">
        <f t="shared" si="1"/>
        <v>494</v>
      </c>
      <c r="B497" s="1" t="s">
        <v>1510</v>
      </c>
      <c r="C497" s="1" t="s">
        <v>1054</v>
      </c>
      <c r="D497" s="1" t="s">
        <v>66</v>
      </c>
      <c r="E497" s="1">
        <f t="shared" si="2"/>
        <v>97</v>
      </c>
      <c r="F497" s="1">
        <f t="shared" si="3"/>
        <v>1.8</v>
      </c>
      <c r="G497" s="1">
        <v>54.0</v>
      </c>
      <c r="H497" s="1">
        <v>1.0</v>
      </c>
      <c r="I497" s="1">
        <v>7.0</v>
      </c>
      <c r="J497" s="1">
        <v>8.0</v>
      </c>
      <c r="K497" s="1">
        <v>30.0</v>
      </c>
      <c r="L497" s="1">
        <v>0.0</v>
      </c>
      <c r="M497" s="1">
        <v>0.0</v>
      </c>
      <c r="N497" s="1">
        <v>0.0</v>
      </c>
      <c r="O497" s="1">
        <v>0.0</v>
      </c>
      <c r="P497" s="1">
        <v>38.0</v>
      </c>
      <c r="Q497" s="1">
        <v>94.0</v>
      </c>
    </row>
    <row r="498">
      <c r="A498" s="1">
        <f t="shared" si="1"/>
        <v>496</v>
      </c>
      <c r="B498" s="1" t="s">
        <v>1844</v>
      </c>
      <c r="C498" s="1" t="s">
        <v>1111</v>
      </c>
      <c r="D498" s="1" t="s">
        <v>66</v>
      </c>
      <c r="E498" s="1">
        <f t="shared" si="2"/>
        <v>96.75</v>
      </c>
      <c r="F498" s="1">
        <f t="shared" si="3"/>
        <v>2.25</v>
      </c>
      <c r="G498" s="1">
        <v>43.0</v>
      </c>
      <c r="H498" s="1">
        <v>1.0</v>
      </c>
      <c r="I498" s="1">
        <v>10.0</v>
      </c>
      <c r="J498" s="1">
        <v>11.0</v>
      </c>
      <c r="K498" s="1">
        <v>38.0</v>
      </c>
      <c r="L498" s="1">
        <v>1.0</v>
      </c>
      <c r="M498" s="1">
        <v>3.0</v>
      </c>
      <c r="N498" s="1">
        <v>0.0</v>
      </c>
      <c r="O498" s="1">
        <v>0.0</v>
      </c>
      <c r="P498" s="1">
        <v>45.0</v>
      </c>
      <c r="Q498" s="1">
        <v>64.0</v>
      </c>
    </row>
    <row r="499">
      <c r="A499" s="1">
        <f t="shared" si="1"/>
        <v>497</v>
      </c>
      <c r="B499" s="1" t="s">
        <v>2406</v>
      </c>
      <c r="C499" s="1" t="s">
        <v>1042</v>
      </c>
      <c r="D499" s="1" t="s">
        <v>31</v>
      </c>
      <c r="E499" s="1">
        <f t="shared" si="2"/>
        <v>96.5</v>
      </c>
      <c r="F499" s="1">
        <f t="shared" si="3"/>
        <v>2.41</v>
      </c>
      <c r="G499" s="1">
        <v>40.0</v>
      </c>
      <c r="H499" s="1">
        <v>10.0</v>
      </c>
      <c r="I499" s="1">
        <v>3.0</v>
      </c>
      <c r="J499" s="1">
        <v>13.0</v>
      </c>
      <c r="K499" s="1">
        <v>62.0</v>
      </c>
      <c r="L499" s="1">
        <v>0.0</v>
      </c>
      <c r="M499" s="1">
        <v>0.0</v>
      </c>
      <c r="N499" s="1">
        <v>1.0</v>
      </c>
      <c r="O499" s="1">
        <v>0.0</v>
      </c>
      <c r="P499" s="1">
        <v>20.0</v>
      </c>
      <c r="Q499" s="1">
        <v>9.0</v>
      </c>
    </row>
    <row r="500">
      <c r="A500" s="1">
        <f t="shared" si="1"/>
        <v>498</v>
      </c>
      <c r="B500" s="1" t="s">
        <v>1680</v>
      </c>
      <c r="C500" s="1" t="s">
        <v>1120</v>
      </c>
      <c r="D500" s="1" t="s">
        <v>66</v>
      </c>
      <c r="E500" s="1">
        <f t="shared" si="2"/>
        <v>96.25</v>
      </c>
      <c r="F500" s="1">
        <f t="shared" si="3"/>
        <v>2.19</v>
      </c>
      <c r="G500" s="1">
        <v>44.0</v>
      </c>
      <c r="H500" s="1">
        <v>3.0</v>
      </c>
      <c r="I500" s="1">
        <v>8.0</v>
      </c>
      <c r="J500" s="1">
        <v>11.0</v>
      </c>
      <c r="K500" s="1">
        <v>55.0</v>
      </c>
      <c r="L500" s="1">
        <v>0.0</v>
      </c>
      <c r="M500" s="1">
        <v>0.0</v>
      </c>
      <c r="N500" s="1">
        <v>0.0</v>
      </c>
      <c r="O500" s="1">
        <v>0.0</v>
      </c>
      <c r="P500" s="1">
        <v>33.0</v>
      </c>
      <c r="Q500" s="1">
        <v>46.0</v>
      </c>
    </row>
    <row r="501">
      <c r="A501" s="1">
        <f t="shared" si="1"/>
        <v>498</v>
      </c>
      <c r="B501" s="1" t="s">
        <v>2321</v>
      </c>
      <c r="C501" s="1" t="s">
        <v>1106</v>
      </c>
      <c r="D501" s="1" t="s">
        <v>31</v>
      </c>
      <c r="E501" s="1">
        <f t="shared" si="2"/>
        <v>96.25</v>
      </c>
      <c r="F501" s="1">
        <f t="shared" si="3"/>
        <v>3.1</v>
      </c>
      <c r="G501" s="1">
        <v>31.0</v>
      </c>
      <c r="H501" s="1">
        <v>5.0</v>
      </c>
      <c r="I501" s="1">
        <v>12.0</v>
      </c>
      <c r="J501" s="1">
        <v>17.0</v>
      </c>
      <c r="K501" s="1">
        <v>35.0</v>
      </c>
      <c r="L501" s="1">
        <v>1.0</v>
      </c>
      <c r="M501" s="1">
        <v>3.0</v>
      </c>
      <c r="N501" s="1">
        <v>2.0</v>
      </c>
      <c r="O501" s="1">
        <v>1.0</v>
      </c>
      <c r="P501" s="1">
        <v>17.0</v>
      </c>
      <c r="Q501" s="1">
        <v>20.0</v>
      </c>
    </row>
    <row r="502">
      <c r="A502" s="1">
        <f t="shared" si="1"/>
        <v>500</v>
      </c>
      <c r="B502" s="1" t="s">
        <v>2292</v>
      </c>
      <c r="C502" s="1" t="s">
        <v>1082</v>
      </c>
      <c r="D502" s="1" t="s">
        <v>28</v>
      </c>
      <c r="E502" s="1">
        <f t="shared" si="2"/>
        <v>95.75</v>
      </c>
      <c r="F502" s="1">
        <f t="shared" si="3"/>
        <v>2.18</v>
      </c>
      <c r="G502" s="1">
        <v>44.0</v>
      </c>
      <c r="H502" s="1">
        <v>4.0</v>
      </c>
      <c r="I502" s="1">
        <v>7.0</v>
      </c>
      <c r="J502" s="1">
        <v>11.0</v>
      </c>
      <c r="K502" s="1">
        <v>50.0</v>
      </c>
      <c r="L502" s="1">
        <v>0.0</v>
      </c>
      <c r="M502" s="1">
        <v>0.0</v>
      </c>
      <c r="N502" s="1">
        <v>0.0</v>
      </c>
      <c r="O502" s="1">
        <v>0.0</v>
      </c>
      <c r="P502" s="1">
        <v>71.0</v>
      </c>
      <c r="Q502" s="1">
        <v>28.0</v>
      </c>
    </row>
    <row r="503">
      <c r="A503" s="1">
        <f t="shared" si="1"/>
        <v>501</v>
      </c>
      <c r="B503" s="1" t="s">
        <v>1199</v>
      </c>
      <c r="C503" s="1" t="s">
        <v>1106</v>
      </c>
      <c r="D503" s="1" t="s">
        <v>36</v>
      </c>
      <c r="E503" s="1">
        <f t="shared" si="2"/>
        <v>95.5</v>
      </c>
      <c r="F503" s="1">
        <f t="shared" si="3"/>
        <v>3.98</v>
      </c>
      <c r="G503" s="1">
        <v>24.0</v>
      </c>
      <c r="H503" s="1">
        <v>4.0</v>
      </c>
      <c r="I503" s="1">
        <v>10.0</v>
      </c>
      <c r="J503" s="1">
        <v>14.0</v>
      </c>
      <c r="K503" s="1">
        <v>65.0</v>
      </c>
      <c r="L503" s="1">
        <v>2.0</v>
      </c>
      <c r="M503" s="1">
        <v>4.0</v>
      </c>
      <c r="N503" s="1">
        <v>0.0</v>
      </c>
      <c r="O503" s="1">
        <v>0.0</v>
      </c>
      <c r="P503" s="1">
        <v>30.0</v>
      </c>
      <c r="Q503" s="1">
        <v>15.0</v>
      </c>
    </row>
    <row r="504">
      <c r="A504" s="1">
        <f t="shared" si="1"/>
        <v>502</v>
      </c>
      <c r="B504" s="1" t="s">
        <v>1277</v>
      </c>
      <c r="C504" s="1" t="s">
        <v>1052</v>
      </c>
      <c r="D504" s="1" t="s">
        <v>31</v>
      </c>
      <c r="E504" s="1">
        <f t="shared" si="2"/>
        <v>95.25</v>
      </c>
      <c r="F504" s="1">
        <f t="shared" si="3"/>
        <v>2.72</v>
      </c>
      <c r="G504" s="1">
        <v>35.0</v>
      </c>
      <c r="H504" s="1">
        <v>7.0</v>
      </c>
      <c r="I504" s="1">
        <v>7.0</v>
      </c>
      <c r="J504" s="1">
        <v>14.0</v>
      </c>
      <c r="K504" s="1">
        <v>65.0</v>
      </c>
      <c r="L504" s="1">
        <v>2.0</v>
      </c>
      <c r="M504" s="1">
        <v>0.0</v>
      </c>
      <c r="N504" s="1">
        <v>0.0</v>
      </c>
      <c r="O504" s="1">
        <v>0.0</v>
      </c>
      <c r="P504" s="1">
        <v>21.0</v>
      </c>
      <c r="Q504" s="1">
        <v>10.0</v>
      </c>
    </row>
    <row r="505">
      <c r="A505" s="1">
        <f t="shared" si="1"/>
        <v>502</v>
      </c>
      <c r="B505" s="1" t="s">
        <v>2317</v>
      </c>
      <c r="C505" s="1" t="s">
        <v>1036</v>
      </c>
      <c r="D505" s="1" t="s">
        <v>66</v>
      </c>
      <c r="E505" s="1">
        <f t="shared" si="2"/>
        <v>95.25</v>
      </c>
      <c r="F505" s="1">
        <f t="shared" si="3"/>
        <v>2.72</v>
      </c>
      <c r="G505" s="1">
        <v>35.0</v>
      </c>
      <c r="H505" s="1">
        <v>0.0</v>
      </c>
      <c r="I505" s="1">
        <v>9.0</v>
      </c>
      <c r="J505" s="1">
        <v>9.0</v>
      </c>
      <c r="K505" s="1">
        <v>41.0</v>
      </c>
      <c r="L505" s="1">
        <v>0.0</v>
      </c>
      <c r="M505" s="1">
        <v>0.0</v>
      </c>
      <c r="N505" s="1">
        <v>0.0</v>
      </c>
      <c r="O505" s="1">
        <v>0.0</v>
      </c>
      <c r="P505" s="1">
        <v>41.0</v>
      </c>
      <c r="Q505" s="1">
        <v>75.0</v>
      </c>
    </row>
    <row r="506">
      <c r="A506" s="1">
        <f t="shared" si="1"/>
        <v>504</v>
      </c>
      <c r="B506" s="1" t="s">
        <v>1624</v>
      </c>
      <c r="C506" s="1" t="s">
        <v>1046</v>
      </c>
      <c r="D506" s="1" t="s">
        <v>31</v>
      </c>
      <c r="E506" s="1">
        <f t="shared" si="2"/>
        <v>95</v>
      </c>
      <c r="F506" s="1">
        <f t="shared" si="3"/>
        <v>3.96</v>
      </c>
      <c r="G506" s="1">
        <v>24.0</v>
      </c>
      <c r="H506" s="1">
        <v>6.0</v>
      </c>
      <c r="I506" s="1">
        <v>3.0</v>
      </c>
      <c r="J506" s="1">
        <v>9.0</v>
      </c>
      <c r="K506" s="1">
        <v>40.0</v>
      </c>
      <c r="L506" s="1">
        <v>0.0</v>
      </c>
      <c r="M506" s="1">
        <v>0.0</v>
      </c>
      <c r="N506" s="1">
        <v>0.0</v>
      </c>
      <c r="O506" s="1">
        <v>0.0</v>
      </c>
      <c r="P506" s="1">
        <v>100.0</v>
      </c>
      <c r="Q506" s="1">
        <v>28.0</v>
      </c>
    </row>
    <row r="507">
      <c r="A507" s="1">
        <f t="shared" si="1"/>
        <v>505</v>
      </c>
      <c r="B507" s="1" t="s">
        <v>2111</v>
      </c>
      <c r="C507" s="1" t="s">
        <v>1038</v>
      </c>
      <c r="D507" s="1" t="s">
        <v>5</v>
      </c>
      <c r="E507" s="1">
        <f t="shared" si="2"/>
        <v>94.8</v>
      </c>
      <c r="F507" s="1">
        <f t="shared" si="3"/>
        <v>4.99</v>
      </c>
      <c r="G507" s="1">
        <v>19.0</v>
      </c>
      <c r="R507" s="1">
        <v>9.0</v>
      </c>
      <c r="S507" s="1">
        <v>46.0</v>
      </c>
      <c r="T507" s="1">
        <v>436.0</v>
      </c>
      <c r="U507" s="1">
        <v>2.0</v>
      </c>
    </row>
    <row r="508">
      <c r="A508" s="1">
        <f t="shared" si="1"/>
        <v>506</v>
      </c>
      <c r="B508" s="1" t="s">
        <v>2330</v>
      </c>
      <c r="C508" s="1" t="s">
        <v>1052</v>
      </c>
      <c r="D508" s="1" t="s">
        <v>36</v>
      </c>
      <c r="E508" s="1">
        <f t="shared" si="2"/>
        <v>94</v>
      </c>
      <c r="F508" s="1">
        <f t="shared" si="3"/>
        <v>2.04</v>
      </c>
      <c r="G508" s="1">
        <v>46.0</v>
      </c>
      <c r="H508" s="1">
        <v>5.0</v>
      </c>
      <c r="I508" s="1">
        <v>5.0</v>
      </c>
      <c r="J508" s="1">
        <v>10.0</v>
      </c>
      <c r="K508" s="1">
        <v>53.0</v>
      </c>
      <c r="L508" s="1">
        <v>0.0</v>
      </c>
      <c r="M508" s="1">
        <v>0.0</v>
      </c>
      <c r="N508" s="1">
        <v>0.0</v>
      </c>
      <c r="O508" s="1">
        <v>0.0</v>
      </c>
      <c r="P508" s="1">
        <v>64.0</v>
      </c>
      <c r="Q508" s="1">
        <v>28.0</v>
      </c>
    </row>
    <row r="509">
      <c r="A509" s="1">
        <f t="shared" si="1"/>
        <v>507</v>
      </c>
      <c r="B509" s="1" t="s">
        <v>1498</v>
      </c>
      <c r="C509" s="1" t="s">
        <v>1032</v>
      </c>
      <c r="D509" s="1" t="s">
        <v>28</v>
      </c>
      <c r="E509" s="1">
        <f t="shared" si="2"/>
        <v>93.75</v>
      </c>
      <c r="F509" s="1">
        <f t="shared" si="3"/>
        <v>2.23</v>
      </c>
      <c r="G509" s="1">
        <v>42.0</v>
      </c>
      <c r="H509" s="1">
        <v>7.0</v>
      </c>
      <c r="I509" s="1">
        <v>5.0</v>
      </c>
      <c r="J509" s="1">
        <v>12.0</v>
      </c>
      <c r="K509" s="1">
        <v>61.0</v>
      </c>
      <c r="L509" s="1">
        <v>0.0</v>
      </c>
      <c r="M509" s="1">
        <v>0.0</v>
      </c>
      <c r="N509" s="1">
        <v>0.0</v>
      </c>
      <c r="O509" s="1">
        <v>0.0</v>
      </c>
      <c r="P509" s="1">
        <v>43.0</v>
      </c>
      <c r="Q509" s="1">
        <v>12.0</v>
      </c>
    </row>
    <row r="510">
      <c r="A510" s="1">
        <f t="shared" si="1"/>
        <v>508</v>
      </c>
      <c r="B510" s="1" t="s">
        <v>2210</v>
      </c>
      <c r="C510" s="1" t="s">
        <v>1032</v>
      </c>
      <c r="D510" s="1" t="s">
        <v>36</v>
      </c>
      <c r="E510" s="1">
        <f t="shared" si="2"/>
        <v>93.5</v>
      </c>
      <c r="F510" s="1">
        <f t="shared" si="3"/>
        <v>2.75</v>
      </c>
      <c r="G510" s="1">
        <v>34.0</v>
      </c>
      <c r="H510" s="1">
        <v>5.0</v>
      </c>
      <c r="I510" s="1">
        <v>8.0</v>
      </c>
      <c r="J510" s="1">
        <v>13.0</v>
      </c>
      <c r="K510" s="1">
        <v>62.0</v>
      </c>
      <c r="L510" s="1">
        <v>1.0</v>
      </c>
      <c r="M510" s="1">
        <v>0.0</v>
      </c>
      <c r="N510" s="1">
        <v>0.0</v>
      </c>
      <c r="O510" s="1">
        <v>0.0</v>
      </c>
      <c r="P510" s="1">
        <v>44.0</v>
      </c>
      <c r="Q510" s="1">
        <v>10.0</v>
      </c>
    </row>
    <row r="511">
      <c r="A511" s="1">
        <f t="shared" si="1"/>
        <v>508</v>
      </c>
      <c r="B511" s="1" t="s">
        <v>2347</v>
      </c>
      <c r="C511" s="1" t="s">
        <v>1073</v>
      </c>
      <c r="D511" s="1" t="s">
        <v>31</v>
      </c>
      <c r="E511" s="1">
        <f t="shared" si="2"/>
        <v>93.5</v>
      </c>
      <c r="F511" s="1">
        <f t="shared" si="3"/>
        <v>1.99</v>
      </c>
      <c r="G511" s="1">
        <v>47.0</v>
      </c>
      <c r="H511" s="1">
        <v>4.0</v>
      </c>
      <c r="I511" s="1">
        <v>4.0</v>
      </c>
      <c r="J511" s="1">
        <v>8.0</v>
      </c>
      <c r="K511" s="1">
        <v>33.0</v>
      </c>
      <c r="L511" s="1">
        <v>0.0</v>
      </c>
      <c r="M511" s="1">
        <v>0.0</v>
      </c>
      <c r="N511" s="1">
        <v>0.0</v>
      </c>
      <c r="O511" s="1">
        <v>0.0</v>
      </c>
      <c r="P511" s="1">
        <v>136.0</v>
      </c>
      <c r="Q511" s="1">
        <v>26.0</v>
      </c>
    </row>
    <row r="512">
      <c r="A512" s="1">
        <f t="shared" si="1"/>
        <v>510</v>
      </c>
      <c r="B512" s="1" t="s">
        <v>2181</v>
      </c>
      <c r="C512" s="1" t="s">
        <v>1078</v>
      </c>
      <c r="D512" s="1" t="s">
        <v>28</v>
      </c>
      <c r="E512" s="1">
        <f t="shared" si="2"/>
        <v>92.75</v>
      </c>
      <c r="F512" s="1">
        <f t="shared" si="3"/>
        <v>2.11</v>
      </c>
      <c r="G512" s="1">
        <v>44.0</v>
      </c>
      <c r="H512" s="1">
        <v>4.0</v>
      </c>
      <c r="I512" s="1">
        <v>4.0</v>
      </c>
      <c r="J512" s="1">
        <v>8.0</v>
      </c>
      <c r="K512" s="1">
        <v>67.0</v>
      </c>
      <c r="L512" s="1">
        <v>0.0</v>
      </c>
      <c r="M512" s="1">
        <v>0.0</v>
      </c>
      <c r="N512" s="1">
        <v>0.0</v>
      </c>
      <c r="O512" s="1">
        <v>0.0</v>
      </c>
      <c r="P512" s="1">
        <v>97.0</v>
      </c>
      <c r="Q512" s="1">
        <v>10.0</v>
      </c>
    </row>
    <row r="513">
      <c r="A513" s="1">
        <f t="shared" si="1"/>
        <v>511</v>
      </c>
      <c r="B513" s="1" t="s">
        <v>1750</v>
      </c>
      <c r="C513" s="1" t="s">
        <v>1172</v>
      </c>
      <c r="D513" s="1" t="s">
        <v>66</v>
      </c>
      <c r="E513" s="1">
        <f t="shared" si="2"/>
        <v>92.25</v>
      </c>
      <c r="F513" s="1">
        <f t="shared" si="3"/>
        <v>2.64</v>
      </c>
      <c r="G513" s="1">
        <v>35.0</v>
      </c>
      <c r="H513" s="1">
        <v>2.0</v>
      </c>
      <c r="I513" s="1">
        <v>14.0</v>
      </c>
      <c r="J513" s="1">
        <v>16.0</v>
      </c>
      <c r="K513" s="1">
        <v>39.0</v>
      </c>
      <c r="L513" s="1">
        <v>1.0</v>
      </c>
      <c r="M513" s="1">
        <v>7.0</v>
      </c>
      <c r="N513" s="1">
        <v>0.0</v>
      </c>
      <c r="O513" s="1">
        <v>0.0</v>
      </c>
      <c r="P513" s="1">
        <v>29.0</v>
      </c>
      <c r="Q513" s="1">
        <v>29.0</v>
      </c>
    </row>
    <row r="514">
      <c r="A514" s="1">
        <f t="shared" si="1"/>
        <v>512</v>
      </c>
      <c r="B514" s="1" t="s">
        <v>2170</v>
      </c>
      <c r="C514" s="1" t="s">
        <v>1032</v>
      </c>
      <c r="D514" s="1" t="s">
        <v>36</v>
      </c>
      <c r="E514" s="1">
        <f t="shared" si="2"/>
        <v>92</v>
      </c>
      <c r="F514" s="1">
        <f t="shared" si="3"/>
        <v>2.42</v>
      </c>
      <c r="G514" s="1">
        <v>38.0</v>
      </c>
      <c r="H514" s="1">
        <v>7.0</v>
      </c>
      <c r="I514" s="1">
        <v>2.0</v>
      </c>
      <c r="J514" s="1">
        <v>9.0</v>
      </c>
      <c r="K514" s="1">
        <v>62.0</v>
      </c>
      <c r="L514" s="1">
        <v>3.0</v>
      </c>
      <c r="M514" s="1">
        <v>0.0</v>
      </c>
      <c r="N514" s="1">
        <v>0.0</v>
      </c>
      <c r="O514" s="1">
        <v>0.0</v>
      </c>
      <c r="P514" s="1">
        <v>64.0</v>
      </c>
      <c r="Q514" s="1">
        <v>15.0</v>
      </c>
    </row>
    <row r="515">
      <c r="A515" s="1">
        <f t="shared" si="1"/>
        <v>513</v>
      </c>
      <c r="B515" s="1" t="s">
        <v>1467</v>
      </c>
      <c r="C515" s="1" t="s">
        <v>1067</v>
      </c>
      <c r="D515" s="1" t="s">
        <v>66</v>
      </c>
      <c r="E515" s="1">
        <f t="shared" si="2"/>
        <v>91.75</v>
      </c>
      <c r="F515" s="1">
        <f t="shared" si="3"/>
        <v>1.99</v>
      </c>
      <c r="G515" s="1">
        <v>46.0</v>
      </c>
      <c r="H515" s="1">
        <v>3.0</v>
      </c>
      <c r="I515" s="1">
        <v>5.0</v>
      </c>
      <c r="J515" s="1">
        <v>8.0</v>
      </c>
      <c r="K515" s="1">
        <v>50.0</v>
      </c>
      <c r="L515" s="1">
        <v>0.0</v>
      </c>
      <c r="M515" s="1">
        <v>0.0</v>
      </c>
      <c r="N515" s="1">
        <v>0.0</v>
      </c>
      <c r="O515" s="1">
        <v>0.0</v>
      </c>
      <c r="P515" s="1">
        <v>47.0</v>
      </c>
      <c r="Q515" s="1">
        <v>53.0</v>
      </c>
    </row>
    <row r="516">
      <c r="A516" s="1">
        <f t="shared" si="1"/>
        <v>514</v>
      </c>
      <c r="B516" s="1" t="s">
        <v>2175</v>
      </c>
      <c r="C516" s="1" t="s">
        <v>1076</v>
      </c>
      <c r="D516" s="1" t="s">
        <v>28</v>
      </c>
      <c r="E516" s="1">
        <f t="shared" si="2"/>
        <v>91.25</v>
      </c>
      <c r="F516" s="1">
        <f t="shared" si="3"/>
        <v>1.83</v>
      </c>
      <c r="G516" s="1">
        <v>50.0</v>
      </c>
      <c r="H516" s="1">
        <v>5.0</v>
      </c>
      <c r="I516" s="1">
        <v>6.0</v>
      </c>
      <c r="J516" s="1">
        <v>11.0</v>
      </c>
      <c r="K516" s="1">
        <v>65.0</v>
      </c>
      <c r="L516" s="1">
        <v>1.0</v>
      </c>
      <c r="M516" s="1">
        <v>0.0</v>
      </c>
      <c r="N516" s="1">
        <v>0.0</v>
      </c>
      <c r="O516" s="1">
        <v>0.0</v>
      </c>
      <c r="P516" s="1">
        <v>39.0</v>
      </c>
      <c r="Q516" s="1">
        <v>17.0</v>
      </c>
    </row>
    <row r="517">
      <c r="A517" s="1">
        <f t="shared" si="1"/>
        <v>515</v>
      </c>
      <c r="B517" s="1" t="s">
        <v>2333</v>
      </c>
      <c r="C517" s="1" t="s">
        <v>1044</v>
      </c>
      <c r="D517" s="1" t="s">
        <v>31</v>
      </c>
      <c r="E517" s="1">
        <f t="shared" si="2"/>
        <v>91</v>
      </c>
      <c r="F517" s="1">
        <f t="shared" si="3"/>
        <v>2.28</v>
      </c>
      <c r="G517" s="1">
        <v>40.0</v>
      </c>
      <c r="H517" s="1">
        <v>8.0</v>
      </c>
      <c r="I517" s="1">
        <v>5.0</v>
      </c>
      <c r="J517" s="1">
        <v>13.0</v>
      </c>
      <c r="K517" s="1">
        <v>48.0</v>
      </c>
      <c r="L517" s="1">
        <v>2.0</v>
      </c>
      <c r="M517" s="1">
        <v>1.0</v>
      </c>
      <c r="N517" s="1">
        <v>0.0</v>
      </c>
      <c r="O517" s="1">
        <v>0.0</v>
      </c>
      <c r="P517" s="1">
        <v>44.0</v>
      </c>
      <c r="Q517" s="1">
        <v>10.0</v>
      </c>
    </row>
    <row r="518">
      <c r="A518" s="1">
        <f t="shared" si="1"/>
        <v>516</v>
      </c>
      <c r="B518" s="1" t="s">
        <v>2302</v>
      </c>
      <c r="C518" s="1" t="s">
        <v>1046</v>
      </c>
      <c r="D518" s="1" t="s">
        <v>5</v>
      </c>
      <c r="E518" s="1">
        <f t="shared" si="2"/>
        <v>90.9</v>
      </c>
      <c r="F518" s="1">
        <f t="shared" si="3"/>
        <v>4.33</v>
      </c>
      <c r="G518" s="1">
        <v>21.0</v>
      </c>
      <c r="R518" s="1">
        <v>7.0</v>
      </c>
      <c r="S518" s="1">
        <v>77.0</v>
      </c>
      <c r="T518" s="1">
        <v>618.0</v>
      </c>
      <c r="U518" s="1">
        <v>0.0</v>
      </c>
    </row>
    <row r="519">
      <c r="A519" s="1">
        <f t="shared" si="1"/>
        <v>517</v>
      </c>
      <c r="B519" s="1" t="s">
        <v>1810</v>
      </c>
      <c r="C519" s="1" t="s">
        <v>1065</v>
      </c>
      <c r="D519" s="1" t="s">
        <v>66</v>
      </c>
      <c r="E519" s="1">
        <f t="shared" si="2"/>
        <v>90.75</v>
      </c>
      <c r="F519" s="1">
        <f t="shared" si="3"/>
        <v>1.93</v>
      </c>
      <c r="G519" s="1">
        <v>47.0</v>
      </c>
      <c r="H519" s="1">
        <v>3.0</v>
      </c>
      <c r="I519" s="1">
        <v>1.0</v>
      </c>
      <c r="J519" s="1">
        <v>4.0</v>
      </c>
      <c r="K519" s="1">
        <v>62.0</v>
      </c>
      <c r="L519" s="1">
        <v>0.0</v>
      </c>
      <c r="M519" s="1">
        <v>0.0</v>
      </c>
      <c r="N519" s="1">
        <v>0.0</v>
      </c>
      <c r="O519" s="1">
        <v>0.0</v>
      </c>
      <c r="P519" s="1">
        <v>63.0</v>
      </c>
      <c r="Q519" s="1">
        <v>55.0</v>
      </c>
    </row>
    <row r="520">
      <c r="A520" s="1">
        <f t="shared" si="1"/>
        <v>518</v>
      </c>
      <c r="B520" s="1" t="s">
        <v>1208</v>
      </c>
      <c r="C520" s="1" t="s">
        <v>1040</v>
      </c>
      <c r="D520" s="1" t="s">
        <v>5</v>
      </c>
      <c r="E520" s="1">
        <f t="shared" si="2"/>
        <v>90.3</v>
      </c>
      <c r="F520" s="1">
        <f t="shared" si="3"/>
        <v>4.75</v>
      </c>
      <c r="G520" s="1">
        <v>19.0</v>
      </c>
      <c r="R520" s="1">
        <v>8.0</v>
      </c>
      <c r="S520" s="1">
        <v>44.0</v>
      </c>
      <c r="T520" s="1">
        <v>421.0</v>
      </c>
      <c r="U520" s="1">
        <v>2.0</v>
      </c>
    </row>
    <row r="521">
      <c r="A521" s="1">
        <f t="shared" si="1"/>
        <v>519</v>
      </c>
      <c r="B521" s="1" t="s">
        <v>2202</v>
      </c>
      <c r="C521" s="1" t="s">
        <v>1120</v>
      </c>
      <c r="D521" s="1" t="s">
        <v>31</v>
      </c>
      <c r="E521" s="1">
        <f t="shared" si="2"/>
        <v>89.75</v>
      </c>
      <c r="F521" s="1">
        <f t="shared" si="3"/>
        <v>1.91</v>
      </c>
      <c r="G521" s="1">
        <v>47.0</v>
      </c>
      <c r="H521" s="1">
        <v>3.0</v>
      </c>
      <c r="I521" s="1">
        <v>5.0</v>
      </c>
      <c r="J521" s="1">
        <v>8.0</v>
      </c>
      <c r="K521" s="1">
        <v>83.0</v>
      </c>
      <c r="L521" s="1">
        <v>0.0</v>
      </c>
      <c r="M521" s="1">
        <v>0.0</v>
      </c>
      <c r="N521" s="1">
        <v>0.0</v>
      </c>
      <c r="O521" s="1">
        <v>0.0</v>
      </c>
      <c r="P521" s="1">
        <v>39.0</v>
      </c>
      <c r="Q521" s="1">
        <v>20.0</v>
      </c>
    </row>
    <row r="522">
      <c r="A522" s="1">
        <f t="shared" si="1"/>
        <v>520</v>
      </c>
      <c r="B522" s="1" t="s">
        <v>1529</v>
      </c>
      <c r="C522" s="1" t="s">
        <v>1097</v>
      </c>
      <c r="D522" s="1" t="s">
        <v>66</v>
      </c>
      <c r="E522" s="1">
        <f t="shared" si="2"/>
        <v>89.5</v>
      </c>
      <c r="F522" s="1">
        <f t="shared" si="3"/>
        <v>1.95</v>
      </c>
      <c r="G522" s="1">
        <v>46.0</v>
      </c>
      <c r="H522" s="1">
        <v>2.0</v>
      </c>
      <c r="I522" s="1">
        <v>6.0</v>
      </c>
      <c r="J522" s="1">
        <v>8.0</v>
      </c>
      <c r="K522" s="1">
        <v>57.0</v>
      </c>
      <c r="L522" s="1">
        <v>0.0</v>
      </c>
      <c r="M522" s="1">
        <v>0.0</v>
      </c>
      <c r="N522" s="1">
        <v>0.0</v>
      </c>
      <c r="O522" s="1">
        <v>0.0</v>
      </c>
      <c r="P522" s="1">
        <v>28.0</v>
      </c>
      <c r="Q522" s="1">
        <v>54.0</v>
      </c>
    </row>
    <row r="523">
      <c r="A523" s="1">
        <f t="shared" si="1"/>
        <v>521</v>
      </c>
      <c r="B523" s="1" t="s">
        <v>2475</v>
      </c>
      <c r="C523" s="1" t="s">
        <v>1065</v>
      </c>
      <c r="D523" s="1" t="s">
        <v>28</v>
      </c>
      <c r="E523" s="1">
        <f t="shared" si="2"/>
        <v>89</v>
      </c>
      <c r="F523" s="1">
        <f t="shared" si="3"/>
        <v>2.41</v>
      </c>
      <c r="G523" s="1">
        <v>37.0</v>
      </c>
      <c r="H523" s="1">
        <v>7.0</v>
      </c>
      <c r="I523" s="1">
        <v>6.0</v>
      </c>
      <c r="J523" s="1">
        <v>13.0</v>
      </c>
      <c r="K523" s="1">
        <v>35.0</v>
      </c>
      <c r="L523" s="1">
        <v>0.0</v>
      </c>
      <c r="M523" s="1">
        <v>1.0</v>
      </c>
      <c r="N523" s="1">
        <v>0.0</v>
      </c>
      <c r="O523" s="1">
        <v>0.0</v>
      </c>
      <c r="P523" s="1">
        <v>36.0</v>
      </c>
      <c r="Q523" s="1">
        <v>26.0</v>
      </c>
    </row>
    <row r="524">
      <c r="A524" s="1">
        <f t="shared" si="1"/>
        <v>521</v>
      </c>
      <c r="B524" s="1" t="s">
        <v>1200</v>
      </c>
      <c r="C524" s="1" t="s">
        <v>1067</v>
      </c>
      <c r="D524" s="1" t="s">
        <v>31</v>
      </c>
      <c r="E524" s="1">
        <f t="shared" si="2"/>
        <v>89</v>
      </c>
      <c r="F524" s="1">
        <f t="shared" si="3"/>
        <v>2.17</v>
      </c>
      <c r="G524" s="1">
        <v>41.0</v>
      </c>
      <c r="H524" s="1">
        <v>4.0</v>
      </c>
      <c r="I524" s="1">
        <v>9.0</v>
      </c>
      <c r="J524" s="1">
        <v>13.0</v>
      </c>
      <c r="K524" s="1">
        <v>62.0</v>
      </c>
      <c r="L524" s="1">
        <v>1.0</v>
      </c>
      <c r="M524" s="1">
        <v>0.0</v>
      </c>
      <c r="N524" s="1">
        <v>0.0</v>
      </c>
      <c r="O524" s="1">
        <v>0.0</v>
      </c>
      <c r="P524" s="1">
        <v>30.0</v>
      </c>
      <c r="Q524" s="1">
        <v>11.0</v>
      </c>
    </row>
    <row r="525">
      <c r="A525" s="1">
        <f t="shared" si="1"/>
        <v>523</v>
      </c>
      <c r="B525" s="1" t="s">
        <v>1830</v>
      </c>
      <c r="C525" s="1" t="s">
        <v>1036</v>
      </c>
      <c r="D525" s="1" t="s">
        <v>66</v>
      </c>
      <c r="E525" s="1">
        <f t="shared" si="2"/>
        <v>88.75</v>
      </c>
      <c r="F525" s="1">
        <f t="shared" si="3"/>
        <v>2.06</v>
      </c>
      <c r="G525" s="1">
        <v>43.0</v>
      </c>
      <c r="H525" s="1">
        <v>2.0</v>
      </c>
      <c r="I525" s="1">
        <v>6.0</v>
      </c>
      <c r="J525" s="1">
        <v>8.0</v>
      </c>
      <c r="K525" s="1">
        <v>53.0</v>
      </c>
      <c r="L525" s="1">
        <v>0.0</v>
      </c>
      <c r="M525" s="1">
        <v>0.0</v>
      </c>
      <c r="N525" s="1">
        <v>0.0</v>
      </c>
      <c r="O525" s="1">
        <v>0.0</v>
      </c>
      <c r="P525" s="1">
        <v>31.0</v>
      </c>
      <c r="Q525" s="1">
        <v>55.0</v>
      </c>
    </row>
    <row r="526">
      <c r="A526" s="1">
        <f t="shared" si="1"/>
        <v>524</v>
      </c>
      <c r="B526" s="1" t="s">
        <v>2041</v>
      </c>
      <c r="C526" s="1" t="s">
        <v>1172</v>
      </c>
      <c r="D526" s="1" t="s">
        <v>31</v>
      </c>
      <c r="E526" s="1">
        <f t="shared" si="2"/>
        <v>88.5</v>
      </c>
      <c r="F526" s="1">
        <f t="shared" si="3"/>
        <v>2.21</v>
      </c>
      <c r="G526" s="1">
        <v>40.0</v>
      </c>
      <c r="H526" s="1">
        <v>5.0</v>
      </c>
      <c r="I526" s="1">
        <v>6.0</v>
      </c>
      <c r="J526" s="1">
        <v>11.0</v>
      </c>
      <c r="K526" s="1">
        <v>66.0</v>
      </c>
      <c r="L526" s="1">
        <v>0.0</v>
      </c>
      <c r="M526" s="1">
        <v>3.0</v>
      </c>
      <c r="N526" s="1">
        <v>0.0</v>
      </c>
      <c r="O526" s="1">
        <v>0.0</v>
      </c>
      <c r="P526" s="1">
        <v>16.0</v>
      </c>
      <c r="Q526" s="1">
        <v>22.0</v>
      </c>
    </row>
    <row r="527">
      <c r="A527" s="1">
        <f t="shared" si="1"/>
        <v>525</v>
      </c>
      <c r="B527" s="1" t="s">
        <v>2476</v>
      </c>
      <c r="C527" s="1" t="s">
        <v>1030</v>
      </c>
      <c r="D527" s="1" t="s">
        <v>5</v>
      </c>
      <c r="E527" s="1">
        <f t="shared" si="2"/>
        <v>88.2</v>
      </c>
      <c r="F527" s="1">
        <f t="shared" si="3"/>
        <v>4.01</v>
      </c>
      <c r="G527" s="1">
        <v>22.0</v>
      </c>
      <c r="R527" s="1">
        <v>6.0</v>
      </c>
      <c r="S527" s="1">
        <v>63.0</v>
      </c>
      <c r="T527" s="1">
        <v>539.0</v>
      </c>
      <c r="U527" s="1">
        <v>1.0</v>
      </c>
    </row>
    <row r="528">
      <c r="A528" s="1">
        <f t="shared" si="1"/>
        <v>526</v>
      </c>
      <c r="B528" s="1" t="s">
        <v>1956</v>
      </c>
      <c r="C528" s="1" t="s">
        <v>1175</v>
      </c>
      <c r="D528" s="1" t="s">
        <v>31</v>
      </c>
      <c r="E528" s="1">
        <f t="shared" si="2"/>
        <v>87.75</v>
      </c>
      <c r="F528" s="1">
        <f t="shared" si="3"/>
        <v>1.99</v>
      </c>
      <c r="G528" s="1">
        <v>44.0</v>
      </c>
      <c r="H528" s="1">
        <v>3.0</v>
      </c>
      <c r="I528" s="1">
        <v>10.0</v>
      </c>
      <c r="J528" s="1">
        <v>13.0</v>
      </c>
      <c r="K528" s="1">
        <v>59.0</v>
      </c>
      <c r="L528" s="1">
        <v>1.0</v>
      </c>
      <c r="M528" s="1">
        <v>0.0</v>
      </c>
      <c r="N528" s="1">
        <v>0.0</v>
      </c>
      <c r="O528" s="1">
        <v>0.0</v>
      </c>
      <c r="P528" s="1">
        <v>25.0</v>
      </c>
      <c r="Q528" s="1">
        <v>17.0</v>
      </c>
    </row>
    <row r="529">
      <c r="A529" s="1">
        <f t="shared" si="1"/>
        <v>527</v>
      </c>
      <c r="B529" s="1" t="s">
        <v>1450</v>
      </c>
      <c r="C529" s="1" t="s">
        <v>1046</v>
      </c>
      <c r="D529" s="1" t="s">
        <v>28</v>
      </c>
      <c r="E529" s="1">
        <f t="shared" si="2"/>
        <v>87.5</v>
      </c>
      <c r="F529" s="1">
        <f t="shared" si="3"/>
        <v>1.75</v>
      </c>
      <c r="G529" s="1">
        <v>50.0</v>
      </c>
      <c r="H529" s="1">
        <v>5.0</v>
      </c>
      <c r="I529" s="1">
        <v>5.0</v>
      </c>
      <c r="J529" s="1">
        <v>10.0</v>
      </c>
      <c r="K529" s="1">
        <v>58.0</v>
      </c>
      <c r="L529" s="1">
        <v>0.0</v>
      </c>
      <c r="M529" s="1">
        <v>0.0</v>
      </c>
      <c r="N529" s="1">
        <v>0.0</v>
      </c>
      <c r="O529" s="1">
        <v>1.0</v>
      </c>
      <c r="P529" s="1">
        <v>38.0</v>
      </c>
      <c r="Q529" s="1">
        <v>19.0</v>
      </c>
    </row>
    <row r="530">
      <c r="A530" s="1">
        <f t="shared" si="1"/>
        <v>528</v>
      </c>
      <c r="B530" s="1" t="s">
        <v>1470</v>
      </c>
      <c r="C530" s="1" t="s">
        <v>1111</v>
      </c>
      <c r="D530" s="1" t="s">
        <v>66</v>
      </c>
      <c r="E530" s="1">
        <f t="shared" si="2"/>
        <v>87.25</v>
      </c>
      <c r="F530" s="1">
        <f t="shared" si="3"/>
        <v>2.08</v>
      </c>
      <c r="G530" s="1">
        <v>42.0</v>
      </c>
      <c r="H530" s="1">
        <v>1.0</v>
      </c>
      <c r="I530" s="1">
        <v>1.0</v>
      </c>
      <c r="J530" s="1">
        <v>2.0</v>
      </c>
      <c r="K530" s="1">
        <v>36.0</v>
      </c>
      <c r="L530" s="1">
        <v>0.0</v>
      </c>
      <c r="M530" s="1">
        <v>0.0</v>
      </c>
      <c r="N530" s="1">
        <v>0.0</v>
      </c>
      <c r="O530" s="1">
        <v>0.0</v>
      </c>
      <c r="P530" s="1">
        <v>103.0</v>
      </c>
      <c r="Q530" s="1">
        <v>72.0</v>
      </c>
    </row>
    <row r="531">
      <c r="A531" s="1">
        <f t="shared" si="1"/>
        <v>528</v>
      </c>
      <c r="B531" s="1" t="s">
        <v>1577</v>
      </c>
      <c r="C531" s="1" t="s">
        <v>1172</v>
      </c>
      <c r="D531" s="1" t="s">
        <v>36</v>
      </c>
      <c r="E531" s="1">
        <f t="shared" si="2"/>
        <v>87.25</v>
      </c>
      <c r="F531" s="1">
        <f t="shared" si="3"/>
        <v>1.56</v>
      </c>
      <c r="G531" s="1">
        <v>56.0</v>
      </c>
      <c r="H531" s="1">
        <v>1.0</v>
      </c>
      <c r="I531" s="1">
        <v>11.0</v>
      </c>
      <c r="J531" s="1">
        <v>12.0</v>
      </c>
      <c r="K531" s="1">
        <v>63.0</v>
      </c>
      <c r="L531" s="1">
        <v>0.0</v>
      </c>
      <c r="M531" s="1">
        <v>0.0</v>
      </c>
      <c r="N531" s="1">
        <v>0.0</v>
      </c>
      <c r="O531" s="1">
        <v>0.0</v>
      </c>
      <c r="P531" s="1">
        <v>45.0</v>
      </c>
      <c r="Q531" s="1">
        <v>14.0</v>
      </c>
    </row>
    <row r="532">
      <c r="A532" s="1">
        <f t="shared" si="1"/>
        <v>528</v>
      </c>
      <c r="B532" s="1" t="s">
        <v>2224</v>
      </c>
      <c r="C532" s="1" t="s">
        <v>1106</v>
      </c>
      <c r="D532" s="1" t="s">
        <v>28</v>
      </c>
      <c r="E532" s="1">
        <f t="shared" si="2"/>
        <v>87.25</v>
      </c>
      <c r="F532" s="1">
        <f t="shared" si="3"/>
        <v>1.75</v>
      </c>
      <c r="G532" s="1">
        <v>50.0</v>
      </c>
      <c r="H532" s="1">
        <v>4.0</v>
      </c>
      <c r="I532" s="1">
        <v>3.0</v>
      </c>
      <c r="J532" s="1">
        <v>7.0</v>
      </c>
      <c r="K532" s="1">
        <v>65.0</v>
      </c>
      <c r="L532" s="1">
        <v>0.0</v>
      </c>
      <c r="M532" s="1">
        <v>0.0</v>
      </c>
      <c r="N532" s="1">
        <v>0.0</v>
      </c>
      <c r="O532" s="1">
        <v>1.0</v>
      </c>
      <c r="P532" s="1">
        <v>69.0</v>
      </c>
      <c r="Q532" s="1">
        <v>17.0</v>
      </c>
    </row>
    <row r="533">
      <c r="A533" s="1">
        <f t="shared" si="1"/>
        <v>531</v>
      </c>
      <c r="B533" s="1" t="s">
        <v>1626</v>
      </c>
      <c r="C533" s="1" t="s">
        <v>1091</v>
      </c>
      <c r="D533" s="1" t="s">
        <v>5</v>
      </c>
      <c r="E533" s="1">
        <f t="shared" si="2"/>
        <v>86.1</v>
      </c>
      <c r="F533" s="1">
        <f t="shared" si="3"/>
        <v>3.19</v>
      </c>
      <c r="G533" s="1">
        <v>27.0</v>
      </c>
      <c r="R533" s="1">
        <v>9.0</v>
      </c>
      <c r="S533" s="1">
        <v>89.0</v>
      </c>
      <c r="T533" s="1">
        <v>632.0</v>
      </c>
      <c r="U533" s="1">
        <v>1.0</v>
      </c>
    </row>
    <row r="534">
      <c r="A534" s="1">
        <f t="shared" si="1"/>
        <v>532</v>
      </c>
      <c r="B534" s="1" t="s">
        <v>1528</v>
      </c>
      <c r="C534" s="1" t="s">
        <v>1065</v>
      </c>
      <c r="D534" s="1" t="s">
        <v>31</v>
      </c>
      <c r="E534" s="1">
        <f t="shared" si="2"/>
        <v>85.75</v>
      </c>
      <c r="F534" s="1">
        <f t="shared" si="3"/>
        <v>2.04</v>
      </c>
      <c r="G534" s="1">
        <v>42.0</v>
      </c>
      <c r="H534" s="1">
        <v>6.0</v>
      </c>
      <c r="I534" s="1">
        <v>6.0</v>
      </c>
      <c r="J534" s="1">
        <v>12.0</v>
      </c>
      <c r="K534" s="1">
        <v>42.0</v>
      </c>
      <c r="L534" s="1">
        <v>0.0</v>
      </c>
      <c r="M534" s="1">
        <v>0.0</v>
      </c>
      <c r="N534" s="1">
        <v>0.0</v>
      </c>
      <c r="O534" s="1">
        <v>0.0</v>
      </c>
      <c r="P534" s="1">
        <v>41.0</v>
      </c>
      <c r="Q534" s="1">
        <v>19.0</v>
      </c>
    </row>
    <row r="535">
      <c r="A535" s="1">
        <f t="shared" si="1"/>
        <v>533</v>
      </c>
      <c r="B535" s="1" t="s">
        <v>1292</v>
      </c>
      <c r="C535" s="1" t="s">
        <v>1052</v>
      </c>
      <c r="D535" s="1" t="s">
        <v>66</v>
      </c>
      <c r="E535" s="1">
        <f t="shared" si="2"/>
        <v>85.25</v>
      </c>
      <c r="F535" s="1">
        <f t="shared" si="3"/>
        <v>1.81</v>
      </c>
      <c r="G535" s="1">
        <v>47.0</v>
      </c>
      <c r="H535" s="1">
        <v>2.0</v>
      </c>
      <c r="I535" s="1">
        <v>7.0</v>
      </c>
      <c r="J535" s="1">
        <v>9.0</v>
      </c>
      <c r="K535" s="1">
        <v>46.0</v>
      </c>
      <c r="L535" s="1">
        <v>0.0</v>
      </c>
      <c r="M535" s="1">
        <v>0.0</v>
      </c>
      <c r="N535" s="1">
        <v>0.0</v>
      </c>
      <c r="O535" s="1">
        <v>0.0</v>
      </c>
      <c r="P535" s="1">
        <v>51.0</v>
      </c>
      <c r="Q535" s="1">
        <v>39.0</v>
      </c>
    </row>
    <row r="536">
      <c r="A536" s="1">
        <f t="shared" si="1"/>
        <v>533</v>
      </c>
      <c r="B536" s="1" t="s">
        <v>1465</v>
      </c>
      <c r="C536" s="1" t="s">
        <v>1036</v>
      </c>
      <c r="D536" s="1" t="s">
        <v>66</v>
      </c>
      <c r="E536" s="1">
        <f t="shared" si="2"/>
        <v>85.25</v>
      </c>
      <c r="F536" s="1">
        <f t="shared" si="3"/>
        <v>1.78</v>
      </c>
      <c r="G536" s="1">
        <v>48.0</v>
      </c>
      <c r="H536" s="1">
        <v>0.0</v>
      </c>
      <c r="I536" s="1">
        <v>4.0</v>
      </c>
      <c r="J536" s="1">
        <v>4.0</v>
      </c>
      <c r="K536" s="1">
        <v>51.0</v>
      </c>
      <c r="L536" s="1">
        <v>0.0</v>
      </c>
      <c r="M536" s="1">
        <v>0.0</v>
      </c>
      <c r="N536" s="1">
        <v>0.0</v>
      </c>
      <c r="O536" s="1">
        <v>0.0</v>
      </c>
      <c r="P536" s="1">
        <v>93.0</v>
      </c>
      <c r="Q536" s="1">
        <v>49.0</v>
      </c>
    </row>
    <row r="537">
      <c r="A537" s="1">
        <f t="shared" si="1"/>
        <v>535</v>
      </c>
      <c r="B537" s="1" t="s">
        <v>1803</v>
      </c>
      <c r="C537" s="1" t="s">
        <v>1078</v>
      </c>
      <c r="D537" s="1" t="s">
        <v>31</v>
      </c>
      <c r="E537" s="1">
        <f t="shared" si="2"/>
        <v>85</v>
      </c>
      <c r="F537" s="1">
        <f t="shared" si="3"/>
        <v>2.5</v>
      </c>
      <c r="G537" s="1">
        <v>34.0</v>
      </c>
      <c r="H537" s="1">
        <v>7.0</v>
      </c>
      <c r="I537" s="1">
        <v>4.0</v>
      </c>
      <c r="J537" s="1">
        <v>11.0</v>
      </c>
      <c r="K537" s="1">
        <v>37.0</v>
      </c>
      <c r="L537" s="1">
        <v>1.0</v>
      </c>
      <c r="M537" s="1">
        <v>0.0</v>
      </c>
      <c r="N537" s="1">
        <v>0.0</v>
      </c>
      <c r="O537" s="1">
        <v>0.0</v>
      </c>
      <c r="P537" s="1">
        <v>52.0</v>
      </c>
      <c r="Q537" s="1">
        <v>20.0</v>
      </c>
    </row>
    <row r="538">
      <c r="A538" s="1">
        <f t="shared" si="1"/>
        <v>536</v>
      </c>
      <c r="B538" s="1" t="s">
        <v>1220</v>
      </c>
      <c r="C538" s="1" t="s">
        <v>1106</v>
      </c>
      <c r="D538" s="1" t="s">
        <v>28</v>
      </c>
      <c r="E538" s="1">
        <f t="shared" si="2"/>
        <v>84.75</v>
      </c>
      <c r="F538" s="1">
        <f t="shared" si="3"/>
        <v>2.23</v>
      </c>
      <c r="G538" s="1">
        <v>38.0</v>
      </c>
      <c r="H538" s="1">
        <v>5.0</v>
      </c>
      <c r="I538" s="1">
        <v>7.0</v>
      </c>
      <c r="J538" s="1">
        <v>12.0</v>
      </c>
      <c r="K538" s="1">
        <v>43.0</v>
      </c>
      <c r="L538" s="1">
        <v>1.0</v>
      </c>
      <c r="M538" s="1">
        <v>0.0</v>
      </c>
      <c r="N538" s="1">
        <v>0.0</v>
      </c>
      <c r="O538" s="1">
        <v>0.0</v>
      </c>
      <c r="P538" s="1">
        <v>49.0</v>
      </c>
      <c r="Q538" s="1">
        <v>15.0</v>
      </c>
    </row>
    <row r="539">
      <c r="A539" s="1">
        <f t="shared" si="1"/>
        <v>537</v>
      </c>
      <c r="B539" s="1" t="s">
        <v>1255</v>
      </c>
      <c r="C539" s="1" t="s">
        <v>1034</v>
      </c>
      <c r="D539" s="1" t="s">
        <v>28</v>
      </c>
      <c r="E539" s="1">
        <f t="shared" si="2"/>
        <v>84.5</v>
      </c>
      <c r="F539" s="1">
        <f t="shared" si="3"/>
        <v>2.82</v>
      </c>
      <c r="G539" s="1">
        <v>30.0</v>
      </c>
      <c r="H539" s="1">
        <v>9.0</v>
      </c>
      <c r="I539" s="1">
        <v>3.0</v>
      </c>
      <c r="J539" s="1">
        <v>12.0</v>
      </c>
      <c r="K539" s="1">
        <v>46.0</v>
      </c>
      <c r="L539" s="1">
        <v>0.0</v>
      </c>
      <c r="M539" s="1">
        <v>0.0</v>
      </c>
      <c r="N539" s="1">
        <v>0.0</v>
      </c>
      <c r="O539" s="1">
        <v>0.0</v>
      </c>
      <c r="P539" s="1">
        <v>36.0</v>
      </c>
      <c r="Q539" s="1">
        <v>6.0</v>
      </c>
    </row>
    <row r="540">
      <c r="A540" s="1">
        <f t="shared" si="1"/>
        <v>538</v>
      </c>
      <c r="B540" s="1" t="s">
        <v>2152</v>
      </c>
      <c r="C540" s="1" t="s">
        <v>1116</v>
      </c>
      <c r="D540" s="1" t="s">
        <v>66</v>
      </c>
      <c r="E540" s="1">
        <f t="shared" si="2"/>
        <v>84.25</v>
      </c>
      <c r="F540" s="1">
        <f t="shared" si="3"/>
        <v>2.16</v>
      </c>
      <c r="G540" s="1">
        <v>39.0</v>
      </c>
      <c r="H540" s="1">
        <v>1.0</v>
      </c>
      <c r="I540" s="1">
        <v>9.0</v>
      </c>
      <c r="J540" s="1">
        <v>10.0</v>
      </c>
      <c r="K540" s="1">
        <v>45.0</v>
      </c>
      <c r="L540" s="1">
        <v>0.0</v>
      </c>
      <c r="M540" s="1">
        <v>0.0</v>
      </c>
      <c r="N540" s="1">
        <v>0.0</v>
      </c>
      <c r="O540" s="1">
        <v>0.0</v>
      </c>
      <c r="P540" s="1">
        <v>19.0</v>
      </c>
      <c r="Q540" s="1">
        <v>51.0</v>
      </c>
    </row>
    <row r="541">
      <c r="A541" s="1">
        <f t="shared" si="1"/>
        <v>538</v>
      </c>
      <c r="B541" s="1" t="s">
        <v>2214</v>
      </c>
      <c r="C541" s="1" t="s">
        <v>1065</v>
      </c>
      <c r="D541" s="1" t="s">
        <v>66</v>
      </c>
      <c r="E541" s="1">
        <f t="shared" si="2"/>
        <v>84.25</v>
      </c>
      <c r="F541" s="1">
        <f t="shared" si="3"/>
        <v>1.83</v>
      </c>
      <c r="G541" s="1">
        <v>46.0</v>
      </c>
      <c r="H541" s="1">
        <v>1.0</v>
      </c>
      <c r="I541" s="1">
        <v>6.0</v>
      </c>
      <c r="J541" s="1">
        <v>7.0</v>
      </c>
      <c r="K541" s="1">
        <v>42.0</v>
      </c>
      <c r="L541" s="1">
        <v>0.0</v>
      </c>
      <c r="M541" s="1">
        <v>0.0</v>
      </c>
      <c r="N541" s="1">
        <v>0.0</v>
      </c>
      <c r="O541" s="1">
        <v>1.0</v>
      </c>
      <c r="P541" s="1">
        <v>37.0</v>
      </c>
      <c r="Q541" s="1">
        <v>59.0</v>
      </c>
    </row>
    <row r="542">
      <c r="A542" s="1">
        <f t="shared" si="1"/>
        <v>540</v>
      </c>
      <c r="B542" s="1" t="s">
        <v>1249</v>
      </c>
      <c r="C542" s="1" t="s">
        <v>1073</v>
      </c>
      <c r="D542" s="1" t="s">
        <v>31</v>
      </c>
      <c r="E542" s="1">
        <f t="shared" si="2"/>
        <v>83.5</v>
      </c>
      <c r="F542" s="1">
        <f t="shared" si="3"/>
        <v>3.98</v>
      </c>
      <c r="G542" s="1">
        <v>21.0</v>
      </c>
      <c r="H542" s="1">
        <v>5.0</v>
      </c>
      <c r="I542" s="1">
        <v>10.0</v>
      </c>
      <c r="J542" s="1">
        <v>15.0</v>
      </c>
      <c r="K542" s="1">
        <v>49.0</v>
      </c>
      <c r="L542" s="1">
        <v>0.0</v>
      </c>
      <c r="M542" s="1">
        <v>2.0</v>
      </c>
      <c r="N542" s="1">
        <v>0.0</v>
      </c>
      <c r="O542" s="1">
        <v>0.0</v>
      </c>
      <c r="P542" s="1">
        <v>8.0</v>
      </c>
      <c r="Q542" s="1">
        <v>9.0</v>
      </c>
    </row>
    <row r="543">
      <c r="A543" s="1">
        <f t="shared" si="1"/>
        <v>540</v>
      </c>
      <c r="B543" s="1" t="s">
        <v>2477</v>
      </c>
      <c r="C543" s="1" t="s">
        <v>1570</v>
      </c>
      <c r="D543" s="1" t="s">
        <v>31</v>
      </c>
      <c r="E543" s="1">
        <f t="shared" si="2"/>
        <v>83.5</v>
      </c>
      <c r="F543" s="1">
        <f t="shared" si="3"/>
        <v>1.9</v>
      </c>
      <c r="G543" s="1">
        <v>44.0</v>
      </c>
      <c r="H543" s="1">
        <v>1.0</v>
      </c>
      <c r="I543" s="1">
        <v>6.0</v>
      </c>
      <c r="J543" s="1">
        <v>7.0</v>
      </c>
      <c r="K543" s="1">
        <v>46.0</v>
      </c>
      <c r="L543" s="1">
        <v>0.0</v>
      </c>
      <c r="M543" s="1">
        <v>0.0</v>
      </c>
      <c r="N543" s="1">
        <v>0.0</v>
      </c>
      <c r="O543" s="1">
        <v>0.0</v>
      </c>
      <c r="P543" s="1">
        <v>92.0</v>
      </c>
      <c r="Q543" s="1">
        <v>30.0</v>
      </c>
    </row>
    <row r="544">
      <c r="A544" s="1">
        <f t="shared" si="1"/>
        <v>542</v>
      </c>
      <c r="B544" s="1" t="s">
        <v>1475</v>
      </c>
      <c r="C544" s="1" t="s">
        <v>1054</v>
      </c>
      <c r="D544" s="1" t="s">
        <v>28</v>
      </c>
      <c r="E544" s="1">
        <f t="shared" si="2"/>
        <v>83</v>
      </c>
      <c r="F544" s="1">
        <f t="shared" si="3"/>
        <v>2.31</v>
      </c>
      <c r="G544" s="1">
        <v>36.0</v>
      </c>
      <c r="H544" s="1">
        <v>6.0</v>
      </c>
      <c r="I544" s="1">
        <v>8.0</v>
      </c>
      <c r="J544" s="1">
        <v>14.0</v>
      </c>
      <c r="K544" s="1">
        <v>46.0</v>
      </c>
      <c r="L544" s="1">
        <v>2.0</v>
      </c>
      <c r="M544" s="1">
        <v>4.0</v>
      </c>
      <c r="N544" s="1">
        <v>0.0</v>
      </c>
      <c r="O544" s="1">
        <v>0.0</v>
      </c>
      <c r="P544" s="1">
        <v>12.0</v>
      </c>
      <c r="Q544" s="1">
        <v>12.0</v>
      </c>
    </row>
    <row r="545">
      <c r="A545" s="1">
        <f t="shared" si="1"/>
        <v>543</v>
      </c>
      <c r="B545" s="1" t="s">
        <v>1491</v>
      </c>
      <c r="C545" s="1" t="s">
        <v>1067</v>
      </c>
      <c r="D545" s="1" t="s">
        <v>36</v>
      </c>
      <c r="E545" s="1">
        <f t="shared" si="2"/>
        <v>82.75</v>
      </c>
      <c r="F545" s="1">
        <f t="shared" si="3"/>
        <v>2.36</v>
      </c>
      <c r="G545" s="1">
        <v>35.0</v>
      </c>
      <c r="H545" s="1">
        <v>2.0</v>
      </c>
      <c r="I545" s="1">
        <v>11.0</v>
      </c>
      <c r="J545" s="1">
        <v>13.0</v>
      </c>
      <c r="K545" s="1">
        <v>45.0</v>
      </c>
      <c r="L545" s="1">
        <v>0.0</v>
      </c>
      <c r="M545" s="1">
        <v>0.0</v>
      </c>
      <c r="N545" s="1">
        <v>1.0</v>
      </c>
      <c r="O545" s="1">
        <v>1.0</v>
      </c>
      <c r="P545" s="1">
        <v>29.0</v>
      </c>
      <c r="Q545" s="1">
        <v>14.0</v>
      </c>
    </row>
    <row r="546">
      <c r="A546" s="1">
        <f t="shared" si="1"/>
        <v>544</v>
      </c>
      <c r="B546" s="1" t="s">
        <v>2478</v>
      </c>
      <c r="C546" s="1" t="s">
        <v>1067</v>
      </c>
      <c r="D546" s="1" t="s">
        <v>36</v>
      </c>
      <c r="E546" s="1">
        <f t="shared" si="2"/>
        <v>82.25</v>
      </c>
      <c r="F546" s="1">
        <f t="shared" si="3"/>
        <v>1.87</v>
      </c>
      <c r="G546" s="1">
        <v>44.0</v>
      </c>
      <c r="H546" s="1">
        <v>5.0</v>
      </c>
      <c r="I546" s="1">
        <v>2.0</v>
      </c>
      <c r="J546" s="1">
        <v>7.0</v>
      </c>
      <c r="K546" s="1">
        <v>63.0</v>
      </c>
      <c r="L546" s="1">
        <v>0.0</v>
      </c>
      <c r="M546" s="1">
        <v>0.0</v>
      </c>
      <c r="N546" s="1">
        <v>0.0</v>
      </c>
      <c r="O546" s="1">
        <v>0.0</v>
      </c>
      <c r="P546" s="1">
        <v>21.0</v>
      </c>
      <c r="Q546" s="1">
        <v>34.0</v>
      </c>
    </row>
    <row r="547">
      <c r="A547" s="1">
        <f t="shared" si="1"/>
        <v>545</v>
      </c>
      <c r="B547" s="1" t="s">
        <v>2148</v>
      </c>
      <c r="C547" s="1" t="s">
        <v>1067</v>
      </c>
      <c r="D547" s="1" t="s">
        <v>28</v>
      </c>
      <c r="E547" s="1">
        <f t="shared" si="2"/>
        <v>81.5</v>
      </c>
      <c r="F547" s="1">
        <f t="shared" si="3"/>
        <v>1.81</v>
      </c>
      <c r="G547" s="1">
        <v>45.0</v>
      </c>
      <c r="H547" s="1">
        <v>5.0</v>
      </c>
      <c r="I547" s="1">
        <v>6.0</v>
      </c>
      <c r="J547" s="1">
        <v>11.0</v>
      </c>
      <c r="K547" s="1">
        <v>41.0</v>
      </c>
      <c r="L547" s="1">
        <v>0.0</v>
      </c>
      <c r="M547" s="1">
        <v>0.0</v>
      </c>
      <c r="N547" s="1">
        <v>0.0</v>
      </c>
      <c r="O547" s="1">
        <v>1.0</v>
      </c>
      <c r="P547" s="1">
        <v>48.0</v>
      </c>
      <c r="Q547" s="1">
        <v>13.0</v>
      </c>
    </row>
    <row r="548">
      <c r="A548" s="1">
        <f t="shared" si="1"/>
        <v>546</v>
      </c>
      <c r="B548" s="1" t="s">
        <v>1280</v>
      </c>
      <c r="C548" s="1" t="s">
        <v>1038</v>
      </c>
      <c r="D548" s="1" t="s">
        <v>5</v>
      </c>
      <c r="E548" s="1">
        <f t="shared" si="2"/>
        <v>81.3</v>
      </c>
      <c r="F548" s="1">
        <f t="shared" si="3"/>
        <v>8.13</v>
      </c>
      <c r="G548" s="1">
        <v>10.0</v>
      </c>
      <c r="R548" s="1">
        <v>7.0</v>
      </c>
      <c r="S548" s="1">
        <v>15.0</v>
      </c>
      <c r="T548" s="1">
        <v>256.0</v>
      </c>
      <c r="U548" s="1">
        <v>2.0</v>
      </c>
    </row>
    <row r="549">
      <c r="A549" s="1">
        <f t="shared" si="1"/>
        <v>547</v>
      </c>
      <c r="B549" s="1" t="s">
        <v>1854</v>
      </c>
      <c r="C549" s="1" t="s">
        <v>1036</v>
      </c>
      <c r="D549" s="1" t="s">
        <v>31</v>
      </c>
      <c r="E549" s="1">
        <f t="shared" si="2"/>
        <v>81.25</v>
      </c>
      <c r="F549" s="1">
        <f t="shared" si="3"/>
        <v>2.14</v>
      </c>
      <c r="G549" s="1">
        <v>38.0</v>
      </c>
      <c r="H549" s="1">
        <v>5.0</v>
      </c>
      <c r="I549" s="1">
        <v>4.0</v>
      </c>
      <c r="J549" s="1">
        <v>9.0</v>
      </c>
      <c r="K549" s="1">
        <v>27.0</v>
      </c>
      <c r="L549" s="1">
        <v>0.0</v>
      </c>
      <c r="M549" s="1">
        <v>0.0</v>
      </c>
      <c r="N549" s="1">
        <v>1.0</v>
      </c>
      <c r="O549" s="1">
        <v>0.0</v>
      </c>
      <c r="P549" s="1">
        <v>73.0</v>
      </c>
      <c r="Q549" s="1">
        <v>26.0</v>
      </c>
    </row>
    <row r="550">
      <c r="A550" s="1">
        <f t="shared" si="1"/>
        <v>548</v>
      </c>
      <c r="B550" s="1" t="s">
        <v>2266</v>
      </c>
      <c r="C550" s="1" t="s">
        <v>1067</v>
      </c>
      <c r="D550" s="1" t="s">
        <v>31</v>
      </c>
      <c r="E550" s="1">
        <f t="shared" si="2"/>
        <v>80.75</v>
      </c>
      <c r="F550" s="1">
        <f t="shared" si="3"/>
        <v>1.52</v>
      </c>
      <c r="G550" s="1">
        <v>53.0</v>
      </c>
      <c r="H550" s="1">
        <v>4.0</v>
      </c>
      <c r="I550" s="1">
        <v>9.0</v>
      </c>
      <c r="J550" s="1">
        <v>13.0</v>
      </c>
      <c r="K550" s="1">
        <v>44.0</v>
      </c>
      <c r="L550" s="1">
        <v>0.0</v>
      </c>
      <c r="M550" s="1">
        <v>0.0</v>
      </c>
      <c r="N550" s="1">
        <v>1.0</v>
      </c>
      <c r="O550" s="1">
        <v>0.0</v>
      </c>
      <c r="P550" s="1">
        <v>17.0</v>
      </c>
      <c r="Q550" s="1">
        <v>15.0</v>
      </c>
    </row>
    <row r="551">
      <c r="A551" s="1">
        <f t="shared" si="1"/>
        <v>549</v>
      </c>
      <c r="B551" s="1" t="s">
        <v>1998</v>
      </c>
      <c r="C551" s="1" t="s">
        <v>1172</v>
      </c>
      <c r="D551" s="1" t="s">
        <v>5</v>
      </c>
      <c r="E551" s="1">
        <f t="shared" si="2"/>
        <v>80.7</v>
      </c>
      <c r="F551" s="1">
        <f t="shared" si="3"/>
        <v>5.04</v>
      </c>
      <c r="G551" s="1">
        <v>16.0</v>
      </c>
      <c r="R551" s="1">
        <v>6.0</v>
      </c>
      <c r="S551" s="1">
        <v>47.0</v>
      </c>
      <c r="T551" s="1">
        <v>424.0</v>
      </c>
      <c r="U551" s="1">
        <v>2.0</v>
      </c>
    </row>
    <row r="552">
      <c r="A552" s="1">
        <f t="shared" si="1"/>
        <v>550</v>
      </c>
      <c r="B552" s="1" t="s">
        <v>1230</v>
      </c>
      <c r="C552" s="1" t="s">
        <v>1111</v>
      </c>
      <c r="D552" s="1" t="s">
        <v>28</v>
      </c>
      <c r="E552" s="1">
        <f t="shared" si="2"/>
        <v>80.5</v>
      </c>
      <c r="F552" s="1">
        <f t="shared" si="3"/>
        <v>3.83</v>
      </c>
      <c r="G552" s="1">
        <v>21.0</v>
      </c>
      <c r="H552" s="1">
        <v>10.0</v>
      </c>
      <c r="I552" s="1">
        <v>3.0</v>
      </c>
      <c r="J552" s="1">
        <v>13.0</v>
      </c>
      <c r="K552" s="1">
        <v>38.0</v>
      </c>
      <c r="L552" s="1">
        <v>3.0</v>
      </c>
      <c r="M552" s="1">
        <v>0.0</v>
      </c>
      <c r="N552" s="1">
        <v>0.0</v>
      </c>
      <c r="O552" s="1">
        <v>0.0</v>
      </c>
      <c r="P552" s="1">
        <v>28.0</v>
      </c>
      <c r="Q552" s="1">
        <v>1.0</v>
      </c>
    </row>
    <row r="553">
      <c r="A553" s="1">
        <f t="shared" si="1"/>
        <v>551</v>
      </c>
      <c r="B553" s="1" t="s">
        <v>1209</v>
      </c>
      <c r="C553" s="1" t="s">
        <v>1048</v>
      </c>
      <c r="D553" s="1" t="s">
        <v>28</v>
      </c>
      <c r="E553" s="1">
        <f t="shared" si="2"/>
        <v>80.25</v>
      </c>
      <c r="F553" s="1">
        <f t="shared" si="3"/>
        <v>2.43</v>
      </c>
      <c r="G553" s="1">
        <v>33.0</v>
      </c>
      <c r="H553" s="1">
        <v>2.0</v>
      </c>
      <c r="I553" s="1">
        <v>8.0</v>
      </c>
      <c r="J553" s="1">
        <v>10.0</v>
      </c>
      <c r="K553" s="1">
        <v>50.0</v>
      </c>
      <c r="L553" s="1">
        <v>0.0</v>
      </c>
      <c r="M553" s="1">
        <v>0.0</v>
      </c>
      <c r="N553" s="1">
        <v>0.0</v>
      </c>
      <c r="O553" s="1">
        <v>0.0</v>
      </c>
      <c r="P553" s="1">
        <v>73.0</v>
      </c>
      <c r="Q553" s="1">
        <v>8.0</v>
      </c>
    </row>
    <row r="554">
      <c r="A554" s="1">
        <f t="shared" si="1"/>
        <v>552</v>
      </c>
      <c r="B554" s="1" t="s">
        <v>1590</v>
      </c>
      <c r="C554" s="1" t="s">
        <v>1175</v>
      </c>
      <c r="D554" s="1" t="s">
        <v>66</v>
      </c>
      <c r="E554" s="1">
        <f t="shared" si="2"/>
        <v>80</v>
      </c>
      <c r="F554" s="1">
        <f t="shared" si="3"/>
        <v>1.57</v>
      </c>
      <c r="G554" s="1">
        <v>51.0</v>
      </c>
      <c r="H554" s="1">
        <v>1.0</v>
      </c>
      <c r="I554" s="1">
        <v>5.0</v>
      </c>
      <c r="J554" s="1">
        <v>6.0</v>
      </c>
      <c r="K554" s="1">
        <v>37.0</v>
      </c>
      <c r="L554" s="1">
        <v>0.0</v>
      </c>
      <c r="M554" s="1">
        <v>0.0</v>
      </c>
      <c r="N554" s="1">
        <v>0.0</v>
      </c>
      <c r="O554" s="1">
        <v>0.0</v>
      </c>
      <c r="P554" s="1">
        <v>40.0</v>
      </c>
      <c r="Q554" s="1">
        <v>64.0</v>
      </c>
    </row>
    <row r="555">
      <c r="A555" s="1">
        <f t="shared" si="1"/>
        <v>553</v>
      </c>
      <c r="B555" s="1" t="s">
        <v>1734</v>
      </c>
      <c r="C555" s="1" t="s">
        <v>1106</v>
      </c>
      <c r="D555" s="1" t="s">
        <v>5</v>
      </c>
      <c r="E555" s="1">
        <f t="shared" si="2"/>
        <v>79.8</v>
      </c>
      <c r="F555" s="1">
        <f t="shared" si="3"/>
        <v>4.69</v>
      </c>
      <c r="G555" s="1">
        <v>17.0</v>
      </c>
      <c r="R555" s="1">
        <v>9.0</v>
      </c>
      <c r="S555" s="1">
        <v>49.0</v>
      </c>
      <c r="T555" s="1">
        <v>411.0</v>
      </c>
      <c r="U555" s="1">
        <v>1.0</v>
      </c>
    </row>
    <row r="556">
      <c r="A556" s="1">
        <f t="shared" si="1"/>
        <v>554</v>
      </c>
      <c r="B556" s="1" t="s">
        <v>2479</v>
      </c>
      <c r="C556" s="1" t="s">
        <v>1085</v>
      </c>
      <c r="D556" s="1" t="s">
        <v>66</v>
      </c>
      <c r="E556" s="1">
        <f t="shared" si="2"/>
        <v>79.75</v>
      </c>
      <c r="F556" s="1">
        <f t="shared" si="3"/>
        <v>2.04</v>
      </c>
      <c r="G556" s="1">
        <v>39.0</v>
      </c>
      <c r="H556" s="1">
        <v>2.0</v>
      </c>
      <c r="I556" s="1">
        <v>4.0</v>
      </c>
      <c r="J556" s="1">
        <v>6.0</v>
      </c>
      <c r="K556" s="1">
        <v>55.0</v>
      </c>
      <c r="L556" s="1">
        <v>0.0</v>
      </c>
      <c r="M556" s="1">
        <v>0.0</v>
      </c>
      <c r="N556" s="1">
        <v>0.0</v>
      </c>
      <c r="O556" s="1">
        <v>0.0</v>
      </c>
      <c r="P556" s="1">
        <v>27.0</v>
      </c>
      <c r="Q556" s="1">
        <v>49.0</v>
      </c>
    </row>
    <row r="557">
      <c r="A557" s="1">
        <f t="shared" si="1"/>
        <v>554</v>
      </c>
      <c r="B557" s="1" t="s">
        <v>1588</v>
      </c>
      <c r="C557" s="1" t="s">
        <v>1073</v>
      </c>
      <c r="D557" s="1" t="s">
        <v>66</v>
      </c>
      <c r="E557" s="1">
        <f t="shared" si="2"/>
        <v>79.75</v>
      </c>
      <c r="F557" s="1">
        <f t="shared" si="3"/>
        <v>1.9</v>
      </c>
      <c r="G557" s="1">
        <v>42.0</v>
      </c>
      <c r="H557" s="1">
        <v>1.0</v>
      </c>
      <c r="I557" s="1">
        <v>11.0</v>
      </c>
      <c r="J557" s="1">
        <v>12.0</v>
      </c>
      <c r="K557" s="1">
        <v>55.0</v>
      </c>
      <c r="L557" s="1">
        <v>1.0</v>
      </c>
      <c r="M557" s="1">
        <v>4.0</v>
      </c>
      <c r="N557" s="1">
        <v>0.0</v>
      </c>
      <c r="O557" s="1">
        <v>0.0</v>
      </c>
      <c r="P557" s="1">
        <v>17.0</v>
      </c>
      <c r="Q557" s="1">
        <v>21.0</v>
      </c>
    </row>
    <row r="558">
      <c r="A558" s="1">
        <f t="shared" si="1"/>
        <v>556</v>
      </c>
      <c r="B558" s="1" t="s">
        <v>2480</v>
      </c>
      <c r="C558" s="1" t="s">
        <v>1175</v>
      </c>
      <c r="D558" s="1" t="s">
        <v>28</v>
      </c>
      <c r="E558" s="1">
        <f t="shared" si="2"/>
        <v>79.5</v>
      </c>
      <c r="F558" s="1">
        <f t="shared" si="3"/>
        <v>1.42</v>
      </c>
      <c r="G558" s="1">
        <v>56.0</v>
      </c>
      <c r="H558" s="1">
        <v>4.0</v>
      </c>
      <c r="I558" s="1">
        <v>5.0</v>
      </c>
      <c r="J558" s="1">
        <v>9.0</v>
      </c>
      <c r="K558" s="1">
        <v>54.0</v>
      </c>
      <c r="L558" s="1">
        <v>2.0</v>
      </c>
      <c r="M558" s="1">
        <v>0.0</v>
      </c>
      <c r="N558" s="1">
        <v>0.0</v>
      </c>
      <c r="O558" s="1">
        <v>0.0</v>
      </c>
      <c r="P558" s="1">
        <v>40.0</v>
      </c>
      <c r="Q558" s="1">
        <v>19.0</v>
      </c>
    </row>
    <row r="559">
      <c r="A559" s="1">
        <f t="shared" si="1"/>
        <v>557</v>
      </c>
      <c r="B559" s="1" t="s">
        <v>1703</v>
      </c>
      <c r="C559" s="1" t="s">
        <v>1097</v>
      </c>
      <c r="D559" s="1" t="s">
        <v>66</v>
      </c>
      <c r="E559" s="1">
        <f t="shared" si="2"/>
        <v>79</v>
      </c>
      <c r="F559" s="1">
        <f t="shared" si="3"/>
        <v>1.61</v>
      </c>
      <c r="G559" s="1">
        <v>49.0</v>
      </c>
      <c r="H559" s="1">
        <v>0.0</v>
      </c>
      <c r="I559" s="1">
        <v>5.0</v>
      </c>
      <c r="J559" s="1">
        <v>5.0</v>
      </c>
      <c r="K559" s="1">
        <v>41.0</v>
      </c>
      <c r="L559" s="1">
        <v>0.0</v>
      </c>
      <c r="M559" s="1">
        <v>0.0</v>
      </c>
      <c r="N559" s="1">
        <v>0.0</v>
      </c>
      <c r="O559" s="1">
        <v>0.0</v>
      </c>
      <c r="P559" s="1">
        <v>34.0</v>
      </c>
      <c r="Q559" s="1">
        <v>70.0</v>
      </c>
    </row>
    <row r="560">
      <c r="A560" s="1">
        <f t="shared" si="1"/>
        <v>558</v>
      </c>
      <c r="B560" s="1" t="s">
        <v>2342</v>
      </c>
      <c r="C560" s="1" t="s">
        <v>1085</v>
      </c>
      <c r="D560" s="1" t="s">
        <v>66</v>
      </c>
      <c r="E560" s="1">
        <f t="shared" si="2"/>
        <v>78.75</v>
      </c>
      <c r="F560" s="1">
        <f t="shared" si="3"/>
        <v>1.71</v>
      </c>
      <c r="G560" s="1">
        <v>46.0</v>
      </c>
      <c r="H560" s="1">
        <v>3.0</v>
      </c>
      <c r="I560" s="1">
        <v>2.0</v>
      </c>
      <c r="J560" s="1">
        <v>5.0</v>
      </c>
      <c r="K560" s="1">
        <v>33.0</v>
      </c>
      <c r="L560" s="1">
        <v>0.0</v>
      </c>
      <c r="M560" s="1">
        <v>0.0</v>
      </c>
      <c r="N560" s="1">
        <v>0.0</v>
      </c>
      <c r="O560" s="1">
        <v>0.0</v>
      </c>
      <c r="P560" s="1">
        <v>47.0</v>
      </c>
      <c r="Q560" s="1">
        <v>62.0</v>
      </c>
    </row>
    <row r="561">
      <c r="A561" s="1">
        <f t="shared" si="1"/>
        <v>558</v>
      </c>
      <c r="B561" s="1" t="s">
        <v>1144</v>
      </c>
      <c r="C561" s="1" t="s">
        <v>1076</v>
      </c>
      <c r="D561" s="1" t="s">
        <v>31</v>
      </c>
      <c r="E561" s="1">
        <f t="shared" si="2"/>
        <v>78.75</v>
      </c>
      <c r="F561" s="1">
        <f t="shared" si="3"/>
        <v>3.75</v>
      </c>
      <c r="G561" s="1">
        <v>21.0</v>
      </c>
      <c r="H561" s="1">
        <v>6.0</v>
      </c>
      <c r="I561" s="1">
        <v>5.0</v>
      </c>
      <c r="J561" s="1">
        <v>11.0</v>
      </c>
      <c r="K561" s="1">
        <v>44.0</v>
      </c>
      <c r="L561" s="1">
        <v>3.0</v>
      </c>
      <c r="M561" s="1">
        <v>1.0</v>
      </c>
      <c r="N561" s="1">
        <v>1.0</v>
      </c>
      <c r="O561" s="1">
        <v>0.0</v>
      </c>
      <c r="P561" s="1">
        <v>11.0</v>
      </c>
      <c r="Q561" s="1">
        <v>20.0</v>
      </c>
    </row>
    <row r="562">
      <c r="A562" s="1">
        <f t="shared" si="1"/>
        <v>560</v>
      </c>
      <c r="B562" s="1" t="s">
        <v>1513</v>
      </c>
      <c r="C562" s="1" t="s">
        <v>1044</v>
      </c>
      <c r="D562" s="1" t="s">
        <v>66</v>
      </c>
      <c r="E562" s="1">
        <f t="shared" si="2"/>
        <v>78.5</v>
      </c>
      <c r="F562" s="1">
        <f t="shared" si="3"/>
        <v>2.62</v>
      </c>
      <c r="G562" s="1">
        <v>30.0</v>
      </c>
      <c r="H562" s="1">
        <v>2.0</v>
      </c>
      <c r="I562" s="1">
        <v>11.0</v>
      </c>
      <c r="J562" s="1">
        <v>13.0</v>
      </c>
      <c r="K562" s="1">
        <v>42.0</v>
      </c>
      <c r="L562" s="1">
        <v>1.0</v>
      </c>
      <c r="M562" s="1">
        <v>2.0</v>
      </c>
      <c r="N562" s="1">
        <v>0.0</v>
      </c>
      <c r="O562" s="1">
        <v>0.0</v>
      </c>
      <c r="P562" s="1">
        <v>26.0</v>
      </c>
      <c r="Q562" s="1">
        <v>18.0</v>
      </c>
    </row>
    <row r="563">
      <c r="A563" s="1">
        <f t="shared" si="1"/>
        <v>561</v>
      </c>
      <c r="B563" s="1" t="s">
        <v>1739</v>
      </c>
      <c r="C563" s="1" t="s">
        <v>1030</v>
      </c>
      <c r="D563" s="1" t="s">
        <v>66</v>
      </c>
      <c r="E563" s="1">
        <f t="shared" si="2"/>
        <v>78</v>
      </c>
      <c r="F563" s="1">
        <f t="shared" si="3"/>
        <v>2.36</v>
      </c>
      <c r="G563" s="1">
        <v>33.0</v>
      </c>
      <c r="H563" s="1">
        <v>1.0</v>
      </c>
      <c r="I563" s="1">
        <v>8.0</v>
      </c>
      <c r="J563" s="1">
        <v>9.0</v>
      </c>
      <c r="K563" s="1">
        <v>49.0</v>
      </c>
      <c r="L563" s="1">
        <v>0.0</v>
      </c>
      <c r="M563" s="1">
        <v>0.0</v>
      </c>
      <c r="N563" s="1">
        <v>0.0</v>
      </c>
      <c r="O563" s="1">
        <v>0.0</v>
      </c>
      <c r="P563" s="1">
        <v>38.0</v>
      </c>
      <c r="Q563" s="1">
        <v>31.0</v>
      </c>
    </row>
    <row r="564">
      <c r="A564" s="1">
        <f t="shared" si="1"/>
        <v>561</v>
      </c>
      <c r="B564" s="1" t="s">
        <v>2245</v>
      </c>
      <c r="C564" s="1" t="s">
        <v>1067</v>
      </c>
      <c r="D564" s="1" t="s">
        <v>28</v>
      </c>
      <c r="E564" s="1">
        <f t="shared" si="2"/>
        <v>78</v>
      </c>
      <c r="F564" s="1">
        <f t="shared" si="3"/>
        <v>2.05</v>
      </c>
      <c r="G564" s="1">
        <v>38.0</v>
      </c>
      <c r="H564" s="1">
        <v>3.0</v>
      </c>
      <c r="I564" s="1">
        <v>7.0</v>
      </c>
      <c r="J564" s="1">
        <v>10.0</v>
      </c>
      <c r="K564" s="1">
        <v>46.0</v>
      </c>
      <c r="L564" s="1">
        <v>0.0</v>
      </c>
      <c r="M564" s="1">
        <v>0.0</v>
      </c>
      <c r="N564" s="1">
        <v>0.0</v>
      </c>
      <c r="O564" s="1">
        <v>0.0</v>
      </c>
      <c r="P564" s="1">
        <v>64.0</v>
      </c>
      <c r="Q564" s="1">
        <v>9.0</v>
      </c>
    </row>
    <row r="565">
      <c r="A565" s="1">
        <f t="shared" si="1"/>
        <v>563</v>
      </c>
      <c r="B565" s="1" t="s">
        <v>1832</v>
      </c>
      <c r="C565" s="1" t="s">
        <v>1106</v>
      </c>
      <c r="D565" s="1" t="s">
        <v>66</v>
      </c>
      <c r="E565" s="1">
        <f t="shared" si="2"/>
        <v>77.75</v>
      </c>
      <c r="F565" s="1">
        <f t="shared" si="3"/>
        <v>1.94</v>
      </c>
      <c r="G565" s="1">
        <v>40.0</v>
      </c>
      <c r="H565" s="1">
        <v>1.0</v>
      </c>
      <c r="I565" s="1">
        <v>4.0</v>
      </c>
      <c r="J565" s="1">
        <v>5.0</v>
      </c>
      <c r="K565" s="1">
        <v>31.0</v>
      </c>
      <c r="L565" s="1">
        <v>0.0</v>
      </c>
      <c r="M565" s="1">
        <v>0.0</v>
      </c>
      <c r="N565" s="1">
        <v>0.0</v>
      </c>
      <c r="O565" s="1">
        <v>0.0</v>
      </c>
      <c r="P565" s="1">
        <v>85.0</v>
      </c>
      <c r="Q565" s="1">
        <v>49.0</v>
      </c>
    </row>
    <row r="566">
      <c r="A566" s="1">
        <f t="shared" si="1"/>
        <v>563</v>
      </c>
      <c r="B566" s="1" t="s">
        <v>2338</v>
      </c>
      <c r="C566" s="1" t="s">
        <v>1091</v>
      </c>
      <c r="D566" s="1" t="s">
        <v>31</v>
      </c>
      <c r="E566" s="1">
        <f t="shared" si="2"/>
        <v>77.75</v>
      </c>
      <c r="F566" s="1">
        <f t="shared" si="3"/>
        <v>1.5</v>
      </c>
      <c r="G566" s="1">
        <v>52.0</v>
      </c>
      <c r="H566" s="1">
        <v>4.0</v>
      </c>
      <c r="I566" s="1">
        <v>5.0</v>
      </c>
      <c r="J566" s="1">
        <v>9.0</v>
      </c>
      <c r="K566" s="1">
        <v>49.0</v>
      </c>
      <c r="L566" s="1">
        <v>2.0</v>
      </c>
      <c r="M566" s="1">
        <v>1.0</v>
      </c>
      <c r="N566" s="1">
        <v>0.0</v>
      </c>
      <c r="O566" s="1">
        <v>0.0</v>
      </c>
      <c r="P566" s="1">
        <v>45.0</v>
      </c>
      <c r="Q566" s="1">
        <v>18.0</v>
      </c>
    </row>
    <row r="567">
      <c r="A567" s="1">
        <f t="shared" si="1"/>
        <v>563</v>
      </c>
      <c r="B567" s="1" t="s">
        <v>1879</v>
      </c>
      <c r="C567" s="1" t="s">
        <v>1038</v>
      </c>
      <c r="D567" s="1" t="s">
        <v>36</v>
      </c>
      <c r="E567" s="1">
        <f t="shared" si="2"/>
        <v>77.75</v>
      </c>
      <c r="F567" s="1">
        <f t="shared" si="3"/>
        <v>1.9</v>
      </c>
      <c r="G567" s="1">
        <v>41.0</v>
      </c>
      <c r="H567" s="1">
        <v>2.0</v>
      </c>
      <c r="I567" s="1">
        <v>3.0</v>
      </c>
      <c r="J567" s="1">
        <v>5.0</v>
      </c>
      <c r="K567" s="1">
        <v>57.0</v>
      </c>
      <c r="L567" s="1">
        <v>0.0</v>
      </c>
      <c r="M567" s="1">
        <v>0.0</v>
      </c>
      <c r="N567" s="1">
        <v>1.0</v>
      </c>
      <c r="O567" s="1">
        <v>0.0</v>
      </c>
      <c r="P567" s="1">
        <v>75.0</v>
      </c>
      <c r="Q567" s="1">
        <v>21.0</v>
      </c>
    </row>
    <row r="568">
      <c r="A568" s="1">
        <f t="shared" si="1"/>
        <v>566</v>
      </c>
      <c r="B568" s="1" t="s">
        <v>2124</v>
      </c>
      <c r="C568" s="1" t="s">
        <v>1175</v>
      </c>
      <c r="D568" s="1" t="s">
        <v>66</v>
      </c>
      <c r="E568" s="1">
        <f t="shared" si="2"/>
        <v>77.5</v>
      </c>
      <c r="F568" s="1">
        <f t="shared" si="3"/>
        <v>1.94</v>
      </c>
      <c r="G568" s="1">
        <v>40.0</v>
      </c>
      <c r="H568" s="1">
        <v>2.0</v>
      </c>
      <c r="I568" s="1">
        <v>4.0</v>
      </c>
      <c r="J568" s="1">
        <v>6.0</v>
      </c>
      <c r="K568" s="1">
        <v>26.0</v>
      </c>
      <c r="L568" s="1">
        <v>0.0</v>
      </c>
      <c r="M568" s="1">
        <v>0.0</v>
      </c>
      <c r="N568" s="1">
        <v>0.0</v>
      </c>
      <c r="O568" s="1">
        <v>0.0</v>
      </c>
      <c r="P568" s="1">
        <v>76.0</v>
      </c>
      <c r="Q568" s="1">
        <v>49.0</v>
      </c>
    </row>
    <row r="569">
      <c r="A569" s="1">
        <f t="shared" si="1"/>
        <v>567</v>
      </c>
      <c r="B569" s="1" t="s">
        <v>1559</v>
      </c>
      <c r="C569" s="1" t="s">
        <v>1116</v>
      </c>
      <c r="D569" s="1" t="s">
        <v>5</v>
      </c>
      <c r="E569" s="1">
        <f t="shared" si="2"/>
        <v>77.4</v>
      </c>
      <c r="F569" s="1">
        <f t="shared" si="3"/>
        <v>5.53</v>
      </c>
      <c r="G569" s="1">
        <v>14.0</v>
      </c>
      <c r="R569" s="1">
        <v>6.0</v>
      </c>
      <c r="S569" s="1">
        <v>30.0</v>
      </c>
      <c r="T569" s="1">
        <v>338.0</v>
      </c>
      <c r="U569" s="1">
        <v>1.0</v>
      </c>
    </row>
    <row r="570">
      <c r="A570" s="1">
        <f t="shared" si="1"/>
        <v>568</v>
      </c>
      <c r="B570" s="1" t="s">
        <v>1858</v>
      </c>
      <c r="C570" s="1" t="s">
        <v>1042</v>
      </c>
      <c r="D570" s="1" t="s">
        <v>66</v>
      </c>
      <c r="E570" s="1">
        <f t="shared" si="2"/>
        <v>77.25</v>
      </c>
      <c r="F570" s="1">
        <f t="shared" si="3"/>
        <v>1.46</v>
      </c>
      <c r="G570" s="1">
        <v>53.0</v>
      </c>
      <c r="H570" s="1">
        <v>1.0</v>
      </c>
      <c r="I570" s="1">
        <v>3.0</v>
      </c>
      <c r="J570" s="1">
        <v>4.0</v>
      </c>
      <c r="K570" s="1">
        <v>43.0</v>
      </c>
      <c r="L570" s="1">
        <v>0.0</v>
      </c>
      <c r="M570" s="1">
        <v>0.0</v>
      </c>
      <c r="N570" s="1">
        <v>0.0</v>
      </c>
      <c r="O570" s="1">
        <v>1.0</v>
      </c>
      <c r="P570" s="1">
        <v>55.0</v>
      </c>
      <c r="Q570" s="1">
        <v>53.0</v>
      </c>
    </row>
    <row r="571">
      <c r="A571" s="1">
        <f t="shared" si="1"/>
        <v>569</v>
      </c>
      <c r="B571" s="1" t="s">
        <v>1541</v>
      </c>
      <c r="C571" s="1" t="s">
        <v>1175</v>
      </c>
      <c r="D571" s="1" t="s">
        <v>31</v>
      </c>
      <c r="E571" s="1">
        <f t="shared" si="2"/>
        <v>76.75</v>
      </c>
      <c r="F571" s="1">
        <f t="shared" si="3"/>
        <v>2.56</v>
      </c>
      <c r="G571" s="1">
        <v>30.0</v>
      </c>
      <c r="H571" s="1">
        <v>5.0</v>
      </c>
      <c r="I571" s="1">
        <v>1.0</v>
      </c>
      <c r="J571" s="1">
        <v>6.0</v>
      </c>
      <c r="K571" s="1">
        <v>60.0</v>
      </c>
      <c r="L571" s="1">
        <v>0.0</v>
      </c>
      <c r="M571" s="1">
        <v>0.0</v>
      </c>
      <c r="N571" s="1">
        <v>0.0</v>
      </c>
      <c r="O571" s="1">
        <v>0.0</v>
      </c>
      <c r="P571" s="1">
        <v>47.0</v>
      </c>
      <c r="Q571" s="1">
        <v>19.0</v>
      </c>
    </row>
    <row r="572">
      <c r="A572" s="1">
        <f t="shared" si="1"/>
        <v>569</v>
      </c>
      <c r="B572" s="1" t="s">
        <v>2150</v>
      </c>
      <c r="C572" s="1" t="s">
        <v>1038</v>
      </c>
      <c r="D572" s="1" t="s">
        <v>66</v>
      </c>
      <c r="E572" s="1">
        <f t="shared" si="2"/>
        <v>76.75</v>
      </c>
      <c r="F572" s="1">
        <f t="shared" si="3"/>
        <v>1.83</v>
      </c>
      <c r="G572" s="1">
        <v>42.0</v>
      </c>
      <c r="H572" s="1">
        <v>0.0</v>
      </c>
      <c r="I572" s="1">
        <v>9.0</v>
      </c>
      <c r="J572" s="1">
        <v>9.0</v>
      </c>
      <c r="K572" s="1">
        <v>35.0</v>
      </c>
      <c r="L572" s="1">
        <v>0.0</v>
      </c>
      <c r="M572" s="1">
        <v>2.0</v>
      </c>
      <c r="N572" s="1">
        <v>0.0</v>
      </c>
      <c r="O572" s="1">
        <v>0.0</v>
      </c>
      <c r="P572" s="1">
        <v>63.0</v>
      </c>
      <c r="Q572" s="1">
        <v>33.0</v>
      </c>
    </row>
    <row r="573">
      <c r="A573" s="1">
        <f t="shared" si="1"/>
        <v>571</v>
      </c>
      <c r="B573" s="1" t="s">
        <v>1690</v>
      </c>
      <c r="C573" s="1" t="s">
        <v>1172</v>
      </c>
      <c r="D573" s="1" t="s">
        <v>31</v>
      </c>
      <c r="E573" s="1">
        <f t="shared" si="2"/>
        <v>76.5</v>
      </c>
      <c r="F573" s="1">
        <f t="shared" si="3"/>
        <v>1.91</v>
      </c>
      <c r="G573" s="1">
        <v>40.0</v>
      </c>
      <c r="H573" s="1">
        <v>4.0</v>
      </c>
      <c r="I573" s="1">
        <v>1.0</v>
      </c>
      <c r="J573" s="1">
        <v>5.0</v>
      </c>
      <c r="K573" s="1">
        <v>51.0</v>
      </c>
      <c r="L573" s="1">
        <v>1.0</v>
      </c>
      <c r="M573" s="1">
        <v>0.0</v>
      </c>
      <c r="N573" s="1">
        <v>1.0</v>
      </c>
      <c r="O573" s="1">
        <v>0.0</v>
      </c>
      <c r="P573" s="1">
        <v>78.0</v>
      </c>
      <c r="Q573" s="1">
        <v>17.0</v>
      </c>
    </row>
    <row r="574">
      <c r="A574" s="1">
        <f t="shared" si="1"/>
        <v>572</v>
      </c>
      <c r="B574" s="1" t="s">
        <v>2481</v>
      </c>
      <c r="C574" s="1" t="s">
        <v>1120</v>
      </c>
      <c r="D574" s="1" t="s">
        <v>31</v>
      </c>
      <c r="E574" s="1">
        <f t="shared" si="2"/>
        <v>76.25</v>
      </c>
      <c r="F574" s="1">
        <f t="shared" si="3"/>
        <v>2.01</v>
      </c>
      <c r="G574" s="1">
        <v>38.0</v>
      </c>
      <c r="H574" s="1">
        <v>6.0</v>
      </c>
      <c r="I574" s="1">
        <v>9.0</v>
      </c>
      <c r="J574" s="1">
        <v>15.0</v>
      </c>
      <c r="K574" s="1">
        <v>25.0</v>
      </c>
      <c r="L574" s="1">
        <v>0.0</v>
      </c>
      <c r="M574" s="1">
        <v>0.0</v>
      </c>
      <c r="N574" s="1">
        <v>0.0</v>
      </c>
      <c r="O574" s="1">
        <v>0.0</v>
      </c>
      <c r="P574" s="1">
        <v>9.0</v>
      </c>
      <c r="Q574" s="1">
        <v>15.0</v>
      </c>
    </row>
    <row r="575">
      <c r="A575" s="1">
        <f t="shared" si="1"/>
        <v>573</v>
      </c>
      <c r="B575" s="1" t="s">
        <v>1727</v>
      </c>
      <c r="C575" s="1" t="s">
        <v>1052</v>
      </c>
      <c r="D575" s="1" t="s">
        <v>31</v>
      </c>
      <c r="E575" s="1">
        <f t="shared" si="2"/>
        <v>75.75</v>
      </c>
      <c r="F575" s="1">
        <f t="shared" si="3"/>
        <v>1.68</v>
      </c>
      <c r="G575" s="1">
        <v>45.0</v>
      </c>
      <c r="H575" s="1">
        <v>4.0</v>
      </c>
      <c r="I575" s="1">
        <v>7.0</v>
      </c>
      <c r="J575" s="1">
        <v>11.0</v>
      </c>
      <c r="K575" s="1">
        <v>35.0</v>
      </c>
      <c r="L575" s="1">
        <v>0.0</v>
      </c>
      <c r="M575" s="1">
        <v>0.0</v>
      </c>
      <c r="N575" s="1">
        <v>0.0</v>
      </c>
      <c r="O575" s="1">
        <v>0.0</v>
      </c>
      <c r="P575" s="1">
        <v>35.0</v>
      </c>
      <c r="Q575" s="1">
        <v>21.0</v>
      </c>
    </row>
    <row r="576">
      <c r="A576" s="1">
        <f t="shared" si="1"/>
        <v>574</v>
      </c>
      <c r="B576" s="1" t="s">
        <v>1720</v>
      </c>
      <c r="C576" s="1" t="s">
        <v>1065</v>
      </c>
      <c r="D576" s="1" t="s">
        <v>28</v>
      </c>
      <c r="E576" s="1">
        <f t="shared" si="2"/>
        <v>75.5</v>
      </c>
      <c r="F576" s="1">
        <f t="shared" si="3"/>
        <v>1.84</v>
      </c>
      <c r="G576" s="1">
        <v>41.0</v>
      </c>
      <c r="H576" s="1">
        <v>6.0</v>
      </c>
      <c r="I576" s="1">
        <v>3.0</v>
      </c>
      <c r="J576" s="1">
        <v>9.0</v>
      </c>
      <c r="K576" s="1">
        <v>52.0</v>
      </c>
      <c r="L576" s="1">
        <v>0.0</v>
      </c>
      <c r="M576" s="1">
        <v>0.0</v>
      </c>
      <c r="N576" s="1">
        <v>0.0</v>
      </c>
      <c r="O576" s="1">
        <v>0.0</v>
      </c>
      <c r="P576" s="1">
        <v>16.0</v>
      </c>
      <c r="Q576" s="1">
        <v>19.0</v>
      </c>
    </row>
    <row r="577">
      <c r="A577" s="1">
        <f t="shared" si="1"/>
        <v>575</v>
      </c>
      <c r="B577" s="1" t="s">
        <v>2116</v>
      </c>
      <c r="C577" s="1" t="s">
        <v>1069</v>
      </c>
      <c r="D577" s="1" t="s">
        <v>36</v>
      </c>
      <c r="E577" s="1">
        <f t="shared" si="2"/>
        <v>75.25</v>
      </c>
      <c r="F577" s="1">
        <f t="shared" si="3"/>
        <v>2.35</v>
      </c>
      <c r="G577" s="1">
        <v>32.0</v>
      </c>
      <c r="H577" s="1">
        <v>4.0</v>
      </c>
      <c r="I577" s="1">
        <v>4.0</v>
      </c>
      <c r="J577" s="1">
        <v>8.0</v>
      </c>
      <c r="K577" s="1">
        <v>36.0</v>
      </c>
      <c r="L577" s="1">
        <v>0.0</v>
      </c>
      <c r="M577" s="1">
        <v>0.0</v>
      </c>
      <c r="N577" s="1">
        <v>0.0</v>
      </c>
      <c r="O577" s="1">
        <v>0.0</v>
      </c>
      <c r="P577" s="1">
        <v>97.0</v>
      </c>
      <c r="Q577" s="1">
        <v>6.0</v>
      </c>
    </row>
    <row r="578">
      <c r="A578" s="1">
        <f t="shared" si="1"/>
        <v>576</v>
      </c>
      <c r="B578" s="1" t="s">
        <v>1264</v>
      </c>
      <c r="C578" s="1" t="s">
        <v>1073</v>
      </c>
      <c r="D578" s="1" t="s">
        <v>5</v>
      </c>
      <c r="E578" s="1">
        <f t="shared" si="2"/>
        <v>75</v>
      </c>
      <c r="F578" s="1">
        <f t="shared" si="3"/>
        <v>6.25</v>
      </c>
      <c r="G578" s="1">
        <v>12.0</v>
      </c>
      <c r="R578" s="1">
        <v>6.0</v>
      </c>
      <c r="S578" s="1">
        <v>23.0</v>
      </c>
      <c r="T578" s="1">
        <v>275.0</v>
      </c>
      <c r="U578" s="1">
        <v>3.0</v>
      </c>
    </row>
    <row r="579">
      <c r="A579" s="1">
        <f t="shared" si="1"/>
        <v>576</v>
      </c>
      <c r="B579" s="1" t="s">
        <v>1685</v>
      </c>
      <c r="C579" s="1" t="s">
        <v>1040</v>
      </c>
      <c r="D579" s="1" t="s">
        <v>28</v>
      </c>
      <c r="E579" s="1">
        <f t="shared" si="2"/>
        <v>75</v>
      </c>
      <c r="F579" s="1">
        <f t="shared" si="3"/>
        <v>2.42</v>
      </c>
      <c r="G579" s="1">
        <v>31.0</v>
      </c>
      <c r="H579" s="1">
        <v>1.0</v>
      </c>
      <c r="I579" s="1">
        <v>7.0</v>
      </c>
      <c r="J579" s="1">
        <v>8.0</v>
      </c>
      <c r="K579" s="1">
        <v>44.0</v>
      </c>
      <c r="L579" s="1">
        <v>0.0</v>
      </c>
      <c r="M579" s="1">
        <v>0.0</v>
      </c>
      <c r="N579" s="1">
        <v>0.0</v>
      </c>
      <c r="O579" s="1">
        <v>0.0</v>
      </c>
      <c r="P579" s="1">
        <v>78.0</v>
      </c>
      <c r="Q579" s="1">
        <v>16.0</v>
      </c>
    </row>
    <row r="580">
      <c r="A580" s="1">
        <f t="shared" si="1"/>
        <v>578</v>
      </c>
      <c r="B580" s="1" t="s">
        <v>2204</v>
      </c>
      <c r="C580" s="1" t="s">
        <v>1048</v>
      </c>
      <c r="D580" s="1" t="s">
        <v>66</v>
      </c>
      <c r="E580" s="1">
        <f t="shared" si="2"/>
        <v>74.75</v>
      </c>
      <c r="F580" s="1">
        <f t="shared" si="3"/>
        <v>1.97</v>
      </c>
      <c r="G580" s="1">
        <v>38.0</v>
      </c>
      <c r="H580" s="1">
        <v>3.0</v>
      </c>
      <c r="I580" s="1">
        <v>6.0</v>
      </c>
      <c r="J580" s="1">
        <v>9.0</v>
      </c>
      <c r="K580" s="1">
        <v>38.0</v>
      </c>
      <c r="L580" s="1">
        <v>0.0</v>
      </c>
      <c r="M580" s="1">
        <v>0.0</v>
      </c>
      <c r="N580" s="1">
        <v>0.0</v>
      </c>
      <c r="O580" s="1">
        <v>0.0</v>
      </c>
      <c r="P580" s="1">
        <v>37.0</v>
      </c>
      <c r="Q580" s="1">
        <v>30.0</v>
      </c>
    </row>
    <row r="581">
      <c r="A581" s="1">
        <f t="shared" si="1"/>
        <v>579</v>
      </c>
      <c r="B581" s="1" t="s">
        <v>1501</v>
      </c>
      <c r="C581" s="1" t="s">
        <v>1034</v>
      </c>
      <c r="D581" s="1" t="s">
        <v>66</v>
      </c>
      <c r="E581" s="1">
        <f t="shared" si="2"/>
        <v>74.5</v>
      </c>
      <c r="F581" s="1">
        <f t="shared" si="3"/>
        <v>2.13</v>
      </c>
      <c r="G581" s="1">
        <v>35.0</v>
      </c>
      <c r="H581" s="1">
        <v>0.0</v>
      </c>
      <c r="I581" s="1">
        <v>8.0</v>
      </c>
      <c r="J581" s="1">
        <v>8.0</v>
      </c>
      <c r="K581" s="1">
        <v>46.0</v>
      </c>
      <c r="L581" s="1">
        <v>0.0</v>
      </c>
      <c r="M581" s="1">
        <v>0.0</v>
      </c>
      <c r="N581" s="1">
        <v>0.0</v>
      </c>
      <c r="O581" s="1">
        <v>2.0</v>
      </c>
      <c r="P581" s="1">
        <v>30.0</v>
      </c>
      <c r="Q581" s="1">
        <v>32.0</v>
      </c>
    </row>
    <row r="582">
      <c r="A582" s="1">
        <f t="shared" si="1"/>
        <v>580</v>
      </c>
      <c r="B582" s="1" t="s">
        <v>2482</v>
      </c>
      <c r="C582" s="1" t="s">
        <v>1046</v>
      </c>
      <c r="D582" s="1" t="s">
        <v>28</v>
      </c>
      <c r="E582" s="1">
        <f t="shared" si="2"/>
        <v>74.25</v>
      </c>
      <c r="F582" s="1">
        <f t="shared" si="3"/>
        <v>1.95</v>
      </c>
      <c r="G582" s="1">
        <v>38.0</v>
      </c>
      <c r="H582" s="1">
        <v>5.0</v>
      </c>
      <c r="I582" s="1">
        <v>0.0</v>
      </c>
      <c r="J582" s="1">
        <v>5.0</v>
      </c>
      <c r="K582" s="1">
        <v>50.0</v>
      </c>
      <c r="L582" s="1">
        <v>1.0</v>
      </c>
      <c r="M582" s="1">
        <v>0.0</v>
      </c>
      <c r="N582" s="1">
        <v>0.0</v>
      </c>
      <c r="O582" s="1">
        <v>0.0</v>
      </c>
      <c r="P582" s="1">
        <v>83.0</v>
      </c>
      <c r="Q582" s="1">
        <v>12.0</v>
      </c>
    </row>
    <row r="583">
      <c r="A583" s="1">
        <f t="shared" si="1"/>
        <v>580</v>
      </c>
      <c r="B583" s="1" t="s">
        <v>1678</v>
      </c>
      <c r="C583" s="1" t="s">
        <v>1069</v>
      </c>
      <c r="D583" s="1" t="s">
        <v>31</v>
      </c>
      <c r="E583" s="1">
        <f t="shared" si="2"/>
        <v>74.25</v>
      </c>
      <c r="F583" s="1">
        <f t="shared" si="3"/>
        <v>1.73</v>
      </c>
      <c r="G583" s="1">
        <v>43.0</v>
      </c>
      <c r="H583" s="1">
        <v>2.0</v>
      </c>
      <c r="I583" s="1">
        <v>11.0</v>
      </c>
      <c r="J583" s="1">
        <v>13.0</v>
      </c>
      <c r="K583" s="1">
        <v>37.0</v>
      </c>
      <c r="L583" s="1">
        <v>0.0</v>
      </c>
      <c r="M583" s="1">
        <v>0.0</v>
      </c>
      <c r="N583" s="1">
        <v>0.0</v>
      </c>
      <c r="O583" s="1">
        <v>0.0</v>
      </c>
      <c r="P583" s="1">
        <v>13.0</v>
      </c>
      <c r="Q583" s="1">
        <v>21.0</v>
      </c>
    </row>
    <row r="584">
      <c r="A584" s="1">
        <f t="shared" si="1"/>
        <v>582</v>
      </c>
      <c r="B584" s="1" t="s">
        <v>1592</v>
      </c>
      <c r="C584" s="1" t="s">
        <v>1032</v>
      </c>
      <c r="D584" s="1" t="s">
        <v>5</v>
      </c>
      <c r="E584" s="1">
        <f t="shared" si="2"/>
        <v>74.1</v>
      </c>
      <c r="F584" s="1">
        <f t="shared" si="3"/>
        <v>3.9</v>
      </c>
      <c r="G584" s="1">
        <v>19.0</v>
      </c>
      <c r="R584" s="1">
        <v>5.0</v>
      </c>
      <c r="S584" s="1">
        <v>46.0</v>
      </c>
      <c r="T584" s="1">
        <v>417.0</v>
      </c>
      <c r="U584" s="1">
        <v>1.0</v>
      </c>
    </row>
    <row r="585">
      <c r="A585" s="1">
        <f t="shared" si="1"/>
        <v>583</v>
      </c>
      <c r="B585" s="1" t="s">
        <v>1759</v>
      </c>
      <c r="C585" s="1" t="s">
        <v>1111</v>
      </c>
      <c r="D585" s="1" t="s">
        <v>28</v>
      </c>
      <c r="E585" s="1">
        <f t="shared" si="2"/>
        <v>74</v>
      </c>
      <c r="F585" s="1">
        <f t="shared" si="3"/>
        <v>2.85</v>
      </c>
      <c r="G585" s="1">
        <v>26.0</v>
      </c>
      <c r="H585" s="1">
        <v>3.0</v>
      </c>
      <c r="I585" s="1">
        <v>5.0</v>
      </c>
      <c r="J585" s="1">
        <v>8.0</v>
      </c>
      <c r="K585" s="1">
        <v>39.0</v>
      </c>
      <c r="L585" s="1">
        <v>0.0</v>
      </c>
      <c r="M585" s="1">
        <v>0.0</v>
      </c>
      <c r="N585" s="1">
        <v>0.0</v>
      </c>
      <c r="O585" s="1">
        <v>0.0</v>
      </c>
      <c r="P585" s="1">
        <v>94.0</v>
      </c>
      <c r="Q585" s="1">
        <v>5.0</v>
      </c>
    </row>
    <row r="586">
      <c r="A586" s="1">
        <f t="shared" si="1"/>
        <v>583</v>
      </c>
      <c r="B586" s="1" t="s">
        <v>1547</v>
      </c>
      <c r="C586" s="1" t="s">
        <v>1106</v>
      </c>
      <c r="D586" s="1" t="s">
        <v>31</v>
      </c>
      <c r="E586" s="1">
        <f t="shared" si="2"/>
        <v>74</v>
      </c>
      <c r="F586" s="1">
        <f t="shared" si="3"/>
        <v>2.64</v>
      </c>
      <c r="G586" s="1">
        <v>28.0</v>
      </c>
      <c r="H586" s="1">
        <v>4.0</v>
      </c>
      <c r="I586" s="1">
        <v>5.0</v>
      </c>
      <c r="J586" s="1">
        <v>9.0</v>
      </c>
      <c r="K586" s="1">
        <v>32.0</v>
      </c>
      <c r="L586" s="1">
        <v>1.0</v>
      </c>
      <c r="M586" s="1">
        <v>2.0</v>
      </c>
      <c r="N586" s="1">
        <v>0.0</v>
      </c>
      <c r="O586" s="1">
        <v>0.0</v>
      </c>
      <c r="P586" s="1">
        <v>50.0</v>
      </c>
      <c r="Q586" s="1">
        <v>25.0</v>
      </c>
    </row>
    <row r="587">
      <c r="A587" s="1">
        <f t="shared" si="1"/>
        <v>583</v>
      </c>
      <c r="B587" s="1" t="s">
        <v>2239</v>
      </c>
      <c r="C587" s="1" t="s">
        <v>1076</v>
      </c>
      <c r="D587" s="1" t="s">
        <v>31</v>
      </c>
      <c r="E587" s="1">
        <f t="shared" si="2"/>
        <v>74</v>
      </c>
      <c r="F587" s="1">
        <f t="shared" si="3"/>
        <v>2.24</v>
      </c>
      <c r="G587" s="1">
        <v>33.0</v>
      </c>
      <c r="H587" s="1">
        <v>6.0</v>
      </c>
      <c r="I587" s="1">
        <v>3.0</v>
      </c>
      <c r="J587" s="1">
        <v>9.0</v>
      </c>
      <c r="K587" s="1">
        <v>55.0</v>
      </c>
      <c r="L587" s="1">
        <v>0.0</v>
      </c>
      <c r="M587" s="1">
        <v>0.0</v>
      </c>
      <c r="N587" s="1">
        <v>0.0</v>
      </c>
      <c r="O587" s="1">
        <v>0.0</v>
      </c>
      <c r="P587" s="1">
        <v>26.0</v>
      </c>
      <c r="Q587" s="1">
        <v>8.0</v>
      </c>
    </row>
    <row r="588">
      <c r="A588" s="1">
        <f t="shared" si="1"/>
        <v>583</v>
      </c>
      <c r="B588" s="1" t="s">
        <v>1708</v>
      </c>
      <c r="C588" s="1" t="s">
        <v>1032</v>
      </c>
      <c r="D588" s="1" t="s">
        <v>66</v>
      </c>
      <c r="E588" s="1">
        <f t="shared" si="2"/>
        <v>74</v>
      </c>
      <c r="F588" s="1">
        <f t="shared" si="3"/>
        <v>1.95</v>
      </c>
      <c r="G588" s="1">
        <v>38.0</v>
      </c>
      <c r="H588" s="1">
        <v>1.0</v>
      </c>
      <c r="I588" s="1">
        <v>4.0</v>
      </c>
      <c r="J588" s="1">
        <v>5.0</v>
      </c>
      <c r="K588" s="1">
        <v>54.0</v>
      </c>
      <c r="L588" s="1">
        <v>0.0</v>
      </c>
      <c r="M588" s="1">
        <v>0.0</v>
      </c>
      <c r="N588" s="1">
        <v>0.0</v>
      </c>
      <c r="O588" s="1">
        <v>0.0</v>
      </c>
      <c r="P588" s="1">
        <v>44.0</v>
      </c>
      <c r="Q588" s="1">
        <v>39.0</v>
      </c>
    </row>
    <row r="589">
      <c r="A589" s="1">
        <f t="shared" si="1"/>
        <v>583</v>
      </c>
      <c r="B589" s="1" t="s">
        <v>1621</v>
      </c>
      <c r="C589" s="1" t="s">
        <v>1078</v>
      </c>
      <c r="D589" s="1" t="s">
        <v>28</v>
      </c>
      <c r="E589" s="1">
        <f t="shared" si="2"/>
        <v>74</v>
      </c>
      <c r="F589" s="1">
        <f t="shared" si="3"/>
        <v>1.8</v>
      </c>
      <c r="G589" s="1">
        <v>41.0</v>
      </c>
      <c r="H589" s="1">
        <v>3.0</v>
      </c>
      <c r="I589" s="1">
        <v>7.0</v>
      </c>
      <c r="J589" s="1">
        <v>10.0</v>
      </c>
      <c r="K589" s="1">
        <v>42.0</v>
      </c>
      <c r="L589" s="1">
        <v>0.0</v>
      </c>
      <c r="M589" s="1">
        <v>0.0</v>
      </c>
      <c r="N589" s="1">
        <v>0.0</v>
      </c>
      <c r="O589" s="1">
        <v>0.0</v>
      </c>
      <c r="P589" s="1">
        <v>32.0</v>
      </c>
      <c r="Q589" s="1">
        <v>21.0</v>
      </c>
    </row>
    <row r="590">
      <c r="A590" s="1">
        <f t="shared" si="1"/>
        <v>583</v>
      </c>
      <c r="B590" s="1" t="s">
        <v>1812</v>
      </c>
      <c r="C590" s="1" t="s">
        <v>1067</v>
      </c>
      <c r="D590" s="1" t="s">
        <v>66</v>
      </c>
      <c r="E590" s="1">
        <f t="shared" si="2"/>
        <v>74</v>
      </c>
      <c r="F590" s="1">
        <f t="shared" si="3"/>
        <v>1.95</v>
      </c>
      <c r="G590" s="1">
        <v>38.0</v>
      </c>
      <c r="H590" s="1">
        <v>1.0</v>
      </c>
      <c r="I590" s="1">
        <v>8.0</v>
      </c>
      <c r="J590" s="1">
        <v>9.0</v>
      </c>
      <c r="K590" s="1">
        <v>24.0</v>
      </c>
      <c r="L590" s="1">
        <v>0.0</v>
      </c>
      <c r="M590" s="1">
        <v>1.0</v>
      </c>
      <c r="N590" s="1">
        <v>0.0</v>
      </c>
      <c r="O590" s="1">
        <v>2.0</v>
      </c>
      <c r="P590" s="1">
        <v>32.0</v>
      </c>
      <c r="Q590" s="1">
        <v>43.0</v>
      </c>
    </row>
    <row r="591">
      <c r="A591" s="1">
        <f t="shared" si="1"/>
        <v>589</v>
      </c>
      <c r="B591" s="1" t="s">
        <v>1694</v>
      </c>
      <c r="C591" s="1" t="s">
        <v>1065</v>
      </c>
      <c r="D591" s="1" t="s">
        <v>31</v>
      </c>
      <c r="E591" s="1">
        <f t="shared" si="2"/>
        <v>73.75</v>
      </c>
      <c r="F591" s="1">
        <f t="shared" si="3"/>
        <v>3.07</v>
      </c>
      <c r="G591" s="1">
        <v>24.0</v>
      </c>
      <c r="H591" s="1">
        <v>3.0</v>
      </c>
      <c r="I591" s="1">
        <v>10.0</v>
      </c>
      <c r="J591" s="1">
        <v>13.0</v>
      </c>
      <c r="K591" s="1">
        <v>53.0</v>
      </c>
      <c r="L591" s="1">
        <v>0.0</v>
      </c>
      <c r="M591" s="1">
        <v>0.0</v>
      </c>
      <c r="N591" s="1">
        <v>0.0</v>
      </c>
      <c r="O591" s="1">
        <v>0.0</v>
      </c>
      <c r="P591" s="1">
        <v>7.0</v>
      </c>
      <c r="Q591" s="1">
        <v>4.0</v>
      </c>
    </row>
    <row r="592">
      <c r="A592" s="1">
        <f t="shared" si="1"/>
        <v>590</v>
      </c>
      <c r="B592" s="1" t="s">
        <v>2483</v>
      </c>
      <c r="C592" s="1" t="s">
        <v>1048</v>
      </c>
      <c r="D592" s="1" t="s">
        <v>28</v>
      </c>
      <c r="E592" s="1">
        <f t="shared" si="2"/>
        <v>73.5</v>
      </c>
      <c r="F592" s="1">
        <f t="shared" si="3"/>
        <v>2.37</v>
      </c>
      <c r="G592" s="1">
        <v>31.0</v>
      </c>
      <c r="H592" s="1">
        <v>4.0</v>
      </c>
      <c r="I592" s="1">
        <v>6.0</v>
      </c>
      <c r="J592" s="1">
        <v>10.0</v>
      </c>
      <c r="K592" s="1">
        <v>72.0</v>
      </c>
      <c r="L592" s="1">
        <v>0.0</v>
      </c>
      <c r="M592" s="1">
        <v>2.0</v>
      </c>
      <c r="N592" s="1">
        <v>0.0</v>
      </c>
      <c r="O592" s="1">
        <v>0.0</v>
      </c>
      <c r="P592" s="1">
        <v>4.0</v>
      </c>
      <c r="Q592" s="1">
        <v>1.0</v>
      </c>
    </row>
    <row r="593">
      <c r="A593" s="1">
        <f t="shared" si="1"/>
        <v>591</v>
      </c>
      <c r="B593" s="1" t="s">
        <v>1711</v>
      </c>
      <c r="C593" s="1" t="s">
        <v>1085</v>
      </c>
      <c r="D593" s="1" t="s">
        <v>36</v>
      </c>
      <c r="E593" s="1">
        <f t="shared" si="2"/>
        <v>73</v>
      </c>
      <c r="F593" s="1">
        <f t="shared" si="3"/>
        <v>2.81</v>
      </c>
      <c r="G593" s="1">
        <v>26.0</v>
      </c>
      <c r="H593" s="1">
        <v>6.0</v>
      </c>
      <c r="I593" s="1">
        <v>5.0</v>
      </c>
      <c r="J593" s="1">
        <v>11.0</v>
      </c>
      <c r="K593" s="1">
        <v>31.0</v>
      </c>
      <c r="L593" s="1">
        <v>1.0</v>
      </c>
      <c r="M593" s="1">
        <v>0.0</v>
      </c>
      <c r="N593" s="1">
        <v>0.0</v>
      </c>
      <c r="O593" s="1">
        <v>0.0</v>
      </c>
      <c r="P593" s="1">
        <v>40.0</v>
      </c>
      <c r="Q593" s="1">
        <v>11.0</v>
      </c>
    </row>
    <row r="594">
      <c r="A594" s="1">
        <f t="shared" si="1"/>
        <v>591</v>
      </c>
      <c r="B594" s="1" t="s">
        <v>1922</v>
      </c>
      <c r="C594" s="1" t="s">
        <v>1091</v>
      </c>
      <c r="D594" s="1" t="s">
        <v>66</v>
      </c>
      <c r="E594" s="1">
        <f t="shared" si="2"/>
        <v>73</v>
      </c>
      <c r="F594" s="1">
        <f t="shared" si="3"/>
        <v>2.15</v>
      </c>
      <c r="G594" s="1">
        <v>34.0</v>
      </c>
      <c r="H594" s="1">
        <v>2.0</v>
      </c>
      <c r="I594" s="1">
        <v>3.0</v>
      </c>
      <c r="J594" s="1">
        <v>5.0</v>
      </c>
      <c r="K594" s="1">
        <v>29.0</v>
      </c>
      <c r="L594" s="1">
        <v>0.0</v>
      </c>
      <c r="M594" s="1">
        <v>0.0</v>
      </c>
      <c r="N594" s="1">
        <v>0.0</v>
      </c>
      <c r="O594" s="1">
        <v>0.0</v>
      </c>
      <c r="P594" s="1">
        <v>100.0</v>
      </c>
      <c r="Q594" s="1">
        <v>31.0</v>
      </c>
    </row>
    <row r="595">
      <c r="A595" s="1">
        <f t="shared" si="1"/>
        <v>593</v>
      </c>
      <c r="B595" s="1" t="s">
        <v>1813</v>
      </c>
      <c r="C595" s="1" t="s">
        <v>1116</v>
      </c>
      <c r="D595" s="1" t="s">
        <v>66</v>
      </c>
      <c r="E595" s="1">
        <f t="shared" si="2"/>
        <v>72.75</v>
      </c>
      <c r="F595" s="1">
        <f t="shared" si="3"/>
        <v>1.97</v>
      </c>
      <c r="G595" s="1">
        <v>37.0</v>
      </c>
      <c r="H595" s="1">
        <v>1.0</v>
      </c>
      <c r="I595" s="1">
        <v>3.0</v>
      </c>
      <c r="J595" s="1">
        <v>4.0</v>
      </c>
      <c r="K595" s="1">
        <v>63.0</v>
      </c>
      <c r="L595" s="1">
        <v>0.0</v>
      </c>
      <c r="M595" s="1">
        <v>0.0</v>
      </c>
      <c r="N595" s="1">
        <v>0.0</v>
      </c>
      <c r="O595" s="1">
        <v>0.0</v>
      </c>
      <c r="P595" s="1">
        <v>49.0</v>
      </c>
      <c r="Q595" s="1">
        <v>31.0</v>
      </c>
    </row>
    <row r="596">
      <c r="A596" s="1">
        <f t="shared" si="1"/>
        <v>593</v>
      </c>
      <c r="B596" s="1" t="s">
        <v>1540</v>
      </c>
      <c r="C596" s="1" t="s">
        <v>1040</v>
      </c>
      <c r="D596" s="1" t="s">
        <v>31</v>
      </c>
      <c r="E596" s="1">
        <f t="shared" si="2"/>
        <v>72.75</v>
      </c>
      <c r="F596" s="1">
        <f t="shared" si="3"/>
        <v>1.73</v>
      </c>
      <c r="G596" s="1">
        <v>42.0</v>
      </c>
      <c r="H596" s="1">
        <v>1.0</v>
      </c>
      <c r="I596" s="1">
        <v>6.0</v>
      </c>
      <c r="J596" s="1">
        <v>7.0</v>
      </c>
      <c r="K596" s="1">
        <v>33.0</v>
      </c>
      <c r="L596" s="1">
        <v>0.0</v>
      </c>
      <c r="M596" s="1">
        <v>0.0</v>
      </c>
      <c r="N596" s="1">
        <v>0.0</v>
      </c>
      <c r="O596" s="1">
        <v>1.0</v>
      </c>
      <c r="P596" s="1">
        <v>57.0</v>
      </c>
      <c r="Q596" s="1">
        <v>35.0</v>
      </c>
    </row>
    <row r="597">
      <c r="A597" s="1">
        <f t="shared" si="1"/>
        <v>595</v>
      </c>
      <c r="B597" s="1" t="s">
        <v>2346</v>
      </c>
      <c r="C597" s="1" t="s">
        <v>1036</v>
      </c>
      <c r="D597" s="1" t="s">
        <v>36</v>
      </c>
      <c r="E597" s="1">
        <f t="shared" si="2"/>
        <v>72.5</v>
      </c>
      <c r="F597" s="1">
        <f t="shared" si="3"/>
        <v>2.5</v>
      </c>
      <c r="G597" s="1">
        <v>29.0</v>
      </c>
      <c r="H597" s="1">
        <v>5.0</v>
      </c>
      <c r="I597" s="1">
        <v>5.0</v>
      </c>
      <c r="J597" s="1">
        <v>10.0</v>
      </c>
      <c r="K597" s="1">
        <v>51.0</v>
      </c>
      <c r="L597" s="1">
        <v>1.0</v>
      </c>
      <c r="M597" s="1">
        <v>2.0</v>
      </c>
      <c r="N597" s="1">
        <v>0.0</v>
      </c>
      <c r="O597" s="1">
        <v>0.0</v>
      </c>
      <c r="P597" s="1">
        <v>26.0</v>
      </c>
      <c r="Q597" s="1">
        <v>6.0</v>
      </c>
    </row>
    <row r="598">
      <c r="A598" s="1">
        <f t="shared" si="1"/>
        <v>596</v>
      </c>
      <c r="B598" s="1" t="s">
        <v>1696</v>
      </c>
      <c r="C598" s="1" t="s">
        <v>1080</v>
      </c>
      <c r="D598" s="1" t="s">
        <v>36</v>
      </c>
      <c r="E598" s="1">
        <f t="shared" si="2"/>
        <v>72.25</v>
      </c>
      <c r="F598" s="1">
        <f t="shared" si="3"/>
        <v>1.95</v>
      </c>
      <c r="G598" s="1">
        <v>37.0</v>
      </c>
      <c r="H598" s="1">
        <v>1.0</v>
      </c>
      <c r="I598" s="1">
        <v>4.0</v>
      </c>
      <c r="J598" s="1">
        <v>5.0</v>
      </c>
      <c r="K598" s="1">
        <v>26.0</v>
      </c>
      <c r="L598" s="1">
        <v>0.0</v>
      </c>
      <c r="M598" s="1">
        <v>0.0</v>
      </c>
      <c r="N598" s="1">
        <v>0.0</v>
      </c>
      <c r="O598" s="1">
        <v>0.0</v>
      </c>
      <c r="P598" s="1">
        <v>141.0</v>
      </c>
      <c r="Q598" s="1">
        <v>15.0</v>
      </c>
    </row>
    <row r="599">
      <c r="A599" s="1">
        <f t="shared" si="1"/>
        <v>597</v>
      </c>
      <c r="B599" s="1" t="s">
        <v>2484</v>
      </c>
      <c r="C599" s="1" t="s">
        <v>1156</v>
      </c>
      <c r="D599" s="1" t="s">
        <v>31</v>
      </c>
      <c r="E599" s="1">
        <f t="shared" si="2"/>
        <v>72</v>
      </c>
      <c r="F599" s="1">
        <f t="shared" si="3"/>
        <v>2.25</v>
      </c>
      <c r="G599" s="1">
        <v>32.0</v>
      </c>
      <c r="H599" s="1">
        <v>4.0</v>
      </c>
      <c r="I599" s="1">
        <v>8.0</v>
      </c>
      <c r="J599" s="1">
        <v>12.0</v>
      </c>
      <c r="K599" s="1">
        <v>36.0</v>
      </c>
      <c r="L599" s="1">
        <v>0.0</v>
      </c>
      <c r="M599" s="1">
        <v>0.0</v>
      </c>
      <c r="N599" s="1">
        <v>0.0</v>
      </c>
      <c r="O599" s="1">
        <v>0.0</v>
      </c>
      <c r="P599" s="1">
        <v>14.0</v>
      </c>
      <c r="Q599" s="1">
        <v>17.0</v>
      </c>
    </row>
    <row r="600">
      <c r="A600" s="1">
        <f t="shared" si="1"/>
        <v>598</v>
      </c>
      <c r="B600" s="1" t="s">
        <v>1373</v>
      </c>
      <c r="C600" s="1" t="s">
        <v>1048</v>
      </c>
      <c r="D600" s="1" t="s">
        <v>28</v>
      </c>
      <c r="E600" s="1">
        <f t="shared" si="2"/>
        <v>71.75</v>
      </c>
      <c r="F600" s="1">
        <f t="shared" si="3"/>
        <v>1.63</v>
      </c>
      <c r="G600" s="1">
        <v>44.0</v>
      </c>
      <c r="H600" s="1">
        <v>3.0</v>
      </c>
      <c r="I600" s="1">
        <v>5.0</v>
      </c>
      <c r="J600" s="1">
        <v>8.0</v>
      </c>
      <c r="K600" s="1">
        <v>34.0</v>
      </c>
      <c r="L600" s="1">
        <v>0.0</v>
      </c>
      <c r="M600" s="1">
        <v>0.0</v>
      </c>
      <c r="N600" s="1">
        <v>0.0</v>
      </c>
      <c r="O600" s="1">
        <v>0.0</v>
      </c>
      <c r="P600" s="1">
        <v>55.0</v>
      </c>
      <c r="Q600" s="1">
        <v>25.0</v>
      </c>
    </row>
    <row r="601">
      <c r="A601" s="1">
        <f t="shared" si="1"/>
        <v>599</v>
      </c>
      <c r="B601" s="1" t="s">
        <v>2485</v>
      </c>
      <c r="C601" s="1" t="s">
        <v>1120</v>
      </c>
      <c r="D601" s="1" t="s">
        <v>66</v>
      </c>
      <c r="E601" s="1">
        <f t="shared" si="2"/>
        <v>71</v>
      </c>
      <c r="F601" s="1">
        <f t="shared" si="3"/>
        <v>1.97</v>
      </c>
      <c r="G601" s="1">
        <v>36.0</v>
      </c>
      <c r="H601" s="1">
        <v>2.0</v>
      </c>
      <c r="I601" s="1">
        <v>9.0</v>
      </c>
      <c r="J601" s="1">
        <v>11.0</v>
      </c>
      <c r="K601" s="1">
        <v>39.0</v>
      </c>
      <c r="L601" s="1">
        <v>1.0</v>
      </c>
      <c r="M601" s="1">
        <v>3.0</v>
      </c>
      <c r="N601" s="1">
        <v>0.0</v>
      </c>
      <c r="O601" s="1">
        <v>0.0</v>
      </c>
      <c r="P601" s="1">
        <v>10.0</v>
      </c>
      <c r="Q601" s="1">
        <v>26.0</v>
      </c>
    </row>
    <row r="602">
      <c r="A602" s="1">
        <f t="shared" si="1"/>
        <v>600</v>
      </c>
      <c r="B602" s="1" t="s">
        <v>2109</v>
      </c>
      <c r="C602" s="1" t="s">
        <v>1069</v>
      </c>
      <c r="D602" s="1" t="s">
        <v>28</v>
      </c>
      <c r="E602" s="1">
        <f t="shared" si="2"/>
        <v>70.25</v>
      </c>
      <c r="F602" s="1">
        <f t="shared" si="3"/>
        <v>1.85</v>
      </c>
      <c r="G602" s="1">
        <v>38.0</v>
      </c>
      <c r="H602" s="1">
        <v>6.0</v>
      </c>
      <c r="I602" s="1">
        <v>3.0</v>
      </c>
      <c r="J602" s="1">
        <v>9.0</v>
      </c>
      <c r="K602" s="1">
        <v>50.0</v>
      </c>
      <c r="L602" s="1">
        <v>0.0</v>
      </c>
      <c r="M602" s="1">
        <v>0.0</v>
      </c>
      <c r="N602" s="1">
        <v>0.0</v>
      </c>
      <c r="O602" s="1">
        <v>0.0</v>
      </c>
      <c r="P602" s="1">
        <v>33.0</v>
      </c>
      <c r="Q602" s="1">
        <v>2.0</v>
      </c>
    </row>
    <row r="603">
      <c r="A603" s="1">
        <f t="shared" si="1"/>
        <v>600</v>
      </c>
      <c r="B603" s="1" t="s">
        <v>1581</v>
      </c>
      <c r="C603" s="1" t="s">
        <v>1078</v>
      </c>
      <c r="D603" s="1" t="s">
        <v>66</v>
      </c>
      <c r="E603" s="1">
        <f t="shared" si="2"/>
        <v>70.25</v>
      </c>
      <c r="F603" s="1">
        <f t="shared" si="3"/>
        <v>1.71</v>
      </c>
      <c r="G603" s="1">
        <v>41.0</v>
      </c>
      <c r="H603" s="1">
        <v>0.0</v>
      </c>
      <c r="I603" s="1">
        <v>4.0</v>
      </c>
      <c r="J603" s="1">
        <v>4.0</v>
      </c>
      <c r="K603" s="1">
        <v>43.0</v>
      </c>
      <c r="L603" s="1">
        <v>0.0</v>
      </c>
      <c r="M603" s="1">
        <v>0.0</v>
      </c>
      <c r="N603" s="1">
        <v>0.0</v>
      </c>
      <c r="O603" s="1">
        <v>0.0</v>
      </c>
      <c r="P603" s="1">
        <v>41.0</v>
      </c>
      <c r="Q603" s="1">
        <v>53.0</v>
      </c>
    </row>
    <row r="604">
      <c r="A604" s="1">
        <f t="shared" si="1"/>
        <v>602</v>
      </c>
      <c r="B604" s="1" t="s">
        <v>1445</v>
      </c>
      <c r="C604" s="1" t="s">
        <v>1097</v>
      </c>
      <c r="D604" s="1" t="s">
        <v>66</v>
      </c>
      <c r="E604" s="1">
        <f t="shared" si="2"/>
        <v>69.75</v>
      </c>
      <c r="F604" s="1">
        <f t="shared" si="3"/>
        <v>2.41</v>
      </c>
      <c r="G604" s="1">
        <v>29.0</v>
      </c>
      <c r="H604" s="1">
        <v>1.0</v>
      </c>
      <c r="I604" s="1">
        <v>11.0</v>
      </c>
      <c r="J604" s="1">
        <v>12.0</v>
      </c>
      <c r="K604" s="1">
        <v>33.0</v>
      </c>
      <c r="L604" s="1">
        <v>0.0</v>
      </c>
      <c r="M604" s="1">
        <v>5.0</v>
      </c>
      <c r="N604" s="1">
        <v>0.0</v>
      </c>
      <c r="O604" s="1">
        <v>0.0</v>
      </c>
      <c r="P604" s="1">
        <v>21.0</v>
      </c>
      <c r="Q604" s="1">
        <v>21.0</v>
      </c>
    </row>
    <row r="605">
      <c r="A605" s="1">
        <f t="shared" si="1"/>
        <v>602</v>
      </c>
      <c r="B605" s="1" t="s">
        <v>1526</v>
      </c>
      <c r="C605" s="1" t="s">
        <v>1034</v>
      </c>
      <c r="D605" s="1" t="s">
        <v>66</v>
      </c>
      <c r="E605" s="1">
        <f t="shared" si="2"/>
        <v>69.75</v>
      </c>
      <c r="F605" s="1">
        <f t="shared" si="3"/>
        <v>1.84</v>
      </c>
      <c r="G605" s="1">
        <v>38.0</v>
      </c>
      <c r="H605" s="1">
        <v>2.0</v>
      </c>
      <c r="I605" s="1">
        <v>2.0</v>
      </c>
      <c r="J605" s="1">
        <v>4.0</v>
      </c>
      <c r="K605" s="1">
        <v>43.0</v>
      </c>
      <c r="L605" s="1">
        <v>0.0</v>
      </c>
      <c r="M605" s="1">
        <v>0.0</v>
      </c>
      <c r="N605" s="1">
        <v>0.0</v>
      </c>
      <c r="O605" s="1">
        <v>0.0</v>
      </c>
      <c r="P605" s="1">
        <v>99.0</v>
      </c>
      <c r="Q605" s="1">
        <v>17.0</v>
      </c>
    </row>
    <row r="606">
      <c r="A606" s="1">
        <f t="shared" si="1"/>
        <v>602</v>
      </c>
      <c r="B606" s="1" t="s">
        <v>2219</v>
      </c>
      <c r="C606" s="1" t="s">
        <v>1116</v>
      </c>
      <c r="D606" s="1" t="s">
        <v>66</v>
      </c>
      <c r="E606" s="1">
        <f t="shared" si="2"/>
        <v>69.75</v>
      </c>
      <c r="F606" s="1">
        <f t="shared" si="3"/>
        <v>1.79</v>
      </c>
      <c r="G606" s="1">
        <v>39.0</v>
      </c>
      <c r="H606" s="1">
        <v>0.0</v>
      </c>
      <c r="I606" s="1">
        <v>1.0</v>
      </c>
      <c r="J606" s="1">
        <v>1.0</v>
      </c>
      <c r="K606" s="1">
        <v>50.0</v>
      </c>
      <c r="L606" s="1">
        <v>0.0</v>
      </c>
      <c r="M606" s="1">
        <v>0.0</v>
      </c>
      <c r="N606" s="1">
        <v>0.0</v>
      </c>
      <c r="O606" s="1">
        <v>0.0</v>
      </c>
      <c r="P606" s="1">
        <v>69.0</v>
      </c>
      <c r="Q606" s="1">
        <v>49.0</v>
      </c>
    </row>
    <row r="607">
      <c r="A607" s="1">
        <f t="shared" si="1"/>
        <v>605</v>
      </c>
      <c r="B607" s="1" t="s">
        <v>1586</v>
      </c>
      <c r="C607" s="1" t="s">
        <v>1076</v>
      </c>
      <c r="D607" s="1" t="s">
        <v>5</v>
      </c>
      <c r="E607" s="1">
        <f t="shared" si="2"/>
        <v>69.6</v>
      </c>
      <c r="F607" s="1">
        <f t="shared" si="3"/>
        <v>4.35</v>
      </c>
      <c r="G607" s="1">
        <v>16.0</v>
      </c>
      <c r="R607" s="1">
        <v>3.0</v>
      </c>
      <c r="S607" s="1">
        <v>46.0</v>
      </c>
      <c r="T607" s="1">
        <v>412.0</v>
      </c>
      <c r="U607" s="1">
        <v>2.0</v>
      </c>
    </row>
    <row r="608">
      <c r="A608" s="1">
        <f t="shared" si="1"/>
        <v>606</v>
      </c>
      <c r="B608" s="1" t="s">
        <v>1865</v>
      </c>
      <c r="C608" s="1" t="s">
        <v>1172</v>
      </c>
      <c r="D608" s="1" t="s">
        <v>31</v>
      </c>
      <c r="E608" s="1">
        <f t="shared" si="2"/>
        <v>69.25</v>
      </c>
      <c r="F608" s="1">
        <f t="shared" si="3"/>
        <v>2.66</v>
      </c>
      <c r="G608" s="1">
        <v>26.0</v>
      </c>
      <c r="H608" s="1">
        <v>4.0</v>
      </c>
      <c r="I608" s="1">
        <v>8.0</v>
      </c>
      <c r="J608" s="1">
        <v>12.0</v>
      </c>
      <c r="K608" s="1">
        <v>33.0</v>
      </c>
      <c r="L608" s="1">
        <v>0.0</v>
      </c>
      <c r="M608" s="1">
        <v>0.0</v>
      </c>
      <c r="N608" s="1">
        <v>0.0</v>
      </c>
      <c r="O608" s="1">
        <v>0.0</v>
      </c>
      <c r="P608" s="1">
        <v>37.0</v>
      </c>
      <c r="Q608" s="1">
        <v>3.0</v>
      </c>
    </row>
    <row r="609">
      <c r="A609" s="1">
        <f t="shared" si="1"/>
        <v>606</v>
      </c>
      <c r="B609" s="1" t="s">
        <v>1551</v>
      </c>
      <c r="C609" s="1" t="s">
        <v>1156</v>
      </c>
      <c r="D609" s="1" t="s">
        <v>31</v>
      </c>
      <c r="E609" s="1">
        <f t="shared" si="2"/>
        <v>69.25</v>
      </c>
      <c r="F609" s="1">
        <f t="shared" si="3"/>
        <v>2.16</v>
      </c>
      <c r="G609" s="1">
        <v>32.0</v>
      </c>
      <c r="H609" s="1">
        <v>5.0</v>
      </c>
      <c r="I609" s="1">
        <v>5.0</v>
      </c>
      <c r="J609" s="1">
        <v>10.0</v>
      </c>
      <c r="K609" s="1">
        <v>42.0</v>
      </c>
      <c r="L609" s="1">
        <v>0.0</v>
      </c>
      <c r="M609" s="1">
        <v>1.0</v>
      </c>
      <c r="N609" s="1">
        <v>0.0</v>
      </c>
      <c r="O609" s="1">
        <v>0.0</v>
      </c>
      <c r="P609" s="1">
        <v>17.0</v>
      </c>
      <c r="Q609" s="1">
        <v>13.0</v>
      </c>
    </row>
    <row r="610">
      <c r="A610" s="1">
        <f t="shared" si="1"/>
        <v>608</v>
      </c>
      <c r="B610" s="1" t="s">
        <v>2326</v>
      </c>
      <c r="C610" s="1" t="s">
        <v>1076</v>
      </c>
      <c r="D610" s="1" t="s">
        <v>66</v>
      </c>
      <c r="E610" s="1">
        <f t="shared" si="2"/>
        <v>68.75</v>
      </c>
      <c r="F610" s="1">
        <f t="shared" si="3"/>
        <v>2.99</v>
      </c>
      <c r="G610" s="1">
        <v>23.0</v>
      </c>
      <c r="H610" s="1">
        <v>1.0</v>
      </c>
      <c r="I610" s="1">
        <v>10.0</v>
      </c>
      <c r="J610" s="1">
        <v>11.0</v>
      </c>
      <c r="K610" s="1">
        <v>37.0</v>
      </c>
      <c r="L610" s="1">
        <v>0.0</v>
      </c>
      <c r="M610" s="1">
        <v>2.0</v>
      </c>
      <c r="N610" s="1">
        <v>0.0</v>
      </c>
      <c r="O610" s="1">
        <v>0.0</v>
      </c>
      <c r="P610" s="1">
        <v>7.0</v>
      </c>
      <c r="Q610" s="1">
        <v>28.0</v>
      </c>
    </row>
    <row r="611">
      <c r="A611" s="1">
        <f t="shared" si="1"/>
        <v>608</v>
      </c>
      <c r="B611" s="1" t="s">
        <v>2360</v>
      </c>
      <c r="C611" s="1" t="s">
        <v>1085</v>
      </c>
      <c r="D611" s="1" t="s">
        <v>28</v>
      </c>
      <c r="E611" s="1">
        <f t="shared" si="2"/>
        <v>68.75</v>
      </c>
      <c r="F611" s="1">
        <f t="shared" si="3"/>
        <v>1.76</v>
      </c>
      <c r="G611" s="1">
        <v>39.0</v>
      </c>
      <c r="H611" s="1">
        <v>3.0</v>
      </c>
      <c r="I611" s="1">
        <v>7.0</v>
      </c>
      <c r="J611" s="1">
        <v>10.0</v>
      </c>
      <c r="K611" s="1">
        <v>39.0</v>
      </c>
      <c r="L611" s="1">
        <v>0.0</v>
      </c>
      <c r="M611" s="1">
        <v>2.0</v>
      </c>
      <c r="N611" s="1">
        <v>0.0</v>
      </c>
      <c r="O611" s="1">
        <v>0.0</v>
      </c>
      <c r="P611" s="1">
        <v>31.0</v>
      </c>
      <c r="Q611" s="1">
        <v>14.0</v>
      </c>
    </row>
    <row r="612">
      <c r="A612" s="1">
        <f t="shared" si="1"/>
        <v>610</v>
      </c>
      <c r="B612" s="1" t="s">
        <v>2416</v>
      </c>
      <c r="C612" s="1" t="s">
        <v>1048</v>
      </c>
      <c r="D612" s="1" t="s">
        <v>66</v>
      </c>
      <c r="E612" s="1">
        <f t="shared" si="2"/>
        <v>67.75</v>
      </c>
      <c r="F612" s="1">
        <f t="shared" si="3"/>
        <v>2.26</v>
      </c>
      <c r="G612" s="1">
        <v>30.0</v>
      </c>
      <c r="H612" s="1">
        <v>0.0</v>
      </c>
      <c r="I612" s="1">
        <v>10.0</v>
      </c>
      <c r="J612" s="1">
        <v>10.0</v>
      </c>
      <c r="K612" s="1">
        <v>45.0</v>
      </c>
      <c r="L612" s="1">
        <v>0.0</v>
      </c>
      <c r="M612" s="1">
        <v>0.0</v>
      </c>
      <c r="N612" s="1">
        <v>0.0</v>
      </c>
      <c r="O612" s="1">
        <v>0.0</v>
      </c>
      <c r="P612" s="1">
        <v>35.0</v>
      </c>
      <c r="Q612" s="1">
        <v>13.0</v>
      </c>
    </row>
    <row r="613">
      <c r="A613" s="1">
        <f t="shared" si="1"/>
        <v>610</v>
      </c>
      <c r="B613" s="1" t="s">
        <v>2486</v>
      </c>
      <c r="C613" s="1" t="s">
        <v>1111</v>
      </c>
      <c r="D613" s="1" t="s">
        <v>66</v>
      </c>
      <c r="E613" s="1">
        <f t="shared" si="2"/>
        <v>67.75</v>
      </c>
      <c r="F613" s="1">
        <f t="shared" si="3"/>
        <v>1.65</v>
      </c>
      <c r="G613" s="1">
        <v>41.0</v>
      </c>
      <c r="H613" s="1">
        <v>0.0</v>
      </c>
      <c r="I613" s="1">
        <v>5.0</v>
      </c>
      <c r="J613" s="1">
        <v>5.0</v>
      </c>
      <c r="K613" s="1">
        <v>29.0</v>
      </c>
      <c r="L613" s="1">
        <v>0.0</v>
      </c>
      <c r="M613" s="1">
        <v>0.0</v>
      </c>
      <c r="N613" s="1">
        <v>0.0</v>
      </c>
      <c r="O613" s="1">
        <v>0.0</v>
      </c>
      <c r="P613" s="1">
        <v>15.0</v>
      </c>
      <c r="Q613" s="1">
        <v>69.0</v>
      </c>
    </row>
    <row r="614">
      <c r="A614" s="1">
        <f t="shared" si="1"/>
        <v>612</v>
      </c>
      <c r="B614" s="1" t="s">
        <v>1719</v>
      </c>
      <c r="C614" s="1" t="s">
        <v>1032</v>
      </c>
      <c r="D614" s="1" t="s">
        <v>66</v>
      </c>
      <c r="E614" s="1">
        <f t="shared" si="2"/>
        <v>67.5</v>
      </c>
      <c r="F614" s="1">
        <f t="shared" si="3"/>
        <v>1.32</v>
      </c>
      <c r="G614" s="1">
        <v>51.0</v>
      </c>
      <c r="H614" s="1">
        <v>2.0</v>
      </c>
      <c r="I614" s="1">
        <v>4.0</v>
      </c>
      <c r="J614" s="1">
        <v>6.0</v>
      </c>
      <c r="K614" s="1">
        <v>36.0</v>
      </c>
      <c r="L614" s="1">
        <v>0.0</v>
      </c>
      <c r="M614" s="1">
        <v>0.0</v>
      </c>
      <c r="N614" s="1">
        <v>0.0</v>
      </c>
      <c r="O614" s="1">
        <v>0.0</v>
      </c>
      <c r="P614" s="1">
        <v>44.0</v>
      </c>
      <c r="Q614" s="1">
        <v>35.0</v>
      </c>
    </row>
    <row r="615">
      <c r="A615" s="1">
        <f t="shared" si="1"/>
        <v>613</v>
      </c>
      <c r="B615" s="1" t="s">
        <v>2453</v>
      </c>
      <c r="C615" s="1" t="s">
        <v>1087</v>
      </c>
      <c r="D615" s="1" t="s">
        <v>28</v>
      </c>
      <c r="E615" s="1">
        <f t="shared" si="2"/>
        <v>67.25</v>
      </c>
      <c r="F615" s="1">
        <f t="shared" si="3"/>
        <v>2.04</v>
      </c>
      <c r="G615" s="1">
        <v>33.0</v>
      </c>
      <c r="H615" s="1">
        <v>1.0</v>
      </c>
      <c r="I615" s="1">
        <v>7.0</v>
      </c>
      <c r="J615" s="1">
        <v>8.0</v>
      </c>
      <c r="K615" s="1">
        <v>27.0</v>
      </c>
      <c r="L615" s="1">
        <v>0.0</v>
      </c>
      <c r="M615" s="1">
        <v>0.0</v>
      </c>
      <c r="N615" s="1">
        <v>0.0</v>
      </c>
      <c r="O615" s="1">
        <v>1.0</v>
      </c>
      <c r="P615" s="1">
        <v>83.0</v>
      </c>
      <c r="Q615" s="1">
        <v>11.0</v>
      </c>
    </row>
    <row r="616">
      <c r="A616" s="1">
        <f t="shared" si="1"/>
        <v>614</v>
      </c>
      <c r="B616" s="1" t="s">
        <v>1875</v>
      </c>
      <c r="C616" s="1" t="s">
        <v>1175</v>
      </c>
      <c r="D616" s="1" t="s">
        <v>28</v>
      </c>
      <c r="E616" s="1">
        <f t="shared" si="2"/>
        <v>66.75</v>
      </c>
      <c r="F616" s="1">
        <f t="shared" si="3"/>
        <v>2.38</v>
      </c>
      <c r="G616" s="1">
        <v>28.0</v>
      </c>
      <c r="H616" s="1">
        <v>5.0</v>
      </c>
      <c r="I616" s="1">
        <v>2.0</v>
      </c>
      <c r="J616" s="1">
        <v>7.0</v>
      </c>
      <c r="K616" s="1">
        <v>45.0</v>
      </c>
      <c r="L616" s="1">
        <v>0.0</v>
      </c>
      <c r="M616" s="1">
        <v>0.0</v>
      </c>
      <c r="N616" s="1">
        <v>0.0</v>
      </c>
      <c r="O616" s="1">
        <v>0.0</v>
      </c>
      <c r="P616" s="1">
        <v>25.0</v>
      </c>
      <c r="Q616" s="1">
        <v>19.0</v>
      </c>
    </row>
    <row r="617">
      <c r="A617" s="1">
        <f t="shared" si="1"/>
        <v>614</v>
      </c>
      <c r="B617" s="1" t="s">
        <v>1961</v>
      </c>
      <c r="C617" s="1" t="s">
        <v>1046</v>
      </c>
      <c r="D617" s="1" t="s">
        <v>31</v>
      </c>
      <c r="E617" s="1">
        <f t="shared" si="2"/>
        <v>66.75</v>
      </c>
      <c r="F617" s="1">
        <f t="shared" si="3"/>
        <v>1.59</v>
      </c>
      <c r="G617" s="1">
        <v>42.0</v>
      </c>
      <c r="H617" s="1">
        <v>3.0</v>
      </c>
      <c r="I617" s="1">
        <v>4.0</v>
      </c>
      <c r="J617" s="1">
        <v>7.0</v>
      </c>
      <c r="K617" s="1">
        <v>40.0</v>
      </c>
      <c r="L617" s="1">
        <v>0.0</v>
      </c>
      <c r="M617" s="1">
        <v>0.0</v>
      </c>
      <c r="N617" s="1">
        <v>0.0</v>
      </c>
      <c r="O617" s="1">
        <v>0.0</v>
      </c>
      <c r="P617" s="1">
        <v>43.0</v>
      </c>
      <c r="Q617" s="1">
        <v>21.0</v>
      </c>
    </row>
    <row r="618">
      <c r="A618" s="1">
        <f t="shared" si="1"/>
        <v>614</v>
      </c>
      <c r="B618" s="1" t="s">
        <v>1814</v>
      </c>
      <c r="C618" s="1" t="s">
        <v>1073</v>
      </c>
      <c r="D618" s="1" t="s">
        <v>31</v>
      </c>
      <c r="E618" s="1">
        <f t="shared" si="2"/>
        <v>66.75</v>
      </c>
      <c r="F618" s="1">
        <f t="shared" si="3"/>
        <v>1.48</v>
      </c>
      <c r="G618" s="1">
        <v>45.0</v>
      </c>
      <c r="H618" s="1">
        <v>2.0</v>
      </c>
      <c r="I618" s="1">
        <v>6.0</v>
      </c>
      <c r="J618" s="1">
        <v>8.0</v>
      </c>
      <c r="K618" s="1">
        <v>40.0</v>
      </c>
      <c r="L618" s="1">
        <v>0.0</v>
      </c>
      <c r="M618" s="1">
        <v>0.0</v>
      </c>
      <c r="N618" s="1">
        <v>0.0</v>
      </c>
      <c r="O618" s="1">
        <v>0.0</v>
      </c>
      <c r="P618" s="1">
        <v>47.0</v>
      </c>
      <c r="Q618" s="1">
        <v>16.0</v>
      </c>
    </row>
    <row r="619">
      <c r="A619" s="1">
        <f t="shared" si="1"/>
        <v>617</v>
      </c>
      <c r="B619" s="1" t="s">
        <v>2246</v>
      </c>
      <c r="C619" s="1" t="s">
        <v>1111</v>
      </c>
      <c r="D619" s="1" t="s">
        <v>66</v>
      </c>
      <c r="E619" s="1">
        <f t="shared" si="2"/>
        <v>66.25</v>
      </c>
      <c r="F619" s="1">
        <f t="shared" si="3"/>
        <v>1.62</v>
      </c>
      <c r="G619" s="1">
        <v>41.0</v>
      </c>
      <c r="H619" s="1">
        <v>0.0</v>
      </c>
      <c r="I619" s="1">
        <v>4.0</v>
      </c>
      <c r="J619" s="1">
        <v>4.0</v>
      </c>
      <c r="K619" s="1">
        <v>44.0</v>
      </c>
      <c r="L619" s="1">
        <v>0.0</v>
      </c>
      <c r="M619" s="1">
        <v>0.0</v>
      </c>
      <c r="N619" s="1">
        <v>0.0</v>
      </c>
      <c r="O619" s="1">
        <v>0.0</v>
      </c>
      <c r="P619" s="1">
        <v>69.0</v>
      </c>
      <c r="Q619" s="1">
        <v>30.0</v>
      </c>
    </row>
    <row r="620">
      <c r="A620" s="1">
        <f t="shared" si="1"/>
        <v>618</v>
      </c>
      <c r="B620" s="1" t="s">
        <v>1623</v>
      </c>
      <c r="C620" s="1" t="s">
        <v>1048</v>
      </c>
      <c r="D620" s="1" t="s">
        <v>28</v>
      </c>
      <c r="E620" s="1">
        <f t="shared" si="2"/>
        <v>66</v>
      </c>
      <c r="F620" s="1">
        <f t="shared" si="3"/>
        <v>1.94</v>
      </c>
      <c r="G620" s="1">
        <v>34.0</v>
      </c>
      <c r="H620" s="1">
        <v>2.0</v>
      </c>
      <c r="I620" s="1">
        <v>2.0</v>
      </c>
      <c r="J620" s="1">
        <v>4.0</v>
      </c>
      <c r="K620" s="1">
        <v>47.0</v>
      </c>
      <c r="L620" s="1">
        <v>0.0</v>
      </c>
      <c r="M620" s="1">
        <v>0.0</v>
      </c>
      <c r="N620" s="1">
        <v>0.0</v>
      </c>
      <c r="O620" s="1">
        <v>0.0</v>
      </c>
      <c r="P620" s="1">
        <v>90.0</v>
      </c>
      <c r="Q620" s="1">
        <v>10.0</v>
      </c>
    </row>
    <row r="621">
      <c r="A621" s="1">
        <f t="shared" si="1"/>
        <v>619</v>
      </c>
      <c r="B621" s="1" t="s">
        <v>2133</v>
      </c>
      <c r="C621" s="1" t="s">
        <v>1067</v>
      </c>
      <c r="D621" s="1" t="s">
        <v>31</v>
      </c>
      <c r="E621" s="1">
        <f t="shared" si="2"/>
        <v>65.75</v>
      </c>
      <c r="F621" s="1">
        <f t="shared" si="3"/>
        <v>2.35</v>
      </c>
      <c r="G621" s="1">
        <v>28.0</v>
      </c>
      <c r="H621" s="1">
        <v>7.0</v>
      </c>
      <c r="I621" s="1">
        <v>4.0</v>
      </c>
      <c r="J621" s="1">
        <v>11.0</v>
      </c>
      <c r="K621" s="1">
        <v>34.0</v>
      </c>
      <c r="L621" s="1">
        <v>0.0</v>
      </c>
      <c r="M621" s="1">
        <v>0.0</v>
      </c>
      <c r="N621" s="1">
        <v>0.0</v>
      </c>
      <c r="O621" s="1">
        <v>0.0</v>
      </c>
      <c r="P621" s="1">
        <v>15.0</v>
      </c>
      <c r="Q621" s="1">
        <v>3.0</v>
      </c>
    </row>
    <row r="622">
      <c r="A622" s="1">
        <f t="shared" si="1"/>
        <v>619</v>
      </c>
      <c r="B622" s="1" t="s">
        <v>1227</v>
      </c>
      <c r="C622" s="1" t="s">
        <v>1038</v>
      </c>
      <c r="D622" s="1" t="s">
        <v>31</v>
      </c>
      <c r="E622" s="1">
        <f t="shared" si="2"/>
        <v>65.75</v>
      </c>
      <c r="F622" s="1">
        <f t="shared" si="3"/>
        <v>1.57</v>
      </c>
      <c r="G622" s="1">
        <v>42.0</v>
      </c>
      <c r="H622" s="1">
        <v>4.0</v>
      </c>
      <c r="I622" s="1">
        <v>1.0</v>
      </c>
      <c r="J622" s="1">
        <v>5.0</v>
      </c>
      <c r="K622" s="1">
        <v>44.0</v>
      </c>
      <c r="L622" s="1">
        <v>0.0</v>
      </c>
      <c r="M622" s="1">
        <v>0.0</v>
      </c>
      <c r="N622" s="1">
        <v>0.0</v>
      </c>
      <c r="O622" s="1">
        <v>0.0</v>
      </c>
      <c r="P622" s="1">
        <v>61.0</v>
      </c>
      <c r="Q622" s="1">
        <v>15.0</v>
      </c>
    </row>
    <row r="623">
      <c r="A623" s="1">
        <f t="shared" si="1"/>
        <v>621</v>
      </c>
      <c r="B623" s="1" t="s">
        <v>1435</v>
      </c>
      <c r="C623" s="1" t="s">
        <v>1038</v>
      </c>
      <c r="D623" s="1" t="s">
        <v>66</v>
      </c>
      <c r="E623" s="1">
        <f t="shared" si="2"/>
        <v>65</v>
      </c>
      <c r="F623" s="1">
        <f t="shared" si="3"/>
        <v>2.41</v>
      </c>
      <c r="G623" s="1">
        <v>27.0</v>
      </c>
      <c r="H623" s="1">
        <v>3.0</v>
      </c>
      <c r="I623" s="1">
        <v>1.0</v>
      </c>
      <c r="J623" s="1">
        <v>4.0</v>
      </c>
      <c r="K623" s="1">
        <v>43.0</v>
      </c>
      <c r="L623" s="1">
        <v>0.0</v>
      </c>
      <c r="M623" s="1">
        <v>0.0</v>
      </c>
      <c r="N623" s="1">
        <v>0.0</v>
      </c>
      <c r="O623" s="1">
        <v>0.0</v>
      </c>
      <c r="P623" s="1">
        <v>38.0</v>
      </c>
      <c r="Q623" s="1">
        <v>35.0</v>
      </c>
    </row>
    <row r="624">
      <c r="A624" s="1">
        <f t="shared" si="1"/>
        <v>621</v>
      </c>
      <c r="B624" s="1" t="s">
        <v>2128</v>
      </c>
      <c r="C624" s="1" t="s">
        <v>1042</v>
      </c>
      <c r="D624" s="1" t="s">
        <v>66</v>
      </c>
      <c r="E624" s="1">
        <f t="shared" si="2"/>
        <v>65</v>
      </c>
      <c r="F624" s="1">
        <f t="shared" si="3"/>
        <v>1.91</v>
      </c>
      <c r="G624" s="1">
        <v>34.0</v>
      </c>
      <c r="H624" s="1">
        <v>0.0</v>
      </c>
      <c r="I624" s="1">
        <v>7.0</v>
      </c>
      <c r="J624" s="1">
        <v>7.0</v>
      </c>
      <c r="K624" s="1">
        <v>33.0</v>
      </c>
      <c r="L624" s="1">
        <v>0.0</v>
      </c>
      <c r="M624" s="1">
        <v>0.0</v>
      </c>
      <c r="N624" s="1">
        <v>0.0</v>
      </c>
      <c r="O624" s="1">
        <v>1.0</v>
      </c>
      <c r="P624" s="1">
        <v>44.0</v>
      </c>
      <c r="Q624" s="1">
        <v>29.0</v>
      </c>
    </row>
    <row r="625">
      <c r="A625" s="1">
        <f t="shared" si="1"/>
        <v>621</v>
      </c>
      <c r="B625" s="1" t="s">
        <v>2300</v>
      </c>
      <c r="C625" s="1" t="s">
        <v>1048</v>
      </c>
      <c r="D625" s="1" t="s">
        <v>36</v>
      </c>
      <c r="E625" s="1">
        <f t="shared" si="2"/>
        <v>65</v>
      </c>
      <c r="F625" s="1">
        <f t="shared" si="3"/>
        <v>1.48</v>
      </c>
      <c r="G625" s="1">
        <v>44.0</v>
      </c>
      <c r="H625" s="1">
        <v>4.0</v>
      </c>
      <c r="I625" s="1">
        <v>1.0</v>
      </c>
      <c r="J625" s="1">
        <v>5.0</v>
      </c>
      <c r="K625" s="1">
        <v>43.0</v>
      </c>
      <c r="L625" s="1">
        <v>0.0</v>
      </c>
      <c r="M625" s="1">
        <v>0.0</v>
      </c>
      <c r="N625" s="1">
        <v>1.0</v>
      </c>
      <c r="O625" s="1">
        <v>0.0</v>
      </c>
      <c r="P625" s="1">
        <v>50.0</v>
      </c>
      <c r="Q625" s="1">
        <v>16.0</v>
      </c>
    </row>
    <row r="626">
      <c r="A626" s="1">
        <f t="shared" si="1"/>
        <v>624</v>
      </c>
      <c r="B626" s="1" t="s">
        <v>1745</v>
      </c>
      <c r="C626" s="1" t="s">
        <v>1040</v>
      </c>
      <c r="D626" s="1" t="s">
        <v>36</v>
      </c>
      <c r="E626" s="1">
        <f t="shared" si="2"/>
        <v>64.5</v>
      </c>
      <c r="F626" s="1">
        <f t="shared" si="3"/>
        <v>2.15</v>
      </c>
      <c r="G626" s="1">
        <v>30.0</v>
      </c>
      <c r="H626" s="1">
        <v>2.0</v>
      </c>
      <c r="I626" s="1">
        <v>6.0</v>
      </c>
      <c r="J626" s="1">
        <v>8.0</v>
      </c>
      <c r="K626" s="1">
        <v>38.0</v>
      </c>
      <c r="L626" s="1">
        <v>0.0</v>
      </c>
      <c r="M626" s="1">
        <v>0.0</v>
      </c>
      <c r="N626" s="1">
        <v>0.0</v>
      </c>
      <c r="O626" s="1">
        <v>0.0</v>
      </c>
      <c r="P626" s="1">
        <v>56.0</v>
      </c>
      <c r="Q626" s="1">
        <v>9.0</v>
      </c>
    </row>
    <row r="627">
      <c r="A627" s="1">
        <f t="shared" si="1"/>
        <v>625</v>
      </c>
      <c r="B627" s="1" t="s">
        <v>2295</v>
      </c>
      <c r="C627" s="1" t="s">
        <v>1036</v>
      </c>
      <c r="D627" s="1" t="s">
        <v>28</v>
      </c>
      <c r="E627" s="1">
        <f t="shared" si="2"/>
        <v>64.25</v>
      </c>
      <c r="F627" s="1">
        <f t="shared" si="3"/>
        <v>2.14</v>
      </c>
      <c r="G627" s="1">
        <v>30.0</v>
      </c>
      <c r="H627" s="1">
        <v>3.0</v>
      </c>
      <c r="I627" s="1">
        <v>6.0</v>
      </c>
      <c r="J627" s="1">
        <v>9.0</v>
      </c>
      <c r="K627" s="1">
        <v>38.0</v>
      </c>
      <c r="L627" s="1">
        <v>0.0</v>
      </c>
      <c r="M627" s="1">
        <v>0.0</v>
      </c>
      <c r="N627" s="1">
        <v>0.0</v>
      </c>
      <c r="O627" s="1">
        <v>0.0</v>
      </c>
      <c r="P627" s="1">
        <v>43.0</v>
      </c>
      <c r="Q627" s="1">
        <v>6.0</v>
      </c>
    </row>
    <row r="628">
      <c r="A628" s="1">
        <f t="shared" si="1"/>
        <v>626</v>
      </c>
      <c r="B628" s="1" t="s">
        <v>1760</v>
      </c>
      <c r="C628" s="1" t="s">
        <v>1111</v>
      </c>
      <c r="D628" s="1" t="s">
        <v>5</v>
      </c>
      <c r="E628" s="1">
        <f t="shared" si="2"/>
        <v>63.9</v>
      </c>
      <c r="F628" s="1">
        <f t="shared" si="3"/>
        <v>5.33</v>
      </c>
      <c r="G628" s="1">
        <v>12.0</v>
      </c>
      <c r="R628" s="1">
        <v>5.0</v>
      </c>
      <c r="S628" s="1">
        <v>40.0</v>
      </c>
      <c r="T628" s="1">
        <v>363.0</v>
      </c>
      <c r="U628" s="1">
        <v>0.0</v>
      </c>
    </row>
    <row r="629">
      <c r="A629" s="1">
        <f t="shared" si="1"/>
        <v>627</v>
      </c>
      <c r="B629" s="1" t="s">
        <v>2313</v>
      </c>
      <c r="C629" s="1" t="s">
        <v>1067</v>
      </c>
      <c r="D629" s="1" t="s">
        <v>31</v>
      </c>
      <c r="E629" s="1">
        <f t="shared" si="2"/>
        <v>63.25</v>
      </c>
      <c r="F629" s="1">
        <f t="shared" si="3"/>
        <v>1.38</v>
      </c>
      <c r="G629" s="1">
        <v>46.0</v>
      </c>
      <c r="H629" s="1">
        <v>3.0</v>
      </c>
      <c r="I629" s="1">
        <v>4.0</v>
      </c>
      <c r="J629" s="1">
        <v>7.0</v>
      </c>
      <c r="K629" s="1">
        <v>39.0</v>
      </c>
      <c r="L629" s="1">
        <v>0.0</v>
      </c>
      <c r="M629" s="1">
        <v>0.0</v>
      </c>
      <c r="N629" s="1">
        <v>0.0</v>
      </c>
      <c r="O629" s="1">
        <v>0.0</v>
      </c>
      <c r="P629" s="1">
        <v>33.0</v>
      </c>
      <c r="Q629" s="1">
        <v>20.0</v>
      </c>
    </row>
    <row r="630">
      <c r="A630" s="1">
        <f t="shared" si="1"/>
        <v>628</v>
      </c>
      <c r="B630" s="1" t="s">
        <v>2422</v>
      </c>
      <c r="C630" s="1" t="s">
        <v>1172</v>
      </c>
      <c r="D630" s="1" t="s">
        <v>66</v>
      </c>
      <c r="E630" s="1">
        <f t="shared" si="2"/>
        <v>62.75</v>
      </c>
      <c r="F630" s="1">
        <f t="shared" si="3"/>
        <v>2.99</v>
      </c>
      <c r="G630" s="1">
        <v>21.0</v>
      </c>
      <c r="H630" s="1">
        <v>4.0</v>
      </c>
      <c r="I630" s="1">
        <v>5.0</v>
      </c>
      <c r="J630" s="1">
        <v>9.0</v>
      </c>
      <c r="K630" s="1">
        <v>26.0</v>
      </c>
      <c r="L630" s="1">
        <v>0.0</v>
      </c>
      <c r="M630" s="1">
        <v>0.0</v>
      </c>
      <c r="N630" s="1">
        <v>0.0</v>
      </c>
      <c r="O630" s="1">
        <v>0.0</v>
      </c>
      <c r="P630" s="1">
        <v>25.0</v>
      </c>
      <c r="Q630" s="1">
        <v>21.0</v>
      </c>
    </row>
    <row r="631">
      <c r="A631" s="1">
        <f t="shared" si="1"/>
        <v>628</v>
      </c>
      <c r="B631" s="1" t="s">
        <v>1272</v>
      </c>
      <c r="C631" s="1" t="s">
        <v>1065</v>
      </c>
      <c r="D631" s="1" t="s">
        <v>66</v>
      </c>
      <c r="E631" s="1">
        <f t="shared" si="2"/>
        <v>62.75</v>
      </c>
      <c r="F631" s="1">
        <f t="shared" si="3"/>
        <v>2.73</v>
      </c>
      <c r="G631" s="1">
        <v>23.0</v>
      </c>
      <c r="H631" s="1">
        <v>1.0</v>
      </c>
      <c r="I631" s="1">
        <v>6.0</v>
      </c>
      <c r="J631" s="1">
        <v>7.0</v>
      </c>
      <c r="K631" s="1">
        <v>19.0</v>
      </c>
      <c r="L631" s="1">
        <v>0.0</v>
      </c>
      <c r="M631" s="1">
        <v>0.0</v>
      </c>
      <c r="N631" s="1">
        <v>0.0</v>
      </c>
      <c r="O631" s="1">
        <v>0.0</v>
      </c>
      <c r="P631" s="1">
        <v>61.0</v>
      </c>
      <c r="Q631" s="1">
        <v>31.0</v>
      </c>
    </row>
    <row r="632">
      <c r="A632" s="1">
        <f t="shared" si="1"/>
        <v>628</v>
      </c>
      <c r="B632" s="1" t="s">
        <v>2059</v>
      </c>
      <c r="C632" s="1" t="s">
        <v>1032</v>
      </c>
      <c r="D632" s="1" t="s">
        <v>31</v>
      </c>
      <c r="E632" s="1">
        <f t="shared" si="2"/>
        <v>62.75</v>
      </c>
      <c r="F632" s="1">
        <f t="shared" si="3"/>
        <v>1.7</v>
      </c>
      <c r="G632" s="1">
        <v>37.0</v>
      </c>
      <c r="H632" s="1">
        <v>2.0</v>
      </c>
      <c r="I632" s="1">
        <v>5.0</v>
      </c>
      <c r="J632" s="1">
        <v>7.0</v>
      </c>
      <c r="K632" s="1">
        <v>40.0</v>
      </c>
      <c r="L632" s="1">
        <v>0.0</v>
      </c>
      <c r="M632" s="1">
        <v>0.0</v>
      </c>
      <c r="N632" s="1">
        <v>0.0</v>
      </c>
      <c r="O632" s="1">
        <v>0.0</v>
      </c>
      <c r="P632" s="1">
        <v>33.0</v>
      </c>
      <c r="Q632" s="1">
        <v>21.0</v>
      </c>
    </row>
    <row r="633">
      <c r="A633" s="1">
        <f t="shared" si="1"/>
        <v>631</v>
      </c>
      <c r="B633" s="1" t="s">
        <v>2185</v>
      </c>
      <c r="C633" s="1" t="s">
        <v>1067</v>
      </c>
      <c r="D633" s="1" t="s">
        <v>5</v>
      </c>
      <c r="E633" s="1">
        <f t="shared" si="2"/>
        <v>62.7</v>
      </c>
      <c r="F633" s="1">
        <f t="shared" si="3"/>
        <v>4.82</v>
      </c>
      <c r="G633" s="1">
        <v>13.0</v>
      </c>
      <c r="R633" s="1">
        <v>2.0</v>
      </c>
      <c r="S633" s="1">
        <v>43.0</v>
      </c>
      <c r="T633" s="1">
        <v>404.0</v>
      </c>
      <c r="U633" s="1">
        <v>0.0</v>
      </c>
    </row>
    <row r="634">
      <c r="A634" s="1">
        <f t="shared" si="1"/>
        <v>632</v>
      </c>
      <c r="B634" s="1" t="s">
        <v>1786</v>
      </c>
      <c r="C634" s="1" t="s">
        <v>1085</v>
      </c>
      <c r="D634" s="1" t="s">
        <v>66</v>
      </c>
      <c r="E634" s="1">
        <f t="shared" si="2"/>
        <v>62.5</v>
      </c>
      <c r="F634" s="1">
        <f t="shared" si="3"/>
        <v>1.79</v>
      </c>
      <c r="G634" s="1">
        <v>35.0</v>
      </c>
      <c r="H634" s="1">
        <v>0.0</v>
      </c>
      <c r="I634" s="1">
        <v>8.0</v>
      </c>
      <c r="J634" s="1">
        <v>8.0</v>
      </c>
      <c r="K634" s="1">
        <v>27.0</v>
      </c>
      <c r="L634" s="1">
        <v>0.0</v>
      </c>
      <c r="M634" s="1">
        <v>0.0</v>
      </c>
      <c r="N634" s="1">
        <v>0.0</v>
      </c>
      <c r="O634" s="1">
        <v>0.0</v>
      </c>
      <c r="P634" s="1">
        <v>40.0</v>
      </c>
      <c r="Q634" s="1">
        <v>30.0</v>
      </c>
    </row>
    <row r="635">
      <c r="A635" s="1">
        <f t="shared" si="1"/>
        <v>633</v>
      </c>
      <c r="B635" s="1" t="s">
        <v>1412</v>
      </c>
      <c r="C635" s="1" t="s">
        <v>1052</v>
      </c>
      <c r="D635" s="1" t="s">
        <v>36</v>
      </c>
      <c r="E635" s="1">
        <f t="shared" si="2"/>
        <v>62.25</v>
      </c>
      <c r="F635" s="1">
        <f t="shared" si="3"/>
        <v>1.83</v>
      </c>
      <c r="G635" s="1">
        <v>34.0</v>
      </c>
      <c r="H635" s="1">
        <v>0.0</v>
      </c>
      <c r="I635" s="1">
        <v>6.0</v>
      </c>
      <c r="J635" s="1">
        <v>6.0</v>
      </c>
      <c r="K635" s="1">
        <v>33.0</v>
      </c>
      <c r="L635" s="1">
        <v>0.0</v>
      </c>
      <c r="M635" s="1">
        <v>0.0</v>
      </c>
      <c r="N635" s="1">
        <v>0.0</v>
      </c>
      <c r="O635" s="1">
        <v>0.0</v>
      </c>
      <c r="P635" s="1">
        <v>89.0</v>
      </c>
      <c r="Q635" s="1">
        <v>11.0</v>
      </c>
    </row>
    <row r="636">
      <c r="A636" s="1">
        <f t="shared" si="1"/>
        <v>633</v>
      </c>
      <c r="B636" s="1" t="s">
        <v>1533</v>
      </c>
      <c r="C636" s="1" t="s">
        <v>1032</v>
      </c>
      <c r="D636" s="1" t="s">
        <v>66</v>
      </c>
      <c r="E636" s="1">
        <f t="shared" si="2"/>
        <v>62.25</v>
      </c>
      <c r="F636" s="1">
        <f t="shared" si="3"/>
        <v>1.38</v>
      </c>
      <c r="G636" s="1">
        <v>45.0</v>
      </c>
      <c r="H636" s="1">
        <v>0.0</v>
      </c>
      <c r="I636" s="1">
        <v>4.0</v>
      </c>
      <c r="J636" s="1">
        <v>4.0</v>
      </c>
      <c r="K636" s="1">
        <v>36.0</v>
      </c>
      <c r="L636" s="1">
        <v>0.0</v>
      </c>
      <c r="M636" s="1">
        <v>0.0</v>
      </c>
      <c r="N636" s="1">
        <v>0.0</v>
      </c>
      <c r="O636" s="1">
        <v>0.0</v>
      </c>
      <c r="P636" s="1">
        <v>67.0</v>
      </c>
      <c r="Q636" s="1">
        <v>31.0</v>
      </c>
    </row>
    <row r="637">
      <c r="A637" s="1">
        <f t="shared" si="1"/>
        <v>635</v>
      </c>
      <c r="B637" s="1" t="s">
        <v>2169</v>
      </c>
      <c r="C637" s="1" t="s">
        <v>1040</v>
      </c>
      <c r="D637" s="1" t="s">
        <v>66</v>
      </c>
      <c r="E637" s="1">
        <f t="shared" si="2"/>
        <v>62</v>
      </c>
      <c r="F637" s="1">
        <f t="shared" si="3"/>
        <v>1.41</v>
      </c>
      <c r="G637" s="1">
        <v>44.0</v>
      </c>
      <c r="H637" s="1">
        <v>2.0</v>
      </c>
      <c r="I637" s="1">
        <v>2.0</v>
      </c>
      <c r="J637" s="1">
        <v>4.0</v>
      </c>
      <c r="K637" s="1">
        <v>33.0</v>
      </c>
      <c r="L637" s="1">
        <v>0.0</v>
      </c>
      <c r="M637" s="1">
        <v>0.0</v>
      </c>
      <c r="N637" s="1">
        <v>0.0</v>
      </c>
      <c r="O637" s="1">
        <v>0.0</v>
      </c>
      <c r="P637" s="1">
        <v>26.0</v>
      </c>
      <c r="Q637" s="1">
        <v>48.0</v>
      </c>
    </row>
    <row r="638">
      <c r="A638" s="1">
        <f t="shared" si="1"/>
        <v>636</v>
      </c>
      <c r="B638" s="1" t="s">
        <v>1665</v>
      </c>
      <c r="C638" s="1" t="s">
        <v>1030</v>
      </c>
      <c r="D638" s="1" t="s">
        <v>5</v>
      </c>
      <c r="E638" s="1">
        <f t="shared" si="2"/>
        <v>61.8</v>
      </c>
      <c r="F638" s="1">
        <f t="shared" si="3"/>
        <v>4.12</v>
      </c>
      <c r="G638" s="1">
        <v>15.0</v>
      </c>
      <c r="R638" s="1">
        <v>5.0</v>
      </c>
      <c r="S638" s="1">
        <v>39.0</v>
      </c>
      <c r="T638" s="1">
        <v>341.0</v>
      </c>
      <c r="U638" s="1">
        <v>1.0</v>
      </c>
    </row>
    <row r="639">
      <c r="A639" s="1">
        <f t="shared" si="1"/>
        <v>637</v>
      </c>
      <c r="B639" s="1" t="s">
        <v>2367</v>
      </c>
      <c r="C639" s="1" t="s">
        <v>1076</v>
      </c>
      <c r="D639" s="1" t="s">
        <v>31</v>
      </c>
      <c r="E639" s="1">
        <f t="shared" si="2"/>
        <v>61.5</v>
      </c>
      <c r="F639" s="1">
        <f t="shared" si="3"/>
        <v>2.28</v>
      </c>
      <c r="G639" s="1">
        <v>27.0</v>
      </c>
      <c r="H639" s="1">
        <v>2.0</v>
      </c>
      <c r="I639" s="1">
        <v>8.0</v>
      </c>
      <c r="J639" s="1">
        <v>10.0</v>
      </c>
      <c r="K639" s="1">
        <v>38.0</v>
      </c>
      <c r="L639" s="1">
        <v>0.0</v>
      </c>
      <c r="M639" s="1">
        <v>1.0</v>
      </c>
      <c r="N639" s="1">
        <v>0.0</v>
      </c>
      <c r="O639" s="1">
        <v>0.0</v>
      </c>
      <c r="P639" s="1">
        <v>28.0</v>
      </c>
      <c r="Q639" s="1">
        <v>5.0</v>
      </c>
    </row>
    <row r="640">
      <c r="A640" s="1">
        <f t="shared" si="1"/>
        <v>637</v>
      </c>
      <c r="B640" s="1" t="s">
        <v>2487</v>
      </c>
      <c r="C640" s="1" t="s">
        <v>1038</v>
      </c>
      <c r="D640" s="1" t="s">
        <v>66</v>
      </c>
      <c r="E640" s="1">
        <f t="shared" si="2"/>
        <v>61.5</v>
      </c>
      <c r="F640" s="1">
        <f t="shared" si="3"/>
        <v>2.2</v>
      </c>
      <c r="G640" s="1">
        <v>28.0</v>
      </c>
      <c r="H640" s="1">
        <v>1.0</v>
      </c>
      <c r="I640" s="1">
        <v>3.0</v>
      </c>
      <c r="J640" s="1">
        <v>4.0</v>
      </c>
      <c r="K640" s="1">
        <v>27.0</v>
      </c>
      <c r="L640" s="1">
        <v>0.0</v>
      </c>
      <c r="M640" s="1">
        <v>0.0</v>
      </c>
      <c r="N640" s="1">
        <v>0.0</v>
      </c>
      <c r="O640" s="1">
        <v>0.0</v>
      </c>
      <c r="P640" s="1">
        <v>64.0</v>
      </c>
      <c r="Q640" s="1">
        <v>37.0</v>
      </c>
    </row>
    <row r="641">
      <c r="A641" s="1">
        <f t="shared" si="1"/>
        <v>639</v>
      </c>
      <c r="B641" s="1" t="s">
        <v>1838</v>
      </c>
      <c r="C641" s="1" t="s">
        <v>1046</v>
      </c>
      <c r="D641" s="1" t="s">
        <v>31</v>
      </c>
      <c r="E641" s="1">
        <f t="shared" si="2"/>
        <v>61</v>
      </c>
      <c r="F641" s="1">
        <f t="shared" si="3"/>
        <v>1.56</v>
      </c>
      <c r="G641" s="1">
        <v>39.0</v>
      </c>
      <c r="H641" s="1">
        <v>5.0</v>
      </c>
      <c r="I641" s="1">
        <v>5.0</v>
      </c>
      <c r="J641" s="1">
        <v>10.0</v>
      </c>
      <c r="K641" s="1">
        <v>23.0</v>
      </c>
      <c r="L641" s="1">
        <v>1.0</v>
      </c>
      <c r="M641" s="1">
        <v>0.0</v>
      </c>
      <c r="N641" s="1">
        <v>0.0</v>
      </c>
      <c r="O641" s="1">
        <v>0.0</v>
      </c>
      <c r="P641" s="1">
        <v>18.0</v>
      </c>
      <c r="Q641" s="1">
        <v>15.0</v>
      </c>
    </row>
    <row r="642">
      <c r="A642" s="1">
        <f t="shared" si="1"/>
        <v>640</v>
      </c>
      <c r="B642" s="1" t="s">
        <v>1534</v>
      </c>
      <c r="C642" s="1" t="s">
        <v>1042</v>
      </c>
      <c r="D642" s="1" t="s">
        <v>28</v>
      </c>
      <c r="E642" s="1">
        <f t="shared" si="2"/>
        <v>60.75</v>
      </c>
      <c r="F642" s="1">
        <f t="shared" si="3"/>
        <v>4.05</v>
      </c>
      <c r="G642" s="1">
        <v>15.0</v>
      </c>
      <c r="H642" s="1">
        <v>5.0</v>
      </c>
      <c r="I642" s="1">
        <v>2.0</v>
      </c>
      <c r="J642" s="1">
        <v>7.0</v>
      </c>
      <c r="K642" s="1">
        <v>23.0</v>
      </c>
      <c r="L642" s="1">
        <v>0.0</v>
      </c>
      <c r="M642" s="1">
        <v>0.0</v>
      </c>
      <c r="N642" s="1">
        <v>1.0</v>
      </c>
      <c r="O642" s="1">
        <v>1.0</v>
      </c>
      <c r="P642" s="1">
        <v>53.0</v>
      </c>
      <c r="Q642" s="1">
        <v>7.0</v>
      </c>
    </row>
    <row r="643">
      <c r="A643" s="1">
        <f t="shared" si="1"/>
        <v>641</v>
      </c>
      <c r="B643" s="1" t="s">
        <v>1399</v>
      </c>
      <c r="C643" s="1" t="s">
        <v>1044</v>
      </c>
      <c r="D643" s="1" t="s">
        <v>5</v>
      </c>
      <c r="E643" s="1">
        <f t="shared" si="2"/>
        <v>60.6</v>
      </c>
      <c r="F643" s="1">
        <f t="shared" si="3"/>
        <v>6.73</v>
      </c>
      <c r="G643" s="1">
        <v>9.0</v>
      </c>
      <c r="R643" s="1">
        <v>5.0</v>
      </c>
      <c r="S643" s="1">
        <v>17.0</v>
      </c>
      <c r="T643" s="1">
        <v>237.0</v>
      </c>
      <c r="U643" s="1">
        <v>0.0</v>
      </c>
    </row>
    <row r="644">
      <c r="A644" s="1">
        <f t="shared" si="1"/>
        <v>642</v>
      </c>
      <c r="B644" s="1" t="s">
        <v>1910</v>
      </c>
      <c r="C644" s="1" t="s">
        <v>1172</v>
      </c>
      <c r="D644" s="1" t="s">
        <v>66</v>
      </c>
      <c r="E644" s="1">
        <f t="shared" si="2"/>
        <v>60</v>
      </c>
      <c r="F644" s="1">
        <f t="shared" si="3"/>
        <v>1.54</v>
      </c>
      <c r="G644" s="1">
        <v>39.0</v>
      </c>
      <c r="H644" s="1">
        <v>3.0</v>
      </c>
      <c r="I644" s="1">
        <v>4.0</v>
      </c>
      <c r="J644" s="1">
        <v>7.0</v>
      </c>
      <c r="K644" s="1">
        <v>23.0</v>
      </c>
      <c r="L644" s="1">
        <v>0.0</v>
      </c>
      <c r="M644" s="1">
        <v>0.0</v>
      </c>
      <c r="N644" s="1">
        <v>0.0</v>
      </c>
      <c r="O644" s="1">
        <v>0.0</v>
      </c>
      <c r="P644" s="1">
        <v>18.0</v>
      </c>
      <c r="Q644" s="1">
        <v>37.0</v>
      </c>
    </row>
    <row r="645">
      <c r="A645" s="1">
        <f t="shared" si="1"/>
        <v>643</v>
      </c>
      <c r="B645" s="1" t="s">
        <v>2319</v>
      </c>
      <c r="C645" s="1" t="s">
        <v>1156</v>
      </c>
      <c r="D645" s="1" t="s">
        <v>66</v>
      </c>
      <c r="E645" s="1">
        <f t="shared" si="2"/>
        <v>59</v>
      </c>
      <c r="F645" s="1">
        <f t="shared" si="3"/>
        <v>1.69</v>
      </c>
      <c r="G645" s="1">
        <v>35.0</v>
      </c>
      <c r="H645" s="1">
        <v>1.0</v>
      </c>
      <c r="I645" s="1">
        <v>4.0</v>
      </c>
      <c r="J645" s="1">
        <v>5.0</v>
      </c>
      <c r="K645" s="1">
        <v>29.0</v>
      </c>
      <c r="L645" s="1">
        <v>0.0</v>
      </c>
      <c r="M645" s="1">
        <v>0.0</v>
      </c>
      <c r="N645" s="1">
        <v>0.0</v>
      </c>
      <c r="O645" s="1">
        <v>0.0</v>
      </c>
      <c r="P645" s="1">
        <v>36.0</v>
      </c>
      <c r="Q645" s="1">
        <v>38.0</v>
      </c>
    </row>
    <row r="646">
      <c r="A646" s="1">
        <f t="shared" si="1"/>
        <v>643</v>
      </c>
      <c r="B646" s="1" t="s">
        <v>2304</v>
      </c>
      <c r="C646" s="1" t="s">
        <v>1085</v>
      </c>
      <c r="D646" s="1" t="s">
        <v>66</v>
      </c>
      <c r="E646" s="1">
        <f t="shared" si="2"/>
        <v>59</v>
      </c>
      <c r="F646" s="1">
        <f t="shared" si="3"/>
        <v>1.64</v>
      </c>
      <c r="G646" s="1">
        <v>36.0</v>
      </c>
      <c r="H646" s="1">
        <v>3.0</v>
      </c>
      <c r="I646" s="1">
        <v>1.0</v>
      </c>
      <c r="J646" s="1">
        <v>4.0</v>
      </c>
      <c r="K646" s="1">
        <v>51.0</v>
      </c>
      <c r="L646" s="1">
        <v>0.0</v>
      </c>
      <c r="M646" s="1">
        <v>0.0</v>
      </c>
      <c r="N646" s="1">
        <v>0.0</v>
      </c>
      <c r="O646" s="1">
        <v>0.0</v>
      </c>
      <c r="P646" s="1">
        <v>36.0</v>
      </c>
      <c r="Q646" s="1">
        <v>16.0</v>
      </c>
    </row>
    <row r="647">
      <c r="A647" s="1">
        <f t="shared" si="1"/>
        <v>645</v>
      </c>
      <c r="B647" s="1" t="s">
        <v>1997</v>
      </c>
      <c r="C647" s="1" t="s">
        <v>1078</v>
      </c>
      <c r="D647" s="1" t="s">
        <v>66</v>
      </c>
      <c r="E647" s="1">
        <f t="shared" si="2"/>
        <v>58.5</v>
      </c>
      <c r="F647" s="1">
        <f t="shared" si="3"/>
        <v>1.77</v>
      </c>
      <c r="G647" s="1">
        <v>33.0</v>
      </c>
      <c r="H647" s="1">
        <v>1.0</v>
      </c>
      <c r="I647" s="1">
        <v>5.0</v>
      </c>
      <c r="J647" s="1">
        <v>6.0</v>
      </c>
      <c r="K647" s="1">
        <v>30.0</v>
      </c>
      <c r="L647" s="1">
        <v>0.0</v>
      </c>
      <c r="M647" s="1">
        <v>0.0</v>
      </c>
      <c r="N647" s="1">
        <v>0.0</v>
      </c>
      <c r="O647" s="1">
        <v>0.0</v>
      </c>
      <c r="P647" s="1">
        <v>28.0</v>
      </c>
      <c r="Q647" s="1">
        <v>34.0</v>
      </c>
    </row>
    <row r="648">
      <c r="A648" s="1">
        <f t="shared" si="1"/>
        <v>646</v>
      </c>
      <c r="B648" s="1" t="s">
        <v>1105</v>
      </c>
      <c r="C648" s="1" t="s">
        <v>1106</v>
      </c>
      <c r="D648" s="1" t="s">
        <v>31</v>
      </c>
      <c r="E648" s="1">
        <f t="shared" si="2"/>
        <v>58.25</v>
      </c>
      <c r="F648" s="1">
        <f t="shared" si="3"/>
        <v>1.77</v>
      </c>
      <c r="G648" s="1">
        <v>33.0</v>
      </c>
      <c r="H648" s="1">
        <v>3.0</v>
      </c>
      <c r="I648" s="1">
        <v>9.0</v>
      </c>
      <c r="J648" s="1">
        <v>12.0</v>
      </c>
      <c r="K648" s="1">
        <v>22.0</v>
      </c>
      <c r="L648" s="1">
        <v>0.0</v>
      </c>
      <c r="M648" s="1">
        <v>0.0</v>
      </c>
      <c r="N648" s="1">
        <v>0.0</v>
      </c>
      <c r="O648" s="1">
        <v>0.0</v>
      </c>
      <c r="P648" s="1">
        <v>5.0</v>
      </c>
      <c r="Q648" s="1">
        <v>11.0</v>
      </c>
    </row>
    <row r="649">
      <c r="A649" s="1">
        <f t="shared" si="1"/>
        <v>647</v>
      </c>
      <c r="B649" s="1" t="s">
        <v>2297</v>
      </c>
      <c r="C649" s="1" t="s">
        <v>1085</v>
      </c>
      <c r="D649" s="1" t="s">
        <v>36</v>
      </c>
      <c r="E649" s="1">
        <f t="shared" si="2"/>
        <v>58</v>
      </c>
      <c r="F649" s="1">
        <f t="shared" si="3"/>
        <v>5.27</v>
      </c>
      <c r="G649" s="1">
        <v>11.0</v>
      </c>
      <c r="H649" s="1">
        <v>4.0</v>
      </c>
      <c r="I649" s="1">
        <v>8.0</v>
      </c>
      <c r="J649" s="1">
        <v>12.0</v>
      </c>
      <c r="K649" s="1">
        <v>25.0</v>
      </c>
      <c r="L649" s="1">
        <v>1.0</v>
      </c>
      <c r="M649" s="1">
        <v>5.0</v>
      </c>
      <c r="N649" s="1">
        <v>0.0</v>
      </c>
      <c r="O649" s="1">
        <v>0.0</v>
      </c>
      <c r="P649" s="1">
        <v>4.0</v>
      </c>
      <c r="Q649" s="1">
        <v>5.0</v>
      </c>
    </row>
    <row r="650">
      <c r="A650" s="1">
        <f t="shared" si="1"/>
        <v>648</v>
      </c>
      <c r="B650" s="1" t="s">
        <v>2037</v>
      </c>
      <c r="C650" s="1" t="s">
        <v>1111</v>
      </c>
      <c r="D650" s="1" t="s">
        <v>31</v>
      </c>
      <c r="E650" s="1">
        <f t="shared" si="2"/>
        <v>57.5</v>
      </c>
      <c r="F650" s="1">
        <f t="shared" si="3"/>
        <v>1.98</v>
      </c>
      <c r="G650" s="1">
        <v>29.0</v>
      </c>
      <c r="H650" s="1">
        <v>2.0</v>
      </c>
      <c r="I650" s="1">
        <v>3.0</v>
      </c>
      <c r="J650" s="1">
        <v>5.0</v>
      </c>
      <c r="K650" s="1">
        <v>21.0</v>
      </c>
      <c r="L650" s="1">
        <v>0.0</v>
      </c>
      <c r="M650" s="1">
        <v>0.0</v>
      </c>
      <c r="N650" s="1">
        <v>0.0</v>
      </c>
      <c r="O650" s="1">
        <v>0.0</v>
      </c>
      <c r="P650" s="1">
        <v>84.0</v>
      </c>
      <c r="Q650" s="1">
        <v>16.0</v>
      </c>
    </row>
    <row r="651">
      <c r="A651" s="1">
        <f t="shared" si="1"/>
        <v>649</v>
      </c>
      <c r="B651" s="1" t="s">
        <v>1679</v>
      </c>
      <c r="C651" s="1" t="s">
        <v>1080</v>
      </c>
      <c r="D651" s="1" t="s">
        <v>31</v>
      </c>
      <c r="E651" s="1">
        <f t="shared" si="2"/>
        <v>57</v>
      </c>
      <c r="F651" s="1">
        <f t="shared" si="3"/>
        <v>2.11</v>
      </c>
      <c r="G651" s="1">
        <v>27.0</v>
      </c>
      <c r="H651" s="1">
        <v>4.0</v>
      </c>
      <c r="I651" s="1">
        <v>6.0</v>
      </c>
      <c r="J651" s="1">
        <v>10.0</v>
      </c>
      <c r="K651" s="1">
        <v>28.0</v>
      </c>
      <c r="L651" s="1">
        <v>4.0</v>
      </c>
      <c r="M651" s="1">
        <v>1.0</v>
      </c>
      <c r="N651" s="1">
        <v>0.0</v>
      </c>
      <c r="O651" s="1">
        <v>0.0</v>
      </c>
      <c r="P651" s="1">
        <v>10.0</v>
      </c>
      <c r="Q651" s="1">
        <v>9.0</v>
      </c>
    </row>
    <row r="652">
      <c r="A652" s="1">
        <f t="shared" si="1"/>
        <v>649</v>
      </c>
      <c r="B652" s="1" t="s">
        <v>1587</v>
      </c>
      <c r="C652" s="1" t="s">
        <v>1042</v>
      </c>
      <c r="D652" s="1" t="s">
        <v>36</v>
      </c>
      <c r="E652" s="1">
        <f t="shared" si="2"/>
        <v>57</v>
      </c>
      <c r="F652" s="1">
        <f t="shared" si="3"/>
        <v>1.9</v>
      </c>
      <c r="G652" s="1">
        <v>30.0</v>
      </c>
      <c r="H652" s="1">
        <v>3.0</v>
      </c>
      <c r="I652" s="1">
        <v>2.0</v>
      </c>
      <c r="J652" s="1">
        <v>5.0</v>
      </c>
      <c r="K652" s="1">
        <v>25.0</v>
      </c>
      <c r="L652" s="1">
        <v>1.0</v>
      </c>
      <c r="M652" s="1">
        <v>0.0</v>
      </c>
      <c r="N652" s="1">
        <v>0.0</v>
      </c>
      <c r="O652" s="1">
        <v>0.0</v>
      </c>
      <c r="P652" s="1">
        <v>62.0</v>
      </c>
      <c r="Q652" s="1">
        <v>19.0</v>
      </c>
    </row>
    <row r="653">
      <c r="A653" s="1">
        <f t="shared" si="1"/>
        <v>651</v>
      </c>
      <c r="B653" s="1" t="s">
        <v>1275</v>
      </c>
      <c r="C653" s="1" t="s">
        <v>1073</v>
      </c>
      <c r="D653" s="1" t="s">
        <v>31</v>
      </c>
      <c r="E653" s="1">
        <f t="shared" si="2"/>
        <v>56.5</v>
      </c>
      <c r="F653" s="1">
        <f t="shared" si="3"/>
        <v>1.57</v>
      </c>
      <c r="G653" s="1">
        <v>36.0</v>
      </c>
      <c r="H653" s="1">
        <v>3.0</v>
      </c>
      <c r="I653" s="1">
        <v>6.0</v>
      </c>
      <c r="J653" s="1">
        <v>9.0</v>
      </c>
      <c r="K653" s="1">
        <v>30.0</v>
      </c>
      <c r="L653" s="1">
        <v>2.0</v>
      </c>
      <c r="M653" s="1">
        <v>0.0</v>
      </c>
      <c r="N653" s="1">
        <v>0.0</v>
      </c>
      <c r="O653" s="1">
        <v>0.0</v>
      </c>
      <c r="P653" s="1">
        <v>28.0</v>
      </c>
      <c r="Q653" s="1">
        <v>6.0</v>
      </c>
    </row>
    <row r="654">
      <c r="A654" s="1">
        <f t="shared" si="1"/>
        <v>652</v>
      </c>
      <c r="B654" s="1" t="s">
        <v>2115</v>
      </c>
      <c r="C654" s="1" t="s">
        <v>1044</v>
      </c>
      <c r="D654" s="1" t="s">
        <v>31</v>
      </c>
      <c r="E654" s="1">
        <f t="shared" si="2"/>
        <v>55.75</v>
      </c>
      <c r="F654" s="1">
        <f t="shared" si="3"/>
        <v>2.79</v>
      </c>
      <c r="G654" s="1">
        <v>20.0</v>
      </c>
      <c r="H654" s="1">
        <v>1.0</v>
      </c>
      <c r="I654" s="1">
        <v>5.0</v>
      </c>
      <c r="J654" s="1">
        <v>6.0</v>
      </c>
      <c r="K654" s="1">
        <v>44.0</v>
      </c>
      <c r="L654" s="1">
        <v>0.0</v>
      </c>
      <c r="M654" s="1">
        <v>2.0</v>
      </c>
      <c r="N654" s="1">
        <v>0.0</v>
      </c>
      <c r="O654" s="1">
        <v>0.0</v>
      </c>
      <c r="P654" s="1">
        <v>25.0</v>
      </c>
      <c r="Q654" s="1">
        <v>16.0</v>
      </c>
    </row>
    <row r="655">
      <c r="A655" s="1">
        <f t="shared" si="1"/>
        <v>652</v>
      </c>
      <c r="B655" s="1" t="s">
        <v>1718</v>
      </c>
      <c r="C655" s="1" t="s">
        <v>1065</v>
      </c>
      <c r="D655" s="1" t="s">
        <v>66</v>
      </c>
      <c r="E655" s="1">
        <f t="shared" si="2"/>
        <v>55.75</v>
      </c>
      <c r="F655" s="1">
        <f t="shared" si="3"/>
        <v>2.32</v>
      </c>
      <c r="G655" s="1">
        <v>24.0</v>
      </c>
      <c r="H655" s="1">
        <v>3.0</v>
      </c>
      <c r="I655" s="1">
        <v>5.0</v>
      </c>
      <c r="J655" s="1">
        <v>8.0</v>
      </c>
      <c r="K655" s="1">
        <v>28.0</v>
      </c>
      <c r="L655" s="1">
        <v>0.0</v>
      </c>
      <c r="M655" s="1">
        <v>1.0</v>
      </c>
      <c r="N655" s="1">
        <v>0.0</v>
      </c>
      <c r="O655" s="1">
        <v>0.0</v>
      </c>
      <c r="P655" s="1">
        <v>7.0</v>
      </c>
      <c r="Q655" s="1">
        <v>23.0</v>
      </c>
    </row>
    <row r="656">
      <c r="A656" s="1">
        <f t="shared" si="1"/>
        <v>654</v>
      </c>
      <c r="B656" s="1" t="s">
        <v>2105</v>
      </c>
      <c r="C656" s="1" t="s">
        <v>1069</v>
      </c>
      <c r="D656" s="1" t="s">
        <v>66</v>
      </c>
      <c r="E656" s="1">
        <f t="shared" si="2"/>
        <v>55</v>
      </c>
      <c r="F656" s="1">
        <f t="shared" si="3"/>
        <v>2.62</v>
      </c>
      <c r="G656" s="1">
        <v>21.0</v>
      </c>
      <c r="H656" s="1">
        <v>2.0</v>
      </c>
      <c r="I656" s="1">
        <v>2.0</v>
      </c>
      <c r="J656" s="1">
        <v>4.0</v>
      </c>
      <c r="K656" s="1">
        <v>41.0</v>
      </c>
      <c r="L656" s="1">
        <v>0.0</v>
      </c>
      <c r="M656" s="1">
        <v>0.0</v>
      </c>
      <c r="N656" s="1">
        <v>0.0</v>
      </c>
      <c r="O656" s="1">
        <v>0.0</v>
      </c>
      <c r="P656" s="1">
        <v>24.0</v>
      </c>
      <c r="Q656" s="1">
        <v>27.0</v>
      </c>
    </row>
    <row r="657">
      <c r="A657" s="1">
        <f t="shared" si="1"/>
        <v>654</v>
      </c>
      <c r="B657" s="1" t="s">
        <v>2107</v>
      </c>
      <c r="C657" s="1" t="s">
        <v>1067</v>
      </c>
      <c r="D657" s="1" t="s">
        <v>66</v>
      </c>
      <c r="E657" s="1">
        <f t="shared" si="2"/>
        <v>55</v>
      </c>
      <c r="F657" s="1">
        <f t="shared" si="3"/>
        <v>2.29</v>
      </c>
      <c r="G657" s="1">
        <v>24.0</v>
      </c>
      <c r="H657" s="1">
        <v>0.0</v>
      </c>
      <c r="I657" s="1">
        <v>2.0</v>
      </c>
      <c r="J657" s="1">
        <v>2.0</v>
      </c>
      <c r="K657" s="1">
        <v>27.0</v>
      </c>
      <c r="L657" s="1">
        <v>0.0</v>
      </c>
      <c r="M657" s="1">
        <v>0.0</v>
      </c>
      <c r="N657" s="1">
        <v>0.0</v>
      </c>
      <c r="O657" s="1">
        <v>0.0</v>
      </c>
      <c r="P657" s="1">
        <v>56.0</v>
      </c>
      <c r="Q657" s="1">
        <v>43.0</v>
      </c>
    </row>
    <row r="658">
      <c r="A658" s="1">
        <f t="shared" si="1"/>
        <v>654</v>
      </c>
      <c r="B658" s="1" t="s">
        <v>2341</v>
      </c>
      <c r="C658" s="1" t="s">
        <v>1116</v>
      </c>
      <c r="D658" s="1" t="s">
        <v>31</v>
      </c>
      <c r="E658" s="1">
        <f t="shared" si="2"/>
        <v>55</v>
      </c>
      <c r="F658" s="1">
        <f t="shared" si="3"/>
        <v>1.25</v>
      </c>
      <c r="G658" s="1">
        <v>44.0</v>
      </c>
      <c r="H658" s="1">
        <v>2.0</v>
      </c>
      <c r="I658" s="1">
        <v>3.0</v>
      </c>
      <c r="J658" s="1">
        <v>5.0</v>
      </c>
      <c r="K658" s="1">
        <v>20.0</v>
      </c>
      <c r="L658" s="1">
        <v>0.0</v>
      </c>
      <c r="M658" s="1">
        <v>0.0</v>
      </c>
      <c r="N658" s="1">
        <v>0.0</v>
      </c>
      <c r="O658" s="1">
        <v>1.0</v>
      </c>
      <c r="P658" s="1">
        <v>60.0</v>
      </c>
      <c r="Q658" s="1">
        <v>20.0</v>
      </c>
    </row>
    <row r="659">
      <c r="A659" s="1">
        <f t="shared" si="1"/>
        <v>657</v>
      </c>
      <c r="B659" s="1" t="s">
        <v>1970</v>
      </c>
      <c r="C659" s="1" t="s">
        <v>1034</v>
      </c>
      <c r="D659" s="1" t="s">
        <v>66</v>
      </c>
      <c r="E659" s="1">
        <f t="shared" si="2"/>
        <v>54.75</v>
      </c>
      <c r="F659" s="1">
        <f t="shared" si="3"/>
        <v>1.56</v>
      </c>
      <c r="G659" s="1">
        <v>35.0</v>
      </c>
      <c r="H659" s="1">
        <v>1.0</v>
      </c>
      <c r="I659" s="1">
        <v>2.0</v>
      </c>
      <c r="J659" s="1">
        <v>3.0</v>
      </c>
      <c r="K659" s="1">
        <v>40.0</v>
      </c>
      <c r="L659" s="1">
        <v>0.0</v>
      </c>
      <c r="M659" s="1">
        <v>0.0</v>
      </c>
      <c r="N659" s="1">
        <v>0.0</v>
      </c>
      <c r="O659" s="1">
        <v>0.0</v>
      </c>
      <c r="P659" s="1">
        <v>39.0</v>
      </c>
      <c r="Q659" s="1">
        <v>29.0</v>
      </c>
    </row>
    <row r="660">
      <c r="A660" s="1">
        <f t="shared" si="1"/>
        <v>658</v>
      </c>
      <c r="B660" s="1" t="s">
        <v>2316</v>
      </c>
      <c r="C660" s="1" t="s">
        <v>1046</v>
      </c>
      <c r="D660" s="1" t="s">
        <v>28</v>
      </c>
      <c r="E660" s="1">
        <f t="shared" si="2"/>
        <v>54.25</v>
      </c>
      <c r="F660" s="1">
        <f t="shared" si="3"/>
        <v>1.55</v>
      </c>
      <c r="G660" s="1">
        <v>35.0</v>
      </c>
      <c r="H660" s="1">
        <v>1.0</v>
      </c>
      <c r="I660" s="1">
        <v>3.0</v>
      </c>
      <c r="J660" s="1">
        <v>4.0</v>
      </c>
      <c r="K660" s="1">
        <v>28.0</v>
      </c>
      <c r="L660" s="1">
        <v>0.0</v>
      </c>
      <c r="M660" s="1">
        <v>0.0</v>
      </c>
      <c r="N660" s="1">
        <v>0.0</v>
      </c>
      <c r="O660" s="1">
        <v>1.0</v>
      </c>
      <c r="P660" s="1">
        <v>63.0</v>
      </c>
      <c r="Q660" s="1">
        <v>18.0</v>
      </c>
    </row>
    <row r="661">
      <c r="A661" s="1">
        <f t="shared" si="1"/>
        <v>659</v>
      </c>
      <c r="B661" s="1" t="s">
        <v>1969</v>
      </c>
      <c r="C661" s="1" t="s">
        <v>1172</v>
      </c>
      <c r="D661" s="1" t="s">
        <v>31</v>
      </c>
      <c r="E661" s="1">
        <f t="shared" si="2"/>
        <v>53.75</v>
      </c>
      <c r="F661" s="1">
        <f t="shared" si="3"/>
        <v>2.99</v>
      </c>
      <c r="G661" s="1">
        <v>18.0</v>
      </c>
      <c r="H661" s="1">
        <v>2.0</v>
      </c>
      <c r="I661" s="1">
        <v>8.0</v>
      </c>
      <c r="J661" s="1">
        <v>10.0</v>
      </c>
      <c r="K661" s="1">
        <v>26.0</v>
      </c>
      <c r="L661" s="1">
        <v>1.0</v>
      </c>
      <c r="M661" s="1">
        <v>0.0</v>
      </c>
      <c r="N661" s="1">
        <v>0.0</v>
      </c>
      <c r="O661" s="1">
        <v>0.0</v>
      </c>
      <c r="P661" s="1">
        <v>7.0</v>
      </c>
      <c r="Q661" s="1">
        <v>12.0</v>
      </c>
    </row>
    <row r="662">
      <c r="A662" s="1">
        <f t="shared" si="1"/>
        <v>660</v>
      </c>
      <c r="B662" s="1" t="s">
        <v>1537</v>
      </c>
      <c r="C662" s="1" t="s">
        <v>1065</v>
      </c>
      <c r="D662" s="1" t="s">
        <v>5</v>
      </c>
      <c r="E662" s="1">
        <f t="shared" si="2"/>
        <v>53.4</v>
      </c>
      <c r="F662" s="1">
        <f t="shared" si="3"/>
        <v>6.68</v>
      </c>
      <c r="G662" s="1">
        <v>8.0</v>
      </c>
      <c r="R662" s="1">
        <v>4.0</v>
      </c>
      <c r="S662" s="1">
        <v>17.0</v>
      </c>
      <c r="T662" s="1">
        <v>213.0</v>
      </c>
      <c r="U662" s="1">
        <v>1.0</v>
      </c>
    </row>
    <row r="663">
      <c r="A663" s="1">
        <f t="shared" si="1"/>
        <v>661</v>
      </c>
      <c r="B663" s="1" t="s">
        <v>2022</v>
      </c>
      <c r="C663" s="1" t="s">
        <v>1080</v>
      </c>
      <c r="D663" s="1" t="s">
        <v>66</v>
      </c>
      <c r="E663" s="1">
        <f t="shared" si="2"/>
        <v>53.25</v>
      </c>
      <c r="F663" s="1">
        <f t="shared" si="3"/>
        <v>1.84</v>
      </c>
      <c r="G663" s="1">
        <v>29.0</v>
      </c>
      <c r="H663" s="1">
        <v>3.0</v>
      </c>
      <c r="I663" s="1">
        <v>3.0</v>
      </c>
      <c r="J663" s="1">
        <v>6.0</v>
      </c>
      <c r="K663" s="1">
        <v>31.0</v>
      </c>
      <c r="L663" s="1">
        <v>0.0</v>
      </c>
      <c r="M663" s="1">
        <v>0.0</v>
      </c>
      <c r="N663" s="1">
        <v>0.0</v>
      </c>
      <c r="O663" s="1">
        <v>0.0</v>
      </c>
      <c r="P663" s="1">
        <v>29.0</v>
      </c>
      <c r="Q663" s="1">
        <v>16.0</v>
      </c>
    </row>
    <row r="664">
      <c r="A664" s="1">
        <f t="shared" si="1"/>
        <v>661</v>
      </c>
      <c r="B664" s="1" t="s">
        <v>2488</v>
      </c>
      <c r="C664" s="1" t="s">
        <v>1069</v>
      </c>
      <c r="D664" s="1" t="s">
        <v>66</v>
      </c>
      <c r="E664" s="1">
        <f t="shared" si="2"/>
        <v>53.25</v>
      </c>
      <c r="F664" s="1">
        <f t="shared" si="3"/>
        <v>1.4</v>
      </c>
      <c r="G664" s="1">
        <v>38.0</v>
      </c>
      <c r="H664" s="1">
        <v>0.0</v>
      </c>
      <c r="I664" s="1">
        <v>4.0</v>
      </c>
      <c r="J664" s="1">
        <v>4.0</v>
      </c>
      <c r="K664" s="1">
        <v>33.0</v>
      </c>
      <c r="L664" s="1">
        <v>0.0</v>
      </c>
      <c r="M664" s="1">
        <v>0.0</v>
      </c>
      <c r="N664" s="1">
        <v>0.0</v>
      </c>
      <c r="O664" s="1">
        <v>0.0</v>
      </c>
      <c r="P664" s="1">
        <v>41.0</v>
      </c>
      <c r="Q664" s="1">
        <v>29.0</v>
      </c>
    </row>
    <row r="665">
      <c r="A665" s="1">
        <f t="shared" si="1"/>
        <v>663</v>
      </c>
      <c r="B665" s="1" t="s">
        <v>1683</v>
      </c>
      <c r="C665" s="1" t="s">
        <v>1076</v>
      </c>
      <c r="D665" s="1" t="s">
        <v>31</v>
      </c>
      <c r="E665" s="1">
        <f t="shared" si="2"/>
        <v>52.75</v>
      </c>
      <c r="F665" s="1">
        <f t="shared" si="3"/>
        <v>1.88</v>
      </c>
      <c r="G665" s="1">
        <v>28.0</v>
      </c>
      <c r="H665" s="1">
        <v>4.0</v>
      </c>
      <c r="I665" s="1">
        <v>3.0</v>
      </c>
      <c r="J665" s="1">
        <v>7.0</v>
      </c>
      <c r="K665" s="1">
        <v>34.0</v>
      </c>
      <c r="L665" s="1">
        <v>0.0</v>
      </c>
      <c r="M665" s="1">
        <v>0.0</v>
      </c>
      <c r="N665" s="1">
        <v>0.0</v>
      </c>
      <c r="O665" s="1">
        <v>0.0</v>
      </c>
      <c r="P665" s="1">
        <v>15.0</v>
      </c>
      <c r="Q665" s="1">
        <v>10.0</v>
      </c>
    </row>
    <row r="666">
      <c r="A666" s="1">
        <f t="shared" si="1"/>
        <v>664</v>
      </c>
      <c r="B666" s="1" t="s">
        <v>1816</v>
      </c>
      <c r="C666" s="1" t="s">
        <v>1078</v>
      </c>
      <c r="D666" s="1" t="s">
        <v>66</v>
      </c>
      <c r="E666" s="1">
        <f t="shared" si="2"/>
        <v>52</v>
      </c>
      <c r="F666" s="1">
        <f t="shared" si="3"/>
        <v>1.86</v>
      </c>
      <c r="G666" s="1">
        <v>28.0</v>
      </c>
      <c r="H666" s="1">
        <v>2.0</v>
      </c>
      <c r="I666" s="1">
        <v>2.0</v>
      </c>
      <c r="J666" s="1">
        <v>4.0</v>
      </c>
      <c r="K666" s="1">
        <v>16.0</v>
      </c>
      <c r="L666" s="1">
        <v>0.0</v>
      </c>
      <c r="M666" s="1">
        <v>0.0</v>
      </c>
      <c r="N666" s="1">
        <v>0.0</v>
      </c>
      <c r="O666" s="1">
        <v>0.0</v>
      </c>
      <c r="P666" s="1">
        <v>46.0</v>
      </c>
      <c r="Q666" s="1">
        <v>35.0</v>
      </c>
    </row>
    <row r="667">
      <c r="A667" s="1">
        <f t="shared" si="1"/>
        <v>664</v>
      </c>
      <c r="B667" s="1" t="s">
        <v>1771</v>
      </c>
      <c r="C667" s="1" t="s">
        <v>1030</v>
      </c>
      <c r="D667" s="1" t="s">
        <v>66</v>
      </c>
      <c r="E667" s="1">
        <f t="shared" si="2"/>
        <v>52</v>
      </c>
      <c r="F667" s="1">
        <f t="shared" si="3"/>
        <v>1.68</v>
      </c>
      <c r="G667" s="1">
        <v>31.0</v>
      </c>
      <c r="H667" s="1">
        <v>0.0</v>
      </c>
      <c r="I667" s="1">
        <v>7.0</v>
      </c>
      <c r="J667" s="1">
        <v>7.0</v>
      </c>
      <c r="K667" s="1">
        <v>31.0</v>
      </c>
      <c r="L667" s="1">
        <v>0.0</v>
      </c>
      <c r="M667" s="1">
        <v>0.0</v>
      </c>
      <c r="N667" s="1">
        <v>0.0</v>
      </c>
      <c r="O667" s="1">
        <v>0.0</v>
      </c>
      <c r="P667" s="1">
        <v>18.0</v>
      </c>
      <c r="Q667" s="1">
        <v>22.0</v>
      </c>
    </row>
    <row r="668">
      <c r="A668" s="1">
        <f t="shared" si="1"/>
        <v>666</v>
      </c>
      <c r="B668" s="1" t="s">
        <v>2489</v>
      </c>
      <c r="C668" s="1" t="s">
        <v>1044</v>
      </c>
      <c r="D668" s="1" t="s">
        <v>31</v>
      </c>
      <c r="E668" s="1">
        <f t="shared" si="2"/>
        <v>51.75</v>
      </c>
      <c r="F668" s="1">
        <f t="shared" si="3"/>
        <v>2.72</v>
      </c>
      <c r="G668" s="1">
        <v>19.0</v>
      </c>
      <c r="H668" s="1">
        <v>2.0</v>
      </c>
      <c r="I668" s="1">
        <v>7.0</v>
      </c>
      <c r="J668" s="1">
        <v>9.0</v>
      </c>
      <c r="K668" s="1">
        <v>30.0</v>
      </c>
      <c r="L668" s="1">
        <v>1.0</v>
      </c>
      <c r="M668" s="1">
        <v>0.0</v>
      </c>
      <c r="N668" s="1">
        <v>0.0</v>
      </c>
      <c r="O668" s="1">
        <v>0.0</v>
      </c>
      <c r="P668" s="1">
        <v>9.0</v>
      </c>
      <c r="Q668" s="1">
        <v>9.0</v>
      </c>
    </row>
    <row r="669">
      <c r="A669" s="1">
        <f t="shared" si="1"/>
        <v>666</v>
      </c>
      <c r="B669" s="1" t="s">
        <v>1732</v>
      </c>
      <c r="C669" s="1" t="s">
        <v>1085</v>
      </c>
      <c r="D669" s="1" t="s">
        <v>31</v>
      </c>
      <c r="E669" s="1">
        <f t="shared" si="2"/>
        <v>51.75</v>
      </c>
      <c r="F669" s="1">
        <f t="shared" si="3"/>
        <v>1.99</v>
      </c>
      <c r="G669" s="1">
        <v>26.0</v>
      </c>
      <c r="H669" s="1">
        <v>3.0</v>
      </c>
      <c r="I669" s="1">
        <v>2.0</v>
      </c>
      <c r="J669" s="1">
        <v>5.0</v>
      </c>
      <c r="K669" s="1">
        <v>31.0</v>
      </c>
      <c r="L669" s="1">
        <v>2.0</v>
      </c>
      <c r="M669" s="1">
        <v>1.0</v>
      </c>
      <c r="N669" s="1">
        <v>0.0</v>
      </c>
      <c r="O669" s="1">
        <v>0.0</v>
      </c>
      <c r="P669" s="1">
        <v>47.0</v>
      </c>
      <c r="Q669" s="1">
        <v>10.0</v>
      </c>
    </row>
    <row r="670">
      <c r="A670" s="1">
        <f t="shared" si="1"/>
        <v>666</v>
      </c>
      <c r="B670" s="1" t="s">
        <v>1371</v>
      </c>
      <c r="C670" s="1" t="s">
        <v>1106</v>
      </c>
      <c r="D670" s="1" t="s">
        <v>66</v>
      </c>
      <c r="E670" s="1">
        <f t="shared" si="2"/>
        <v>51.75</v>
      </c>
      <c r="F670" s="1">
        <f t="shared" si="3"/>
        <v>1.73</v>
      </c>
      <c r="G670" s="1">
        <v>30.0</v>
      </c>
      <c r="H670" s="1">
        <v>1.0</v>
      </c>
      <c r="I670" s="1">
        <v>2.0</v>
      </c>
      <c r="J670" s="1">
        <v>3.0</v>
      </c>
      <c r="K670" s="1">
        <v>22.0</v>
      </c>
      <c r="L670" s="1">
        <v>0.0</v>
      </c>
      <c r="M670" s="1">
        <v>0.0</v>
      </c>
      <c r="N670" s="1">
        <v>0.0</v>
      </c>
      <c r="O670" s="1">
        <v>0.0</v>
      </c>
      <c r="P670" s="1">
        <v>49.0</v>
      </c>
      <c r="Q670" s="1">
        <v>36.0</v>
      </c>
    </row>
    <row r="671">
      <c r="A671" s="1">
        <f t="shared" si="1"/>
        <v>666</v>
      </c>
      <c r="B671" s="1" t="s">
        <v>1618</v>
      </c>
      <c r="C671" s="1" t="s">
        <v>1052</v>
      </c>
      <c r="D671" s="1" t="s">
        <v>31</v>
      </c>
      <c r="E671" s="1">
        <f t="shared" si="2"/>
        <v>51.75</v>
      </c>
      <c r="F671" s="1">
        <f t="shared" si="3"/>
        <v>2.72</v>
      </c>
      <c r="G671" s="1">
        <v>19.0</v>
      </c>
      <c r="H671" s="1">
        <v>2.0</v>
      </c>
      <c r="I671" s="1">
        <v>8.0</v>
      </c>
      <c r="J671" s="1">
        <v>10.0</v>
      </c>
      <c r="K671" s="1">
        <v>20.0</v>
      </c>
      <c r="L671" s="1">
        <v>0.0</v>
      </c>
      <c r="M671" s="1">
        <v>0.0</v>
      </c>
      <c r="N671" s="1">
        <v>0.0</v>
      </c>
      <c r="O671" s="1">
        <v>1.0</v>
      </c>
      <c r="P671" s="1">
        <v>9.0</v>
      </c>
      <c r="Q671" s="1">
        <v>9.0</v>
      </c>
    </row>
    <row r="672">
      <c r="A672" s="1">
        <f t="shared" si="1"/>
        <v>670</v>
      </c>
      <c r="B672" s="1" t="s">
        <v>1500</v>
      </c>
      <c r="C672" s="1" t="s">
        <v>1030</v>
      </c>
      <c r="D672" s="1" t="s">
        <v>31</v>
      </c>
      <c r="E672" s="1">
        <f t="shared" si="2"/>
        <v>51.25</v>
      </c>
      <c r="F672" s="1">
        <f t="shared" si="3"/>
        <v>2.33</v>
      </c>
      <c r="G672" s="1">
        <v>22.0</v>
      </c>
      <c r="H672" s="1">
        <v>3.0</v>
      </c>
      <c r="I672" s="1">
        <v>2.0</v>
      </c>
      <c r="J672" s="1">
        <v>5.0</v>
      </c>
      <c r="K672" s="1">
        <v>37.0</v>
      </c>
      <c r="L672" s="1">
        <v>0.0</v>
      </c>
      <c r="M672" s="1">
        <v>0.0</v>
      </c>
      <c r="N672" s="1">
        <v>0.0</v>
      </c>
      <c r="O672" s="1">
        <v>0.0</v>
      </c>
      <c r="P672" s="1">
        <v>29.0</v>
      </c>
      <c r="Q672" s="1">
        <v>12.0</v>
      </c>
    </row>
    <row r="673">
      <c r="A673" s="1">
        <f t="shared" si="1"/>
        <v>671</v>
      </c>
      <c r="B673" s="1" t="s">
        <v>2091</v>
      </c>
      <c r="C673" s="1" t="s">
        <v>1091</v>
      </c>
      <c r="D673" s="1" t="s">
        <v>36</v>
      </c>
      <c r="E673" s="1">
        <f t="shared" si="2"/>
        <v>51</v>
      </c>
      <c r="F673" s="1">
        <f t="shared" si="3"/>
        <v>3.64</v>
      </c>
      <c r="G673" s="1">
        <v>14.0</v>
      </c>
      <c r="H673" s="1">
        <v>4.0</v>
      </c>
      <c r="I673" s="1">
        <v>3.0</v>
      </c>
      <c r="J673" s="1">
        <v>7.0</v>
      </c>
      <c r="K673" s="1">
        <v>24.0</v>
      </c>
      <c r="L673" s="1">
        <v>1.0</v>
      </c>
      <c r="M673" s="1">
        <v>0.0</v>
      </c>
      <c r="N673" s="1">
        <v>0.0</v>
      </c>
      <c r="O673" s="1">
        <v>0.0</v>
      </c>
      <c r="P673" s="1">
        <v>28.0</v>
      </c>
      <c r="Q673" s="1">
        <v>10.0</v>
      </c>
    </row>
    <row r="674">
      <c r="A674" s="1">
        <f t="shared" si="1"/>
        <v>672</v>
      </c>
      <c r="B674" s="1" t="s">
        <v>2388</v>
      </c>
      <c r="C674" s="1" t="s">
        <v>1172</v>
      </c>
      <c r="D674" s="1" t="s">
        <v>36</v>
      </c>
      <c r="E674" s="1">
        <f t="shared" si="2"/>
        <v>50.5</v>
      </c>
      <c r="F674" s="1">
        <f t="shared" si="3"/>
        <v>1.63</v>
      </c>
      <c r="G674" s="1">
        <v>31.0</v>
      </c>
      <c r="H674" s="1">
        <v>3.0</v>
      </c>
      <c r="I674" s="1">
        <v>3.0</v>
      </c>
      <c r="J674" s="1">
        <v>6.0</v>
      </c>
      <c r="K674" s="1">
        <v>26.0</v>
      </c>
      <c r="L674" s="1">
        <v>0.0</v>
      </c>
      <c r="M674" s="1">
        <v>1.0</v>
      </c>
      <c r="N674" s="1">
        <v>0.0</v>
      </c>
      <c r="O674" s="1">
        <v>0.0</v>
      </c>
      <c r="P674" s="1">
        <v>44.0</v>
      </c>
      <c r="Q674" s="1">
        <v>8.0</v>
      </c>
    </row>
    <row r="675">
      <c r="A675" s="1">
        <f t="shared" si="1"/>
        <v>673</v>
      </c>
      <c r="B675" s="1" t="s">
        <v>2490</v>
      </c>
      <c r="C675" s="1" t="s">
        <v>1065</v>
      </c>
      <c r="D675" s="1" t="s">
        <v>5</v>
      </c>
      <c r="E675" s="1">
        <f t="shared" si="2"/>
        <v>49.8</v>
      </c>
      <c r="F675" s="1">
        <f t="shared" si="3"/>
        <v>3.11</v>
      </c>
      <c r="G675" s="1">
        <v>16.0</v>
      </c>
      <c r="R675" s="1">
        <v>4.0</v>
      </c>
      <c r="S675" s="1">
        <v>51.0</v>
      </c>
      <c r="T675" s="1">
        <v>381.0</v>
      </c>
      <c r="U675" s="1">
        <v>0.0</v>
      </c>
    </row>
    <row r="676">
      <c r="A676" s="1">
        <f t="shared" si="1"/>
        <v>674</v>
      </c>
      <c r="B676" s="1" t="s">
        <v>2491</v>
      </c>
      <c r="C676" s="1" t="s">
        <v>1156</v>
      </c>
      <c r="D676" s="1" t="s">
        <v>66</v>
      </c>
      <c r="E676" s="1">
        <f t="shared" si="2"/>
        <v>49.5</v>
      </c>
      <c r="F676" s="1">
        <f t="shared" si="3"/>
        <v>1.9</v>
      </c>
      <c r="G676" s="1">
        <v>26.0</v>
      </c>
      <c r="H676" s="1">
        <v>0.0</v>
      </c>
      <c r="I676" s="1">
        <v>6.0</v>
      </c>
      <c r="J676" s="1">
        <v>6.0</v>
      </c>
      <c r="K676" s="1">
        <v>33.0</v>
      </c>
      <c r="L676" s="1">
        <v>0.0</v>
      </c>
      <c r="M676" s="1">
        <v>1.0</v>
      </c>
      <c r="N676" s="1">
        <v>0.0</v>
      </c>
      <c r="O676" s="1">
        <v>0.0</v>
      </c>
      <c r="P676" s="1">
        <v>30.0</v>
      </c>
      <c r="Q676" s="1">
        <v>15.0</v>
      </c>
    </row>
    <row r="677">
      <c r="A677" s="1">
        <f t="shared" si="1"/>
        <v>675</v>
      </c>
      <c r="B677" s="1" t="s">
        <v>2283</v>
      </c>
      <c r="C677" s="1" t="s">
        <v>1044</v>
      </c>
      <c r="D677" s="1" t="s">
        <v>28</v>
      </c>
      <c r="E677" s="1">
        <f t="shared" si="2"/>
        <v>49.25</v>
      </c>
      <c r="F677" s="1">
        <f t="shared" si="3"/>
        <v>2.46</v>
      </c>
      <c r="G677" s="1">
        <v>20.0</v>
      </c>
      <c r="H677" s="1">
        <v>4.0</v>
      </c>
      <c r="I677" s="1">
        <v>2.0</v>
      </c>
      <c r="J677" s="1">
        <v>6.0</v>
      </c>
      <c r="K677" s="1">
        <v>27.0</v>
      </c>
      <c r="L677" s="1">
        <v>0.0</v>
      </c>
      <c r="M677" s="1">
        <v>0.0</v>
      </c>
      <c r="N677" s="1">
        <v>1.0</v>
      </c>
      <c r="O677" s="1">
        <v>0.0</v>
      </c>
      <c r="P677" s="1">
        <v>23.0</v>
      </c>
      <c r="Q677" s="1">
        <v>8.0</v>
      </c>
    </row>
    <row r="678">
      <c r="A678" s="1">
        <f t="shared" si="1"/>
        <v>676</v>
      </c>
      <c r="B678" s="1" t="s">
        <v>2492</v>
      </c>
      <c r="C678" s="1" t="s">
        <v>1038</v>
      </c>
      <c r="D678" s="1" t="s">
        <v>66</v>
      </c>
      <c r="E678" s="1">
        <f t="shared" si="2"/>
        <v>49</v>
      </c>
      <c r="F678" s="1">
        <f t="shared" si="3"/>
        <v>2.45</v>
      </c>
      <c r="G678" s="1">
        <v>20.0</v>
      </c>
      <c r="H678" s="1">
        <v>2.0</v>
      </c>
      <c r="I678" s="1">
        <v>3.0</v>
      </c>
      <c r="J678" s="1">
        <v>5.0</v>
      </c>
      <c r="K678" s="1">
        <v>28.0</v>
      </c>
      <c r="L678" s="1">
        <v>1.0</v>
      </c>
      <c r="M678" s="1">
        <v>0.0</v>
      </c>
      <c r="N678" s="1">
        <v>0.0</v>
      </c>
      <c r="O678" s="1">
        <v>0.0</v>
      </c>
      <c r="P678" s="1">
        <v>20.0</v>
      </c>
      <c r="Q678" s="1">
        <v>24.0</v>
      </c>
    </row>
    <row r="679">
      <c r="A679" s="1">
        <f t="shared" si="1"/>
        <v>677</v>
      </c>
      <c r="B679" s="1" t="s">
        <v>1714</v>
      </c>
      <c r="C679" s="1" t="s">
        <v>1175</v>
      </c>
      <c r="D679" s="1" t="s">
        <v>36</v>
      </c>
      <c r="E679" s="1">
        <f t="shared" si="2"/>
        <v>48.75</v>
      </c>
      <c r="F679" s="1">
        <f t="shared" si="3"/>
        <v>2.22</v>
      </c>
      <c r="G679" s="1">
        <v>22.0</v>
      </c>
      <c r="H679" s="1">
        <v>3.0</v>
      </c>
      <c r="I679" s="1">
        <v>5.0</v>
      </c>
      <c r="J679" s="1">
        <v>8.0</v>
      </c>
      <c r="K679" s="1">
        <v>23.0</v>
      </c>
      <c r="L679" s="1">
        <v>1.0</v>
      </c>
      <c r="M679" s="1">
        <v>0.0</v>
      </c>
      <c r="N679" s="1">
        <v>0.0</v>
      </c>
      <c r="O679" s="1">
        <v>0.0</v>
      </c>
      <c r="P679" s="1">
        <v>7.0</v>
      </c>
      <c r="Q679" s="1">
        <v>14.0</v>
      </c>
    </row>
    <row r="680">
      <c r="A680" s="1">
        <f t="shared" si="1"/>
        <v>677</v>
      </c>
      <c r="B680" s="1" t="s">
        <v>2067</v>
      </c>
      <c r="C680" s="1" t="s">
        <v>1044</v>
      </c>
      <c r="D680" s="1" t="s">
        <v>66</v>
      </c>
      <c r="E680" s="1">
        <f t="shared" si="2"/>
        <v>48.75</v>
      </c>
      <c r="F680" s="1">
        <f t="shared" si="3"/>
        <v>1.74</v>
      </c>
      <c r="G680" s="1">
        <v>28.0</v>
      </c>
      <c r="H680" s="1">
        <v>1.0</v>
      </c>
      <c r="I680" s="1">
        <v>4.0</v>
      </c>
      <c r="J680" s="1">
        <v>5.0</v>
      </c>
      <c r="K680" s="1">
        <v>20.0</v>
      </c>
      <c r="L680" s="1">
        <v>0.0</v>
      </c>
      <c r="M680" s="1">
        <v>0.0</v>
      </c>
      <c r="N680" s="1">
        <v>0.0</v>
      </c>
      <c r="O680" s="1">
        <v>0.0</v>
      </c>
      <c r="P680" s="1">
        <v>19.0</v>
      </c>
      <c r="Q680" s="1">
        <v>35.0</v>
      </c>
    </row>
    <row r="681">
      <c r="A681" s="1">
        <f t="shared" si="1"/>
        <v>679</v>
      </c>
      <c r="B681" s="1" t="s">
        <v>1822</v>
      </c>
      <c r="C681" s="1" t="s">
        <v>1036</v>
      </c>
      <c r="D681" s="1" t="s">
        <v>66</v>
      </c>
      <c r="E681" s="1">
        <f t="shared" si="2"/>
        <v>47.75</v>
      </c>
      <c r="F681" s="1">
        <f t="shared" si="3"/>
        <v>1.45</v>
      </c>
      <c r="G681" s="1">
        <v>33.0</v>
      </c>
      <c r="H681" s="1">
        <v>0.0</v>
      </c>
      <c r="I681" s="1">
        <v>4.0</v>
      </c>
      <c r="J681" s="1">
        <v>4.0</v>
      </c>
      <c r="K681" s="1">
        <v>23.0</v>
      </c>
      <c r="L681" s="1">
        <v>0.0</v>
      </c>
      <c r="M681" s="1">
        <v>0.0</v>
      </c>
      <c r="N681" s="1">
        <v>0.0</v>
      </c>
      <c r="O681" s="1">
        <v>0.0</v>
      </c>
      <c r="P681" s="1">
        <v>27.0</v>
      </c>
      <c r="Q681" s="1">
        <v>35.0</v>
      </c>
    </row>
    <row r="682">
      <c r="A682" s="1">
        <f t="shared" si="1"/>
        <v>680</v>
      </c>
      <c r="B682" s="1" t="s">
        <v>1996</v>
      </c>
      <c r="C682" s="1" t="s">
        <v>1032</v>
      </c>
      <c r="D682" s="1" t="s">
        <v>5</v>
      </c>
      <c r="E682" s="1">
        <f t="shared" si="2"/>
        <v>47.7</v>
      </c>
      <c r="F682" s="1">
        <f t="shared" si="3"/>
        <v>5.96</v>
      </c>
      <c r="G682" s="1">
        <v>8.0</v>
      </c>
      <c r="R682" s="1">
        <v>4.0</v>
      </c>
      <c r="S682" s="1">
        <v>17.0</v>
      </c>
      <c r="T682" s="1">
        <v>194.0</v>
      </c>
      <c r="U682" s="1">
        <v>1.0</v>
      </c>
    </row>
    <row r="683">
      <c r="A683" s="1">
        <f t="shared" si="1"/>
        <v>681</v>
      </c>
      <c r="B683" s="1" t="s">
        <v>1390</v>
      </c>
      <c r="C683" s="1" t="s">
        <v>1106</v>
      </c>
      <c r="D683" s="1" t="s">
        <v>66</v>
      </c>
      <c r="E683" s="1">
        <f t="shared" si="2"/>
        <v>47.5</v>
      </c>
      <c r="F683" s="1">
        <f t="shared" si="3"/>
        <v>1.98</v>
      </c>
      <c r="G683" s="1">
        <v>24.0</v>
      </c>
      <c r="H683" s="1">
        <v>1.0</v>
      </c>
      <c r="I683" s="1">
        <v>1.0</v>
      </c>
      <c r="J683" s="1">
        <v>2.0</v>
      </c>
      <c r="K683" s="1">
        <v>47.0</v>
      </c>
      <c r="L683" s="1">
        <v>0.0</v>
      </c>
      <c r="M683" s="1">
        <v>0.0</v>
      </c>
      <c r="N683" s="1">
        <v>0.0</v>
      </c>
      <c r="O683" s="1">
        <v>0.0</v>
      </c>
      <c r="P683" s="1">
        <v>26.0</v>
      </c>
      <c r="Q683" s="1">
        <v>20.0</v>
      </c>
    </row>
    <row r="684">
      <c r="A684" s="1">
        <f t="shared" si="1"/>
        <v>682</v>
      </c>
      <c r="B684" s="1" t="s">
        <v>2493</v>
      </c>
      <c r="C684" s="1" t="s">
        <v>1065</v>
      </c>
      <c r="D684" s="1" t="s">
        <v>36</v>
      </c>
      <c r="E684" s="1">
        <f t="shared" si="2"/>
        <v>47.25</v>
      </c>
      <c r="F684" s="1">
        <f t="shared" si="3"/>
        <v>3.15</v>
      </c>
      <c r="G684" s="1">
        <v>15.0</v>
      </c>
      <c r="H684" s="1">
        <v>3.0</v>
      </c>
      <c r="I684" s="1">
        <v>1.0</v>
      </c>
      <c r="J684" s="1">
        <v>4.0</v>
      </c>
      <c r="K684" s="1">
        <v>30.0</v>
      </c>
      <c r="L684" s="1">
        <v>0.0</v>
      </c>
      <c r="M684" s="1">
        <v>0.0</v>
      </c>
      <c r="N684" s="1">
        <v>0.0</v>
      </c>
      <c r="O684" s="1">
        <v>0.0</v>
      </c>
      <c r="P684" s="1">
        <v>31.0</v>
      </c>
      <c r="Q684" s="1">
        <v>16.0</v>
      </c>
    </row>
    <row r="685">
      <c r="A685" s="1">
        <f t="shared" si="1"/>
        <v>682</v>
      </c>
      <c r="B685" s="1" t="s">
        <v>1454</v>
      </c>
      <c r="C685" s="1" t="s">
        <v>1065</v>
      </c>
      <c r="D685" s="1" t="s">
        <v>66</v>
      </c>
      <c r="E685" s="1">
        <f t="shared" si="2"/>
        <v>47.25</v>
      </c>
      <c r="F685" s="1">
        <f t="shared" si="3"/>
        <v>2.63</v>
      </c>
      <c r="G685" s="1">
        <v>18.0</v>
      </c>
      <c r="H685" s="1">
        <v>2.0</v>
      </c>
      <c r="I685" s="1">
        <v>4.0</v>
      </c>
      <c r="J685" s="1">
        <v>6.0</v>
      </c>
      <c r="K685" s="1">
        <v>29.0</v>
      </c>
      <c r="L685" s="1">
        <v>0.0</v>
      </c>
      <c r="M685" s="1">
        <v>1.0</v>
      </c>
      <c r="N685" s="1">
        <v>0.0</v>
      </c>
      <c r="O685" s="1">
        <v>0.0</v>
      </c>
      <c r="P685" s="1">
        <v>9.0</v>
      </c>
      <c r="Q685" s="1">
        <v>19.0</v>
      </c>
    </row>
    <row r="686">
      <c r="A686" s="1">
        <f t="shared" si="1"/>
        <v>684</v>
      </c>
      <c r="B686" s="1" t="s">
        <v>1462</v>
      </c>
      <c r="C686" s="1" t="s">
        <v>1042</v>
      </c>
      <c r="D686" s="1" t="s">
        <v>66</v>
      </c>
      <c r="E686" s="1">
        <f t="shared" si="2"/>
        <v>47</v>
      </c>
      <c r="F686" s="1">
        <f t="shared" si="3"/>
        <v>2.47</v>
      </c>
      <c r="G686" s="1">
        <v>19.0</v>
      </c>
      <c r="H686" s="1">
        <v>1.0</v>
      </c>
      <c r="I686" s="1">
        <v>2.0</v>
      </c>
      <c r="J686" s="1">
        <v>3.0</v>
      </c>
      <c r="K686" s="1">
        <v>31.0</v>
      </c>
      <c r="L686" s="1">
        <v>0.0</v>
      </c>
      <c r="M686" s="1">
        <v>0.0</v>
      </c>
      <c r="N686" s="1">
        <v>0.0</v>
      </c>
      <c r="O686" s="1">
        <v>0.0</v>
      </c>
      <c r="P686" s="1">
        <v>22.0</v>
      </c>
      <c r="Q686" s="1">
        <v>31.0</v>
      </c>
    </row>
    <row r="687">
      <c r="A687" s="1">
        <f t="shared" si="1"/>
        <v>684</v>
      </c>
      <c r="B687" s="1" t="s">
        <v>2108</v>
      </c>
      <c r="C687" s="1" t="s">
        <v>1120</v>
      </c>
      <c r="D687" s="1" t="s">
        <v>28</v>
      </c>
      <c r="E687" s="1">
        <f t="shared" si="2"/>
        <v>47</v>
      </c>
      <c r="F687" s="1">
        <f t="shared" si="3"/>
        <v>2.24</v>
      </c>
      <c r="G687" s="1">
        <v>21.0</v>
      </c>
      <c r="H687" s="1">
        <v>3.0</v>
      </c>
      <c r="I687" s="1">
        <v>5.0</v>
      </c>
      <c r="J687" s="1">
        <v>8.0</v>
      </c>
      <c r="K687" s="1">
        <v>21.0</v>
      </c>
      <c r="L687" s="1">
        <v>1.0</v>
      </c>
      <c r="M687" s="1">
        <v>1.0</v>
      </c>
      <c r="N687" s="1">
        <v>0.0</v>
      </c>
      <c r="O687" s="1">
        <v>0.0</v>
      </c>
      <c r="P687" s="1">
        <v>20.0</v>
      </c>
      <c r="Q687" s="1">
        <v>6.0</v>
      </c>
    </row>
    <row r="688">
      <c r="A688" s="1">
        <f t="shared" si="1"/>
        <v>684</v>
      </c>
      <c r="B688" s="1" t="s">
        <v>1579</v>
      </c>
      <c r="C688" s="1" t="s">
        <v>1038</v>
      </c>
      <c r="D688" s="1" t="s">
        <v>66</v>
      </c>
      <c r="E688" s="1">
        <f t="shared" si="2"/>
        <v>47</v>
      </c>
      <c r="F688" s="1">
        <f t="shared" si="3"/>
        <v>2.24</v>
      </c>
      <c r="G688" s="1">
        <v>21.0</v>
      </c>
      <c r="H688" s="1">
        <v>0.0</v>
      </c>
      <c r="I688" s="1">
        <v>1.0</v>
      </c>
      <c r="J688" s="1">
        <v>1.0</v>
      </c>
      <c r="K688" s="1">
        <v>30.0</v>
      </c>
      <c r="L688" s="1">
        <v>0.0</v>
      </c>
      <c r="M688" s="1">
        <v>0.0</v>
      </c>
      <c r="N688" s="1">
        <v>0.0</v>
      </c>
      <c r="O688" s="1">
        <v>0.0</v>
      </c>
      <c r="P688" s="1">
        <v>56.0</v>
      </c>
      <c r="Q688" s="1">
        <v>30.0</v>
      </c>
    </row>
    <row r="689">
      <c r="A689" s="1">
        <f t="shared" si="1"/>
        <v>687</v>
      </c>
      <c r="B689" s="1" t="s">
        <v>2494</v>
      </c>
      <c r="C689" s="1" t="s">
        <v>1073</v>
      </c>
      <c r="D689" s="1" t="s">
        <v>66</v>
      </c>
      <c r="E689" s="1">
        <f t="shared" si="2"/>
        <v>46.75</v>
      </c>
      <c r="F689" s="1">
        <f t="shared" si="3"/>
        <v>1.8</v>
      </c>
      <c r="G689" s="1">
        <v>26.0</v>
      </c>
      <c r="H689" s="1">
        <v>0.0</v>
      </c>
      <c r="I689" s="1">
        <v>8.0</v>
      </c>
      <c r="J689" s="1">
        <v>8.0</v>
      </c>
      <c r="K689" s="1">
        <v>23.0</v>
      </c>
      <c r="L689" s="1">
        <v>0.0</v>
      </c>
      <c r="M689" s="1">
        <v>3.0</v>
      </c>
      <c r="N689" s="1">
        <v>0.0</v>
      </c>
      <c r="O689" s="1">
        <v>0.0</v>
      </c>
      <c r="P689" s="1">
        <v>15.0</v>
      </c>
      <c r="Q689" s="1">
        <v>15.0</v>
      </c>
    </row>
    <row r="690">
      <c r="A690" s="1">
        <f t="shared" si="1"/>
        <v>687</v>
      </c>
      <c r="B690" s="1" t="s">
        <v>2158</v>
      </c>
      <c r="C690" s="1" t="s">
        <v>1036</v>
      </c>
      <c r="D690" s="1" t="s">
        <v>36</v>
      </c>
      <c r="E690" s="1">
        <f t="shared" si="2"/>
        <v>46.75</v>
      </c>
      <c r="F690" s="1">
        <f t="shared" si="3"/>
        <v>1.73</v>
      </c>
      <c r="G690" s="1">
        <v>27.0</v>
      </c>
      <c r="H690" s="1">
        <v>2.0</v>
      </c>
      <c r="I690" s="1">
        <v>3.0</v>
      </c>
      <c r="J690" s="1">
        <v>5.0</v>
      </c>
      <c r="K690" s="1">
        <v>18.0</v>
      </c>
      <c r="L690" s="1">
        <v>0.0</v>
      </c>
      <c r="M690" s="1">
        <v>0.0</v>
      </c>
      <c r="N690" s="1">
        <v>0.0</v>
      </c>
      <c r="O690" s="1">
        <v>0.0</v>
      </c>
      <c r="P690" s="1">
        <v>73.0</v>
      </c>
      <c r="Q690" s="1">
        <v>3.0</v>
      </c>
    </row>
    <row r="691">
      <c r="A691" s="1">
        <f t="shared" si="1"/>
        <v>689</v>
      </c>
      <c r="B691" s="1" t="s">
        <v>2126</v>
      </c>
      <c r="C691" s="1" t="s">
        <v>1172</v>
      </c>
      <c r="D691" s="1" t="s">
        <v>66</v>
      </c>
      <c r="E691" s="1">
        <f t="shared" si="2"/>
        <v>46.25</v>
      </c>
      <c r="F691" s="1">
        <f t="shared" si="3"/>
        <v>2.2</v>
      </c>
      <c r="G691" s="1">
        <v>21.0</v>
      </c>
      <c r="H691" s="1">
        <v>1.0</v>
      </c>
      <c r="I691" s="1">
        <v>0.0</v>
      </c>
      <c r="J691" s="1">
        <v>1.0</v>
      </c>
      <c r="K691" s="1">
        <v>29.0</v>
      </c>
      <c r="L691" s="1">
        <v>0.0</v>
      </c>
      <c r="M691" s="1">
        <v>0.0</v>
      </c>
      <c r="N691" s="1">
        <v>0.0</v>
      </c>
      <c r="O691" s="1">
        <v>0.0</v>
      </c>
      <c r="P691" s="1">
        <v>51.0</v>
      </c>
      <c r="Q691" s="1">
        <v>29.0</v>
      </c>
    </row>
    <row r="692">
      <c r="A692" s="1">
        <f t="shared" si="1"/>
        <v>689</v>
      </c>
      <c r="B692" s="1" t="s">
        <v>2495</v>
      </c>
      <c r="C692" s="1" t="s">
        <v>1570</v>
      </c>
      <c r="D692" s="1" t="s">
        <v>31</v>
      </c>
      <c r="E692" s="1">
        <f t="shared" si="2"/>
        <v>46.25</v>
      </c>
      <c r="F692" s="1">
        <f t="shared" si="3"/>
        <v>1.36</v>
      </c>
      <c r="G692" s="1">
        <v>34.0</v>
      </c>
      <c r="H692" s="1">
        <v>2.0</v>
      </c>
      <c r="I692" s="1">
        <v>1.0</v>
      </c>
      <c r="J692" s="1">
        <v>3.0</v>
      </c>
      <c r="K692" s="1">
        <v>24.0</v>
      </c>
      <c r="L692" s="1">
        <v>0.0</v>
      </c>
      <c r="M692" s="1">
        <v>0.0</v>
      </c>
      <c r="N692" s="1">
        <v>0.0</v>
      </c>
      <c r="O692" s="1">
        <v>0.0</v>
      </c>
      <c r="P692" s="1">
        <v>31.0</v>
      </c>
      <c r="Q692" s="1">
        <v>29.0</v>
      </c>
    </row>
    <row r="693">
      <c r="A693" s="1">
        <f t="shared" si="1"/>
        <v>691</v>
      </c>
      <c r="B693" s="1" t="s">
        <v>2350</v>
      </c>
      <c r="C693" s="1" t="s">
        <v>1067</v>
      </c>
      <c r="D693" s="1" t="s">
        <v>31</v>
      </c>
      <c r="E693" s="1">
        <f t="shared" si="2"/>
        <v>45.5</v>
      </c>
      <c r="F693" s="1">
        <f t="shared" si="3"/>
        <v>2.68</v>
      </c>
      <c r="G693" s="1">
        <v>17.0</v>
      </c>
      <c r="H693" s="1">
        <v>5.0</v>
      </c>
      <c r="I693" s="1">
        <v>1.0</v>
      </c>
      <c r="J693" s="1">
        <v>6.0</v>
      </c>
      <c r="K693" s="1">
        <v>28.0</v>
      </c>
      <c r="L693" s="1">
        <v>0.0</v>
      </c>
      <c r="M693" s="1">
        <v>0.0</v>
      </c>
      <c r="N693" s="1">
        <v>0.0</v>
      </c>
      <c r="O693" s="1">
        <v>0.0</v>
      </c>
      <c r="P693" s="1">
        <v>16.0</v>
      </c>
      <c r="Q693" s="1">
        <v>4.0</v>
      </c>
    </row>
    <row r="694">
      <c r="A694" s="1">
        <f t="shared" si="1"/>
        <v>692</v>
      </c>
      <c r="B694" s="1" t="s">
        <v>1071</v>
      </c>
      <c r="C694" s="1" t="s">
        <v>1036</v>
      </c>
      <c r="D694" s="1" t="s">
        <v>66</v>
      </c>
      <c r="E694" s="1">
        <f t="shared" si="2"/>
        <v>45.25</v>
      </c>
      <c r="F694" s="1">
        <f t="shared" si="3"/>
        <v>3.23</v>
      </c>
      <c r="G694" s="1">
        <v>14.0</v>
      </c>
      <c r="H694" s="1">
        <v>2.0</v>
      </c>
      <c r="I694" s="1">
        <v>3.0</v>
      </c>
      <c r="J694" s="1">
        <v>5.0</v>
      </c>
      <c r="K694" s="1">
        <v>38.0</v>
      </c>
      <c r="L694" s="1">
        <v>1.0</v>
      </c>
      <c r="M694" s="1">
        <v>0.0</v>
      </c>
      <c r="N694" s="1">
        <v>0.0</v>
      </c>
      <c r="O694" s="1">
        <v>0.0</v>
      </c>
      <c r="P694" s="1">
        <v>11.0</v>
      </c>
      <c r="Q694" s="1">
        <v>11.0</v>
      </c>
    </row>
    <row r="695">
      <c r="A695" s="1">
        <f t="shared" si="1"/>
        <v>693</v>
      </c>
      <c r="B695" s="1" t="s">
        <v>1638</v>
      </c>
      <c r="C695" s="1" t="s">
        <v>1044</v>
      </c>
      <c r="D695" s="1" t="s">
        <v>5</v>
      </c>
      <c r="E695" s="1">
        <f t="shared" si="2"/>
        <v>45</v>
      </c>
      <c r="F695" s="1">
        <f t="shared" si="3"/>
        <v>5.63</v>
      </c>
      <c r="G695" s="1">
        <v>8.0</v>
      </c>
      <c r="R695" s="1">
        <v>3.0</v>
      </c>
      <c r="S695" s="1">
        <v>24.0</v>
      </c>
      <c r="T695" s="1">
        <v>240.0</v>
      </c>
      <c r="U695" s="1">
        <v>0.0</v>
      </c>
    </row>
    <row r="696">
      <c r="A696" s="1">
        <f t="shared" si="1"/>
        <v>694</v>
      </c>
      <c r="B696" s="1" t="s">
        <v>2335</v>
      </c>
      <c r="C696" s="1" t="s">
        <v>1065</v>
      </c>
      <c r="D696" s="1" t="s">
        <v>31</v>
      </c>
      <c r="E696" s="1">
        <f t="shared" si="2"/>
        <v>44.75</v>
      </c>
      <c r="F696" s="1">
        <f t="shared" si="3"/>
        <v>2.36</v>
      </c>
      <c r="G696" s="1">
        <v>19.0</v>
      </c>
      <c r="H696" s="1">
        <v>0.0</v>
      </c>
      <c r="I696" s="1">
        <v>6.0</v>
      </c>
      <c r="J696" s="1">
        <v>6.0</v>
      </c>
      <c r="K696" s="1">
        <v>10.0</v>
      </c>
      <c r="L696" s="1">
        <v>0.0</v>
      </c>
      <c r="M696" s="1">
        <v>0.0</v>
      </c>
      <c r="N696" s="1">
        <v>0.0</v>
      </c>
      <c r="O696" s="1">
        <v>0.0</v>
      </c>
      <c r="P696" s="1">
        <v>45.0</v>
      </c>
      <c r="Q696" s="1">
        <v>21.0</v>
      </c>
    </row>
    <row r="697">
      <c r="A697" s="1">
        <f t="shared" si="1"/>
        <v>694</v>
      </c>
      <c r="B697" s="1" t="s">
        <v>2366</v>
      </c>
      <c r="C697" s="1" t="s">
        <v>1046</v>
      </c>
      <c r="D697" s="1" t="s">
        <v>66</v>
      </c>
      <c r="E697" s="1">
        <f t="shared" si="2"/>
        <v>44.75</v>
      </c>
      <c r="F697" s="1">
        <f t="shared" si="3"/>
        <v>1.95</v>
      </c>
      <c r="G697" s="1">
        <v>23.0</v>
      </c>
      <c r="H697" s="1">
        <v>2.0</v>
      </c>
      <c r="I697" s="1">
        <v>1.0</v>
      </c>
      <c r="J697" s="1">
        <v>3.0</v>
      </c>
      <c r="K697" s="1">
        <v>24.0</v>
      </c>
      <c r="L697" s="1">
        <v>0.0</v>
      </c>
      <c r="M697" s="1">
        <v>0.0</v>
      </c>
      <c r="N697" s="1">
        <v>0.0</v>
      </c>
      <c r="O697" s="1">
        <v>0.0</v>
      </c>
      <c r="P697" s="1">
        <v>23.0</v>
      </c>
      <c r="Q697" s="1">
        <v>30.0</v>
      </c>
    </row>
    <row r="698">
      <c r="A698" s="1">
        <f t="shared" si="1"/>
        <v>694</v>
      </c>
      <c r="B698" s="1" t="s">
        <v>1612</v>
      </c>
      <c r="C698" s="1" t="s">
        <v>1044</v>
      </c>
      <c r="D698" s="1" t="s">
        <v>66</v>
      </c>
      <c r="E698" s="1">
        <f t="shared" si="2"/>
        <v>44.75</v>
      </c>
      <c r="F698" s="1">
        <f t="shared" si="3"/>
        <v>1.72</v>
      </c>
      <c r="G698" s="1">
        <v>26.0</v>
      </c>
      <c r="H698" s="1">
        <v>0.0</v>
      </c>
      <c r="I698" s="1">
        <v>1.0</v>
      </c>
      <c r="J698" s="1">
        <v>1.0</v>
      </c>
      <c r="K698" s="1">
        <v>8.0</v>
      </c>
      <c r="L698" s="1">
        <v>0.0</v>
      </c>
      <c r="M698" s="1">
        <v>0.0</v>
      </c>
      <c r="N698" s="1">
        <v>0.0</v>
      </c>
      <c r="O698" s="1">
        <v>0.0</v>
      </c>
      <c r="P698" s="1">
        <v>71.0</v>
      </c>
      <c r="Q698" s="1">
        <v>40.0</v>
      </c>
    </row>
    <row r="699">
      <c r="A699" s="1">
        <f t="shared" si="1"/>
        <v>697</v>
      </c>
      <c r="B699" s="1" t="s">
        <v>2250</v>
      </c>
      <c r="C699" s="1" t="s">
        <v>1042</v>
      </c>
      <c r="D699" s="1" t="s">
        <v>66</v>
      </c>
      <c r="E699" s="1">
        <f t="shared" si="2"/>
        <v>44</v>
      </c>
      <c r="F699" s="1">
        <f t="shared" si="3"/>
        <v>2</v>
      </c>
      <c r="G699" s="1">
        <v>22.0</v>
      </c>
      <c r="H699" s="1">
        <v>0.0</v>
      </c>
      <c r="I699" s="1">
        <v>1.0</v>
      </c>
      <c r="J699" s="1">
        <v>1.0</v>
      </c>
      <c r="K699" s="1">
        <v>18.0</v>
      </c>
      <c r="L699" s="1">
        <v>0.0</v>
      </c>
      <c r="M699" s="1">
        <v>0.0</v>
      </c>
      <c r="N699" s="1">
        <v>0.0</v>
      </c>
      <c r="O699" s="1">
        <v>0.0</v>
      </c>
      <c r="P699" s="1">
        <v>54.0</v>
      </c>
      <c r="Q699" s="1">
        <v>37.0</v>
      </c>
    </row>
    <row r="700">
      <c r="A700" s="1">
        <f t="shared" si="1"/>
        <v>698</v>
      </c>
      <c r="B700" s="1" t="s">
        <v>1836</v>
      </c>
      <c r="C700" s="1" t="s">
        <v>1046</v>
      </c>
      <c r="D700" s="1" t="s">
        <v>31</v>
      </c>
      <c r="E700" s="1">
        <f t="shared" si="2"/>
        <v>43.75</v>
      </c>
      <c r="F700" s="1">
        <f t="shared" si="3"/>
        <v>1.29</v>
      </c>
      <c r="G700" s="1">
        <v>34.0</v>
      </c>
      <c r="H700" s="1">
        <v>1.0</v>
      </c>
      <c r="I700" s="1">
        <v>1.0</v>
      </c>
      <c r="J700" s="1">
        <v>2.0</v>
      </c>
      <c r="K700" s="1">
        <v>31.0</v>
      </c>
      <c r="L700" s="1">
        <v>0.0</v>
      </c>
      <c r="M700" s="1">
        <v>0.0</v>
      </c>
      <c r="N700" s="1">
        <v>0.0</v>
      </c>
      <c r="O700" s="1">
        <v>0.0</v>
      </c>
      <c r="P700" s="1">
        <v>65.0</v>
      </c>
      <c r="Q700" s="1">
        <v>9.0</v>
      </c>
    </row>
    <row r="701">
      <c r="A701" s="1">
        <f t="shared" si="1"/>
        <v>699</v>
      </c>
      <c r="B701" s="1" t="s">
        <v>1242</v>
      </c>
      <c r="C701" s="1" t="s">
        <v>1120</v>
      </c>
      <c r="D701" s="1" t="s">
        <v>28</v>
      </c>
      <c r="E701" s="1">
        <f t="shared" si="2"/>
        <v>43.25</v>
      </c>
      <c r="F701" s="1">
        <f t="shared" si="3"/>
        <v>4.81</v>
      </c>
      <c r="G701" s="1">
        <v>9.0</v>
      </c>
      <c r="H701" s="1">
        <v>5.0</v>
      </c>
      <c r="I701" s="1">
        <v>2.0</v>
      </c>
      <c r="J701" s="1">
        <v>7.0</v>
      </c>
      <c r="K701" s="1">
        <v>20.0</v>
      </c>
      <c r="L701" s="1">
        <v>3.0</v>
      </c>
      <c r="M701" s="1">
        <v>1.0</v>
      </c>
      <c r="N701" s="1">
        <v>0.0</v>
      </c>
      <c r="O701" s="1">
        <v>0.0</v>
      </c>
      <c r="P701" s="1">
        <v>13.0</v>
      </c>
      <c r="Q701" s="1">
        <v>3.0</v>
      </c>
    </row>
    <row r="702">
      <c r="A702" s="1">
        <f t="shared" si="1"/>
        <v>699</v>
      </c>
      <c r="B702" s="1" t="s">
        <v>2496</v>
      </c>
      <c r="C702" s="1" t="s">
        <v>1120</v>
      </c>
      <c r="D702" s="1" t="s">
        <v>31</v>
      </c>
      <c r="E702" s="1">
        <f t="shared" si="2"/>
        <v>43.25</v>
      </c>
      <c r="F702" s="1">
        <f t="shared" si="3"/>
        <v>1.49</v>
      </c>
      <c r="G702" s="1">
        <v>29.0</v>
      </c>
      <c r="H702" s="1">
        <v>1.0</v>
      </c>
      <c r="I702" s="1">
        <v>5.0</v>
      </c>
      <c r="J702" s="1">
        <v>6.0</v>
      </c>
      <c r="K702" s="1">
        <v>24.0</v>
      </c>
      <c r="L702" s="1">
        <v>0.0</v>
      </c>
      <c r="M702" s="1">
        <v>0.0</v>
      </c>
      <c r="N702" s="1">
        <v>0.0</v>
      </c>
      <c r="O702" s="1">
        <v>0.0</v>
      </c>
      <c r="P702" s="1">
        <v>23.0</v>
      </c>
      <c r="Q702" s="1">
        <v>12.0</v>
      </c>
    </row>
    <row r="703">
      <c r="A703" s="1">
        <f t="shared" si="1"/>
        <v>699</v>
      </c>
      <c r="B703" s="1" t="s">
        <v>2497</v>
      </c>
      <c r="C703" s="1" t="s">
        <v>1046</v>
      </c>
      <c r="D703" s="1" t="s">
        <v>31</v>
      </c>
      <c r="E703" s="1">
        <f t="shared" si="2"/>
        <v>43.25</v>
      </c>
      <c r="F703" s="1">
        <f t="shared" si="3"/>
        <v>1.44</v>
      </c>
      <c r="G703" s="1">
        <v>30.0</v>
      </c>
      <c r="H703" s="1">
        <v>2.0</v>
      </c>
      <c r="I703" s="1">
        <v>3.0</v>
      </c>
      <c r="J703" s="1">
        <v>5.0</v>
      </c>
      <c r="K703" s="1">
        <v>18.0</v>
      </c>
      <c r="L703" s="1">
        <v>0.0</v>
      </c>
      <c r="M703" s="1">
        <v>0.0</v>
      </c>
      <c r="N703" s="1">
        <v>0.0</v>
      </c>
      <c r="O703" s="1">
        <v>0.0</v>
      </c>
      <c r="P703" s="1">
        <v>43.0</v>
      </c>
      <c r="Q703" s="1">
        <v>11.0</v>
      </c>
    </row>
    <row r="704">
      <c r="A704" s="1">
        <f t="shared" si="1"/>
        <v>702</v>
      </c>
      <c r="B704" s="1" t="s">
        <v>1486</v>
      </c>
      <c r="C704" s="1" t="s">
        <v>1065</v>
      </c>
      <c r="D704" s="1" t="s">
        <v>31</v>
      </c>
      <c r="E704" s="1">
        <f t="shared" si="2"/>
        <v>41.25</v>
      </c>
      <c r="F704" s="1">
        <f t="shared" si="3"/>
        <v>3.17</v>
      </c>
      <c r="G704" s="1">
        <v>13.0</v>
      </c>
      <c r="H704" s="1">
        <v>2.0</v>
      </c>
      <c r="I704" s="1">
        <v>4.0</v>
      </c>
      <c r="J704" s="1">
        <v>6.0</v>
      </c>
      <c r="K704" s="1">
        <v>23.0</v>
      </c>
      <c r="L704" s="1">
        <v>0.0</v>
      </c>
      <c r="M704" s="1">
        <v>1.0</v>
      </c>
      <c r="N704" s="1">
        <v>0.0</v>
      </c>
      <c r="O704" s="1">
        <v>0.0</v>
      </c>
      <c r="P704" s="1">
        <v>29.0</v>
      </c>
      <c r="Q704" s="1">
        <v>3.0</v>
      </c>
    </row>
    <row r="705">
      <c r="A705" s="1">
        <f t="shared" si="1"/>
        <v>702</v>
      </c>
      <c r="B705" s="1" t="s">
        <v>1634</v>
      </c>
      <c r="C705" s="1" t="s">
        <v>1156</v>
      </c>
      <c r="D705" s="1" t="s">
        <v>31</v>
      </c>
      <c r="E705" s="1">
        <f t="shared" si="2"/>
        <v>41.25</v>
      </c>
      <c r="F705" s="1">
        <f t="shared" si="3"/>
        <v>2.06</v>
      </c>
      <c r="G705" s="1">
        <v>20.0</v>
      </c>
      <c r="H705" s="1">
        <v>3.0</v>
      </c>
      <c r="I705" s="1">
        <v>2.0</v>
      </c>
      <c r="J705" s="1">
        <v>5.0</v>
      </c>
      <c r="K705" s="1">
        <v>28.0</v>
      </c>
      <c r="L705" s="1">
        <v>1.0</v>
      </c>
      <c r="M705" s="1">
        <v>0.0</v>
      </c>
      <c r="N705" s="1">
        <v>0.0</v>
      </c>
      <c r="O705" s="1">
        <v>0.0</v>
      </c>
      <c r="P705" s="1">
        <v>15.0</v>
      </c>
      <c r="Q705" s="1">
        <v>8.0</v>
      </c>
    </row>
    <row r="706">
      <c r="A706" s="1">
        <f t="shared" si="1"/>
        <v>704</v>
      </c>
      <c r="B706" s="1" t="s">
        <v>2129</v>
      </c>
      <c r="C706" s="1" t="s">
        <v>1116</v>
      </c>
      <c r="D706" s="1" t="s">
        <v>66</v>
      </c>
      <c r="E706" s="1">
        <f t="shared" si="2"/>
        <v>40.75</v>
      </c>
      <c r="F706" s="1">
        <f t="shared" si="3"/>
        <v>1.63</v>
      </c>
      <c r="G706" s="1">
        <v>25.0</v>
      </c>
      <c r="H706" s="1">
        <v>0.0</v>
      </c>
      <c r="I706" s="1">
        <v>1.0</v>
      </c>
      <c r="J706" s="1">
        <v>1.0</v>
      </c>
      <c r="K706" s="1">
        <v>26.0</v>
      </c>
      <c r="L706" s="1">
        <v>0.0</v>
      </c>
      <c r="M706" s="1">
        <v>0.0</v>
      </c>
      <c r="N706" s="1">
        <v>0.0</v>
      </c>
      <c r="O706" s="1">
        <v>0.0</v>
      </c>
      <c r="P706" s="1">
        <v>39.0</v>
      </c>
      <c r="Q706" s="1">
        <v>30.0</v>
      </c>
    </row>
    <row r="707">
      <c r="A707" s="1">
        <f t="shared" si="1"/>
        <v>705</v>
      </c>
      <c r="B707" s="1" t="s">
        <v>2259</v>
      </c>
      <c r="C707" s="1" t="s">
        <v>1078</v>
      </c>
      <c r="D707" s="1" t="s">
        <v>28</v>
      </c>
      <c r="E707" s="1">
        <f t="shared" si="2"/>
        <v>40.5</v>
      </c>
      <c r="F707" s="1">
        <f t="shared" si="3"/>
        <v>1.76</v>
      </c>
      <c r="G707" s="1">
        <v>23.0</v>
      </c>
      <c r="H707" s="1">
        <v>3.0</v>
      </c>
      <c r="I707" s="1">
        <v>3.0</v>
      </c>
      <c r="J707" s="1">
        <v>6.0</v>
      </c>
      <c r="K707" s="1">
        <v>23.0</v>
      </c>
      <c r="L707" s="1">
        <v>0.0</v>
      </c>
      <c r="M707" s="1">
        <v>0.0</v>
      </c>
      <c r="N707" s="1">
        <v>0.0</v>
      </c>
      <c r="O707" s="1">
        <v>0.0</v>
      </c>
      <c r="P707" s="1">
        <v>8.0</v>
      </c>
      <c r="Q707" s="1">
        <v>9.0</v>
      </c>
    </row>
    <row r="708">
      <c r="A708" s="1">
        <f t="shared" si="1"/>
        <v>705</v>
      </c>
      <c r="B708" s="1" t="s">
        <v>2498</v>
      </c>
      <c r="C708" s="1" t="s">
        <v>1175</v>
      </c>
      <c r="D708" s="1" t="s">
        <v>36</v>
      </c>
      <c r="E708" s="1">
        <f t="shared" si="2"/>
        <v>40.5</v>
      </c>
      <c r="F708" s="1">
        <f t="shared" si="3"/>
        <v>1.4</v>
      </c>
      <c r="G708" s="1">
        <v>29.0</v>
      </c>
      <c r="H708" s="1">
        <v>1.0</v>
      </c>
      <c r="I708" s="1">
        <v>4.0</v>
      </c>
      <c r="J708" s="1">
        <v>5.0</v>
      </c>
      <c r="K708" s="1">
        <v>26.0</v>
      </c>
      <c r="L708" s="1">
        <v>0.0</v>
      </c>
      <c r="M708" s="1">
        <v>0.0</v>
      </c>
      <c r="N708" s="1">
        <v>0.0</v>
      </c>
      <c r="O708" s="1">
        <v>0.0</v>
      </c>
      <c r="P708" s="1">
        <v>22.0</v>
      </c>
      <c r="Q708" s="1">
        <v>11.0</v>
      </c>
    </row>
    <row r="709">
      <c r="A709" s="1">
        <f t="shared" si="1"/>
        <v>707</v>
      </c>
      <c r="B709" s="1" t="s">
        <v>2407</v>
      </c>
      <c r="C709" s="1" t="s">
        <v>1175</v>
      </c>
      <c r="D709" s="1" t="s">
        <v>5</v>
      </c>
      <c r="E709" s="1">
        <f t="shared" si="2"/>
        <v>39.6</v>
      </c>
      <c r="F709" s="1">
        <f t="shared" si="3"/>
        <v>3.96</v>
      </c>
      <c r="G709" s="1">
        <v>10.0</v>
      </c>
      <c r="R709" s="1">
        <v>3.0</v>
      </c>
      <c r="S709" s="1">
        <v>26.0</v>
      </c>
      <c r="T709" s="1">
        <v>232.0</v>
      </c>
      <c r="U709" s="1">
        <v>0.0</v>
      </c>
    </row>
    <row r="710">
      <c r="A710" s="1">
        <f t="shared" si="1"/>
        <v>708</v>
      </c>
      <c r="B710" s="1" t="s">
        <v>2353</v>
      </c>
      <c r="C710" s="1" t="s">
        <v>1036</v>
      </c>
      <c r="D710" s="1" t="s">
        <v>31</v>
      </c>
      <c r="E710" s="1">
        <f t="shared" si="2"/>
        <v>39.5</v>
      </c>
      <c r="F710" s="1">
        <f t="shared" si="3"/>
        <v>1.46</v>
      </c>
      <c r="G710" s="1">
        <v>27.0</v>
      </c>
      <c r="H710" s="1">
        <v>2.0</v>
      </c>
      <c r="I710" s="1">
        <v>3.0</v>
      </c>
      <c r="J710" s="1">
        <v>5.0</v>
      </c>
      <c r="K710" s="1">
        <v>27.0</v>
      </c>
      <c r="L710" s="1">
        <v>0.0</v>
      </c>
      <c r="M710" s="1">
        <v>0.0</v>
      </c>
      <c r="N710" s="1">
        <v>0.0</v>
      </c>
      <c r="O710" s="1">
        <v>0.0</v>
      </c>
      <c r="P710" s="1">
        <v>16.0</v>
      </c>
      <c r="Q710" s="1">
        <v>8.0</v>
      </c>
    </row>
    <row r="711">
      <c r="A711" s="1">
        <f t="shared" si="1"/>
        <v>708</v>
      </c>
      <c r="B711" s="1" t="s">
        <v>2344</v>
      </c>
      <c r="C711" s="1" t="s">
        <v>1046</v>
      </c>
      <c r="D711" s="1" t="s">
        <v>31</v>
      </c>
      <c r="E711" s="1">
        <f t="shared" si="2"/>
        <v>39.5</v>
      </c>
      <c r="F711" s="1">
        <f t="shared" si="3"/>
        <v>1.32</v>
      </c>
      <c r="G711" s="1">
        <v>30.0</v>
      </c>
      <c r="H711" s="1">
        <v>1.0</v>
      </c>
      <c r="I711" s="1">
        <v>4.0</v>
      </c>
      <c r="J711" s="1">
        <v>5.0</v>
      </c>
      <c r="K711" s="1">
        <v>21.0</v>
      </c>
      <c r="L711" s="1">
        <v>0.0</v>
      </c>
      <c r="M711" s="1">
        <v>0.0</v>
      </c>
      <c r="N711" s="1">
        <v>0.0</v>
      </c>
      <c r="O711" s="1">
        <v>0.0</v>
      </c>
      <c r="P711" s="1">
        <v>34.0</v>
      </c>
      <c r="Q711" s="1">
        <v>8.0</v>
      </c>
    </row>
    <row r="712">
      <c r="A712" s="1">
        <f t="shared" si="1"/>
        <v>710</v>
      </c>
      <c r="B712" s="1" t="s">
        <v>1715</v>
      </c>
      <c r="C712" s="1" t="s">
        <v>1052</v>
      </c>
      <c r="D712" s="1" t="s">
        <v>66</v>
      </c>
      <c r="E712" s="1">
        <f t="shared" si="2"/>
        <v>39</v>
      </c>
      <c r="F712" s="1">
        <f t="shared" si="3"/>
        <v>2.44</v>
      </c>
      <c r="G712" s="1">
        <v>16.0</v>
      </c>
      <c r="H712" s="1">
        <v>1.0</v>
      </c>
      <c r="I712" s="1">
        <v>4.0</v>
      </c>
      <c r="J712" s="1">
        <v>5.0</v>
      </c>
      <c r="K712" s="1">
        <v>27.0</v>
      </c>
      <c r="L712" s="1">
        <v>0.0</v>
      </c>
      <c r="M712" s="1">
        <v>0.0</v>
      </c>
      <c r="N712" s="1">
        <v>0.0</v>
      </c>
      <c r="O712" s="1">
        <v>0.0</v>
      </c>
      <c r="P712" s="1">
        <v>22.0</v>
      </c>
      <c r="Q712" s="1">
        <v>7.0</v>
      </c>
    </row>
    <row r="713">
      <c r="A713" s="1">
        <f t="shared" si="1"/>
        <v>711</v>
      </c>
      <c r="B713" s="1" t="s">
        <v>2009</v>
      </c>
      <c r="C713" s="1" t="s">
        <v>1078</v>
      </c>
      <c r="D713" s="1" t="s">
        <v>66</v>
      </c>
      <c r="E713" s="1">
        <f t="shared" si="2"/>
        <v>38.75</v>
      </c>
      <c r="F713" s="1">
        <f t="shared" si="3"/>
        <v>2.15</v>
      </c>
      <c r="G713" s="1">
        <v>18.0</v>
      </c>
      <c r="H713" s="1">
        <v>0.0</v>
      </c>
      <c r="I713" s="1">
        <v>6.0</v>
      </c>
      <c r="J713" s="1">
        <v>6.0</v>
      </c>
      <c r="K713" s="1">
        <v>24.0</v>
      </c>
      <c r="L713" s="1">
        <v>0.0</v>
      </c>
      <c r="M713" s="1">
        <v>0.0</v>
      </c>
      <c r="N713" s="1">
        <v>0.0</v>
      </c>
      <c r="O713" s="1">
        <v>0.0</v>
      </c>
      <c r="P713" s="1">
        <v>9.0</v>
      </c>
      <c r="Q713" s="1">
        <v>13.0</v>
      </c>
    </row>
    <row r="714">
      <c r="A714" s="1">
        <f t="shared" si="1"/>
        <v>711</v>
      </c>
      <c r="B714" s="1" t="s">
        <v>1605</v>
      </c>
      <c r="C714" s="1" t="s">
        <v>1082</v>
      </c>
      <c r="D714" s="1" t="s">
        <v>66</v>
      </c>
      <c r="E714" s="1">
        <f t="shared" si="2"/>
        <v>38.75</v>
      </c>
      <c r="F714" s="1">
        <f t="shared" si="3"/>
        <v>1.94</v>
      </c>
      <c r="G714" s="1">
        <v>20.0</v>
      </c>
      <c r="H714" s="1">
        <v>1.0</v>
      </c>
      <c r="I714" s="1">
        <v>2.0</v>
      </c>
      <c r="J714" s="1">
        <v>3.0</v>
      </c>
      <c r="K714" s="1">
        <v>23.0</v>
      </c>
      <c r="L714" s="1">
        <v>0.0</v>
      </c>
      <c r="M714" s="1">
        <v>1.0</v>
      </c>
      <c r="N714" s="1">
        <v>0.0</v>
      </c>
      <c r="O714" s="1">
        <v>0.0</v>
      </c>
      <c r="P714" s="1">
        <v>13.0</v>
      </c>
      <c r="Q714" s="1">
        <v>27.0</v>
      </c>
    </row>
    <row r="715">
      <c r="A715" s="1">
        <f t="shared" si="1"/>
        <v>713</v>
      </c>
      <c r="B715" s="1" t="s">
        <v>2446</v>
      </c>
      <c r="C715" s="1" t="s">
        <v>1172</v>
      </c>
      <c r="D715" s="1" t="s">
        <v>66</v>
      </c>
      <c r="E715" s="1">
        <f t="shared" si="2"/>
        <v>38.5</v>
      </c>
      <c r="F715" s="1">
        <f t="shared" si="3"/>
        <v>2.03</v>
      </c>
      <c r="G715" s="1">
        <v>19.0</v>
      </c>
      <c r="H715" s="1">
        <v>2.0</v>
      </c>
      <c r="I715" s="1">
        <v>4.0</v>
      </c>
      <c r="J715" s="1">
        <v>6.0</v>
      </c>
      <c r="K715" s="1">
        <v>7.0</v>
      </c>
      <c r="L715" s="1">
        <v>0.0</v>
      </c>
      <c r="M715" s="1">
        <v>1.0</v>
      </c>
      <c r="N715" s="1">
        <v>0.0</v>
      </c>
      <c r="O715" s="1">
        <v>0.0</v>
      </c>
      <c r="P715" s="1">
        <v>14.0</v>
      </c>
      <c r="Q715" s="1">
        <v>21.0</v>
      </c>
    </row>
    <row r="716">
      <c r="A716" s="1">
        <f t="shared" si="1"/>
        <v>714</v>
      </c>
      <c r="B716" s="1" t="s">
        <v>2409</v>
      </c>
      <c r="C716" s="1" t="s">
        <v>1052</v>
      </c>
      <c r="D716" s="1" t="s">
        <v>31</v>
      </c>
      <c r="E716" s="1">
        <f t="shared" si="2"/>
        <v>38.25</v>
      </c>
      <c r="F716" s="1">
        <f t="shared" si="3"/>
        <v>2.01</v>
      </c>
      <c r="G716" s="1">
        <v>19.0</v>
      </c>
      <c r="H716" s="1">
        <v>2.0</v>
      </c>
      <c r="I716" s="1">
        <v>2.0</v>
      </c>
      <c r="J716" s="1">
        <v>4.0</v>
      </c>
      <c r="K716" s="1">
        <v>19.0</v>
      </c>
      <c r="L716" s="1">
        <v>1.0</v>
      </c>
      <c r="M716" s="1">
        <v>0.0</v>
      </c>
      <c r="N716" s="1">
        <v>0.0</v>
      </c>
      <c r="O716" s="1">
        <v>0.0</v>
      </c>
      <c r="P716" s="1">
        <v>51.0</v>
      </c>
      <c r="Q716" s="1">
        <v>2.0</v>
      </c>
    </row>
    <row r="717">
      <c r="A717" s="1">
        <f t="shared" si="1"/>
        <v>715</v>
      </c>
      <c r="B717" s="1" t="s">
        <v>2369</v>
      </c>
      <c r="C717" s="1" t="s">
        <v>1076</v>
      </c>
      <c r="D717" s="1" t="s">
        <v>66</v>
      </c>
      <c r="E717" s="1">
        <f t="shared" si="2"/>
        <v>38</v>
      </c>
      <c r="F717" s="1">
        <f t="shared" si="3"/>
        <v>1.81</v>
      </c>
      <c r="G717" s="1">
        <v>21.0</v>
      </c>
      <c r="H717" s="1">
        <v>1.0</v>
      </c>
      <c r="I717" s="1">
        <v>2.0</v>
      </c>
      <c r="J717" s="1">
        <v>3.0</v>
      </c>
      <c r="K717" s="1">
        <v>14.0</v>
      </c>
      <c r="L717" s="1">
        <v>0.0</v>
      </c>
      <c r="M717" s="1">
        <v>0.0</v>
      </c>
      <c r="N717" s="1">
        <v>0.0</v>
      </c>
      <c r="O717" s="1">
        <v>0.0</v>
      </c>
      <c r="P717" s="1">
        <v>32.0</v>
      </c>
      <c r="Q717" s="1">
        <v>25.0</v>
      </c>
    </row>
    <row r="718">
      <c r="A718" s="1">
        <f t="shared" si="1"/>
        <v>716</v>
      </c>
      <c r="B718" s="1" t="s">
        <v>1917</v>
      </c>
      <c r="C718" s="1" t="s">
        <v>1156</v>
      </c>
      <c r="D718" s="1" t="s">
        <v>31</v>
      </c>
      <c r="E718" s="1">
        <f t="shared" si="2"/>
        <v>37.75</v>
      </c>
      <c r="F718" s="1">
        <f t="shared" si="3"/>
        <v>1.57</v>
      </c>
      <c r="G718" s="1">
        <v>24.0</v>
      </c>
      <c r="H718" s="1">
        <v>0.0</v>
      </c>
      <c r="I718" s="1">
        <v>4.0</v>
      </c>
      <c r="J718" s="1">
        <v>4.0</v>
      </c>
      <c r="K718" s="1">
        <v>40.0</v>
      </c>
      <c r="L718" s="1">
        <v>0.0</v>
      </c>
      <c r="M718" s="1">
        <v>0.0</v>
      </c>
      <c r="N718" s="1">
        <v>0.0</v>
      </c>
      <c r="O718" s="1">
        <v>0.0</v>
      </c>
      <c r="P718" s="1">
        <v>13.0</v>
      </c>
      <c r="Q718" s="1">
        <v>5.0</v>
      </c>
    </row>
    <row r="719">
      <c r="A719" s="1">
        <f t="shared" si="1"/>
        <v>717</v>
      </c>
      <c r="B719" s="1" t="s">
        <v>2062</v>
      </c>
      <c r="C719" s="1" t="s">
        <v>1085</v>
      </c>
      <c r="D719" s="1" t="s">
        <v>31</v>
      </c>
      <c r="E719" s="1">
        <f t="shared" si="2"/>
        <v>37.5</v>
      </c>
      <c r="F719" s="1">
        <f t="shared" si="3"/>
        <v>1.34</v>
      </c>
      <c r="G719" s="1">
        <v>28.0</v>
      </c>
      <c r="H719" s="1">
        <v>1.0</v>
      </c>
      <c r="I719" s="1">
        <v>1.0</v>
      </c>
      <c r="J719" s="1">
        <v>2.0</v>
      </c>
      <c r="K719" s="1">
        <v>23.0</v>
      </c>
      <c r="L719" s="1">
        <v>0.0</v>
      </c>
      <c r="M719" s="1">
        <v>0.0</v>
      </c>
      <c r="N719" s="1">
        <v>0.0</v>
      </c>
      <c r="O719" s="1">
        <v>0.0</v>
      </c>
      <c r="P719" s="1">
        <v>52.0</v>
      </c>
      <c r="Q719" s="1">
        <v>11.0</v>
      </c>
    </row>
    <row r="720">
      <c r="A720" s="1">
        <f t="shared" si="1"/>
        <v>718</v>
      </c>
      <c r="B720" s="1" t="s">
        <v>2499</v>
      </c>
      <c r="C720" s="1" t="s">
        <v>1034</v>
      </c>
      <c r="D720" s="1" t="s">
        <v>5</v>
      </c>
      <c r="E720" s="1">
        <f t="shared" si="2"/>
        <v>37.2</v>
      </c>
      <c r="F720" s="1">
        <f t="shared" si="3"/>
        <v>3.1</v>
      </c>
      <c r="G720" s="1">
        <v>12.0</v>
      </c>
      <c r="R720" s="1">
        <v>4.0</v>
      </c>
      <c r="S720" s="1">
        <v>37.0</v>
      </c>
      <c r="T720" s="1">
        <v>259.0</v>
      </c>
      <c r="U720" s="1">
        <v>1.0</v>
      </c>
    </row>
    <row r="721">
      <c r="A721" s="1">
        <f t="shared" si="1"/>
        <v>719</v>
      </c>
      <c r="B721" s="1" t="s">
        <v>1096</v>
      </c>
      <c r="C721" s="1" t="s">
        <v>1097</v>
      </c>
      <c r="D721" s="1" t="s">
        <v>36</v>
      </c>
      <c r="E721" s="1">
        <f t="shared" si="2"/>
        <v>36.75</v>
      </c>
      <c r="F721" s="1">
        <f t="shared" si="3"/>
        <v>3.68</v>
      </c>
      <c r="G721" s="1">
        <v>10.0</v>
      </c>
      <c r="H721" s="1">
        <v>4.0</v>
      </c>
      <c r="I721" s="1">
        <v>1.0</v>
      </c>
      <c r="J721" s="1">
        <v>5.0</v>
      </c>
      <c r="K721" s="1">
        <v>30.0</v>
      </c>
      <c r="L721" s="1">
        <v>0.0</v>
      </c>
      <c r="M721" s="1">
        <v>0.0</v>
      </c>
      <c r="N721" s="1">
        <v>0.0</v>
      </c>
      <c r="O721" s="1">
        <v>0.0</v>
      </c>
      <c r="P721" s="1">
        <v>3.0</v>
      </c>
      <c r="Q721" s="1">
        <v>0.0</v>
      </c>
    </row>
    <row r="722">
      <c r="A722" s="1">
        <f t="shared" si="1"/>
        <v>720</v>
      </c>
      <c r="B722" s="1" t="s">
        <v>2500</v>
      </c>
      <c r="C722" s="1" t="s">
        <v>1570</v>
      </c>
      <c r="D722" s="1" t="s">
        <v>5</v>
      </c>
      <c r="E722" s="1">
        <f t="shared" si="2"/>
        <v>36.6</v>
      </c>
      <c r="F722" s="1">
        <f t="shared" si="3"/>
        <v>2.61</v>
      </c>
      <c r="G722" s="1">
        <v>14.0</v>
      </c>
      <c r="R722" s="1">
        <v>4.0</v>
      </c>
      <c r="S722" s="1">
        <v>40.0</v>
      </c>
      <c r="T722" s="1">
        <v>282.0</v>
      </c>
      <c r="U722" s="1">
        <v>0.0</v>
      </c>
    </row>
    <row r="723">
      <c r="A723" s="1">
        <f t="shared" si="1"/>
        <v>721</v>
      </c>
      <c r="B723" s="1" t="s">
        <v>1981</v>
      </c>
      <c r="C723" s="1" t="s">
        <v>1085</v>
      </c>
      <c r="D723" s="1" t="s">
        <v>31</v>
      </c>
      <c r="E723" s="1">
        <f t="shared" si="2"/>
        <v>35.75</v>
      </c>
      <c r="F723" s="1">
        <f t="shared" si="3"/>
        <v>1.32</v>
      </c>
      <c r="G723" s="1">
        <v>27.0</v>
      </c>
      <c r="H723" s="1">
        <v>1.0</v>
      </c>
      <c r="I723" s="1">
        <v>4.0</v>
      </c>
      <c r="J723" s="1">
        <v>5.0</v>
      </c>
      <c r="K723" s="1">
        <v>27.0</v>
      </c>
      <c r="L723" s="1">
        <v>0.0</v>
      </c>
      <c r="M723" s="1">
        <v>1.0</v>
      </c>
      <c r="N723" s="1">
        <v>0.0</v>
      </c>
      <c r="O723" s="1">
        <v>0.0</v>
      </c>
      <c r="P723" s="1">
        <v>17.0</v>
      </c>
      <c r="Q723" s="1">
        <v>3.0</v>
      </c>
    </row>
    <row r="724">
      <c r="A724" s="1">
        <f t="shared" si="1"/>
        <v>722</v>
      </c>
      <c r="B724" s="1" t="s">
        <v>2199</v>
      </c>
      <c r="C724" s="1" t="s">
        <v>1040</v>
      </c>
      <c r="D724" s="1" t="s">
        <v>5</v>
      </c>
      <c r="E724" s="1">
        <f t="shared" si="2"/>
        <v>35.7</v>
      </c>
      <c r="F724" s="1">
        <f t="shared" si="3"/>
        <v>3.97</v>
      </c>
      <c r="G724" s="1">
        <v>9.0</v>
      </c>
      <c r="R724" s="1">
        <v>3.0</v>
      </c>
      <c r="S724" s="1">
        <v>21.0</v>
      </c>
      <c r="T724" s="1">
        <v>184.0</v>
      </c>
      <c r="U724" s="1">
        <v>1.0</v>
      </c>
    </row>
    <row r="725">
      <c r="A725" s="1">
        <f t="shared" si="1"/>
        <v>723</v>
      </c>
      <c r="B725" s="1" t="s">
        <v>2447</v>
      </c>
      <c r="C725" s="1" t="s">
        <v>1087</v>
      </c>
      <c r="D725" s="1" t="s">
        <v>28</v>
      </c>
      <c r="E725" s="1">
        <f t="shared" si="2"/>
        <v>35.5</v>
      </c>
      <c r="F725" s="1">
        <f t="shared" si="3"/>
        <v>1.37</v>
      </c>
      <c r="G725" s="1">
        <v>26.0</v>
      </c>
      <c r="H725" s="1">
        <v>1.0</v>
      </c>
      <c r="I725" s="1">
        <v>3.0</v>
      </c>
      <c r="J725" s="1">
        <v>4.0</v>
      </c>
      <c r="K725" s="1">
        <v>19.0</v>
      </c>
      <c r="L725" s="1">
        <v>0.0</v>
      </c>
      <c r="M725" s="1">
        <v>0.0</v>
      </c>
      <c r="N725" s="1">
        <v>0.0</v>
      </c>
      <c r="O725" s="1">
        <v>0.0</v>
      </c>
      <c r="P725" s="1">
        <v>32.0</v>
      </c>
      <c r="Q725" s="1">
        <v>9.0</v>
      </c>
    </row>
    <row r="726">
      <c r="A726" s="1">
        <f t="shared" si="1"/>
        <v>724</v>
      </c>
      <c r="B726" s="1" t="s">
        <v>1509</v>
      </c>
      <c r="C726" s="1" t="s">
        <v>1044</v>
      </c>
      <c r="D726" s="1" t="s">
        <v>31</v>
      </c>
      <c r="E726" s="1">
        <f t="shared" si="2"/>
        <v>35.25</v>
      </c>
      <c r="F726" s="1">
        <f t="shared" si="3"/>
        <v>2.94</v>
      </c>
      <c r="G726" s="1">
        <v>12.0</v>
      </c>
      <c r="H726" s="1">
        <v>1.0</v>
      </c>
      <c r="I726" s="1">
        <v>6.0</v>
      </c>
      <c r="J726" s="1">
        <v>7.0</v>
      </c>
      <c r="K726" s="1">
        <v>11.0</v>
      </c>
      <c r="L726" s="1">
        <v>0.0</v>
      </c>
      <c r="M726" s="1">
        <v>0.0</v>
      </c>
      <c r="N726" s="1">
        <v>0.0</v>
      </c>
      <c r="O726" s="1">
        <v>0.0</v>
      </c>
      <c r="P726" s="1">
        <v>11.0</v>
      </c>
      <c r="Q726" s="1">
        <v>9.0</v>
      </c>
    </row>
    <row r="727">
      <c r="A727" s="1">
        <f t="shared" si="1"/>
        <v>725</v>
      </c>
      <c r="B727" s="1" t="s">
        <v>2466</v>
      </c>
      <c r="C727" s="1" t="s">
        <v>1067</v>
      </c>
      <c r="D727" s="1" t="s">
        <v>5</v>
      </c>
      <c r="E727" s="1">
        <f t="shared" si="2"/>
        <v>35.1</v>
      </c>
      <c r="F727" s="1">
        <f t="shared" si="3"/>
        <v>2.7</v>
      </c>
      <c r="G727" s="1">
        <v>13.0</v>
      </c>
      <c r="R727" s="1">
        <v>1.0</v>
      </c>
      <c r="S727" s="1">
        <v>39.0</v>
      </c>
      <c r="T727" s="1">
        <v>302.0</v>
      </c>
      <c r="U727" s="1">
        <v>0.0</v>
      </c>
    </row>
    <row r="728">
      <c r="A728" s="1">
        <f t="shared" si="1"/>
        <v>726</v>
      </c>
      <c r="B728" s="1" t="s">
        <v>2142</v>
      </c>
      <c r="C728" s="1" t="s">
        <v>1087</v>
      </c>
      <c r="D728" s="1" t="s">
        <v>28</v>
      </c>
      <c r="E728" s="1">
        <f t="shared" si="2"/>
        <v>34.5</v>
      </c>
      <c r="F728" s="1">
        <f t="shared" si="3"/>
        <v>2.46</v>
      </c>
      <c r="G728" s="1">
        <v>14.0</v>
      </c>
      <c r="H728" s="1">
        <v>3.0</v>
      </c>
      <c r="I728" s="1">
        <v>0.0</v>
      </c>
      <c r="J728" s="1">
        <v>3.0</v>
      </c>
      <c r="K728" s="1">
        <v>19.0</v>
      </c>
      <c r="L728" s="1">
        <v>0.0</v>
      </c>
      <c r="M728" s="1">
        <v>0.0</v>
      </c>
      <c r="N728" s="1">
        <v>0.0</v>
      </c>
      <c r="O728" s="1">
        <v>0.0</v>
      </c>
      <c r="P728" s="1">
        <v>36.0</v>
      </c>
      <c r="Q728" s="1">
        <v>5.0</v>
      </c>
    </row>
    <row r="729">
      <c r="A729" s="1">
        <f t="shared" si="1"/>
        <v>726</v>
      </c>
      <c r="B729" s="1" t="s">
        <v>2501</v>
      </c>
      <c r="C729" s="1" t="s">
        <v>1570</v>
      </c>
      <c r="D729" s="1" t="s">
        <v>31</v>
      </c>
      <c r="E729" s="1">
        <f t="shared" si="2"/>
        <v>34.5</v>
      </c>
      <c r="F729" s="1">
        <f t="shared" si="3"/>
        <v>2.46</v>
      </c>
      <c r="G729" s="1">
        <v>14.0</v>
      </c>
      <c r="H729" s="1">
        <v>2.0</v>
      </c>
      <c r="I729" s="1">
        <v>2.0</v>
      </c>
      <c r="J729" s="1">
        <v>4.0</v>
      </c>
      <c r="K729" s="1">
        <v>25.0</v>
      </c>
      <c r="L729" s="1">
        <v>2.0</v>
      </c>
      <c r="M729" s="1">
        <v>2.0</v>
      </c>
      <c r="N729" s="1">
        <v>0.0</v>
      </c>
      <c r="O729" s="1">
        <v>0.0</v>
      </c>
      <c r="P729" s="1">
        <v>20.0</v>
      </c>
      <c r="Q729" s="1">
        <v>4.0</v>
      </c>
    </row>
    <row r="730">
      <c r="A730" s="1">
        <f t="shared" si="1"/>
        <v>726</v>
      </c>
      <c r="B730" s="1" t="s">
        <v>2098</v>
      </c>
      <c r="C730" s="1" t="s">
        <v>1080</v>
      </c>
      <c r="D730" s="1" t="s">
        <v>66</v>
      </c>
      <c r="E730" s="1">
        <f t="shared" si="2"/>
        <v>34.5</v>
      </c>
      <c r="F730" s="1">
        <f t="shared" si="3"/>
        <v>2.03</v>
      </c>
      <c r="G730" s="1">
        <v>17.0</v>
      </c>
      <c r="H730" s="1">
        <v>0.0</v>
      </c>
      <c r="I730" s="1">
        <v>2.0</v>
      </c>
      <c r="J730" s="1">
        <v>2.0</v>
      </c>
      <c r="K730" s="1">
        <v>23.0</v>
      </c>
      <c r="L730" s="1">
        <v>0.0</v>
      </c>
      <c r="M730" s="1">
        <v>0.0</v>
      </c>
      <c r="N730" s="1">
        <v>0.0</v>
      </c>
      <c r="O730" s="1">
        <v>0.0</v>
      </c>
      <c r="P730" s="1">
        <v>28.0</v>
      </c>
      <c r="Q730" s="1">
        <v>20.0</v>
      </c>
    </row>
    <row r="731">
      <c r="A731" s="1">
        <f t="shared" si="1"/>
        <v>729</v>
      </c>
      <c r="B731" s="1" t="s">
        <v>2502</v>
      </c>
      <c r="C731" s="1" t="s">
        <v>1085</v>
      </c>
      <c r="D731" s="1" t="s">
        <v>36</v>
      </c>
      <c r="E731" s="1">
        <f t="shared" si="2"/>
        <v>33.75</v>
      </c>
      <c r="F731" s="1">
        <f t="shared" si="3"/>
        <v>1.41</v>
      </c>
      <c r="G731" s="1">
        <v>24.0</v>
      </c>
      <c r="H731" s="1">
        <v>0.0</v>
      </c>
      <c r="I731" s="1">
        <v>1.0</v>
      </c>
      <c r="J731" s="1">
        <v>1.0</v>
      </c>
      <c r="K731" s="1">
        <v>33.0</v>
      </c>
      <c r="L731" s="1">
        <v>0.0</v>
      </c>
      <c r="M731" s="1">
        <v>0.0</v>
      </c>
      <c r="N731" s="1">
        <v>0.0</v>
      </c>
      <c r="O731" s="1">
        <v>0.0</v>
      </c>
      <c r="P731" s="1">
        <v>41.0</v>
      </c>
      <c r="Q731" s="1">
        <v>8.0</v>
      </c>
    </row>
    <row r="732">
      <c r="A732" s="1">
        <f t="shared" si="1"/>
        <v>729</v>
      </c>
      <c r="B732" s="1" t="s">
        <v>2503</v>
      </c>
      <c r="C732" s="1" t="s">
        <v>1087</v>
      </c>
      <c r="D732" s="1" t="s">
        <v>66</v>
      </c>
      <c r="E732" s="1">
        <f t="shared" si="2"/>
        <v>33.75</v>
      </c>
      <c r="F732" s="1">
        <f t="shared" si="3"/>
        <v>1.78</v>
      </c>
      <c r="G732" s="1">
        <v>19.0</v>
      </c>
      <c r="H732" s="1">
        <v>0.0</v>
      </c>
      <c r="I732" s="1">
        <v>2.0</v>
      </c>
      <c r="J732" s="1">
        <v>2.0</v>
      </c>
      <c r="K732" s="1">
        <v>18.0</v>
      </c>
      <c r="L732" s="1">
        <v>0.0</v>
      </c>
      <c r="M732" s="1">
        <v>0.0</v>
      </c>
      <c r="N732" s="1">
        <v>0.0</v>
      </c>
      <c r="O732" s="1">
        <v>1.0</v>
      </c>
      <c r="P732" s="1">
        <v>27.0</v>
      </c>
      <c r="Q732" s="1">
        <v>20.0</v>
      </c>
    </row>
    <row r="733">
      <c r="A733" s="1">
        <f t="shared" si="1"/>
        <v>731</v>
      </c>
      <c r="B733" s="1" t="s">
        <v>2131</v>
      </c>
      <c r="C733" s="1" t="s">
        <v>1038</v>
      </c>
      <c r="D733" s="1" t="s">
        <v>31</v>
      </c>
      <c r="E733" s="1">
        <f t="shared" si="2"/>
        <v>33.25</v>
      </c>
      <c r="F733" s="1">
        <f t="shared" si="3"/>
        <v>1.66</v>
      </c>
      <c r="G733" s="1">
        <v>20.0</v>
      </c>
      <c r="H733" s="1">
        <v>2.0</v>
      </c>
      <c r="I733" s="1">
        <v>0.0</v>
      </c>
      <c r="J733" s="1">
        <v>2.0</v>
      </c>
      <c r="K733" s="1">
        <v>31.0</v>
      </c>
      <c r="L733" s="1">
        <v>0.0</v>
      </c>
      <c r="M733" s="1">
        <v>0.0</v>
      </c>
      <c r="N733" s="1">
        <v>0.0</v>
      </c>
      <c r="O733" s="1">
        <v>0.0</v>
      </c>
      <c r="P733" s="1">
        <v>27.0</v>
      </c>
      <c r="Q733" s="1">
        <v>4.0</v>
      </c>
    </row>
    <row r="734">
      <c r="A734" s="1">
        <f t="shared" si="1"/>
        <v>732</v>
      </c>
      <c r="B734" s="1" t="s">
        <v>1790</v>
      </c>
      <c r="C734" s="1" t="s">
        <v>1120</v>
      </c>
      <c r="D734" s="1" t="s">
        <v>28</v>
      </c>
      <c r="E734" s="1">
        <f t="shared" si="2"/>
        <v>32.5</v>
      </c>
      <c r="F734" s="1">
        <f t="shared" si="3"/>
        <v>2.03</v>
      </c>
      <c r="G734" s="1">
        <v>16.0</v>
      </c>
      <c r="H734" s="1">
        <v>1.0</v>
      </c>
      <c r="I734" s="1">
        <v>3.0</v>
      </c>
      <c r="J734" s="1">
        <v>4.0</v>
      </c>
      <c r="K734" s="1">
        <v>20.0</v>
      </c>
      <c r="L734" s="1">
        <v>0.0</v>
      </c>
      <c r="M734" s="1">
        <v>0.0</v>
      </c>
      <c r="N734" s="1">
        <v>0.0</v>
      </c>
      <c r="O734" s="1">
        <v>0.0</v>
      </c>
      <c r="P734" s="1">
        <v>28.0</v>
      </c>
      <c r="Q734" s="1">
        <v>4.0</v>
      </c>
    </row>
    <row r="735">
      <c r="A735" s="1">
        <f t="shared" si="1"/>
        <v>732</v>
      </c>
      <c r="B735" s="1" t="s">
        <v>2356</v>
      </c>
      <c r="C735" s="1" t="s">
        <v>1032</v>
      </c>
      <c r="D735" s="1" t="s">
        <v>31</v>
      </c>
      <c r="E735" s="1">
        <f t="shared" si="2"/>
        <v>32.5</v>
      </c>
      <c r="F735" s="1">
        <f t="shared" si="3"/>
        <v>2.95</v>
      </c>
      <c r="G735" s="1">
        <v>11.0</v>
      </c>
      <c r="H735" s="1">
        <v>4.0</v>
      </c>
      <c r="I735" s="1">
        <v>1.0</v>
      </c>
      <c r="J735" s="1">
        <v>5.0</v>
      </c>
      <c r="K735" s="1">
        <v>10.0</v>
      </c>
      <c r="L735" s="1">
        <v>1.0</v>
      </c>
      <c r="M735" s="1">
        <v>0.0</v>
      </c>
      <c r="N735" s="1">
        <v>1.0</v>
      </c>
      <c r="O735" s="1">
        <v>0.0</v>
      </c>
      <c r="P735" s="1">
        <v>14.0</v>
      </c>
      <c r="Q735" s="1">
        <v>2.0</v>
      </c>
    </row>
    <row r="736">
      <c r="A736" s="1">
        <f t="shared" si="1"/>
        <v>734</v>
      </c>
      <c r="B736" s="1" t="s">
        <v>1962</v>
      </c>
      <c r="C736" s="1" t="s">
        <v>1106</v>
      </c>
      <c r="D736" s="1" t="s">
        <v>28</v>
      </c>
      <c r="E736" s="1">
        <f t="shared" si="2"/>
        <v>31.75</v>
      </c>
      <c r="F736" s="1">
        <f t="shared" si="3"/>
        <v>1.51</v>
      </c>
      <c r="G736" s="1">
        <v>21.0</v>
      </c>
      <c r="H736" s="1">
        <v>1.0</v>
      </c>
      <c r="I736" s="1">
        <v>1.0</v>
      </c>
      <c r="J736" s="1">
        <v>2.0</v>
      </c>
      <c r="K736" s="1">
        <v>25.0</v>
      </c>
      <c r="L736" s="1">
        <v>0.0</v>
      </c>
      <c r="M736" s="1">
        <v>0.0</v>
      </c>
      <c r="N736" s="1">
        <v>1.0</v>
      </c>
      <c r="O736" s="1">
        <v>0.0</v>
      </c>
      <c r="P736" s="1">
        <v>35.0</v>
      </c>
      <c r="Q736" s="1">
        <v>2.0</v>
      </c>
    </row>
    <row r="737">
      <c r="A737" s="1">
        <f t="shared" si="1"/>
        <v>735</v>
      </c>
      <c r="B737" s="1" t="s">
        <v>1382</v>
      </c>
      <c r="C737" s="1" t="s">
        <v>1030</v>
      </c>
      <c r="D737" s="1" t="s">
        <v>66</v>
      </c>
      <c r="E737" s="1">
        <f t="shared" si="2"/>
        <v>31.25</v>
      </c>
      <c r="F737" s="1">
        <f t="shared" si="3"/>
        <v>1.64</v>
      </c>
      <c r="G737" s="1">
        <v>19.0</v>
      </c>
      <c r="H737" s="1">
        <v>0.0</v>
      </c>
      <c r="I737" s="1">
        <v>2.0</v>
      </c>
      <c r="J737" s="1">
        <v>2.0</v>
      </c>
      <c r="K737" s="1">
        <v>21.0</v>
      </c>
      <c r="L737" s="1">
        <v>0.0</v>
      </c>
      <c r="M737" s="1">
        <v>0.0</v>
      </c>
      <c r="N737" s="1">
        <v>0.0</v>
      </c>
      <c r="O737" s="1">
        <v>0.0</v>
      </c>
      <c r="P737" s="1">
        <v>33.0</v>
      </c>
      <c r="Q737" s="1">
        <v>13.0</v>
      </c>
    </row>
    <row r="738">
      <c r="A738" s="1">
        <f t="shared" si="1"/>
        <v>735</v>
      </c>
      <c r="B738" s="1" t="s">
        <v>2134</v>
      </c>
      <c r="C738" s="1" t="s">
        <v>1040</v>
      </c>
      <c r="D738" s="1" t="s">
        <v>36</v>
      </c>
      <c r="E738" s="1">
        <f t="shared" si="2"/>
        <v>31.25</v>
      </c>
      <c r="F738" s="1">
        <f t="shared" si="3"/>
        <v>1.56</v>
      </c>
      <c r="G738" s="1">
        <v>20.0</v>
      </c>
      <c r="H738" s="1">
        <v>2.0</v>
      </c>
      <c r="I738" s="1">
        <v>2.0</v>
      </c>
      <c r="J738" s="1">
        <v>4.0</v>
      </c>
      <c r="K738" s="1">
        <v>23.0</v>
      </c>
      <c r="L738" s="1">
        <v>0.0</v>
      </c>
      <c r="M738" s="1">
        <v>0.0</v>
      </c>
      <c r="N738" s="1">
        <v>0.0</v>
      </c>
      <c r="O738" s="1">
        <v>0.0</v>
      </c>
      <c r="P738" s="1">
        <v>7.0</v>
      </c>
      <c r="Q738" s="1">
        <v>6.0</v>
      </c>
    </row>
    <row r="739">
      <c r="A739" s="1">
        <f t="shared" si="1"/>
        <v>735</v>
      </c>
      <c r="B739" s="1" t="s">
        <v>1862</v>
      </c>
      <c r="C739" s="1" t="s">
        <v>1038</v>
      </c>
      <c r="D739" s="1" t="s">
        <v>31</v>
      </c>
      <c r="E739" s="1">
        <f t="shared" si="2"/>
        <v>31.25</v>
      </c>
      <c r="F739" s="1">
        <f t="shared" si="3"/>
        <v>1.56</v>
      </c>
      <c r="G739" s="1">
        <v>20.0</v>
      </c>
      <c r="H739" s="1">
        <v>1.0</v>
      </c>
      <c r="I739" s="1">
        <v>2.0</v>
      </c>
      <c r="J739" s="1">
        <v>3.0</v>
      </c>
      <c r="K739" s="1">
        <v>28.0</v>
      </c>
      <c r="L739" s="1">
        <v>0.0</v>
      </c>
      <c r="M739" s="1">
        <v>0.0</v>
      </c>
      <c r="N739" s="1">
        <v>0.0</v>
      </c>
      <c r="O739" s="1">
        <v>0.0</v>
      </c>
      <c r="P739" s="1">
        <v>7.0</v>
      </c>
      <c r="Q739" s="1">
        <v>10.0</v>
      </c>
    </row>
    <row r="740">
      <c r="A740" s="1">
        <f t="shared" si="1"/>
        <v>738</v>
      </c>
      <c r="B740" s="1" t="s">
        <v>1281</v>
      </c>
      <c r="C740" s="1" t="s">
        <v>1067</v>
      </c>
      <c r="D740" s="1" t="s">
        <v>66</v>
      </c>
      <c r="E740" s="1">
        <f t="shared" si="2"/>
        <v>31</v>
      </c>
      <c r="F740" s="1">
        <f t="shared" si="3"/>
        <v>2.38</v>
      </c>
      <c r="G740" s="1">
        <v>13.0</v>
      </c>
      <c r="H740" s="1">
        <v>1.0</v>
      </c>
      <c r="I740" s="1">
        <v>2.0</v>
      </c>
      <c r="J740" s="1">
        <v>3.0</v>
      </c>
      <c r="K740" s="1">
        <v>15.0</v>
      </c>
      <c r="L740" s="1">
        <v>0.0</v>
      </c>
      <c r="M740" s="1">
        <v>0.0</v>
      </c>
      <c r="N740" s="1">
        <v>0.0</v>
      </c>
      <c r="O740" s="1">
        <v>0.0</v>
      </c>
      <c r="P740" s="1">
        <v>22.0</v>
      </c>
      <c r="Q740" s="1">
        <v>15.0</v>
      </c>
    </row>
    <row r="741">
      <c r="A741" s="1">
        <f t="shared" si="1"/>
        <v>738</v>
      </c>
      <c r="B741" s="1" t="s">
        <v>1763</v>
      </c>
      <c r="C741" s="1" t="s">
        <v>1034</v>
      </c>
      <c r="D741" s="1" t="s">
        <v>31</v>
      </c>
      <c r="E741" s="1">
        <f t="shared" si="2"/>
        <v>31</v>
      </c>
      <c r="F741" s="1">
        <f t="shared" si="3"/>
        <v>2.07</v>
      </c>
      <c r="G741" s="1">
        <v>15.0</v>
      </c>
      <c r="H741" s="1">
        <v>3.0</v>
      </c>
      <c r="I741" s="1">
        <v>0.0</v>
      </c>
      <c r="J741" s="1">
        <v>3.0</v>
      </c>
      <c r="K741" s="1">
        <v>26.0</v>
      </c>
      <c r="L741" s="1">
        <v>2.0</v>
      </c>
      <c r="M741" s="1">
        <v>0.0</v>
      </c>
      <c r="N741" s="1">
        <v>0.0</v>
      </c>
      <c r="O741" s="1">
        <v>0.0</v>
      </c>
      <c r="P741" s="1">
        <v>8.0</v>
      </c>
      <c r="Q741" s="1">
        <v>5.0</v>
      </c>
    </row>
    <row r="742">
      <c r="A742" s="1">
        <f t="shared" si="1"/>
        <v>738</v>
      </c>
      <c r="B742" s="1" t="s">
        <v>1352</v>
      </c>
      <c r="C742" s="1" t="s">
        <v>1030</v>
      </c>
      <c r="D742" s="1" t="s">
        <v>28</v>
      </c>
      <c r="E742" s="1">
        <f t="shared" si="2"/>
        <v>31</v>
      </c>
      <c r="F742" s="1">
        <f t="shared" si="3"/>
        <v>1.94</v>
      </c>
      <c r="G742" s="1">
        <v>16.0</v>
      </c>
      <c r="H742" s="1">
        <v>0.0</v>
      </c>
      <c r="I742" s="1">
        <v>3.0</v>
      </c>
      <c r="J742" s="1">
        <v>3.0</v>
      </c>
      <c r="K742" s="1">
        <v>18.0</v>
      </c>
      <c r="L742" s="1">
        <v>0.0</v>
      </c>
      <c r="M742" s="1">
        <v>0.0</v>
      </c>
      <c r="N742" s="1">
        <v>0.0</v>
      </c>
      <c r="O742" s="1">
        <v>0.0</v>
      </c>
      <c r="P742" s="1">
        <v>40.0</v>
      </c>
      <c r="Q742" s="1">
        <v>6.0</v>
      </c>
    </row>
    <row r="743">
      <c r="A743" s="1">
        <f t="shared" si="1"/>
        <v>738</v>
      </c>
      <c r="B743" s="1" t="s">
        <v>2351</v>
      </c>
      <c r="C743" s="1" t="s">
        <v>1036</v>
      </c>
      <c r="D743" s="1" t="s">
        <v>66</v>
      </c>
      <c r="E743" s="1">
        <f t="shared" si="2"/>
        <v>31</v>
      </c>
      <c r="F743" s="1">
        <f t="shared" si="3"/>
        <v>1.72</v>
      </c>
      <c r="G743" s="1">
        <v>18.0</v>
      </c>
      <c r="H743" s="1">
        <v>1.0</v>
      </c>
      <c r="I743" s="1">
        <v>0.0</v>
      </c>
      <c r="J743" s="1">
        <v>1.0</v>
      </c>
      <c r="K743" s="1">
        <v>17.0</v>
      </c>
      <c r="L743" s="1">
        <v>0.0</v>
      </c>
      <c r="M743" s="1">
        <v>0.0</v>
      </c>
      <c r="N743" s="1">
        <v>0.0</v>
      </c>
      <c r="O743" s="1">
        <v>0.0</v>
      </c>
      <c r="P743" s="1">
        <v>10.0</v>
      </c>
      <c r="Q743" s="1">
        <v>31.0</v>
      </c>
    </row>
    <row r="744">
      <c r="A744" s="1">
        <f t="shared" si="1"/>
        <v>738</v>
      </c>
      <c r="B744" s="1" t="s">
        <v>1466</v>
      </c>
      <c r="C744" s="1" t="s">
        <v>1044</v>
      </c>
      <c r="D744" s="1" t="s">
        <v>31</v>
      </c>
      <c r="E744" s="1">
        <f t="shared" si="2"/>
        <v>31</v>
      </c>
      <c r="F744" s="1">
        <f t="shared" si="3"/>
        <v>1.24</v>
      </c>
      <c r="G744" s="1">
        <v>25.0</v>
      </c>
      <c r="H744" s="1">
        <v>0.0</v>
      </c>
      <c r="I744" s="1">
        <v>3.0</v>
      </c>
      <c r="J744" s="1">
        <v>3.0</v>
      </c>
      <c r="K744" s="1">
        <v>24.0</v>
      </c>
      <c r="L744" s="1">
        <v>0.0</v>
      </c>
      <c r="M744" s="1">
        <v>1.0</v>
      </c>
      <c r="N744" s="1">
        <v>0.0</v>
      </c>
      <c r="O744" s="1">
        <v>0.0</v>
      </c>
      <c r="P744" s="1">
        <v>8.0</v>
      </c>
      <c r="Q744" s="1">
        <v>16.0</v>
      </c>
    </row>
    <row r="745">
      <c r="A745" s="1">
        <f t="shared" si="1"/>
        <v>743</v>
      </c>
      <c r="B745" s="1" t="s">
        <v>2504</v>
      </c>
      <c r="C745" s="1" t="s">
        <v>1046</v>
      </c>
      <c r="D745" s="1" t="s">
        <v>31</v>
      </c>
      <c r="E745" s="1">
        <f t="shared" si="2"/>
        <v>30.75</v>
      </c>
      <c r="F745" s="1">
        <f t="shared" si="3"/>
        <v>2.2</v>
      </c>
      <c r="G745" s="1">
        <v>14.0</v>
      </c>
      <c r="H745" s="1">
        <v>3.0</v>
      </c>
      <c r="I745" s="1">
        <v>1.0</v>
      </c>
      <c r="J745" s="1">
        <v>4.0</v>
      </c>
      <c r="K745" s="1">
        <v>17.0</v>
      </c>
      <c r="L745" s="1">
        <v>1.0</v>
      </c>
      <c r="M745" s="1">
        <v>0.0</v>
      </c>
      <c r="N745" s="1">
        <v>0.0</v>
      </c>
      <c r="O745" s="1">
        <v>0.0</v>
      </c>
      <c r="P745" s="1">
        <v>13.0</v>
      </c>
      <c r="Q745" s="1">
        <v>5.0</v>
      </c>
    </row>
    <row r="746">
      <c r="A746" s="1">
        <f t="shared" si="1"/>
        <v>744</v>
      </c>
      <c r="B746" s="1" t="s">
        <v>2324</v>
      </c>
      <c r="C746" s="1" t="s">
        <v>1042</v>
      </c>
      <c r="D746" s="1" t="s">
        <v>31</v>
      </c>
      <c r="E746" s="1">
        <f t="shared" si="2"/>
        <v>30.5</v>
      </c>
      <c r="F746" s="1">
        <f t="shared" si="3"/>
        <v>1.79</v>
      </c>
      <c r="G746" s="1">
        <v>17.0</v>
      </c>
      <c r="H746" s="1">
        <v>1.0</v>
      </c>
      <c r="I746" s="1">
        <v>3.0</v>
      </c>
      <c r="J746" s="1">
        <v>4.0</v>
      </c>
      <c r="K746" s="1">
        <v>18.0</v>
      </c>
      <c r="L746" s="1">
        <v>0.0</v>
      </c>
      <c r="M746" s="1">
        <v>0.0</v>
      </c>
      <c r="N746" s="1">
        <v>0.0</v>
      </c>
      <c r="O746" s="1">
        <v>0.0</v>
      </c>
      <c r="P746" s="1">
        <v>14.0</v>
      </c>
      <c r="Q746" s="1">
        <v>9.0</v>
      </c>
    </row>
    <row r="747">
      <c r="A747" s="1">
        <f t="shared" si="1"/>
        <v>745</v>
      </c>
      <c r="B747" s="1" t="s">
        <v>2162</v>
      </c>
      <c r="C747" s="1" t="s">
        <v>1156</v>
      </c>
      <c r="D747" s="1" t="s">
        <v>31</v>
      </c>
      <c r="E747" s="1">
        <f t="shared" si="2"/>
        <v>29.75</v>
      </c>
      <c r="F747" s="1">
        <f t="shared" si="3"/>
        <v>2.48</v>
      </c>
      <c r="G747" s="1">
        <v>12.0</v>
      </c>
      <c r="H747" s="1">
        <v>2.0</v>
      </c>
      <c r="I747" s="1">
        <v>1.0</v>
      </c>
      <c r="J747" s="1">
        <v>3.0</v>
      </c>
      <c r="K747" s="1">
        <v>22.0</v>
      </c>
      <c r="L747" s="1">
        <v>0.0</v>
      </c>
      <c r="M747" s="1">
        <v>0.0</v>
      </c>
      <c r="N747" s="1">
        <v>0.0</v>
      </c>
      <c r="O747" s="1">
        <v>0.0</v>
      </c>
      <c r="P747" s="1">
        <v>11.0</v>
      </c>
      <c r="Q747" s="1">
        <v>8.0</v>
      </c>
    </row>
    <row r="748">
      <c r="A748" s="1">
        <f t="shared" si="1"/>
        <v>745</v>
      </c>
      <c r="B748" s="1" t="s">
        <v>2505</v>
      </c>
      <c r="C748" s="1" t="s">
        <v>1040</v>
      </c>
      <c r="D748" s="1" t="s">
        <v>66</v>
      </c>
      <c r="E748" s="1">
        <f t="shared" si="2"/>
        <v>29.75</v>
      </c>
      <c r="F748" s="1">
        <f t="shared" si="3"/>
        <v>2.13</v>
      </c>
      <c r="G748" s="1">
        <v>14.0</v>
      </c>
      <c r="H748" s="1">
        <v>1.0</v>
      </c>
      <c r="I748" s="1">
        <v>3.0</v>
      </c>
      <c r="J748" s="1">
        <v>4.0</v>
      </c>
      <c r="K748" s="1">
        <v>12.0</v>
      </c>
      <c r="L748" s="1">
        <v>0.0</v>
      </c>
      <c r="M748" s="1">
        <v>1.0</v>
      </c>
      <c r="N748" s="1">
        <v>0.0</v>
      </c>
      <c r="O748" s="1">
        <v>0.0</v>
      </c>
      <c r="P748" s="1">
        <v>21.0</v>
      </c>
      <c r="Q748" s="1">
        <v>10.0</v>
      </c>
    </row>
    <row r="749">
      <c r="A749" s="1">
        <f t="shared" si="1"/>
        <v>747</v>
      </c>
      <c r="B749" s="1" t="s">
        <v>2207</v>
      </c>
      <c r="C749" s="1" t="s">
        <v>1156</v>
      </c>
      <c r="D749" s="1" t="s">
        <v>66</v>
      </c>
      <c r="E749" s="1">
        <f t="shared" si="2"/>
        <v>29.25</v>
      </c>
      <c r="F749" s="1">
        <f t="shared" si="3"/>
        <v>2.09</v>
      </c>
      <c r="G749" s="1">
        <v>14.0</v>
      </c>
      <c r="H749" s="1">
        <v>1.0</v>
      </c>
      <c r="I749" s="1">
        <v>3.0</v>
      </c>
      <c r="J749" s="1">
        <v>4.0</v>
      </c>
      <c r="K749" s="1">
        <v>14.0</v>
      </c>
      <c r="L749" s="1">
        <v>0.0</v>
      </c>
      <c r="M749" s="1">
        <v>1.0</v>
      </c>
      <c r="N749" s="1">
        <v>0.0</v>
      </c>
      <c r="O749" s="1">
        <v>0.0</v>
      </c>
      <c r="P749" s="1">
        <v>11.0</v>
      </c>
      <c r="Q749" s="1">
        <v>12.0</v>
      </c>
    </row>
    <row r="750">
      <c r="A750" s="1">
        <f t="shared" si="1"/>
        <v>748</v>
      </c>
      <c r="B750" s="1" t="s">
        <v>2506</v>
      </c>
      <c r="C750" s="1" t="s">
        <v>1030</v>
      </c>
      <c r="D750" s="1" t="s">
        <v>28</v>
      </c>
      <c r="E750" s="1">
        <f t="shared" si="2"/>
        <v>29</v>
      </c>
      <c r="F750" s="1">
        <f t="shared" si="3"/>
        <v>1.61</v>
      </c>
      <c r="G750" s="1">
        <v>18.0</v>
      </c>
      <c r="H750" s="1">
        <v>0.0</v>
      </c>
      <c r="I750" s="1">
        <v>3.0</v>
      </c>
      <c r="J750" s="1">
        <v>3.0</v>
      </c>
      <c r="K750" s="1">
        <v>26.0</v>
      </c>
      <c r="L750" s="1">
        <v>0.0</v>
      </c>
      <c r="M750" s="1">
        <v>0.0</v>
      </c>
      <c r="N750" s="1">
        <v>0.0</v>
      </c>
      <c r="O750" s="1">
        <v>0.0</v>
      </c>
      <c r="P750" s="1">
        <v>12.0</v>
      </c>
      <c r="Q750" s="1">
        <v>8.0</v>
      </c>
    </row>
    <row r="751">
      <c r="A751" s="1">
        <f t="shared" si="1"/>
        <v>749</v>
      </c>
      <c r="B751" s="1" t="s">
        <v>2139</v>
      </c>
      <c r="C751" s="1" t="s">
        <v>1111</v>
      </c>
      <c r="D751" s="1" t="s">
        <v>31</v>
      </c>
      <c r="E751" s="1">
        <f t="shared" si="2"/>
        <v>28.75</v>
      </c>
      <c r="F751" s="1">
        <f t="shared" si="3"/>
        <v>1.92</v>
      </c>
      <c r="G751" s="1">
        <v>15.0</v>
      </c>
      <c r="H751" s="1">
        <v>1.0</v>
      </c>
      <c r="I751" s="1">
        <v>2.0</v>
      </c>
      <c r="J751" s="1">
        <v>3.0</v>
      </c>
      <c r="K751" s="1">
        <v>15.0</v>
      </c>
      <c r="L751" s="1">
        <v>0.0</v>
      </c>
      <c r="M751" s="1">
        <v>1.0</v>
      </c>
      <c r="N751" s="1">
        <v>0.0</v>
      </c>
      <c r="O751" s="1">
        <v>0.0</v>
      </c>
      <c r="P751" s="1">
        <v>39.0</v>
      </c>
      <c r="Q751" s="1">
        <v>2.0</v>
      </c>
    </row>
    <row r="752">
      <c r="A752" s="1">
        <f t="shared" si="1"/>
        <v>749</v>
      </c>
      <c r="B752" s="1" t="s">
        <v>2117</v>
      </c>
      <c r="C752" s="1" t="s">
        <v>1156</v>
      </c>
      <c r="D752" s="1" t="s">
        <v>66</v>
      </c>
      <c r="E752" s="1">
        <f t="shared" si="2"/>
        <v>28.75</v>
      </c>
      <c r="F752" s="1">
        <f t="shared" si="3"/>
        <v>2.4</v>
      </c>
      <c r="G752" s="1">
        <v>12.0</v>
      </c>
      <c r="H752" s="1">
        <v>1.0</v>
      </c>
      <c r="I752" s="1">
        <v>2.0</v>
      </c>
      <c r="J752" s="1">
        <v>3.0</v>
      </c>
      <c r="K752" s="1">
        <v>8.0</v>
      </c>
      <c r="L752" s="1">
        <v>0.0</v>
      </c>
      <c r="M752" s="1">
        <v>0.0</v>
      </c>
      <c r="N752" s="1">
        <v>0.0</v>
      </c>
      <c r="O752" s="1">
        <v>1.0</v>
      </c>
      <c r="P752" s="1">
        <v>9.0</v>
      </c>
      <c r="Q752" s="1">
        <v>20.0</v>
      </c>
    </row>
    <row r="753">
      <c r="A753" s="1">
        <f t="shared" si="1"/>
        <v>751</v>
      </c>
      <c r="B753" s="1" t="s">
        <v>2130</v>
      </c>
      <c r="C753" s="1" t="s">
        <v>1172</v>
      </c>
      <c r="D753" s="1" t="s">
        <v>5</v>
      </c>
      <c r="E753" s="1">
        <f t="shared" si="2"/>
        <v>28.5</v>
      </c>
      <c r="F753" s="1">
        <f t="shared" si="3"/>
        <v>4.75</v>
      </c>
      <c r="G753" s="1">
        <v>6.0</v>
      </c>
      <c r="R753" s="1">
        <v>1.0</v>
      </c>
      <c r="S753" s="1">
        <v>20.0</v>
      </c>
      <c r="T753" s="1">
        <v>185.0</v>
      </c>
      <c r="U753" s="1">
        <v>0.0</v>
      </c>
    </row>
    <row r="754">
      <c r="A754" s="1">
        <f t="shared" si="1"/>
        <v>751</v>
      </c>
      <c r="B754" s="1" t="s">
        <v>1737</v>
      </c>
      <c r="C754" s="1" t="s">
        <v>1052</v>
      </c>
      <c r="D754" s="1" t="s">
        <v>66</v>
      </c>
      <c r="E754" s="1">
        <f t="shared" si="2"/>
        <v>28.5</v>
      </c>
      <c r="F754" s="1">
        <f t="shared" si="3"/>
        <v>1.68</v>
      </c>
      <c r="G754" s="1">
        <v>17.0</v>
      </c>
      <c r="H754" s="1">
        <v>0.0</v>
      </c>
      <c r="I754" s="1">
        <v>2.0</v>
      </c>
      <c r="J754" s="1">
        <v>2.0</v>
      </c>
      <c r="K754" s="1">
        <v>16.0</v>
      </c>
      <c r="L754" s="1">
        <v>0.0</v>
      </c>
      <c r="M754" s="1">
        <v>0.0</v>
      </c>
      <c r="N754" s="1">
        <v>0.0</v>
      </c>
      <c r="O754" s="1">
        <v>0.0</v>
      </c>
      <c r="P754" s="1">
        <v>32.0</v>
      </c>
      <c r="Q754" s="1">
        <v>13.0</v>
      </c>
    </row>
    <row r="755">
      <c r="A755" s="1">
        <f t="shared" si="1"/>
        <v>753</v>
      </c>
      <c r="B755" s="1" t="s">
        <v>2359</v>
      </c>
      <c r="C755" s="1" t="s">
        <v>1175</v>
      </c>
      <c r="D755" s="1" t="s">
        <v>66</v>
      </c>
      <c r="E755" s="1">
        <f t="shared" si="2"/>
        <v>28.25</v>
      </c>
      <c r="F755" s="1">
        <f t="shared" si="3"/>
        <v>2.17</v>
      </c>
      <c r="G755" s="1">
        <v>13.0</v>
      </c>
      <c r="H755" s="1">
        <v>0.0</v>
      </c>
      <c r="I755" s="1">
        <v>3.0</v>
      </c>
      <c r="J755" s="1">
        <v>3.0</v>
      </c>
      <c r="K755" s="1">
        <v>13.0</v>
      </c>
      <c r="L755" s="1">
        <v>0.0</v>
      </c>
      <c r="M755" s="1">
        <v>0.0</v>
      </c>
      <c r="N755" s="1">
        <v>0.0</v>
      </c>
      <c r="O755" s="1">
        <v>0.0</v>
      </c>
      <c r="P755" s="1">
        <v>17.0</v>
      </c>
      <c r="Q755" s="1">
        <v>17.0</v>
      </c>
    </row>
    <row r="756">
      <c r="A756" s="1">
        <f t="shared" si="1"/>
        <v>754</v>
      </c>
      <c r="B756" s="1" t="s">
        <v>1652</v>
      </c>
      <c r="C756" s="1" t="s">
        <v>1156</v>
      </c>
      <c r="D756" s="1" t="s">
        <v>66</v>
      </c>
      <c r="E756" s="1">
        <f t="shared" si="2"/>
        <v>27.75</v>
      </c>
      <c r="F756" s="1">
        <f t="shared" si="3"/>
        <v>2.52</v>
      </c>
      <c r="G756" s="1">
        <v>11.0</v>
      </c>
      <c r="H756" s="1">
        <v>0.0</v>
      </c>
      <c r="I756" s="1">
        <v>3.0</v>
      </c>
      <c r="J756" s="1">
        <v>3.0</v>
      </c>
      <c r="K756" s="1">
        <v>5.0</v>
      </c>
      <c r="L756" s="1">
        <v>0.0</v>
      </c>
      <c r="M756" s="1">
        <v>0.0</v>
      </c>
      <c r="N756" s="1">
        <v>0.0</v>
      </c>
      <c r="O756" s="1">
        <v>0.0</v>
      </c>
      <c r="P756" s="1">
        <v>35.0</v>
      </c>
      <c r="Q756" s="1">
        <v>15.0</v>
      </c>
    </row>
    <row r="757">
      <c r="A757" s="1">
        <f t="shared" si="1"/>
        <v>755</v>
      </c>
      <c r="B757" s="1" t="s">
        <v>1295</v>
      </c>
      <c r="C757" s="1" t="s">
        <v>1044</v>
      </c>
      <c r="D757" s="1" t="s">
        <v>5</v>
      </c>
      <c r="E757" s="1">
        <f t="shared" si="2"/>
        <v>27.6</v>
      </c>
      <c r="F757" s="1">
        <f t="shared" si="3"/>
        <v>3.45</v>
      </c>
      <c r="G757" s="1">
        <v>8.0</v>
      </c>
      <c r="R757" s="1">
        <v>1.0</v>
      </c>
      <c r="S757" s="1">
        <v>22.0</v>
      </c>
      <c r="T757" s="1">
        <v>192.0</v>
      </c>
      <c r="U757" s="1">
        <v>0.0</v>
      </c>
    </row>
    <row r="758">
      <c r="A758" s="1">
        <f t="shared" si="1"/>
        <v>756</v>
      </c>
      <c r="B758" s="1" t="s">
        <v>1775</v>
      </c>
      <c r="C758" s="1" t="s">
        <v>1065</v>
      </c>
      <c r="D758" s="1" t="s">
        <v>66</v>
      </c>
      <c r="E758" s="1">
        <f t="shared" si="2"/>
        <v>27.5</v>
      </c>
      <c r="F758" s="1">
        <f t="shared" si="3"/>
        <v>2.12</v>
      </c>
      <c r="G758" s="1">
        <v>13.0</v>
      </c>
      <c r="H758" s="1">
        <v>1.0</v>
      </c>
      <c r="I758" s="1">
        <v>3.0</v>
      </c>
      <c r="J758" s="1">
        <v>4.0</v>
      </c>
      <c r="K758" s="1">
        <v>14.0</v>
      </c>
      <c r="L758" s="1">
        <v>0.0</v>
      </c>
      <c r="M758" s="1">
        <v>0.0</v>
      </c>
      <c r="N758" s="1">
        <v>0.0</v>
      </c>
      <c r="O758" s="1">
        <v>0.0</v>
      </c>
      <c r="P758" s="1">
        <v>10.0</v>
      </c>
      <c r="Q758" s="1">
        <v>9.0</v>
      </c>
    </row>
    <row r="759">
      <c r="A759" s="1">
        <f t="shared" si="1"/>
        <v>756</v>
      </c>
      <c r="B759" s="1" t="s">
        <v>2507</v>
      </c>
      <c r="C759" s="1" t="s">
        <v>1091</v>
      </c>
      <c r="D759" s="1" t="s">
        <v>28</v>
      </c>
      <c r="E759" s="1">
        <f t="shared" si="2"/>
        <v>27.5</v>
      </c>
      <c r="F759" s="1">
        <f t="shared" si="3"/>
        <v>1.38</v>
      </c>
      <c r="G759" s="1">
        <v>20.0</v>
      </c>
      <c r="H759" s="1">
        <v>1.0</v>
      </c>
      <c r="I759" s="1">
        <v>0.0</v>
      </c>
      <c r="J759" s="1">
        <v>1.0</v>
      </c>
      <c r="K759" s="1">
        <v>14.0</v>
      </c>
      <c r="L759" s="1">
        <v>0.0</v>
      </c>
      <c r="M759" s="1">
        <v>0.0</v>
      </c>
      <c r="N759" s="1">
        <v>0.0</v>
      </c>
      <c r="O759" s="1">
        <v>0.0</v>
      </c>
      <c r="P759" s="1">
        <v>38.0</v>
      </c>
      <c r="Q759" s="1">
        <v>13.0</v>
      </c>
    </row>
    <row r="760">
      <c r="A760" s="1">
        <f t="shared" si="1"/>
        <v>758</v>
      </c>
      <c r="B760" s="1" t="s">
        <v>2119</v>
      </c>
      <c r="C760" s="1" t="s">
        <v>1048</v>
      </c>
      <c r="D760" s="1" t="s">
        <v>5</v>
      </c>
      <c r="E760" s="1">
        <f t="shared" si="2"/>
        <v>27.3</v>
      </c>
      <c r="F760" s="1">
        <f t="shared" si="3"/>
        <v>6.83</v>
      </c>
      <c r="G760" s="1">
        <v>4.0</v>
      </c>
      <c r="R760" s="1">
        <v>4.0</v>
      </c>
      <c r="S760" s="1">
        <v>8.0</v>
      </c>
      <c r="T760" s="1">
        <v>91.0</v>
      </c>
      <c r="U760" s="1">
        <v>0.0</v>
      </c>
    </row>
    <row r="761">
      <c r="A761" s="1">
        <f t="shared" si="1"/>
        <v>759</v>
      </c>
      <c r="B761" s="1" t="s">
        <v>2380</v>
      </c>
      <c r="C761" s="1" t="s">
        <v>1044</v>
      </c>
      <c r="D761" s="1" t="s">
        <v>31</v>
      </c>
      <c r="E761" s="1">
        <f t="shared" si="2"/>
        <v>26.75</v>
      </c>
      <c r="F761" s="1">
        <f t="shared" si="3"/>
        <v>2.06</v>
      </c>
      <c r="G761" s="1">
        <v>13.0</v>
      </c>
      <c r="H761" s="1">
        <v>0.0</v>
      </c>
      <c r="I761" s="1">
        <v>3.0</v>
      </c>
      <c r="J761" s="1">
        <v>3.0</v>
      </c>
      <c r="K761" s="1">
        <v>16.0</v>
      </c>
      <c r="L761" s="1">
        <v>0.0</v>
      </c>
      <c r="M761" s="1">
        <v>0.0</v>
      </c>
      <c r="N761" s="1">
        <v>0.0</v>
      </c>
      <c r="O761" s="1">
        <v>0.0</v>
      </c>
      <c r="P761" s="1">
        <v>23.0</v>
      </c>
      <c r="Q761" s="1">
        <v>8.0</v>
      </c>
    </row>
    <row r="762">
      <c r="A762" s="1">
        <f t="shared" si="1"/>
        <v>759</v>
      </c>
      <c r="B762" s="1" t="s">
        <v>2418</v>
      </c>
      <c r="C762" s="1" t="s">
        <v>1054</v>
      </c>
      <c r="D762" s="1" t="s">
        <v>31</v>
      </c>
      <c r="E762" s="1">
        <f t="shared" si="2"/>
        <v>26.75</v>
      </c>
      <c r="F762" s="1">
        <f t="shared" si="3"/>
        <v>1.91</v>
      </c>
      <c r="G762" s="1">
        <v>14.0</v>
      </c>
      <c r="H762" s="1">
        <v>0.0</v>
      </c>
      <c r="I762" s="1">
        <v>2.0</v>
      </c>
      <c r="J762" s="1">
        <v>2.0</v>
      </c>
      <c r="K762" s="1">
        <v>15.0</v>
      </c>
      <c r="L762" s="1">
        <v>0.0</v>
      </c>
      <c r="M762" s="1">
        <v>0.0</v>
      </c>
      <c r="N762" s="1">
        <v>0.0</v>
      </c>
      <c r="O762" s="1">
        <v>0.0</v>
      </c>
      <c r="P762" s="1">
        <v>23.0</v>
      </c>
      <c r="Q762" s="1">
        <v>15.0</v>
      </c>
    </row>
    <row r="763">
      <c r="A763" s="1">
        <f t="shared" si="1"/>
        <v>759</v>
      </c>
      <c r="B763" s="1" t="s">
        <v>2508</v>
      </c>
      <c r="C763" s="1" t="s">
        <v>1120</v>
      </c>
      <c r="D763" s="1" t="s">
        <v>28</v>
      </c>
      <c r="E763" s="1">
        <f t="shared" si="2"/>
        <v>26.75</v>
      </c>
      <c r="F763" s="1">
        <f t="shared" si="3"/>
        <v>1.03</v>
      </c>
      <c r="G763" s="1">
        <v>26.0</v>
      </c>
      <c r="H763" s="1">
        <v>1.0</v>
      </c>
      <c r="I763" s="1">
        <v>1.0</v>
      </c>
      <c r="J763" s="1">
        <v>2.0</v>
      </c>
      <c r="K763" s="1">
        <v>22.0</v>
      </c>
      <c r="L763" s="1">
        <v>0.0</v>
      </c>
      <c r="M763" s="1">
        <v>0.0</v>
      </c>
      <c r="N763" s="1">
        <v>0.0</v>
      </c>
      <c r="O763" s="1">
        <v>0.0</v>
      </c>
      <c r="P763" s="1">
        <v>19.0</v>
      </c>
      <c r="Q763" s="1">
        <v>7.0</v>
      </c>
    </row>
    <row r="764">
      <c r="A764" s="1">
        <f t="shared" si="1"/>
        <v>762</v>
      </c>
      <c r="B764" s="1" t="s">
        <v>2229</v>
      </c>
      <c r="C764" s="1" t="s">
        <v>1076</v>
      </c>
      <c r="D764" s="1" t="s">
        <v>66</v>
      </c>
      <c r="E764" s="1">
        <f t="shared" si="2"/>
        <v>26.25</v>
      </c>
      <c r="F764" s="1">
        <f t="shared" si="3"/>
        <v>2.39</v>
      </c>
      <c r="G764" s="1">
        <v>11.0</v>
      </c>
      <c r="H764" s="1">
        <v>1.0</v>
      </c>
      <c r="I764" s="1">
        <v>1.0</v>
      </c>
      <c r="J764" s="1">
        <v>2.0</v>
      </c>
      <c r="K764" s="1">
        <v>8.0</v>
      </c>
      <c r="L764" s="1">
        <v>0.0</v>
      </c>
      <c r="M764" s="1">
        <v>0.0</v>
      </c>
      <c r="N764" s="1">
        <v>0.0</v>
      </c>
      <c r="O764" s="1">
        <v>0.0</v>
      </c>
      <c r="P764" s="1">
        <v>11.0</v>
      </c>
      <c r="Q764" s="1">
        <v>24.0</v>
      </c>
    </row>
    <row r="765">
      <c r="A765" s="1">
        <f t="shared" si="1"/>
        <v>763</v>
      </c>
      <c r="B765" s="1" t="s">
        <v>1552</v>
      </c>
      <c r="C765" s="1" t="s">
        <v>1040</v>
      </c>
      <c r="D765" s="1" t="s">
        <v>66</v>
      </c>
      <c r="E765" s="1">
        <f t="shared" si="2"/>
        <v>26</v>
      </c>
      <c r="F765" s="1">
        <f t="shared" si="3"/>
        <v>2</v>
      </c>
      <c r="G765" s="1">
        <v>13.0</v>
      </c>
      <c r="H765" s="1">
        <v>1.0</v>
      </c>
      <c r="I765" s="1">
        <v>0.0</v>
      </c>
      <c r="J765" s="1">
        <v>1.0</v>
      </c>
      <c r="K765" s="1">
        <v>13.0</v>
      </c>
      <c r="L765" s="1">
        <v>0.0</v>
      </c>
      <c r="M765" s="1">
        <v>0.0</v>
      </c>
      <c r="N765" s="1">
        <v>0.0</v>
      </c>
      <c r="O765" s="1">
        <v>0.0</v>
      </c>
      <c r="P765" s="1">
        <v>30.0</v>
      </c>
      <c r="Q765" s="1">
        <v>15.0</v>
      </c>
    </row>
    <row r="766">
      <c r="A766" s="1">
        <f t="shared" si="1"/>
        <v>764</v>
      </c>
      <c r="B766" s="1" t="s">
        <v>2267</v>
      </c>
      <c r="C766" s="1" t="s">
        <v>1120</v>
      </c>
      <c r="D766" s="1" t="s">
        <v>66</v>
      </c>
      <c r="E766" s="1">
        <f t="shared" si="2"/>
        <v>25.75</v>
      </c>
      <c r="F766" s="1">
        <f t="shared" si="3"/>
        <v>1.61</v>
      </c>
      <c r="G766" s="1">
        <v>16.0</v>
      </c>
      <c r="H766" s="1">
        <v>1.0</v>
      </c>
      <c r="I766" s="1">
        <v>2.0</v>
      </c>
      <c r="J766" s="1">
        <v>3.0</v>
      </c>
      <c r="K766" s="1">
        <v>10.0</v>
      </c>
      <c r="L766" s="1">
        <v>0.0</v>
      </c>
      <c r="M766" s="1">
        <v>0.0</v>
      </c>
      <c r="N766" s="1">
        <v>0.0</v>
      </c>
      <c r="O766" s="1">
        <v>0.0</v>
      </c>
      <c r="P766" s="1">
        <v>5.0</v>
      </c>
      <c r="Q766" s="1">
        <v>18.0</v>
      </c>
    </row>
    <row r="767">
      <c r="A767" s="1">
        <f t="shared" si="1"/>
        <v>764</v>
      </c>
      <c r="B767" s="1" t="s">
        <v>2509</v>
      </c>
      <c r="C767" s="1" t="s">
        <v>1048</v>
      </c>
      <c r="D767" s="1" t="s">
        <v>31</v>
      </c>
      <c r="E767" s="1">
        <f t="shared" si="2"/>
        <v>25.75</v>
      </c>
      <c r="F767" s="1">
        <f t="shared" si="3"/>
        <v>1.29</v>
      </c>
      <c r="G767" s="1">
        <v>20.0</v>
      </c>
      <c r="H767" s="1">
        <v>0.0</v>
      </c>
      <c r="I767" s="1">
        <v>3.0</v>
      </c>
      <c r="J767" s="1">
        <v>3.0</v>
      </c>
      <c r="K767" s="1">
        <v>11.0</v>
      </c>
      <c r="L767" s="1">
        <v>0.0</v>
      </c>
      <c r="M767" s="1">
        <v>2.0</v>
      </c>
      <c r="N767" s="1">
        <v>0.0</v>
      </c>
      <c r="O767" s="1">
        <v>1.0</v>
      </c>
      <c r="P767" s="1">
        <v>25.0</v>
      </c>
      <c r="Q767" s="1">
        <v>6.0</v>
      </c>
    </row>
    <row r="768">
      <c r="A768" s="1">
        <f t="shared" si="1"/>
        <v>766</v>
      </c>
      <c r="B768" s="1" t="s">
        <v>2191</v>
      </c>
      <c r="C768" s="1" t="s">
        <v>1172</v>
      </c>
      <c r="D768" s="1" t="s">
        <v>36</v>
      </c>
      <c r="E768" s="1">
        <f t="shared" si="2"/>
        <v>25.5</v>
      </c>
      <c r="F768" s="1">
        <f t="shared" si="3"/>
        <v>3.19</v>
      </c>
      <c r="G768" s="1">
        <v>8.0</v>
      </c>
      <c r="H768" s="1">
        <v>1.0</v>
      </c>
      <c r="I768" s="1">
        <v>2.0</v>
      </c>
      <c r="J768" s="1">
        <v>3.0</v>
      </c>
      <c r="K768" s="1">
        <v>5.0</v>
      </c>
      <c r="L768" s="1">
        <v>0.0</v>
      </c>
      <c r="M768" s="1">
        <v>0.0</v>
      </c>
      <c r="N768" s="1">
        <v>0.0</v>
      </c>
      <c r="O768" s="1">
        <v>0.0</v>
      </c>
      <c r="P768" s="1">
        <v>38.0</v>
      </c>
      <c r="Q768" s="1">
        <v>6.0</v>
      </c>
    </row>
    <row r="769">
      <c r="A769" s="1">
        <f t="shared" si="1"/>
        <v>767</v>
      </c>
      <c r="B769" s="1" t="s">
        <v>2183</v>
      </c>
      <c r="C769" s="1" t="s">
        <v>1046</v>
      </c>
      <c r="D769" s="1" t="s">
        <v>66</v>
      </c>
      <c r="E769" s="1">
        <f t="shared" si="2"/>
        <v>25.25</v>
      </c>
      <c r="F769" s="1">
        <f t="shared" si="3"/>
        <v>3.16</v>
      </c>
      <c r="G769" s="1">
        <v>8.0</v>
      </c>
      <c r="H769" s="1">
        <v>1.0</v>
      </c>
      <c r="I769" s="1">
        <v>2.0</v>
      </c>
      <c r="J769" s="1">
        <v>3.0</v>
      </c>
      <c r="K769" s="1">
        <v>17.0</v>
      </c>
      <c r="L769" s="1">
        <v>0.0</v>
      </c>
      <c r="M769" s="1">
        <v>1.0</v>
      </c>
      <c r="N769" s="1">
        <v>0.0</v>
      </c>
      <c r="O769" s="1">
        <v>0.0</v>
      </c>
      <c r="P769" s="1">
        <v>9.0</v>
      </c>
      <c r="Q769" s="1">
        <v>8.0</v>
      </c>
    </row>
    <row r="770">
      <c r="A770" s="1">
        <f t="shared" si="1"/>
        <v>767</v>
      </c>
      <c r="B770" s="1" t="s">
        <v>2460</v>
      </c>
      <c r="C770" s="1" t="s">
        <v>1156</v>
      </c>
      <c r="D770" s="1" t="s">
        <v>36</v>
      </c>
      <c r="E770" s="1">
        <f t="shared" si="2"/>
        <v>25.25</v>
      </c>
      <c r="F770" s="1">
        <f t="shared" si="3"/>
        <v>1.4</v>
      </c>
      <c r="G770" s="1">
        <v>18.0</v>
      </c>
      <c r="H770" s="1">
        <v>1.0</v>
      </c>
      <c r="I770" s="1">
        <v>0.0</v>
      </c>
      <c r="J770" s="1">
        <v>1.0</v>
      </c>
      <c r="K770" s="1">
        <v>15.0</v>
      </c>
      <c r="L770" s="1">
        <v>0.0</v>
      </c>
      <c r="M770" s="1">
        <v>0.0</v>
      </c>
      <c r="N770" s="1">
        <v>0.0</v>
      </c>
      <c r="O770" s="1">
        <v>0.0</v>
      </c>
      <c r="P770" s="1">
        <v>35.0</v>
      </c>
      <c r="Q770" s="1">
        <v>9.0</v>
      </c>
    </row>
    <row r="771">
      <c r="A771" s="1">
        <f t="shared" si="1"/>
        <v>769</v>
      </c>
      <c r="B771" s="1" t="s">
        <v>1701</v>
      </c>
      <c r="C771" s="1" t="s">
        <v>1120</v>
      </c>
      <c r="D771" s="1" t="s">
        <v>66</v>
      </c>
      <c r="E771" s="1">
        <f t="shared" si="2"/>
        <v>25</v>
      </c>
      <c r="F771" s="1">
        <f t="shared" si="3"/>
        <v>1.92</v>
      </c>
      <c r="G771" s="1">
        <v>13.0</v>
      </c>
      <c r="H771" s="1">
        <v>0.0</v>
      </c>
      <c r="I771" s="1">
        <v>3.0</v>
      </c>
      <c r="J771" s="1">
        <v>3.0</v>
      </c>
      <c r="K771" s="1">
        <v>8.0</v>
      </c>
      <c r="L771" s="1">
        <v>0.0</v>
      </c>
      <c r="M771" s="1">
        <v>0.0</v>
      </c>
      <c r="N771" s="1">
        <v>0.0</v>
      </c>
      <c r="O771" s="1">
        <v>0.0</v>
      </c>
      <c r="P771" s="1">
        <v>14.0</v>
      </c>
      <c r="Q771" s="1">
        <v>17.0</v>
      </c>
    </row>
    <row r="772">
      <c r="A772" s="1">
        <f t="shared" si="1"/>
        <v>770</v>
      </c>
      <c r="B772" s="1" t="s">
        <v>2510</v>
      </c>
      <c r="C772" s="1" t="s">
        <v>1040</v>
      </c>
      <c r="D772" s="1" t="s">
        <v>66</v>
      </c>
      <c r="E772" s="1">
        <f t="shared" si="2"/>
        <v>24</v>
      </c>
      <c r="F772" s="1">
        <f t="shared" si="3"/>
        <v>2.4</v>
      </c>
      <c r="G772" s="1">
        <v>10.0</v>
      </c>
      <c r="H772" s="1">
        <v>0.0</v>
      </c>
      <c r="I772" s="1">
        <v>4.0</v>
      </c>
      <c r="J772" s="1">
        <v>4.0</v>
      </c>
      <c r="K772" s="1">
        <v>12.0</v>
      </c>
      <c r="L772" s="1">
        <v>0.0</v>
      </c>
      <c r="M772" s="1">
        <v>1.0</v>
      </c>
      <c r="N772" s="1">
        <v>0.0</v>
      </c>
      <c r="O772" s="1">
        <v>0.0</v>
      </c>
      <c r="P772" s="1">
        <v>8.0</v>
      </c>
      <c r="Q772" s="1">
        <v>8.0</v>
      </c>
    </row>
    <row r="773">
      <c r="A773" s="1">
        <f t="shared" si="1"/>
        <v>771</v>
      </c>
      <c r="B773" s="1" t="s">
        <v>1615</v>
      </c>
      <c r="C773" s="1" t="s">
        <v>1038</v>
      </c>
      <c r="D773" s="1" t="s">
        <v>66</v>
      </c>
      <c r="E773" s="1">
        <f t="shared" si="2"/>
        <v>23.75</v>
      </c>
      <c r="F773" s="1">
        <f t="shared" si="3"/>
        <v>2.64</v>
      </c>
      <c r="G773" s="1">
        <v>9.0</v>
      </c>
      <c r="H773" s="1">
        <v>0.0</v>
      </c>
      <c r="I773" s="1">
        <v>2.0</v>
      </c>
      <c r="J773" s="1">
        <v>2.0</v>
      </c>
      <c r="K773" s="1">
        <v>15.0</v>
      </c>
      <c r="L773" s="1">
        <v>0.0</v>
      </c>
      <c r="M773" s="1">
        <v>0.0</v>
      </c>
      <c r="N773" s="1">
        <v>0.0</v>
      </c>
      <c r="O773" s="1">
        <v>0.0</v>
      </c>
      <c r="P773" s="1">
        <v>3.0</v>
      </c>
      <c r="Q773" s="1">
        <v>19.0</v>
      </c>
    </row>
    <row r="774">
      <c r="A774" s="1">
        <f t="shared" si="1"/>
        <v>772</v>
      </c>
      <c r="B774" s="1" t="s">
        <v>1841</v>
      </c>
      <c r="C774" s="1" t="s">
        <v>1052</v>
      </c>
      <c r="D774" s="1" t="s">
        <v>66</v>
      </c>
      <c r="E774" s="1">
        <f t="shared" si="2"/>
        <v>23.5</v>
      </c>
      <c r="F774" s="1">
        <f t="shared" si="3"/>
        <v>2.61</v>
      </c>
      <c r="G774" s="1">
        <v>9.0</v>
      </c>
      <c r="H774" s="1">
        <v>2.0</v>
      </c>
      <c r="I774" s="1">
        <v>1.0</v>
      </c>
      <c r="J774" s="1">
        <v>3.0</v>
      </c>
      <c r="K774" s="1">
        <v>9.0</v>
      </c>
      <c r="L774" s="1">
        <v>0.0</v>
      </c>
      <c r="M774" s="1">
        <v>0.0</v>
      </c>
      <c r="N774" s="1">
        <v>0.0</v>
      </c>
      <c r="O774" s="1">
        <v>0.0</v>
      </c>
      <c r="P774" s="1">
        <v>14.0</v>
      </c>
      <c r="Q774" s="1">
        <v>7.0</v>
      </c>
    </row>
    <row r="775">
      <c r="A775" s="1">
        <f t="shared" si="1"/>
        <v>773</v>
      </c>
      <c r="B775" s="1" t="s">
        <v>2362</v>
      </c>
      <c r="C775" s="1" t="s">
        <v>1067</v>
      </c>
      <c r="D775" s="1" t="s">
        <v>5</v>
      </c>
      <c r="E775" s="1">
        <f t="shared" si="2"/>
        <v>23.1</v>
      </c>
      <c r="F775" s="1">
        <f t="shared" si="3"/>
        <v>5.78</v>
      </c>
      <c r="G775" s="1">
        <v>4.0</v>
      </c>
      <c r="R775" s="1">
        <v>2.0</v>
      </c>
      <c r="S775" s="1">
        <v>14.0</v>
      </c>
      <c r="T775" s="1">
        <v>127.0</v>
      </c>
      <c r="U775" s="1">
        <v>0.0</v>
      </c>
    </row>
    <row r="776">
      <c r="A776" s="1">
        <f t="shared" si="1"/>
        <v>774</v>
      </c>
      <c r="B776" s="1" t="s">
        <v>1478</v>
      </c>
      <c r="C776" s="1" t="s">
        <v>1032</v>
      </c>
      <c r="D776" s="1" t="s">
        <v>66</v>
      </c>
      <c r="E776" s="1">
        <f t="shared" si="2"/>
        <v>22.75</v>
      </c>
      <c r="F776" s="1">
        <f t="shared" si="3"/>
        <v>2.53</v>
      </c>
      <c r="G776" s="1">
        <v>9.0</v>
      </c>
      <c r="H776" s="1">
        <v>0.0</v>
      </c>
      <c r="I776" s="1">
        <v>4.0</v>
      </c>
      <c r="J776" s="1">
        <v>4.0</v>
      </c>
      <c r="K776" s="1">
        <v>9.0</v>
      </c>
      <c r="L776" s="1">
        <v>0.0</v>
      </c>
      <c r="M776" s="1">
        <v>0.0</v>
      </c>
      <c r="N776" s="1">
        <v>0.0</v>
      </c>
      <c r="O776" s="1">
        <v>0.0</v>
      </c>
      <c r="P776" s="1">
        <v>11.0</v>
      </c>
      <c r="Q776" s="1">
        <v>7.0</v>
      </c>
    </row>
    <row r="777">
      <c r="A777" s="1">
        <f t="shared" si="1"/>
        <v>775</v>
      </c>
      <c r="B777" s="1" t="s">
        <v>1238</v>
      </c>
      <c r="C777" s="1" t="s">
        <v>1067</v>
      </c>
      <c r="D777" s="1" t="s">
        <v>5</v>
      </c>
      <c r="E777" s="1">
        <f t="shared" si="2"/>
        <v>22.5</v>
      </c>
      <c r="F777" s="1">
        <f t="shared" si="3"/>
        <v>5.63</v>
      </c>
      <c r="G777" s="1">
        <v>4.0</v>
      </c>
      <c r="R777" s="1">
        <v>1.0</v>
      </c>
      <c r="S777" s="1">
        <v>14.0</v>
      </c>
      <c r="T777" s="1">
        <v>135.0</v>
      </c>
      <c r="U777" s="1">
        <v>0.0</v>
      </c>
    </row>
    <row r="778">
      <c r="A778" s="1">
        <f t="shared" si="1"/>
        <v>776</v>
      </c>
      <c r="B778" s="1" t="s">
        <v>1746</v>
      </c>
      <c r="C778" s="1" t="s">
        <v>1111</v>
      </c>
      <c r="D778" s="1" t="s">
        <v>31</v>
      </c>
      <c r="E778" s="1">
        <f t="shared" si="2"/>
        <v>22.25</v>
      </c>
      <c r="F778" s="1">
        <f t="shared" si="3"/>
        <v>1.59</v>
      </c>
      <c r="G778" s="1">
        <v>14.0</v>
      </c>
      <c r="H778" s="1">
        <v>2.0</v>
      </c>
      <c r="I778" s="1">
        <v>1.0</v>
      </c>
      <c r="J778" s="1">
        <v>3.0</v>
      </c>
      <c r="K778" s="1">
        <v>10.0</v>
      </c>
      <c r="L778" s="1">
        <v>0.0</v>
      </c>
      <c r="M778" s="1">
        <v>0.0</v>
      </c>
      <c r="N778" s="1">
        <v>0.0</v>
      </c>
      <c r="O778" s="1">
        <v>0.0</v>
      </c>
      <c r="P778" s="1">
        <v>15.0</v>
      </c>
      <c r="Q778" s="1">
        <v>3.0</v>
      </c>
    </row>
    <row r="779">
      <c r="A779" s="1">
        <f t="shared" si="1"/>
        <v>776</v>
      </c>
      <c r="B779" s="1" t="s">
        <v>1752</v>
      </c>
      <c r="C779" s="1" t="s">
        <v>1036</v>
      </c>
      <c r="D779" s="1" t="s">
        <v>66</v>
      </c>
      <c r="E779" s="1">
        <f t="shared" si="2"/>
        <v>22.25</v>
      </c>
      <c r="F779" s="1">
        <f t="shared" si="3"/>
        <v>1.17</v>
      </c>
      <c r="G779" s="1">
        <v>19.0</v>
      </c>
      <c r="H779" s="1">
        <v>0.0</v>
      </c>
      <c r="I779" s="1">
        <v>2.0</v>
      </c>
      <c r="J779" s="1">
        <v>2.0</v>
      </c>
      <c r="K779" s="1">
        <v>11.0</v>
      </c>
      <c r="L779" s="1">
        <v>0.0</v>
      </c>
      <c r="M779" s="1">
        <v>0.0</v>
      </c>
      <c r="N779" s="1">
        <v>0.0</v>
      </c>
      <c r="O779" s="1">
        <v>0.0</v>
      </c>
      <c r="P779" s="1">
        <v>15.0</v>
      </c>
      <c r="Q779" s="1">
        <v>14.0</v>
      </c>
    </row>
    <row r="780">
      <c r="A780" s="1">
        <f t="shared" si="1"/>
        <v>778</v>
      </c>
      <c r="B780" s="1" t="s">
        <v>2421</v>
      </c>
      <c r="C780" s="1" t="s">
        <v>1120</v>
      </c>
      <c r="D780" s="1" t="s">
        <v>66</v>
      </c>
      <c r="E780" s="1">
        <f t="shared" si="2"/>
        <v>22</v>
      </c>
      <c r="F780" s="1">
        <f t="shared" si="3"/>
        <v>1.69</v>
      </c>
      <c r="G780" s="1">
        <v>13.0</v>
      </c>
      <c r="H780" s="1">
        <v>0.0</v>
      </c>
      <c r="I780" s="1">
        <v>3.0</v>
      </c>
      <c r="J780" s="1">
        <v>3.0</v>
      </c>
      <c r="K780" s="1">
        <v>4.0</v>
      </c>
      <c r="L780" s="1">
        <v>0.0</v>
      </c>
      <c r="M780" s="1">
        <v>0.0</v>
      </c>
      <c r="N780" s="1">
        <v>0.0</v>
      </c>
      <c r="O780" s="1">
        <v>0.0</v>
      </c>
      <c r="P780" s="1">
        <v>22.0</v>
      </c>
      <c r="Q780" s="1">
        <v>11.0</v>
      </c>
    </row>
    <row r="781">
      <c r="A781" s="1">
        <f t="shared" si="1"/>
        <v>779</v>
      </c>
      <c r="B781" s="1" t="s">
        <v>2241</v>
      </c>
      <c r="C781" s="1" t="s">
        <v>1030</v>
      </c>
      <c r="D781" s="1" t="s">
        <v>66</v>
      </c>
      <c r="E781" s="1">
        <f t="shared" si="2"/>
        <v>21.5</v>
      </c>
      <c r="F781" s="1">
        <f t="shared" si="3"/>
        <v>1.19</v>
      </c>
      <c r="G781" s="1">
        <v>18.0</v>
      </c>
      <c r="H781" s="1">
        <v>0.0</v>
      </c>
      <c r="I781" s="1">
        <v>3.0</v>
      </c>
      <c r="J781" s="1">
        <v>3.0</v>
      </c>
      <c r="K781" s="1">
        <v>12.0</v>
      </c>
      <c r="L781" s="1">
        <v>0.0</v>
      </c>
      <c r="M781" s="1">
        <v>0.0</v>
      </c>
      <c r="N781" s="1">
        <v>0.0</v>
      </c>
      <c r="O781" s="1">
        <v>0.0</v>
      </c>
      <c r="P781" s="1">
        <v>20.0</v>
      </c>
      <c r="Q781" s="1">
        <v>3.0</v>
      </c>
    </row>
    <row r="782">
      <c r="A782" s="1">
        <f t="shared" si="1"/>
        <v>780</v>
      </c>
      <c r="B782" s="1" t="s">
        <v>1362</v>
      </c>
      <c r="C782" s="1" t="s">
        <v>1091</v>
      </c>
      <c r="D782" s="1" t="s">
        <v>5</v>
      </c>
      <c r="E782" s="1">
        <f t="shared" si="2"/>
        <v>21.3</v>
      </c>
      <c r="F782" s="1">
        <f t="shared" si="3"/>
        <v>3.55</v>
      </c>
      <c r="G782" s="1">
        <v>6.0</v>
      </c>
      <c r="R782" s="1">
        <v>1.0</v>
      </c>
      <c r="S782" s="1">
        <v>18.0</v>
      </c>
      <c r="T782" s="1">
        <v>151.0</v>
      </c>
      <c r="U782" s="1">
        <v>0.0</v>
      </c>
    </row>
    <row r="783">
      <c r="A783" s="1">
        <f t="shared" si="1"/>
        <v>781</v>
      </c>
      <c r="B783" s="1" t="s">
        <v>2384</v>
      </c>
      <c r="C783" s="1" t="s">
        <v>1091</v>
      </c>
      <c r="D783" s="1" t="s">
        <v>31</v>
      </c>
      <c r="E783" s="1">
        <f t="shared" si="2"/>
        <v>21.25</v>
      </c>
      <c r="F783" s="1">
        <f t="shared" si="3"/>
        <v>1.18</v>
      </c>
      <c r="G783" s="1">
        <v>18.0</v>
      </c>
      <c r="H783" s="1">
        <v>0.0</v>
      </c>
      <c r="I783" s="1">
        <v>1.0</v>
      </c>
      <c r="J783" s="1">
        <v>1.0</v>
      </c>
      <c r="K783" s="1">
        <v>15.0</v>
      </c>
      <c r="L783" s="1">
        <v>0.0</v>
      </c>
      <c r="M783" s="1">
        <v>0.0</v>
      </c>
      <c r="N783" s="1">
        <v>0.0</v>
      </c>
      <c r="O783" s="1">
        <v>0.0</v>
      </c>
      <c r="P783" s="1">
        <v>31.0</v>
      </c>
      <c r="Q783" s="1">
        <v>6.0</v>
      </c>
    </row>
    <row r="784">
      <c r="A784" s="1">
        <f t="shared" si="1"/>
        <v>781</v>
      </c>
      <c r="B784" s="1" t="s">
        <v>2172</v>
      </c>
      <c r="C784" s="1" t="s">
        <v>1078</v>
      </c>
      <c r="D784" s="1" t="s">
        <v>66</v>
      </c>
      <c r="E784" s="1">
        <f t="shared" si="2"/>
        <v>21.25</v>
      </c>
      <c r="F784" s="1">
        <f t="shared" si="3"/>
        <v>1.18</v>
      </c>
      <c r="G784" s="1">
        <v>18.0</v>
      </c>
      <c r="H784" s="1">
        <v>0.0</v>
      </c>
      <c r="I784" s="1">
        <v>3.0</v>
      </c>
      <c r="J784" s="1">
        <v>3.0</v>
      </c>
      <c r="K784" s="1">
        <v>16.0</v>
      </c>
      <c r="L784" s="1">
        <v>0.0</v>
      </c>
      <c r="M784" s="1">
        <v>0.0</v>
      </c>
      <c r="N784" s="1">
        <v>0.0</v>
      </c>
      <c r="O784" s="1">
        <v>0.0</v>
      </c>
      <c r="P784" s="1">
        <v>3.0</v>
      </c>
      <c r="Q784" s="1">
        <v>7.0</v>
      </c>
    </row>
    <row r="785">
      <c r="A785" s="1">
        <f t="shared" si="1"/>
        <v>783</v>
      </c>
      <c r="B785" s="1" t="s">
        <v>1646</v>
      </c>
      <c r="C785" s="1" t="s">
        <v>1067</v>
      </c>
      <c r="D785" s="1" t="s">
        <v>66</v>
      </c>
      <c r="E785" s="1">
        <f t="shared" si="2"/>
        <v>21</v>
      </c>
      <c r="F785" s="1">
        <f t="shared" si="3"/>
        <v>1.75</v>
      </c>
      <c r="G785" s="1">
        <v>12.0</v>
      </c>
      <c r="H785" s="1">
        <v>0.0</v>
      </c>
      <c r="I785" s="1">
        <v>2.0</v>
      </c>
      <c r="J785" s="1">
        <v>2.0</v>
      </c>
      <c r="K785" s="1">
        <v>10.0</v>
      </c>
      <c r="L785" s="1">
        <v>0.0</v>
      </c>
      <c r="M785" s="1">
        <v>0.0</v>
      </c>
      <c r="N785" s="1">
        <v>0.0</v>
      </c>
      <c r="O785" s="1">
        <v>0.0</v>
      </c>
      <c r="P785" s="1">
        <v>20.0</v>
      </c>
      <c r="Q785" s="1">
        <v>10.0</v>
      </c>
    </row>
    <row r="786">
      <c r="A786" s="1">
        <f t="shared" si="1"/>
        <v>784</v>
      </c>
      <c r="B786" s="1" t="s">
        <v>1798</v>
      </c>
      <c r="C786" s="1" t="s">
        <v>1052</v>
      </c>
      <c r="D786" s="1" t="s">
        <v>36</v>
      </c>
      <c r="E786" s="1">
        <f t="shared" si="2"/>
        <v>20.75</v>
      </c>
      <c r="F786" s="1">
        <f t="shared" si="3"/>
        <v>2.59</v>
      </c>
      <c r="G786" s="1">
        <v>8.0</v>
      </c>
      <c r="H786" s="1">
        <v>2.0</v>
      </c>
      <c r="I786" s="1">
        <v>2.0</v>
      </c>
      <c r="J786" s="1">
        <v>4.0</v>
      </c>
      <c r="K786" s="1">
        <v>8.0</v>
      </c>
      <c r="L786" s="1">
        <v>0.0</v>
      </c>
      <c r="M786" s="1">
        <v>1.0</v>
      </c>
      <c r="N786" s="1">
        <v>0.0</v>
      </c>
      <c r="O786" s="1">
        <v>0.0</v>
      </c>
      <c r="P786" s="1">
        <v>7.0</v>
      </c>
      <c r="Q786" s="1">
        <v>0.0</v>
      </c>
    </row>
    <row r="787">
      <c r="A787" s="1">
        <f t="shared" si="1"/>
        <v>785</v>
      </c>
      <c r="B787" s="1" t="s">
        <v>2511</v>
      </c>
      <c r="C787" s="1" t="s">
        <v>1038</v>
      </c>
      <c r="D787" s="1" t="s">
        <v>5</v>
      </c>
      <c r="E787" s="1">
        <f t="shared" si="2"/>
        <v>20.1</v>
      </c>
      <c r="F787" s="1">
        <f t="shared" si="3"/>
        <v>4.02</v>
      </c>
      <c r="G787" s="1">
        <v>5.0</v>
      </c>
      <c r="R787" s="1">
        <v>2.0</v>
      </c>
      <c r="S787" s="1">
        <v>17.0</v>
      </c>
      <c r="T787" s="1">
        <v>132.0</v>
      </c>
      <c r="U787" s="1">
        <v>0.0</v>
      </c>
    </row>
    <row r="788">
      <c r="A788" s="1">
        <f t="shared" si="1"/>
        <v>786</v>
      </c>
      <c r="B788" s="1" t="s">
        <v>1503</v>
      </c>
      <c r="C788" s="1" t="s">
        <v>1030</v>
      </c>
      <c r="D788" s="1" t="s">
        <v>31</v>
      </c>
      <c r="E788" s="1">
        <f t="shared" si="2"/>
        <v>20</v>
      </c>
      <c r="F788" s="1">
        <f t="shared" si="3"/>
        <v>1.67</v>
      </c>
      <c r="G788" s="1">
        <v>12.0</v>
      </c>
      <c r="H788" s="1">
        <v>0.0</v>
      </c>
      <c r="I788" s="1">
        <v>3.0</v>
      </c>
      <c r="J788" s="1">
        <v>3.0</v>
      </c>
      <c r="K788" s="1">
        <v>6.0</v>
      </c>
      <c r="L788" s="1">
        <v>0.0</v>
      </c>
      <c r="M788" s="1">
        <v>0.0</v>
      </c>
      <c r="N788" s="1">
        <v>0.0</v>
      </c>
      <c r="O788" s="1">
        <v>0.0</v>
      </c>
      <c r="P788" s="1">
        <v>28.0</v>
      </c>
      <c r="Q788" s="1">
        <v>2.0</v>
      </c>
    </row>
    <row r="789">
      <c r="A789" s="1">
        <f t="shared" si="1"/>
        <v>786</v>
      </c>
      <c r="B789" s="1" t="s">
        <v>2512</v>
      </c>
      <c r="C789" s="1" t="s">
        <v>1156</v>
      </c>
      <c r="D789" s="1" t="s">
        <v>28</v>
      </c>
      <c r="E789" s="1">
        <f t="shared" si="2"/>
        <v>20</v>
      </c>
      <c r="F789" s="1">
        <f t="shared" si="3"/>
        <v>2.22</v>
      </c>
      <c r="G789" s="1">
        <v>9.0</v>
      </c>
      <c r="H789" s="1">
        <v>1.0</v>
      </c>
      <c r="I789" s="1">
        <v>2.0</v>
      </c>
      <c r="J789" s="1">
        <v>3.0</v>
      </c>
      <c r="K789" s="1">
        <v>9.0</v>
      </c>
      <c r="L789" s="1">
        <v>0.0</v>
      </c>
      <c r="M789" s="1">
        <v>0.0</v>
      </c>
      <c r="N789" s="1">
        <v>0.0</v>
      </c>
      <c r="O789" s="1">
        <v>1.0</v>
      </c>
      <c r="P789" s="1">
        <v>8.0</v>
      </c>
      <c r="Q789" s="1">
        <v>2.0</v>
      </c>
    </row>
    <row r="790">
      <c r="A790" s="1">
        <f t="shared" si="1"/>
        <v>788</v>
      </c>
      <c r="B790" s="1" t="s">
        <v>1972</v>
      </c>
      <c r="C790" s="1" t="s">
        <v>1048</v>
      </c>
      <c r="D790" s="1" t="s">
        <v>28</v>
      </c>
      <c r="E790" s="1">
        <f t="shared" si="2"/>
        <v>19.75</v>
      </c>
      <c r="F790" s="1">
        <f t="shared" si="3"/>
        <v>2.82</v>
      </c>
      <c r="G790" s="1">
        <v>7.0</v>
      </c>
      <c r="H790" s="1">
        <v>0.0</v>
      </c>
      <c r="I790" s="1">
        <v>4.0</v>
      </c>
      <c r="J790" s="1">
        <v>4.0</v>
      </c>
      <c r="K790" s="1">
        <v>6.0</v>
      </c>
      <c r="L790" s="1">
        <v>0.0</v>
      </c>
      <c r="M790" s="1">
        <v>0.0</v>
      </c>
      <c r="N790" s="1">
        <v>0.0</v>
      </c>
      <c r="O790" s="1">
        <v>0.0</v>
      </c>
      <c r="P790" s="1">
        <v>15.0</v>
      </c>
      <c r="Q790" s="1">
        <v>2.0</v>
      </c>
    </row>
    <row r="791">
      <c r="A791" s="1">
        <f t="shared" si="1"/>
        <v>788</v>
      </c>
      <c r="B791" s="1" t="s">
        <v>1800</v>
      </c>
      <c r="C791" s="1" t="s">
        <v>1116</v>
      </c>
      <c r="D791" s="1" t="s">
        <v>31</v>
      </c>
      <c r="E791" s="1">
        <f t="shared" si="2"/>
        <v>19.75</v>
      </c>
      <c r="F791" s="1">
        <f t="shared" si="3"/>
        <v>0.76</v>
      </c>
      <c r="G791" s="1">
        <v>26.0</v>
      </c>
      <c r="H791" s="1">
        <v>1.0</v>
      </c>
      <c r="I791" s="1">
        <v>1.0</v>
      </c>
      <c r="J791" s="1">
        <v>2.0</v>
      </c>
      <c r="K791" s="1">
        <v>16.0</v>
      </c>
      <c r="L791" s="1">
        <v>0.0</v>
      </c>
      <c r="M791" s="1">
        <v>0.0</v>
      </c>
      <c r="N791" s="1">
        <v>0.0</v>
      </c>
      <c r="O791" s="1">
        <v>0.0</v>
      </c>
      <c r="P791" s="1">
        <v>11.0</v>
      </c>
      <c r="Q791" s="1">
        <v>3.0</v>
      </c>
    </row>
    <row r="792">
      <c r="A792" s="1">
        <f t="shared" si="1"/>
        <v>790</v>
      </c>
      <c r="B792" s="1" t="s">
        <v>2153</v>
      </c>
      <c r="C792" s="1" t="s">
        <v>1111</v>
      </c>
      <c r="D792" s="1" t="s">
        <v>66</v>
      </c>
      <c r="E792" s="1">
        <f t="shared" si="2"/>
        <v>19.5</v>
      </c>
      <c r="F792" s="1">
        <f t="shared" si="3"/>
        <v>2.79</v>
      </c>
      <c r="G792" s="1">
        <v>7.0</v>
      </c>
      <c r="H792" s="1">
        <v>0.0</v>
      </c>
      <c r="I792" s="1">
        <v>3.0</v>
      </c>
      <c r="J792" s="1">
        <v>3.0</v>
      </c>
      <c r="K792" s="1">
        <v>10.0</v>
      </c>
      <c r="L792" s="1">
        <v>0.0</v>
      </c>
      <c r="M792" s="1">
        <v>0.0</v>
      </c>
      <c r="N792" s="1">
        <v>0.0</v>
      </c>
      <c r="O792" s="1">
        <v>0.0</v>
      </c>
      <c r="P792" s="1">
        <v>6.0</v>
      </c>
      <c r="Q792" s="1">
        <v>8.0</v>
      </c>
    </row>
    <row r="793">
      <c r="A793" s="1">
        <f t="shared" si="1"/>
        <v>790</v>
      </c>
      <c r="B793" s="1" t="s">
        <v>2078</v>
      </c>
      <c r="C793" s="1" t="s">
        <v>1073</v>
      </c>
      <c r="D793" s="1" t="s">
        <v>28</v>
      </c>
      <c r="E793" s="1">
        <f t="shared" si="2"/>
        <v>19.5</v>
      </c>
      <c r="F793" s="1">
        <f t="shared" si="3"/>
        <v>1.63</v>
      </c>
      <c r="G793" s="1">
        <v>12.0</v>
      </c>
      <c r="H793" s="1">
        <v>2.0</v>
      </c>
      <c r="I793" s="1">
        <v>1.0</v>
      </c>
      <c r="J793" s="1">
        <v>3.0</v>
      </c>
      <c r="K793" s="1">
        <v>5.0</v>
      </c>
      <c r="L793" s="1">
        <v>0.0</v>
      </c>
      <c r="M793" s="1">
        <v>0.0</v>
      </c>
      <c r="N793" s="1">
        <v>0.0</v>
      </c>
      <c r="O793" s="1">
        <v>0.0</v>
      </c>
      <c r="P793" s="1">
        <v>16.0</v>
      </c>
      <c r="Q793" s="1">
        <v>2.0</v>
      </c>
    </row>
    <row r="794">
      <c r="A794" s="1">
        <f t="shared" si="1"/>
        <v>790</v>
      </c>
      <c r="B794" s="1" t="s">
        <v>2223</v>
      </c>
      <c r="C794" s="1" t="s">
        <v>1078</v>
      </c>
      <c r="D794" s="1" t="s">
        <v>66</v>
      </c>
      <c r="E794" s="1">
        <f t="shared" si="2"/>
        <v>19.5</v>
      </c>
      <c r="F794" s="1">
        <f t="shared" si="3"/>
        <v>1.5</v>
      </c>
      <c r="G794" s="1">
        <v>13.0</v>
      </c>
      <c r="H794" s="1">
        <v>0.0</v>
      </c>
      <c r="I794" s="1">
        <v>1.0</v>
      </c>
      <c r="J794" s="1">
        <v>1.0</v>
      </c>
      <c r="K794" s="1">
        <v>11.0</v>
      </c>
      <c r="L794" s="1">
        <v>0.0</v>
      </c>
      <c r="M794" s="1">
        <v>0.0</v>
      </c>
      <c r="N794" s="1">
        <v>0.0</v>
      </c>
      <c r="O794" s="1">
        <v>0.0</v>
      </c>
      <c r="P794" s="1">
        <v>14.0</v>
      </c>
      <c r="Q794" s="1">
        <v>15.0</v>
      </c>
    </row>
    <row r="795">
      <c r="A795" s="1">
        <f t="shared" si="1"/>
        <v>793</v>
      </c>
      <c r="B795" s="1" t="s">
        <v>1713</v>
      </c>
      <c r="C795" s="1" t="s">
        <v>1087</v>
      </c>
      <c r="D795" s="1" t="s">
        <v>28</v>
      </c>
      <c r="E795" s="1">
        <f t="shared" si="2"/>
        <v>19.25</v>
      </c>
      <c r="F795" s="1">
        <f t="shared" si="3"/>
        <v>1.6</v>
      </c>
      <c r="G795" s="1">
        <v>12.0</v>
      </c>
      <c r="H795" s="1">
        <v>0.0</v>
      </c>
      <c r="I795" s="1">
        <v>1.0</v>
      </c>
      <c r="J795" s="1">
        <v>1.0</v>
      </c>
      <c r="K795" s="1">
        <v>5.0</v>
      </c>
      <c r="L795" s="1">
        <v>0.0</v>
      </c>
      <c r="M795" s="1">
        <v>0.0</v>
      </c>
      <c r="N795" s="1">
        <v>0.0</v>
      </c>
      <c r="O795" s="1">
        <v>0.0</v>
      </c>
      <c r="P795" s="1">
        <v>43.0</v>
      </c>
      <c r="Q795" s="1">
        <v>6.0</v>
      </c>
    </row>
    <row r="796">
      <c r="A796" s="1">
        <f t="shared" si="1"/>
        <v>793</v>
      </c>
      <c r="B796" s="1" t="s">
        <v>2513</v>
      </c>
      <c r="C796" s="1" t="s">
        <v>1106</v>
      </c>
      <c r="D796" s="1" t="s">
        <v>66</v>
      </c>
      <c r="E796" s="1">
        <f t="shared" si="2"/>
        <v>19.25</v>
      </c>
      <c r="F796" s="1">
        <f t="shared" si="3"/>
        <v>1.6</v>
      </c>
      <c r="G796" s="1">
        <v>12.0</v>
      </c>
      <c r="H796" s="1">
        <v>0.0</v>
      </c>
      <c r="I796" s="1">
        <v>2.0</v>
      </c>
      <c r="J796" s="1">
        <v>2.0</v>
      </c>
      <c r="K796" s="1">
        <v>6.0</v>
      </c>
      <c r="L796" s="1">
        <v>0.0</v>
      </c>
      <c r="M796" s="1">
        <v>0.0</v>
      </c>
      <c r="N796" s="1">
        <v>0.0</v>
      </c>
      <c r="O796" s="1">
        <v>0.0</v>
      </c>
      <c r="P796" s="1">
        <v>9.0</v>
      </c>
      <c r="Q796" s="1">
        <v>16.0</v>
      </c>
    </row>
    <row r="797">
      <c r="A797" s="1">
        <f t="shared" si="1"/>
        <v>793</v>
      </c>
      <c r="B797" s="1" t="s">
        <v>2514</v>
      </c>
      <c r="C797" s="1" t="s">
        <v>1054</v>
      </c>
      <c r="D797" s="1" t="s">
        <v>31</v>
      </c>
      <c r="E797" s="1">
        <f t="shared" si="2"/>
        <v>19.25</v>
      </c>
      <c r="F797" s="1">
        <f t="shared" si="3"/>
        <v>1.38</v>
      </c>
      <c r="G797" s="1">
        <v>14.0</v>
      </c>
      <c r="H797" s="1">
        <v>1.0</v>
      </c>
      <c r="I797" s="1">
        <v>0.0</v>
      </c>
      <c r="J797" s="1">
        <v>1.0</v>
      </c>
      <c r="K797" s="1">
        <v>11.0</v>
      </c>
      <c r="L797" s="1">
        <v>0.0</v>
      </c>
      <c r="M797" s="1">
        <v>0.0</v>
      </c>
      <c r="N797" s="1">
        <v>0.0</v>
      </c>
      <c r="O797" s="1">
        <v>0.0</v>
      </c>
      <c r="P797" s="1">
        <v>29.0</v>
      </c>
      <c r="Q797" s="1">
        <v>4.0</v>
      </c>
    </row>
    <row r="798">
      <c r="A798" s="1">
        <f t="shared" si="1"/>
        <v>796</v>
      </c>
      <c r="B798" s="1" t="s">
        <v>2263</v>
      </c>
      <c r="C798" s="1" t="s">
        <v>1067</v>
      </c>
      <c r="D798" s="1" t="s">
        <v>31</v>
      </c>
      <c r="E798" s="1">
        <f t="shared" si="2"/>
        <v>19</v>
      </c>
      <c r="F798" s="1">
        <f t="shared" si="3"/>
        <v>2.11</v>
      </c>
      <c r="G798" s="1">
        <v>9.0</v>
      </c>
      <c r="H798" s="1">
        <v>1.0</v>
      </c>
      <c r="I798" s="1">
        <v>2.0</v>
      </c>
      <c r="J798" s="1">
        <v>3.0</v>
      </c>
      <c r="K798" s="1">
        <v>5.0</v>
      </c>
      <c r="L798" s="1">
        <v>0.0</v>
      </c>
      <c r="M798" s="1">
        <v>0.0</v>
      </c>
      <c r="N798" s="1">
        <v>0.0</v>
      </c>
      <c r="O798" s="1">
        <v>0.0</v>
      </c>
      <c r="P798" s="1">
        <v>4.0</v>
      </c>
      <c r="Q798" s="1">
        <v>10.0</v>
      </c>
    </row>
    <row r="799">
      <c r="A799" s="1">
        <f t="shared" si="1"/>
        <v>796</v>
      </c>
      <c r="B799" s="1" t="s">
        <v>2515</v>
      </c>
      <c r="C799" s="1" t="s">
        <v>1106</v>
      </c>
      <c r="D799" s="1" t="s">
        <v>31</v>
      </c>
      <c r="E799" s="1">
        <f t="shared" si="2"/>
        <v>19</v>
      </c>
      <c r="F799" s="1">
        <f t="shared" si="3"/>
        <v>1.46</v>
      </c>
      <c r="G799" s="1">
        <v>13.0</v>
      </c>
      <c r="H799" s="1">
        <v>0.0</v>
      </c>
      <c r="I799" s="1">
        <v>1.0</v>
      </c>
      <c r="J799" s="1">
        <v>1.0</v>
      </c>
      <c r="K799" s="1">
        <v>13.0</v>
      </c>
      <c r="L799" s="1">
        <v>0.0</v>
      </c>
      <c r="M799" s="1">
        <v>0.0</v>
      </c>
      <c r="N799" s="1">
        <v>0.0</v>
      </c>
      <c r="O799" s="1">
        <v>0.0</v>
      </c>
      <c r="P799" s="1">
        <v>22.0</v>
      </c>
      <c r="Q799" s="1">
        <v>8.0</v>
      </c>
    </row>
    <row r="800">
      <c r="A800" s="1">
        <f t="shared" si="1"/>
        <v>798</v>
      </c>
      <c r="B800" s="1" t="s">
        <v>2260</v>
      </c>
      <c r="C800" s="1" t="s">
        <v>1042</v>
      </c>
      <c r="D800" s="1" t="s">
        <v>66</v>
      </c>
      <c r="E800" s="1">
        <f t="shared" si="2"/>
        <v>18.75</v>
      </c>
      <c r="F800" s="1">
        <f t="shared" si="3"/>
        <v>1.17</v>
      </c>
      <c r="G800" s="1">
        <v>16.0</v>
      </c>
      <c r="H800" s="1">
        <v>0.0</v>
      </c>
      <c r="I800" s="1">
        <v>1.0</v>
      </c>
      <c r="J800" s="1">
        <v>1.0</v>
      </c>
      <c r="K800" s="1">
        <v>19.0</v>
      </c>
      <c r="L800" s="1">
        <v>0.0</v>
      </c>
      <c r="M800" s="1">
        <v>0.0</v>
      </c>
      <c r="N800" s="1">
        <v>0.0</v>
      </c>
      <c r="O800" s="1">
        <v>0.0</v>
      </c>
      <c r="P800" s="1">
        <v>11.0</v>
      </c>
      <c r="Q800" s="1">
        <v>7.0</v>
      </c>
    </row>
    <row r="801">
      <c r="A801" s="1">
        <f t="shared" si="1"/>
        <v>799</v>
      </c>
      <c r="B801" s="1" t="s">
        <v>2435</v>
      </c>
      <c r="C801" s="1" t="s">
        <v>1175</v>
      </c>
      <c r="D801" s="1" t="s">
        <v>36</v>
      </c>
      <c r="E801" s="1">
        <f t="shared" si="2"/>
        <v>18.5</v>
      </c>
      <c r="F801" s="1">
        <f t="shared" si="3"/>
        <v>1.68</v>
      </c>
      <c r="G801" s="1">
        <v>11.0</v>
      </c>
      <c r="H801" s="1">
        <v>0.0</v>
      </c>
      <c r="I801" s="1">
        <v>0.0</v>
      </c>
      <c r="J801" s="1">
        <v>0.0</v>
      </c>
      <c r="K801" s="1">
        <v>4.0</v>
      </c>
      <c r="L801" s="1">
        <v>0.0</v>
      </c>
      <c r="M801" s="1">
        <v>0.0</v>
      </c>
      <c r="N801" s="1">
        <v>0.0</v>
      </c>
      <c r="O801" s="1">
        <v>0.0</v>
      </c>
      <c r="P801" s="1">
        <v>46.0</v>
      </c>
      <c r="Q801" s="1">
        <v>10.0</v>
      </c>
    </row>
    <row r="802">
      <c r="A802" s="1">
        <f t="shared" si="1"/>
        <v>799</v>
      </c>
      <c r="B802" s="1" t="s">
        <v>2155</v>
      </c>
      <c r="C802" s="1" t="s">
        <v>1078</v>
      </c>
      <c r="D802" s="1" t="s">
        <v>36</v>
      </c>
      <c r="E802" s="1">
        <f t="shared" si="2"/>
        <v>18.5</v>
      </c>
      <c r="F802" s="1">
        <f t="shared" si="3"/>
        <v>1.42</v>
      </c>
      <c r="G802" s="1">
        <v>13.0</v>
      </c>
      <c r="H802" s="1">
        <v>1.0</v>
      </c>
      <c r="I802" s="1">
        <v>0.0</v>
      </c>
      <c r="J802" s="1">
        <v>1.0</v>
      </c>
      <c r="K802" s="1">
        <v>18.0</v>
      </c>
      <c r="L802" s="1">
        <v>0.0</v>
      </c>
      <c r="M802" s="1">
        <v>0.0</v>
      </c>
      <c r="N802" s="1">
        <v>0.0</v>
      </c>
      <c r="O802" s="1">
        <v>0.0</v>
      </c>
      <c r="P802" s="1">
        <v>8.0</v>
      </c>
      <c r="Q802" s="1">
        <v>6.0</v>
      </c>
    </row>
    <row r="803">
      <c r="A803" s="1">
        <f t="shared" si="1"/>
        <v>801</v>
      </c>
      <c r="B803" s="1" t="s">
        <v>1330</v>
      </c>
      <c r="C803" s="1" t="s">
        <v>1067</v>
      </c>
      <c r="D803" s="1" t="s">
        <v>66</v>
      </c>
      <c r="E803" s="1">
        <f t="shared" si="2"/>
        <v>18</v>
      </c>
      <c r="F803" s="1">
        <f t="shared" si="3"/>
        <v>1.8</v>
      </c>
      <c r="G803" s="1">
        <v>10.0</v>
      </c>
      <c r="H803" s="1">
        <v>0.0</v>
      </c>
      <c r="I803" s="1">
        <v>0.0</v>
      </c>
      <c r="J803" s="1">
        <v>0.0</v>
      </c>
      <c r="K803" s="1">
        <v>7.0</v>
      </c>
      <c r="L803" s="1">
        <v>0.0</v>
      </c>
      <c r="M803" s="1">
        <v>0.0</v>
      </c>
      <c r="N803" s="1">
        <v>0.0</v>
      </c>
      <c r="O803" s="1">
        <v>0.0</v>
      </c>
      <c r="P803" s="1">
        <v>30.0</v>
      </c>
      <c r="Q803" s="1">
        <v>14.0</v>
      </c>
    </row>
    <row r="804">
      <c r="A804" s="1">
        <f t="shared" si="1"/>
        <v>802</v>
      </c>
      <c r="B804" s="1" t="s">
        <v>2058</v>
      </c>
      <c r="C804" s="1" t="s">
        <v>1038</v>
      </c>
      <c r="D804" s="1" t="s">
        <v>28</v>
      </c>
      <c r="E804" s="1">
        <f t="shared" si="2"/>
        <v>17.75</v>
      </c>
      <c r="F804" s="1">
        <f t="shared" si="3"/>
        <v>1.78</v>
      </c>
      <c r="G804" s="1">
        <v>10.0</v>
      </c>
      <c r="H804" s="1">
        <v>1.0</v>
      </c>
      <c r="I804" s="1">
        <v>0.0</v>
      </c>
      <c r="J804" s="1">
        <v>1.0</v>
      </c>
      <c r="K804" s="1">
        <v>10.0</v>
      </c>
      <c r="L804" s="1">
        <v>0.0</v>
      </c>
      <c r="M804" s="1">
        <v>0.0</v>
      </c>
      <c r="N804" s="1">
        <v>0.0</v>
      </c>
      <c r="O804" s="1">
        <v>0.0</v>
      </c>
      <c r="P804" s="1">
        <v>25.0</v>
      </c>
      <c r="Q804" s="1">
        <v>4.0</v>
      </c>
    </row>
    <row r="805">
      <c r="A805" s="1">
        <f t="shared" si="1"/>
        <v>802</v>
      </c>
      <c r="B805" s="1" t="s">
        <v>1516</v>
      </c>
      <c r="C805" s="1" t="s">
        <v>1046</v>
      </c>
      <c r="D805" s="1" t="s">
        <v>66</v>
      </c>
      <c r="E805" s="1">
        <f t="shared" si="2"/>
        <v>17.75</v>
      </c>
      <c r="F805" s="1">
        <f t="shared" si="3"/>
        <v>0.99</v>
      </c>
      <c r="G805" s="1">
        <v>18.0</v>
      </c>
      <c r="H805" s="1">
        <v>0.0</v>
      </c>
      <c r="I805" s="1">
        <v>1.0</v>
      </c>
      <c r="J805" s="1">
        <v>1.0</v>
      </c>
      <c r="K805" s="1">
        <v>14.0</v>
      </c>
      <c r="L805" s="1">
        <v>0.0</v>
      </c>
      <c r="M805" s="1">
        <v>0.0</v>
      </c>
      <c r="N805" s="1">
        <v>0.0</v>
      </c>
      <c r="O805" s="1">
        <v>0.0</v>
      </c>
      <c r="P805" s="1">
        <v>11.0</v>
      </c>
      <c r="Q805" s="1">
        <v>10.0</v>
      </c>
    </row>
    <row r="806">
      <c r="A806" s="1">
        <f t="shared" si="1"/>
        <v>804</v>
      </c>
      <c r="B806" s="1" t="s">
        <v>2106</v>
      </c>
      <c r="C806" s="1" t="s">
        <v>1156</v>
      </c>
      <c r="D806" s="1" t="s">
        <v>66</v>
      </c>
      <c r="E806" s="1">
        <f t="shared" si="2"/>
        <v>17.5</v>
      </c>
      <c r="F806" s="1">
        <f t="shared" si="3"/>
        <v>1.94</v>
      </c>
      <c r="G806" s="1">
        <v>9.0</v>
      </c>
      <c r="H806" s="1">
        <v>1.0</v>
      </c>
      <c r="I806" s="1">
        <v>0.0</v>
      </c>
      <c r="J806" s="1">
        <v>1.0</v>
      </c>
      <c r="K806" s="1">
        <v>16.0</v>
      </c>
      <c r="L806" s="1">
        <v>0.0</v>
      </c>
      <c r="M806" s="1">
        <v>0.0</v>
      </c>
      <c r="N806" s="1">
        <v>0.0</v>
      </c>
      <c r="O806" s="1">
        <v>0.0</v>
      </c>
      <c r="P806" s="1">
        <v>12.0</v>
      </c>
      <c r="Q806" s="1">
        <v>4.0</v>
      </c>
    </row>
    <row r="807">
      <c r="A807" s="1">
        <f t="shared" si="1"/>
        <v>805</v>
      </c>
      <c r="B807" s="1" t="s">
        <v>2076</v>
      </c>
      <c r="C807" s="1" t="s">
        <v>1030</v>
      </c>
      <c r="D807" s="1" t="s">
        <v>28</v>
      </c>
      <c r="E807" s="1">
        <f t="shared" si="2"/>
        <v>17</v>
      </c>
      <c r="F807" s="1">
        <f t="shared" si="3"/>
        <v>2.43</v>
      </c>
      <c r="G807" s="1">
        <v>7.0</v>
      </c>
      <c r="H807" s="1">
        <v>0.0</v>
      </c>
      <c r="I807" s="1">
        <v>2.0</v>
      </c>
      <c r="J807" s="1">
        <v>2.0</v>
      </c>
      <c r="K807" s="1">
        <v>12.0</v>
      </c>
      <c r="L807" s="1">
        <v>0.0</v>
      </c>
      <c r="M807" s="1">
        <v>0.0</v>
      </c>
      <c r="N807" s="1">
        <v>0.0</v>
      </c>
      <c r="O807" s="1">
        <v>0.0</v>
      </c>
      <c r="P807" s="1">
        <v>14.0</v>
      </c>
      <c r="Q807" s="1">
        <v>3.0</v>
      </c>
    </row>
    <row r="808">
      <c r="A808" s="1">
        <f t="shared" si="1"/>
        <v>805</v>
      </c>
      <c r="B808" s="1" t="s">
        <v>2516</v>
      </c>
      <c r="C808" s="1" t="s">
        <v>1085</v>
      </c>
      <c r="D808" s="1" t="s">
        <v>31</v>
      </c>
      <c r="E808" s="1">
        <f t="shared" si="2"/>
        <v>17</v>
      </c>
      <c r="F808" s="1">
        <f t="shared" si="3"/>
        <v>1.42</v>
      </c>
      <c r="G808" s="1">
        <v>12.0</v>
      </c>
      <c r="H808" s="1">
        <v>2.0</v>
      </c>
      <c r="I808" s="1">
        <v>0.0</v>
      </c>
      <c r="J808" s="1">
        <v>2.0</v>
      </c>
      <c r="K808" s="1">
        <v>8.0</v>
      </c>
      <c r="L808" s="1">
        <v>0.0</v>
      </c>
      <c r="M808" s="1">
        <v>0.0</v>
      </c>
      <c r="N808" s="1">
        <v>0.0</v>
      </c>
      <c r="O808" s="1">
        <v>0.0</v>
      </c>
      <c r="P808" s="1">
        <v>16.0</v>
      </c>
      <c r="Q808" s="1">
        <v>0.0</v>
      </c>
    </row>
    <row r="809">
      <c r="A809" s="1">
        <f t="shared" si="1"/>
        <v>805</v>
      </c>
      <c r="B809" s="1" t="s">
        <v>1608</v>
      </c>
      <c r="C809" s="1" t="s">
        <v>1076</v>
      </c>
      <c r="D809" s="1" t="s">
        <v>66</v>
      </c>
      <c r="E809" s="1">
        <f t="shared" si="2"/>
        <v>17</v>
      </c>
      <c r="F809" s="1">
        <f t="shared" si="3"/>
        <v>1.13</v>
      </c>
      <c r="G809" s="1">
        <v>15.0</v>
      </c>
      <c r="H809" s="1">
        <v>0.0</v>
      </c>
      <c r="I809" s="1">
        <v>0.0</v>
      </c>
      <c r="J809" s="1">
        <v>0.0</v>
      </c>
      <c r="K809" s="1">
        <v>7.0</v>
      </c>
      <c r="L809" s="1">
        <v>0.0</v>
      </c>
      <c r="M809" s="1">
        <v>0.0</v>
      </c>
      <c r="N809" s="1">
        <v>0.0</v>
      </c>
      <c r="O809" s="1">
        <v>0.0</v>
      </c>
      <c r="P809" s="1">
        <v>20.0</v>
      </c>
      <c r="Q809" s="1">
        <v>17.0</v>
      </c>
    </row>
    <row r="810">
      <c r="A810" s="1">
        <f t="shared" si="1"/>
        <v>808</v>
      </c>
      <c r="B810" s="1" t="s">
        <v>2097</v>
      </c>
      <c r="C810" s="1" t="s">
        <v>1082</v>
      </c>
      <c r="D810" s="1" t="s">
        <v>5</v>
      </c>
      <c r="E810" s="1">
        <f t="shared" si="2"/>
        <v>16.5</v>
      </c>
      <c r="F810" s="1">
        <f t="shared" si="3"/>
        <v>4.13</v>
      </c>
      <c r="G810" s="1">
        <v>4.0</v>
      </c>
      <c r="R810" s="1">
        <v>2.0</v>
      </c>
      <c r="S810" s="1">
        <v>6.0</v>
      </c>
      <c r="T810" s="1">
        <v>65.0</v>
      </c>
      <c r="U810" s="1">
        <v>0.0</v>
      </c>
    </row>
    <row r="811">
      <c r="A811" s="1">
        <f t="shared" si="1"/>
        <v>809</v>
      </c>
      <c r="B811" s="1" t="s">
        <v>2517</v>
      </c>
      <c r="C811" s="1" t="s">
        <v>1175</v>
      </c>
      <c r="D811" s="1" t="s">
        <v>31</v>
      </c>
      <c r="E811" s="1">
        <f t="shared" si="2"/>
        <v>16.25</v>
      </c>
      <c r="F811" s="1">
        <f t="shared" si="3"/>
        <v>2.32</v>
      </c>
      <c r="G811" s="1">
        <v>7.0</v>
      </c>
      <c r="H811" s="1">
        <v>1.0</v>
      </c>
      <c r="I811" s="1">
        <v>1.0</v>
      </c>
      <c r="J811" s="1">
        <v>2.0</v>
      </c>
      <c r="K811" s="1">
        <v>13.0</v>
      </c>
      <c r="L811" s="1">
        <v>0.0</v>
      </c>
      <c r="M811" s="1">
        <v>0.0</v>
      </c>
      <c r="N811" s="1">
        <v>0.0</v>
      </c>
      <c r="O811" s="1">
        <v>0.0</v>
      </c>
      <c r="P811" s="1">
        <v>5.0</v>
      </c>
      <c r="Q811" s="1">
        <v>2.0</v>
      </c>
    </row>
    <row r="812">
      <c r="A812" s="1">
        <f t="shared" si="1"/>
        <v>809</v>
      </c>
      <c r="B812" s="1" t="s">
        <v>2042</v>
      </c>
      <c r="C812" s="1" t="s">
        <v>1076</v>
      </c>
      <c r="D812" s="1" t="s">
        <v>36</v>
      </c>
      <c r="E812" s="1">
        <f t="shared" si="2"/>
        <v>16.25</v>
      </c>
      <c r="F812" s="1">
        <f t="shared" si="3"/>
        <v>2.03</v>
      </c>
      <c r="G812" s="1">
        <v>8.0</v>
      </c>
      <c r="H812" s="1">
        <v>1.0</v>
      </c>
      <c r="I812" s="1">
        <v>1.0</v>
      </c>
      <c r="J812" s="1">
        <v>2.0</v>
      </c>
      <c r="K812" s="1">
        <v>7.0</v>
      </c>
      <c r="L812" s="1">
        <v>0.0</v>
      </c>
      <c r="M812" s="1">
        <v>0.0</v>
      </c>
      <c r="N812" s="1">
        <v>0.0</v>
      </c>
      <c r="O812" s="1">
        <v>0.0</v>
      </c>
      <c r="P812" s="1">
        <v>13.0</v>
      </c>
      <c r="Q812" s="1">
        <v>4.0</v>
      </c>
    </row>
    <row r="813">
      <c r="A813" s="1">
        <f t="shared" si="1"/>
        <v>811</v>
      </c>
      <c r="B813" s="1" t="s">
        <v>1530</v>
      </c>
      <c r="C813" s="1" t="s">
        <v>1076</v>
      </c>
      <c r="D813" s="1" t="s">
        <v>66</v>
      </c>
      <c r="E813" s="1">
        <f t="shared" si="2"/>
        <v>16</v>
      </c>
      <c r="F813" s="1">
        <f t="shared" si="3"/>
        <v>2.29</v>
      </c>
      <c r="G813" s="1">
        <v>7.0</v>
      </c>
      <c r="H813" s="1">
        <v>0.0</v>
      </c>
      <c r="I813" s="1">
        <v>2.0</v>
      </c>
      <c r="J813" s="1">
        <v>2.0</v>
      </c>
      <c r="K813" s="1">
        <v>5.0</v>
      </c>
      <c r="L813" s="1">
        <v>0.0</v>
      </c>
      <c r="M813" s="1">
        <v>0.0</v>
      </c>
      <c r="N813" s="1">
        <v>0.0</v>
      </c>
      <c r="O813" s="1">
        <v>0.0</v>
      </c>
      <c r="P813" s="1">
        <v>18.0</v>
      </c>
      <c r="Q813" s="1">
        <v>6.0</v>
      </c>
    </row>
    <row r="814">
      <c r="A814" s="1">
        <f t="shared" si="1"/>
        <v>811</v>
      </c>
      <c r="B814" s="1" t="s">
        <v>1653</v>
      </c>
      <c r="C814" s="1" t="s">
        <v>1106</v>
      </c>
      <c r="D814" s="1" t="s">
        <v>31</v>
      </c>
      <c r="E814" s="1">
        <f t="shared" si="2"/>
        <v>16</v>
      </c>
      <c r="F814" s="1">
        <f t="shared" si="3"/>
        <v>2</v>
      </c>
      <c r="G814" s="1">
        <v>8.0</v>
      </c>
      <c r="H814" s="1">
        <v>1.0</v>
      </c>
      <c r="I814" s="1">
        <v>0.0</v>
      </c>
      <c r="J814" s="1">
        <v>1.0</v>
      </c>
      <c r="K814" s="1">
        <v>10.0</v>
      </c>
      <c r="L814" s="1">
        <v>0.0</v>
      </c>
      <c r="M814" s="1">
        <v>0.0</v>
      </c>
      <c r="N814" s="1">
        <v>0.0</v>
      </c>
      <c r="O814" s="1">
        <v>0.0</v>
      </c>
      <c r="P814" s="1">
        <v>14.0</v>
      </c>
      <c r="Q814" s="1">
        <v>6.0</v>
      </c>
    </row>
    <row r="815">
      <c r="A815" s="1">
        <f t="shared" si="1"/>
        <v>813</v>
      </c>
      <c r="B815" s="1" t="s">
        <v>2518</v>
      </c>
      <c r="C815" s="1" t="s">
        <v>1091</v>
      </c>
      <c r="D815" s="1" t="s">
        <v>66</v>
      </c>
      <c r="E815" s="1">
        <f t="shared" si="2"/>
        <v>15.75</v>
      </c>
      <c r="F815" s="1">
        <f t="shared" si="3"/>
        <v>2.63</v>
      </c>
      <c r="G815" s="1">
        <v>6.0</v>
      </c>
      <c r="H815" s="1">
        <v>1.0</v>
      </c>
      <c r="I815" s="1">
        <v>1.0</v>
      </c>
      <c r="J815" s="1">
        <v>2.0</v>
      </c>
      <c r="K815" s="1">
        <v>5.0</v>
      </c>
      <c r="L815" s="1">
        <v>0.0</v>
      </c>
      <c r="M815" s="1">
        <v>0.0</v>
      </c>
      <c r="N815" s="1">
        <v>0.0</v>
      </c>
      <c r="O815" s="1">
        <v>0.0</v>
      </c>
      <c r="P815" s="1">
        <v>3.0</v>
      </c>
      <c r="Q815" s="1">
        <v>10.0</v>
      </c>
    </row>
    <row r="816">
      <c r="A816" s="1">
        <f t="shared" si="1"/>
        <v>813</v>
      </c>
      <c r="B816" s="1" t="s">
        <v>1296</v>
      </c>
      <c r="C816" s="1" t="s">
        <v>1106</v>
      </c>
      <c r="D816" s="1" t="s">
        <v>28</v>
      </c>
      <c r="E816" s="1">
        <f t="shared" si="2"/>
        <v>15.75</v>
      </c>
      <c r="F816" s="1">
        <f t="shared" si="3"/>
        <v>1.31</v>
      </c>
      <c r="G816" s="1">
        <v>12.0</v>
      </c>
      <c r="H816" s="1">
        <v>1.0</v>
      </c>
      <c r="I816" s="1">
        <v>0.0</v>
      </c>
      <c r="J816" s="1">
        <v>1.0</v>
      </c>
      <c r="K816" s="1">
        <v>9.0</v>
      </c>
      <c r="L816" s="1">
        <v>0.0</v>
      </c>
      <c r="M816" s="1">
        <v>0.0</v>
      </c>
      <c r="N816" s="1">
        <v>0.0</v>
      </c>
      <c r="O816" s="1">
        <v>0.0</v>
      </c>
      <c r="P816" s="1">
        <v>23.0</v>
      </c>
      <c r="Q816" s="1">
        <v>2.0</v>
      </c>
    </row>
    <row r="817">
      <c r="A817" s="1">
        <f t="shared" si="1"/>
        <v>815</v>
      </c>
      <c r="B817" s="1" t="s">
        <v>1225</v>
      </c>
      <c r="C817" s="1" t="s">
        <v>1085</v>
      </c>
      <c r="D817" s="1" t="s">
        <v>31</v>
      </c>
      <c r="E817" s="1">
        <f t="shared" si="2"/>
        <v>15.5</v>
      </c>
      <c r="F817" s="1">
        <f t="shared" si="3"/>
        <v>5.17</v>
      </c>
      <c r="G817" s="1">
        <v>3.0</v>
      </c>
      <c r="H817" s="1">
        <v>2.0</v>
      </c>
      <c r="I817" s="1">
        <v>0.0</v>
      </c>
      <c r="J817" s="1">
        <v>2.0</v>
      </c>
      <c r="K817" s="1">
        <v>8.0</v>
      </c>
      <c r="L817" s="1">
        <v>0.0</v>
      </c>
      <c r="M817" s="1">
        <v>0.0</v>
      </c>
      <c r="N817" s="1">
        <v>0.0</v>
      </c>
      <c r="O817" s="1">
        <v>0.0</v>
      </c>
      <c r="P817" s="1">
        <v>8.0</v>
      </c>
      <c r="Q817" s="1">
        <v>1.0</v>
      </c>
    </row>
    <row r="818">
      <c r="A818" s="1">
        <f t="shared" si="1"/>
        <v>815</v>
      </c>
      <c r="B818" s="1" t="s">
        <v>2188</v>
      </c>
      <c r="C818" s="1" t="s">
        <v>1048</v>
      </c>
      <c r="D818" s="1" t="s">
        <v>28</v>
      </c>
      <c r="E818" s="1">
        <f t="shared" si="2"/>
        <v>15.5</v>
      </c>
      <c r="F818" s="1">
        <f t="shared" si="3"/>
        <v>1.72</v>
      </c>
      <c r="G818" s="1">
        <v>9.0</v>
      </c>
      <c r="H818" s="1">
        <v>1.0</v>
      </c>
      <c r="I818" s="1">
        <v>1.0</v>
      </c>
      <c r="J818" s="1">
        <v>2.0</v>
      </c>
      <c r="K818" s="1">
        <v>15.0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1.0</v>
      </c>
    </row>
    <row r="819">
      <c r="A819" s="1">
        <f t="shared" si="1"/>
        <v>815</v>
      </c>
      <c r="B819" s="1" t="s">
        <v>2132</v>
      </c>
      <c r="C819" s="1" t="s">
        <v>1054</v>
      </c>
      <c r="D819" s="1" t="s">
        <v>66</v>
      </c>
      <c r="E819" s="1">
        <f t="shared" si="2"/>
        <v>15.5</v>
      </c>
      <c r="F819" s="1">
        <f t="shared" si="3"/>
        <v>1.29</v>
      </c>
      <c r="G819" s="1">
        <v>12.0</v>
      </c>
      <c r="H819" s="1">
        <v>1.0</v>
      </c>
      <c r="I819" s="1">
        <v>0.0</v>
      </c>
      <c r="J819" s="1">
        <v>1.0</v>
      </c>
      <c r="K819" s="1">
        <v>14.0</v>
      </c>
      <c r="L819" s="1">
        <v>0.0</v>
      </c>
      <c r="M819" s="1">
        <v>0.0</v>
      </c>
      <c r="N819" s="1">
        <v>0.0</v>
      </c>
      <c r="O819" s="1">
        <v>0.0</v>
      </c>
      <c r="P819" s="1">
        <v>4.0</v>
      </c>
      <c r="Q819" s="1">
        <v>6.0</v>
      </c>
    </row>
    <row r="820">
      <c r="A820" s="1">
        <f t="shared" si="1"/>
        <v>818</v>
      </c>
      <c r="B820" s="1" t="s">
        <v>2519</v>
      </c>
      <c r="C820" s="1" t="s">
        <v>1078</v>
      </c>
      <c r="D820" s="1" t="s">
        <v>5</v>
      </c>
      <c r="E820" s="1">
        <f t="shared" si="2"/>
        <v>15.3</v>
      </c>
      <c r="F820" s="1">
        <f t="shared" si="3"/>
        <v>7.65</v>
      </c>
      <c r="G820" s="1">
        <v>2.0</v>
      </c>
      <c r="R820" s="1">
        <v>1.0</v>
      </c>
      <c r="S820" s="1">
        <v>6.0</v>
      </c>
      <c r="T820" s="1">
        <v>71.0</v>
      </c>
      <c r="U820" s="1">
        <v>0.0</v>
      </c>
    </row>
    <row r="821">
      <c r="A821" s="1">
        <f t="shared" si="1"/>
        <v>819</v>
      </c>
      <c r="B821" s="1" t="s">
        <v>1666</v>
      </c>
      <c r="C821" s="1" t="s">
        <v>1120</v>
      </c>
      <c r="D821" s="1" t="s">
        <v>5</v>
      </c>
      <c r="E821" s="1">
        <f t="shared" si="2"/>
        <v>15.3</v>
      </c>
      <c r="F821" s="1">
        <f t="shared" si="3"/>
        <v>2.55</v>
      </c>
      <c r="G821" s="1">
        <v>6.0</v>
      </c>
      <c r="R821" s="1">
        <v>2.0</v>
      </c>
      <c r="S821" s="1">
        <v>16.0</v>
      </c>
      <c r="T821" s="1">
        <v>111.0</v>
      </c>
      <c r="U821" s="1">
        <v>0.0</v>
      </c>
    </row>
    <row r="822">
      <c r="A822" s="1">
        <f t="shared" si="1"/>
        <v>820</v>
      </c>
      <c r="B822" s="1" t="s">
        <v>2370</v>
      </c>
      <c r="C822" s="1" t="s">
        <v>1038</v>
      </c>
      <c r="D822" s="1" t="s">
        <v>66</v>
      </c>
      <c r="E822" s="1">
        <f t="shared" si="2"/>
        <v>15.25</v>
      </c>
      <c r="F822" s="1">
        <f t="shared" si="3"/>
        <v>3.05</v>
      </c>
      <c r="G822" s="1">
        <v>5.0</v>
      </c>
      <c r="H822" s="1">
        <v>0.0</v>
      </c>
      <c r="I822" s="1">
        <v>2.0</v>
      </c>
      <c r="J822" s="1">
        <v>2.0</v>
      </c>
      <c r="K822" s="1">
        <v>8.0</v>
      </c>
      <c r="L822" s="1">
        <v>0.0</v>
      </c>
      <c r="M822" s="1">
        <v>1.0</v>
      </c>
      <c r="N822" s="1">
        <v>0.0</v>
      </c>
      <c r="O822" s="1">
        <v>0.0</v>
      </c>
      <c r="P822" s="1">
        <v>9.0</v>
      </c>
      <c r="Q822" s="1">
        <v>6.0</v>
      </c>
    </row>
    <row r="823">
      <c r="A823" s="1">
        <f t="shared" si="1"/>
        <v>820</v>
      </c>
      <c r="B823" s="1" t="s">
        <v>2520</v>
      </c>
      <c r="C823" s="1" t="s">
        <v>1036</v>
      </c>
      <c r="D823" s="1" t="s">
        <v>36</v>
      </c>
      <c r="E823" s="1">
        <f t="shared" si="2"/>
        <v>15.25</v>
      </c>
      <c r="F823" s="1">
        <f t="shared" si="3"/>
        <v>1.91</v>
      </c>
      <c r="G823" s="1">
        <v>8.0</v>
      </c>
      <c r="H823" s="1">
        <v>0.0</v>
      </c>
      <c r="I823" s="1">
        <v>2.0</v>
      </c>
      <c r="J823" s="1">
        <v>2.0</v>
      </c>
      <c r="K823" s="1">
        <v>12.0</v>
      </c>
      <c r="L823" s="1">
        <v>0.0</v>
      </c>
      <c r="M823" s="1">
        <v>0.0</v>
      </c>
      <c r="N823" s="1">
        <v>0.0</v>
      </c>
      <c r="O823" s="1">
        <v>0.0</v>
      </c>
      <c r="P823" s="1">
        <v>13.0</v>
      </c>
      <c r="Q823" s="1">
        <v>0.0</v>
      </c>
    </row>
    <row r="824">
      <c r="A824" s="1">
        <f t="shared" si="1"/>
        <v>822</v>
      </c>
      <c r="B824" s="1" t="s">
        <v>2521</v>
      </c>
      <c r="C824" s="1" t="s">
        <v>1065</v>
      </c>
      <c r="D824" s="1" t="s">
        <v>66</v>
      </c>
      <c r="E824" s="1">
        <f t="shared" si="2"/>
        <v>15</v>
      </c>
      <c r="F824" s="1">
        <f t="shared" si="3"/>
        <v>1.15</v>
      </c>
      <c r="G824" s="1">
        <v>13.0</v>
      </c>
      <c r="H824" s="1">
        <v>0.0</v>
      </c>
      <c r="I824" s="1">
        <v>0.0</v>
      </c>
      <c r="J824" s="1">
        <v>0.0</v>
      </c>
      <c r="K824" s="1">
        <v>16.0</v>
      </c>
      <c r="L824" s="1">
        <v>0.0</v>
      </c>
      <c r="M824" s="1">
        <v>0.0</v>
      </c>
      <c r="N824" s="1">
        <v>0.0</v>
      </c>
      <c r="O824" s="1">
        <v>0.0</v>
      </c>
      <c r="P824" s="1">
        <v>14.0</v>
      </c>
      <c r="Q824" s="1">
        <v>7.0</v>
      </c>
    </row>
    <row r="825">
      <c r="A825" s="1">
        <f t="shared" si="1"/>
        <v>823</v>
      </c>
      <c r="B825" s="1" t="s">
        <v>2424</v>
      </c>
      <c r="C825" s="1" t="s">
        <v>1052</v>
      </c>
      <c r="D825" s="1" t="s">
        <v>5</v>
      </c>
      <c r="E825" s="1">
        <f t="shared" si="2"/>
        <v>14.7</v>
      </c>
      <c r="F825" s="1">
        <f t="shared" si="3"/>
        <v>14.7</v>
      </c>
      <c r="G825" s="1">
        <v>1.0</v>
      </c>
      <c r="R825" s="1">
        <v>1.0</v>
      </c>
      <c r="S825" s="1">
        <v>0.0</v>
      </c>
      <c r="T825" s="1">
        <v>29.0</v>
      </c>
      <c r="U825" s="1">
        <v>1.0</v>
      </c>
    </row>
    <row r="826">
      <c r="A826" s="1">
        <f t="shared" si="1"/>
        <v>824</v>
      </c>
      <c r="B826" s="1" t="s">
        <v>2034</v>
      </c>
      <c r="C826" s="1" t="s">
        <v>1069</v>
      </c>
      <c r="D826" s="1" t="s">
        <v>66</v>
      </c>
      <c r="E826" s="1">
        <f t="shared" si="2"/>
        <v>14.5</v>
      </c>
      <c r="F826" s="1">
        <f t="shared" si="3"/>
        <v>2.42</v>
      </c>
      <c r="G826" s="1">
        <v>6.0</v>
      </c>
      <c r="H826" s="1">
        <v>1.0</v>
      </c>
      <c r="I826" s="1">
        <v>2.0</v>
      </c>
      <c r="J826" s="1">
        <v>3.0</v>
      </c>
      <c r="K826" s="1">
        <v>4.0</v>
      </c>
      <c r="L826" s="1">
        <v>0.0</v>
      </c>
      <c r="M826" s="1">
        <v>0.0</v>
      </c>
      <c r="N826" s="1">
        <v>0.0</v>
      </c>
      <c r="O826" s="1">
        <v>0.0</v>
      </c>
      <c r="P826" s="1">
        <v>8.0</v>
      </c>
      <c r="Q826" s="1">
        <v>0.0</v>
      </c>
    </row>
    <row r="827">
      <c r="A827" s="1">
        <f t="shared" si="1"/>
        <v>825</v>
      </c>
      <c r="B827" s="1" t="s">
        <v>2403</v>
      </c>
      <c r="C827" s="1" t="s">
        <v>1080</v>
      </c>
      <c r="D827" s="1" t="s">
        <v>28</v>
      </c>
      <c r="E827" s="1">
        <f t="shared" si="2"/>
        <v>14.25</v>
      </c>
      <c r="F827" s="1">
        <f t="shared" si="3"/>
        <v>2.38</v>
      </c>
      <c r="G827" s="1">
        <v>6.0</v>
      </c>
      <c r="H827" s="1">
        <v>2.0</v>
      </c>
      <c r="I827" s="1">
        <v>0.0</v>
      </c>
      <c r="J827" s="1">
        <v>2.0</v>
      </c>
      <c r="K827" s="1">
        <v>8.0</v>
      </c>
      <c r="L827" s="1">
        <v>0.0</v>
      </c>
      <c r="M827" s="1">
        <v>0.0</v>
      </c>
      <c r="N827" s="1">
        <v>0.0</v>
      </c>
      <c r="O827" s="1">
        <v>0.0</v>
      </c>
      <c r="P827" s="1">
        <v>3.0</v>
      </c>
      <c r="Q827" s="1">
        <v>1.0</v>
      </c>
    </row>
    <row r="828">
      <c r="A828" s="1">
        <f t="shared" si="1"/>
        <v>825</v>
      </c>
      <c r="B828" s="1" t="s">
        <v>1463</v>
      </c>
      <c r="C828" s="1" t="s">
        <v>1030</v>
      </c>
      <c r="D828" s="1" t="s">
        <v>31</v>
      </c>
      <c r="E828" s="1">
        <f t="shared" si="2"/>
        <v>14.25</v>
      </c>
      <c r="F828" s="1">
        <f t="shared" si="3"/>
        <v>2.38</v>
      </c>
      <c r="G828" s="1">
        <v>6.0</v>
      </c>
      <c r="H828" s="1">
        <v>0.0</v>
      </c>
      <c r="I828" s="1">
        <v>3.0</v>
      </c>
      <c r="J828" s="1">
        <v>3.0</v>
      </c>
      <c r="K828" s="1">
        <v>8.0</v>
      </c>
      <c r="L828" s="1">
        <v>0.0</v>
      </c>
      <c r="M828" s="1">
        <v>0.0</v>
      </c>
      <c r="N828" s="1">
        <v>0.0</v>
      </c>
      <c r="O828" s="1">
        <v>0.0</v>
      </c>
      <c r="P828" s="1">
        <v>3.0</v>
      </c>
      <c r="Q828" s="1">
        <v>1.0</v>
      </c>
    </row>
    <row r="829">
      <c r="A829" s="1">
        <f t="shared" si="1"/>
        <v>827</v>
      </c>
      <c r="B829" s="1" t="s">
        <v>1614</v>
      </c>
      <c r="C829" s="1" t="s">
        <v>1172</v>
      </c>
      <c r="D829" s="1" t="s">
        <v>36</v>
      </c>
      <c r="E829" s="1">
        <f t="shared" si="2"/>
        <v>14</v>
      </c>
      <c r="F829" s="1">
        <f t="shared" si="3"/>
        <v>2.8</v>
      </c>
      <c r="G829" s="1">
        <v>5.0</v>
      </c>
      <c r="H829" s="1">
        <v>1.0</v>
      </c>
      <c r="I829" s="1">
        <v>1.0</v>
      </c>
      <c r="J829" s="1">
        <v>2.0</v>
      </c>
      <c r="K829" s="1">
        <v>6.0</v>
      </c>
      <c r="L829" s="1">
        <v>0.0</v>
      </c>
      <c r="M829" s="1">
        <v>0.0</v>
      </c>
      <c r="N829" s="1">
        <v>0.0</v>
      </c>
      <c r="O829" s="1">
        <v>0.0</v>
      </c>
      <c r="P829" s="1">
        <v>10.0</v>
      </c>
      <c r="Q829" s="1">
        <v>2.0</v>
      </c>
    </row>
    <row r="830">
      <c r="A830" s="1">
        <f t="shared" si="1"/>
        <v>827</v>
      </c>
      <c r="B830" s="1" t="s">
        <v>1941</v>
      </c>
      <c r="C830" s="1" t="s">
        <v>1042</v>
      </c>
      <c r="D830" s="1" t="s">
        <v>31</v>
      </c>
      <c r="E830" s="1">
        <f t="shared" si="2"/>
        <v>14</v>
      </c>
      <c r="F830" s="1">
        <f t="shared" si="3"/>
        <v>1.4</v>
      </c>
      <c r="G830" s="1">
        <v>10.0</v>
      </c>
      <c r="H830" s="1">
        <v>0.0</v>
      </c>
      <c r="I830" s="1">
        <v>2.0</v>
      </c>
      <c r="J830" s="1">
        <v>2.0</v>
      </c>
      <c r="K830" s="1">
        <v>11.0</v>
      </c>
      <c r="L830" s="1">
        <v>0.0</v>
      </c>
      <c r="M830" s="1">
        <v>0.0</v>
      </c>
      <c r="N830" s="1">
        <v>0.0</v>
      </c>
      <c r="O830" s="1">
        <v>0.0</v>
      </c>
      <c r="P830" s="1">
        <v>8.0</v>
      </c>
      <c r="Q830" s="1">
        <v>1.0</v>
      </c>
    </row>
    <row r="831">
      <c r="A831" s="1">
        <f t="shared" si="1"/>
        <v>829</v>
      </c>
      <c r="B831" s="1" t="s">
        <v>2522</v>
      </c>
      <c r="C831" s="1" t="s">
        <v>1034</v>
      </c>
      <c r="D831" s="1" t="s">
        <v>66</v>
      </c>
      <c r="E831" s="1">
        <f t="shared" si="2"/>
        <v>13.5</v>
      </c>
      <c r="F831" s="1">
        <f t="shared" si="3"/>
        <v>1.93</v>
      </c>
      <c r="G831" s="1">
        <v>7.0</v>
      </c>
      <c r="H831" s="1">
        <v>0.0</v>
      </c>
      <c r="I831" s="1">
        <v>2.0</v>
      </c>
      <c r="J831" s="1">
        <v>2.0</v>
      </c>
      <c r="K831" s="1">
        <v>7.0</v>
      </c>
      <c r="L831" s="1">
        <v>0.0</v>
      </c>
      <c r="M831" s="1">
        <v>0.0</v>
      </c>
      <c r="N831" s="1">
        <v>0.0</v>
      </c>
      <c r="O831" s="1">
        <v>0.0</v>
      </c>
      <c r="P831" s="1">
        <v>10.0</v>
      </c>
      <c r="Q831" s="1">
        <v>3.0</v>
      </c>
    </row>
    <row r="832">
      <c r="A832" s="1">
        <f t="shared" si="1"/>
        <v>830</v>
      </c>
      <c r="B832" s="1" t="s">
        <v>2523</v>
      </c>
      <c r="C832" s="1" t="s">
        <v>1040</v>
      </c>
      <c r="D832" s="1" t="s">
        <v>66</v>
      </c>
      <c r="E832" s="1">
        <f t="shared" si="2"/>
        <v>13.25</v>
      </c>
      <c r="F832" s="1">
        <f t="shared" si="3"/>
        <v>2.21</v>
      </c>
      <c r="G832" s="1">
        <v>6.0</v>
      </c>
      <c r="H832" s="1">
        <v>0.0</v>
      </c>
      <c r="I832" s="1">
        <v>1.0</v>
      </c>
      <c r="J832" s="1">
        <v>1.0</v>
      </c>
      <c r="K832" s="1">
        <v>13.0</v>
      </c>
      <c r="L832" s="1">
        <v>0.0</v>
      </c>
      <c r="M832" s="1">
        <v>1.0</v>
      </c>
      <c r="N832" s="1">
        <v>0.0</v>
      </c>
      <c r="O832" s="1">
        <v>0.0</v>
      </c>
      <c r="P832" s="1">
        <v>3.0</v>
      </c>
      <c r="Q832" s="1">
        <v>6.0</v>
      </c>
    </row>
    <row r="833">
      <c r="A833" s="1">
        <f t="shared" si="1"/>
        <v>830</v>
      </c>
      <c r="B833" s="1" t="s">
        <v>2444</v>
      </c>
      <c r="C833" s="1" t="s">
        <v>1156</v>
      </c>
      <c r="D833" s="1" t="s">
        <v>31</v>
      </c>
      <c r="E833" s="1">
        <f t="shared" si="2"/>
        <v>13.25</v>
      </c>
      <c r="F833" s="1">
        <f t="shared" si="3"/>
        <v>0.83</v>
      </c>
      <c r="G833" s="1">
        <v>16.0</v>
      </c>
      <c r="H833" s="1">
        <v>0.0</v>
      </c>
      <c r="I833" s="1">
        <v>0.0</v>
      </c>
      <c r="J833" s="1">
        <v>0.0</v>
      </c>
      <c r="K833" s="1">
        <v>14.0</v>
      </c>
      <c r="L833" s="1">
        <v>0.0</v>
      </c>
      <c r="M833" s="1">
        <v>0.0</v>
      </c>
      <c r="N833" s="1">
        <v>0.0</v>
      </c>
      <c r="O833" s="1">
        <v>0.0</v>
      </c>
      <c r="P833" s="1">
        <v>19.0</v>
      </c>
      <c r="Q833" s="1">
        <v>3.0</v>
      </c>
    </row>
    <row r="834">
      <c r="A834" s="1">
        <f t="shared" si="1"/>
        <v>832</v>
      </c>
      <c r="B834" s="1" t="s">
        <v>1448</v>
      </c>
      <c r="C834" s="1" t="s">
        <v>1120</v>
      </c>
      <c r="D834" s="1" t="s">
        <v>31</v>
      </c>
      <c r="E834" s="1">
        <f t="shared" si="2"/>
        <v>12.25</v>
      </c>
      <c r="F834" s="1">
        <f t="shared" si="3"/>
        <v>2.45</v>
      </c>
      <c r="G834" s="1">
        <v>5.0</v>
      </c>
      <c r="H834" s="1">
        <v>1.0</v>
      </c>
      <c r="I834" s="1">
        <v>0.0</v>
      </c>
      <c r="J834" s="1">
        <v>1.0</v>
      </c>
      <c r="K834" s="1">
        <v>8.0</v>
      </c>
      <c r="L834" s="1">
        <v>1.0</v>
      </c>
      <c r="M834" s="1">
        <v>0.0</v>
      </c>
      <c r="N834" s="1">
        <v>0.0</v>
      </c>
      <c r="O834" s="1">
        <v>0.0</v>
      </c>
      <c r="P834" s="1">
        <v>7.0</v>
      </c>
      <c r="Q834" s="1">
        <v>4.0</v>
      </c>
    </row>
    <row r="835">
      <c r="A835" s="1">
        <f t="shared" si="1"/>
        <v>832</v>
      </c>
      <c r="B835" s="1" t="s">
        <v>2339</v>
      </c>
      <c r="C835" s="1" t="s">
        <v>1175</v>
      </c>
      <c r="D835" s="1" t="s">
        <v>31</v>
      </c>
      <c r="E835" s="1">
        <f t="shared" si="2"/>
        <v>12.25</v>
      </c>
      <c r="F835" s="1">
        <f t="shared" si="3"/>
        <v>2.45</v>
      </c>
      <c r="G835" s="1">
        <v>5.0</v>
      </c>
      <c r="H835" s="1">
        <v>0.0</v>
      </c>
      <c r="I835" s="1">
        <v>2.0</v>
      </c>
      <c r="J835" s="1">
        <v>2.0</v>
      </c>
      <c r="K835" s="1">
        <v>8.0</v>
      </c>
      <c r="L835" s="1">
        <v>0.0</v>
      </c>
      <c r="M835" s="1">
        <v>0.0</v>
      </c>
      <c r="N835" s="1">
        <v>0.0</v>
      </c>
      <c r="O835" s="1">
        <v>0.0</v>
      </c>
      <c r="P835" s="1">
        <v>7.0</v>
      </c>
      <c r="Q835" s="1">
        <v>1.0</v>
      </c>
    </row>
    <row r="836">
      <c r="A836" s="1">
        <f t="shared" si="1"/>
        <v>832</v>
      </c>
      <c r="B836" s="1" t="s">
        <v>2249</v>
      </c>
      <c r="C836" s="1" t="s">
        <v>1120</v>
      </c>
      <c r="D836" s="1" t="s">
        <v>28</v>
      </c>
      <c r="E836" s="1">
        <f t="shared" si="2"/>
        <v>12.25</v>
      </c>
      <c r="F836" s="1">
        <f t="shared" si="3"/>
        <v>2.04</v>
      </c>
      <c r="G836" s="1">
        <v>6.0</v>
      </c>
      <c r="H836" s="1">
        <v>0.0</v>
      </c>
      <c r="I836" s="1">
        <v>2.0</v>
      </c>
      <c r="J836" s="1">
        <v>2.0</v>
      </c>
      <c r="K836" s="1">
        <v>10.0</v>
      </c>
      <c r="L836" s="1">
        <v>0.0</v>
      </c>
      <c r="M836" s="1">
        <v>0.0</v>
      </c>
      <c r="N836" s="1">
        <v>0.0</v>
      </c>
      <c r="O836" s="1">
        <v>0.0</v>
      </c>
      <c r="P836" s="1">
        <v>1.0</v>
      </c>
      <c r="Q836" s="1">
        <v>2.0</v>
      </c>
    </row>
    <row r="837">
      <c r="A837" s="1">
        <f t="shared" si="1"/>
        <v>835</v>
      </c>
      <c r="B837" s="1" t="s">
        <v>2432</v>
      </c>
      <c r="C837" s="1" t="s">
        <v>1156</v>
      </c>
      <c r="D837" s="1" t="s">
        <v>31</v>
      </c>
      <c r="E837" s="1">
        <f t="shared" si="2"/>
        <v>12</v>
      </c>
      <c r="F837" s="1">
        <f t="shared" si="3"/>
        <v>2</v>
      </c>
      <c r="G837" s="1">
        <v>6.0</v>
      </c>
      <c r="H837" s="1">
        <v>0.0</v>
      </c>
      <c r="I837" s="1">
        <v>1.0</v>
      </c>
      <c r="J837" s="1">
        <v>1.0</v>
      </c>
      <c r="K837" s="1">
        <v>7.0</v>
      </c>
      <c r="L837" s="1">
        <v>0.0</v>
      </c>
      <c r="M837" s="1">
        <v>0.0</v>
      </c>
      <c r="N837" s="1">
        <v>0.0</v>
      </c>
      <c r="O837" s="1">
        <v>0.0</v>
      </c>
      <c r="P837" s="1">
        <v>22.0</v>
      </c>
      <c r="Q837" s="1">
        <v>0.0</v>
      </c>
    </row>
    <row r="838">
      <c r="A838" s="1">
        <f t="shared" si="1"/>
        <v>835</v>
      </c>
      <c r="B838" s="1" t="s">
        <v>2524</v>
      </c>
      <c r="C838" s="1" t="s">
        <v>1570</v>
      </c>
      <c r="D838" s="1" t="s">
        <v>31</v>
      </c>
      <c r="E838" s="1">
        <f t="shared" si="2"/>
        <v>12</v>
      </c>
      <c r="F838" s="1">
        <f t="shared" si="3"/>
        <v>1.71</v>
      </c>
      <c r="G838" s="1">
        <v>7.0</v>
      </c>
      <c r="H838" s="1">
        <v>1.0</v>
      </c>
      <c r="I838" s="1">
        <v>1.0</v>
      </c>
      <c r="J838" s="1">
        <v>2.0</v>
      </c>
      <c r="K838" s="1">
        <v>3.0</v>
      </c>
      <c r="L838" s="1">
        <v>0.0</v>
      </c>
      <c r="M838" s="1">
        <v>0.0</v>
      </c>
      <c r="N838" s="1">
        <v>0.0</v>
      </c>
      <c r="O838" s="1">
        <v>0.0</v>
      </c>
      <c r="P838" s="1">
        <v>10.0</v>
      </c>
      <c r="Q838" s="1">
        <v>1.0</v>
      </c>
    </row>
    <row r="839">
      <c r="A839" s="1">
        <f t="shared" si="1"/>
        <v>837</v>
      </c>
      <c r="B839" s="1" t="s">
        <v>1960</v>
      </c>
      <c r="C839" s="1" t="s">
        <v>1076</v>
      </c>
      <c r="D839" s="1" t="s">
        <v>28</v>
      </c>
      <c r="E839" s="1">
        <f t="shared" si="2"/>
        <v>11.75</v>
      </c>
      <c r="F839" s="1">
        <f t="shared" si="3"/>
        <v>1.96</v>
      </c>
      <c r="G839" s="1">
        <v>6.0</v>
      </c>
      <c r="H839" s="1">
        <v>1.0</v>
      </c>
      <c r="I839" s="1">
        <v>1.0</v>
      </c>
      <c r="J839" s="1">
        <v>2.0</v>
      </c>
      <c r="K839" s="1">
        <v>5.0</v>
      </c>
      <c r="L839" s="1">
        <v>0.0</v>
      </c>
      <c r="M839" s="1">
        <v>0.0</v>
      </c>
      <c r="N839" s="1">
        <v>0.0</v>
      </c>
      <c r="O839" s="1">
        <v>0.0</v>
      </c>
      <c r="P839" s="1">
        <v>5.0</v>
      </c>
      <c r="Q839" s="1">
        <v>1.0</v>
      </c>
    </row>
    <row r="840">
      <c r="A840" s="1">
        <f t="shared" si="1"/>
        <v>837</v>
      </c>
      <c r="B840" s="1" t="s">
        <v>1868</v>
      </c>
      <c r="C840" s="1" t="s">
        <v>1078</v>
      </c>
      <c r="D840" s="1" t="s">
        <v>31</v>
      </c>
      <c r="E840" s="1">
        <f t="shared" si="2"/>
        <v>11.75</v>
      </c>
      <c r="F840" s="1">
        <f t="shared" si="3"/>
        <v>1.68</v>
      </c>
      <c r="G840" s="1">
        <v>7.0</v>
      </c>
      <c r="H840" s="1">
        <v>1.0</v>
      </c>
      <c r="I840" s="1">
        <v>0.0</v>
      </c>
      <c r="J840" s="1">
        <v>1.0</v>
      </c>
      <c r="K840" s="1">
        <v>8.0</v>
      </c>
      <c r="L840" s="1">
        <v>0.0</v>
      </c>
      <c r="M840" s="1">
        <v>0.0</v>
      </c>
      <c r="N840" s="1">
        <v>0.0</v>
      </c>
      <c r="O840" s="1">
        <v>0.0</v>
      </c>
      <c r="P840" s="1">
        <v>7.0</v>
      </c>
      <c r="Q840" s="1">
        <v>3.0</v>
      </c>
    </row>
    <row r="841">
      <c r="A841" s="1">
        <f t="shared" si="1"/>
        <v>839</v>
      </c>
      <c r="B841" s="1" t="s">
        <v>2525</v>
      </c>
      <c r="C841" s="1" t="s">
        <v>1156</v>
      </c>
      <c r="D841" s="1" t="s">
        <v>5</v>
      </c>
      <c r="E841" s="1">
        <f t="shared" si="2"/>
        <v>11.7</v>
      </c>
      <c r="F841" s="1">
        <f t="shared" si="3"/>
        <v>5.85</v>
      </c>
      <c r="G841" s="1">
        <v>2.0</v>
      </c>
      <c r="R841" s="1">
        <v>1.0</v>
      </c>
      <c r="S841" s="1">
        <v>7.0</v>
      </c>
      <c r="T841" s="1">
        <v>64.0</v>
      </c>
      <c r="U841" s="1">
        <v>0.0</v>
      </c>
    </row>
    <row r="842">
      <c r="A842" s="1">
        <f t="shared" si="1"/>
        <v>840</v>
      </c>
      <c r="B842" s="1" t="s">
        <v>2194</v>
      </c>
      <c r="C842" s="1" t="s">
        <v>1106</v>
      </c>
      <c r="D842" s="1" t="s">
        <v>66</v>
      </c>
      <c r="E842" s="1">
        <f t="shared" si="2"/>
        <v>11.5</v>
      </c>
      <c r="F842" s="1">
        <f t="shared" si="3"/>
        <v>3.83</v>
      </c>
      <c r="G842" s="1">
        <v>3.0</v>
      </c>
      <c r="H842" s="1">
        <v>0.0</v>
      </c>
      <c r="I842" s="1">
        <v>1.0</v>
      </c>
      <c r="J842" s="1">
        <v>1.0</v>
      </c>
      <c r="K842" s="1">
        <v>9.0</v>
      </c>
      <c r="L842" s="1">
        <v>0.0</v>
      </c>
      <c r="M842" s="1">
        <v>0.0</v>
      </c>
      <c r="N842" s="1">
        <v>0.0</v>
      </c>
      <c r="O842" s="1">
        <v>0.0</v>
      </c>
      <c r="P842" s="1">
        <v>12.0</v>
      </c>
      <c r="Q842" s="1">
        <v>2.0</v>
      </c>
    </row>
    <row r="843">
      <c r="A843" s="1">
        <f t="shared" si="1"/>
        <v>840</v>
      </c>
      <c r="B843" s="1" t="s">
        <v>2005</v>
      </c>
      <c r="C843" s="1" t="s">
        <v>1111</v>
      </c>
      <c r="D843" s="1" t="s">
        <v>66</v>
      </c>
      <c r="E843" s="1">
        <f t="shared" si="2"/>
        <v>11.5</v>
      </c>
      <c r="F843" s="1">
        <f t="shared" si="3"/>
        <v>2.88</v>
      </c>
      <c r="G843" s="1">
        <v>4.0</v>
      </c>
      <c r="H843" s="1">
        <v>1.0</v>
      </c>
      <c r="I843" s="1">
        <v>1.0</v>
      </c>
      <c r="J843" s="1">
        <v>2.0</v>
      </c>
      <c r="K843" s="1">
        <v>6.0</v>
      </c>
      <c r="L843" s="1">
        <v>0.0</v>
      </c>
      <c r="M843" s="1">
        <v>0.0</v>
      </c>
      <c r="N843" s="1">
        <v>0.0</v>
      </c>
      <c r="O843" s="1">
        <v>0.0</v>
      </c>
      <c r="P843" s="1">
        <v>4.0</v>
      </c>
      <c r="Q843" s="1">
        <v>0.0</v>
      </c>
    </row>
    <row r="844">
      <c r="A844" s="1">
        <f t="shared" si="1"/>
        <v>842</v>
      </c>
      <c r="B844" s="1" t="s">
        <v>1959</v>
      </c>
      <c r="C844" s="1" t="s">
        <v>1111</v>
      </c>
      <c r="D844" s="1" t="s">
        <v>31</v>
      </c>
      <c r="E844" s="1">
        <f t="shared" si="2"/>
        <v>11</v>
      </c>
      <c r="F844" s="1">
        <f t="shared" si="3"/>
        <v>5.5</v>
      </c>
      <c r="G844" s="1">
        <v>2.0</v>
      </c>
      <c r="H844" s="1">
        <v>2.0</v>
      </c>
      <c r="I844" s="1">
        <v>0.0</v>
      </c>
      <c r="J844" s="1">
        <v>2.0</v>
      </c>
      <c r="K844" s="1">
        <v>3.0</v>
      </c>
      <c r="L844" s="1">
        <v>0.0</v>
      </c>
      <c r="M844" s="1">
        <v>0.0</v>
      </c>
      <c r="N844" s="1">
        <v>0.0</v>
      </c>
      <c r="O844" s="1">
        <v>0.0</v>
      </c>
      <c r="P844" s="1">
        <v>2.0</v>
      </c>
      <c r="Q844" s="1">
        <v>0.0</v>
      </c>
    </row>
    <row r="845">
      <c r="A845" s="1">
        <f t="shared" si="1"/>
        <v>842</v>
      </c>
      <c r="B845" s="1" t="s">
        <v>2411</v>
      </c>
      <c r="C845" s="1" t="s">
        <v>1034</v>
      </c>
      <c r="D845" s="1" t="s">
        <v>31</v>
      </c>
      <c r="E845" s="1">
        <f t="shared" si="2"/>
        <v>11</v>
      </c>
      <c r="F845" s="1">
        <f t="shared" si="3"/>
        <v>2.2</v>
      </c>
      <c r="G845" s="1">
        <v>5.0</v>
      </c>
      <c r="H845" s="1">
        <v>0.0</v>
      </c>
      <c r="I845" s="1">
        <v>3.0</v>
      </c>
      <c r="J845" s="1">
        <v>3.0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6.0</v>
      </c>
      <c r="Q845" s="1">
        <v>1.0</v>
      </c>
    </row>
    <row r="846">
      <c r="A846" s="1">
        <f t="shared" si="1"/>
        <v>842</v>
      </c>
      <c r="B846" s="1" t="s">
        <v>2429</v>
      </c>
      <c r="C846" s="1" t="s">
        <v>1087</v>
      </c>
      <c r="D846" s="1" t="s">
        <v>66</v>
      </c>
      <c r="E846" s="1">
        <f t="shared" si="2"/>
        <v>11</v>
      </c>
      <c r="F846" s="1">
        <f t="shared" si="3"/>
        <v>2.2</v>
      </c>
      <c r="G846" s="1">
        <v>5.0</v>
      </c>
      <c r="H846" s="1">
        <v>0.0</v>
      </c>
      <c r="I846" s="1">
        <v>2.0</v>
      </c>
      <c r="J846" s="1">
        <v>2.0</v>
      </c>
      <c r="K846" s="1">
        <v>2.0</v>
      </c>
      <c r="L846" s="1">
        <v>0.0</v>
      </c>
      <c r="M846" s="1">
        <v>0.0</v>
      </c>
      <c r="N846" s="1">
        <v>0.0</v>
      </c>
      <c r="O846" s="1">
        <v>0.0</v>
      </c>
      <c r="P846" s="1">
        <v>10.0</v>
      </c>
      <c r="Q846" s="1">
        <v>3.0</v>
      </c>
    </row>
    <row r="847">
      <c r="A847" s="1">
        <f t="shared" si="1"/>
        <v>842</v>
      </c>
      <c r="B847" s="1" t="s">
        <v>1508</v>
      </c>
      <c r="C847" s="1" t="s">
        <v>1065</v>
      </c>
      <c r="D847" s="1" t="s">
        <v>66</v>
      </c>
      <c r="E847" s="1">
        <f t="shared" si="2"/>
        <v>11</v>
      </c>
      <c r="F847" s="1">
        <f t="shared" si="3"/>
        <v>1.83</v>
      </c>
      <c r="G847" s="1">
        <v>6.0</v>
      </c>
      <c r="H847" s="1">
        <v>0.0</v>
      </c>
      <c r="I847" s="1">
        <v>0.0</v>
      </c>
      <c r="J847" s="1">
        <v>0.0</v>
      </c>
      <c r="K847" s="1">
        <v>3.0</v>
      </c>
      <c r="L847" s="1">
        <v>0.0</v>
      </c>
      <c r="M847" s="1">
        <v>0.0</v>
      </c>
      <c r="N847" s="1">
        <v>0.0</v>
      </c>
      <c r="O847" s="1">
        <v>0.0</v>
      </c>
      <c r="P847" s="1">
        <v>20.0</v>
      </c>
      <c r="Q847" s="1">
        <v>9.0</v>
      </c>
    </row>
    <row r="848">
      <c r="A848" s="1">
        <f t="shared" si="1"/>
        <v>842</v>
      </c>
      <c r="B848" s="1" t="s">
        <v>2526</v>
      </c>
      <c r="C848" s="1" t="s">
        <v>1175</v>
      </c>
      <c r="D848" s="1" t="s">
        <v>31</v>
      </c>
      <c r="E848" s="1">
        <f t="shared" si="2"/>
        <v>11</v>
      </c>
      <c r="F848" s="1">
        <f t="shared" si="3"/>
        <v>1.38</v>
      </c>
      <c r="G848" s="1">
        <v>8.0</v>
      </c>
      <c r="H848" s="1">
        <v>1.0</v>
      </c>
      <c r="I848" s="1">
        <v>0.0</v>
      </c>
      <c r="J848" s="1">
        <v>1.0</v>
      </c>
      <c r="K848" s="1">
        <v>5.0</v>
      </c>
      <c r="L848" s="1">
        <v>0.0</v>
      </c>
      <c r="M848" s="1">
        <v>0.0</v>
      </c>
      <c r="N848" s="1">
        <v>0.0</v>
      </c>
      <c r="O848" s="1">
        <v>0.0</v>
      </c>
      <c r="P848" s="1">
        <v>14.0</v>
      </c>
      <c r="Q848" s="1">
        <v>1.0</v>
      </c>
    </row>
    <row r="849">
      <c r="A849" s="1">
        <f t="shared" si="1"/>
        <v>842</v>
      </c>
      <c r="B849" s="1" t="s">
        <v>2248</v>
      </c>
      <c r="C849" s="1" t="s">
        <v>1048</v>
      </c>
      <c r="D849" s="1" t="s">
        <v>66</v>
      </c>
      <c r="E849" s="1">
        <f t="shared" si="2"/>
        <v>11</v>
      </c>
      <c r="F849" s="1">
        <f t="shared" si="3"/>
        <v>0.92</v>
      </c>
      <c r="G849" s="1">
        <v>12.0</v>
      </c>
      <c r="H849" s="1">
        <v>0.0</v>
      </c>
      <c r="I849" s="1">
        <v>1.0</v>
      </c>
      <c r="J849" s="1">
        <v>1.0</v>
      </c>
      <c r="K849" s="1">
        <v>10.0</v>
      </c>
      <c r="L849" s="1">
        <v>0.0</v>
      </c>
      <c r="M849" s="1">
        <v>0.0</v>
      </c>
      <c r="N849" s="1">
        <v>0.0</v>
      </c>
      <c r="O849" s="1">
        <v>0.0</v>
      </c>
      <c r="P849" s="1">
        <v>6.0</v>
      </c>
      <c r="Q849" s="1">
        <v>3.0</v>
      </c>
    </row>
    <row r="850">
      <c r="A850" s="1">
        <f t="shared" si="1"/>
        <v>848</v>
      </c>
      <c r="B850" s="1" t="s">
        <v>1072</v>
      </c>
      <c r="C850" s="1" t="s">
        <v>1087</v>
      </c>
      <c r="D850" s="1" t="s">
        <v>66</v>
      </c>
      <c r="E850" s="1">
        <f t="shared" si="2"/>
        <v>10.75</v>
      </c>
      <c r="F850" s="1">
        <f t="shared" si="3"/>
        <v>3.58</v>
      </c>
      <c r="G850" s="1">
        <v>3.0</v>
      </c>
      <c r="H850" s="1">
        <v>1.0</v>
      </c>
      <c r="I850" s="1">
        <v>1.0</v>
      </c>
      <c r="J850" s="1">
        <v>2.0</v>
      </c>
      <c r="K850" s="1">
        <v>4.0</v>
      </c>
      <c r="L850" s="1">
        <v>0.0</v>
      </c>
      <c r="M850" s="1">
        <v>0.0</v>
      </c>
      <c r="N850" s="1">
        <v>0.0</v>
      </c>
      <c r="O850" s="1">
        <v>0.0</v>
      </c>
      <c r="P850" s="1">
        <v>1.0</v>
      </c>
      <c r="Q850" s="1">
        <v>2.0</v>
      </c>
    </row>
    <row r="851">
      <c r="A851" s="1">
        <f t="shared" si="1"/>
        <v>848</v>
      </c>
      <c r="B851" s="1" t="s">
        <v>2527</v>
      </c>
      <c r="C851" s="1" t="s">
        <v>1097</v>
      </c>
      <c r="D851" s="1" t="s">
        <v>66</v>
      </c>
      <c r="E851" s="1">
        <f t="shared" si="2"/>
        <v>10.75</v>
      </c>
      <c r="F851" s="1">
        <f t="shared" si="3"/>
        <v>1.79</v>
      </c>
      <c r="G851" s="1">
        <v>6.0</v>
      </c>
      <c r="H851" s="1">
        <v>0.0</v>
      </c>
      <c r="I851" s="1">
        <v>0.0</v>
      </c>
      <c r="J851" s="1">
        <v>0.0</v>
      </c>
      <c r="K851" s="1">
        <v>5.0</v>
      </c>
      <c r="L851" s="1">
        <v>0.0</v>
      </c>
      <c r="M851" s="1">
        <v>0.0</v>
      </c>
      <c r="N851" s="1">
        <v>0.0</v>
      </c>
      <c r="O851" s="1">
        <v>0.0</v>
      </c>
      <c r="P851" s="1">
        <v>17.0</v>
      </c>
      <c r="Q851" s="1">
        <v>8.0</v>
      </c>
    </row>
    <row r="852">
      <c r="A852" s="1">
        <f t="shared" si="1"/>
        <v>848</v>
      </c>
      <c r="B852" s="1" t="s">
        <v>2373</v>
      </c>
      <c r="C852" s="1" t="s">
        <v>1175</v>
      </c>
      <c r="D852" s="1" t="s">
        <v>66</v>
      </c>
      <c r="E852" s="1">
        <f t="shared" si="2"/>
        <v>10.75</v>
      </c>
      <c r="F852" s="1">
        <f t="shared" si="3"/>
        <v>1.54</v>
      </c>
      <c r="G852" s="1">
        <v>7.0</v>
      </c>
      <c r="H852" s="1">
        <v>0.0</v>
      </c>
      <c r="I852" s="1">
        <v>1.0</v>
      </c>
      <c r="J852" s="1">
        <v>1.0</v>
      </c>
      <c r="K852" s="1">
        <v>3.0</v>
      </c>
      <c r="L852" s="1">
        <v>0.0</v>
      </c>
      <c r="M852" s="1">
        <v>0.0</v>
      </c>
      <c r="N852" s="1">
        <v>0.0</v>
      </c>
      <c r="O852" s="1">
        <v>0.0</v>
      </c>
      <c r="P852" s="1">
        <v>9.0</v>
      </c>
      <c r="Q852" s="1">
        <v>8.0</v>
      </c>
    </row>
    <row r="853">
      <c r="A853" s="1">
        <f t="shared" si="1"/>
        <v>851</v>
      </c>
      <c r="B853" s="1" t="s">
        <v>2528</v>
      </c>
      <c r="C853" s="1" t="s">
        <v>1080</v>
      </c>
      <c r="D853" s="1" t="s">
        <v>36</v>
      </c>
      <c r="E853" s="1">
        <f t="shared" si="2"/>
        <v>10.5</v>
      </c>
      <c r="F853" s="1">
        <f t="shared" si="3"/>
        <v>1.31</v>
      </c>
      <c r="G853" s="1">
        <v>8.0</v>
      </c>
      <c r="H853" s="1">
        <v>0.0</v>
      </c>
      <c r="I853" s="1">
        <v>1.0</v>
      </c>
      <c r="J853" s="1">
        <v>1.0</v>
      </c>
      <c r="K853" s="1">
        <v>11.0</v>
      </c>
      <c r="L853" s="1">
        <v>0.0</v>
      </c>
      <c r="M853" s="1">
        <v>0.0</v>
      </c>
      <c r="N853" s="1">
        <v>0.0</v>
      </c>
      <c r="O853" s="1">
        <v>0.0</v>
      </c>
      <c r="P853" s="1">
        <v>4.0</v>
      </c>
      <c r="Q853" s="1">
        <v>2.0</v>
      </c>
    </row>
    <row r="854">
      <c r="A854" s="1">
        <f t="shared" si="1"/>
        <v>851</v>
      </c>
      <c r="B854" s="1" t="s">
        <v>2231</v>
      </c>
      <c r="C854" s="1" t="s">
        <v>1175</v>
      </c>
      <c r="D854" s="1" t="s">
        <v>28</v>
      </c>
      <c r="E854" s="1">
        <f t="shared" si="2"/>
        <v>10.5</v>
      </c>
      <c r="F854" s="1">
        <f t="shared" si="3"/>
        <v>0.95</v>
      </c>
      <c r="G854" s="1">
        <v>11.0</v>
      </c>
      <c r="H854" s="1">
        <v>0.0</v>
      </c>
      <c r="I854" s="1">
        <v>0.0</v>
      </c>
      <c r="J854" s="1">
        <v>0.0</v>
      </c>
      <c r="K854" s="1">
        <v>10.0</v>
      </c>
      <c r="L854" s="1">
        <v>0.0</v>
      </c>
      <c r="M854" s="1">
        <v>0.0</v>
      </c>
      <c r="N854" s="1">
        <v>0.0</v>
      </c>
      <c r="O854" s="1">
        <v>0.0</v>
      </c>
      <c r="P854" s="1">
        <v>22.0</v>
      </c>
      <c r="Q854" s="1">
        <v>0.0</v>
      </c>
    </row>
    <row r="855">
      <c r="A855" s="1">
        <f t="shared" si="1"/>
        <v>853</v>
      </c>
      <c r="B855" s="1" t="s">
        <v>2310</v>
      </c>
      <c r="C855" s="1" t="s">
        <v>1175</v>
      </c>
      <c r="D855" s="1" t="s">
        <v>66</v>
      </c>
      <c r="E855" s="1">
        <f t="shared" si="2"/>
        <v>10.25</v>
      </c>
      <c r="F855" s="1">
        <f t="shared" si="3"/>
        <v>1.46</v>
      </c>
      <c r="G855" s="1">
        <v>7.0</v>
      </c>
      <c r="H855" s="1">
        <v>0.0</v>
      </c>
      <c r="I855" s="1">
        <v>1.0</v>
      </c>
      <c r="J855" s="1">
        <v>1.0</v>
      </c>
      <c r="K855" s="1">
        <v>6.0</v>
      </c>
      <c r="L855" s="1">
        <v>0.0</v>
      </c>
      <c r="M855" s="1">
        <v>0.0</v>
      </c>
      <c r="N855" s="1">
        <v>0.0</v>
      </c>
      <c r="O855" s="1">
        <v>0.0</v>
      </c>
      <c r="P855" s="1">
        <v>5.0</v>
      </c>
      <c r="Q855" s="1">
        <v>6.0</v>
      </c>
    </row>
    <row r="856">
      <c r="A856" s="1">
        <f t="shared" si="1"/>
        <v>853</v>
      </c>
      <c r="B856" s="1" t="s">
        <v>2529</v>
      </c>
      <c r="C856" s="1" t="s">
        <v>1111</v>
      </c>
      <c r="D856" s="1" t="s">
        <v>31</v>
      </c>
      <c r="E856" s="1">
        <f t="shared" si="2"/>
        <v>10.25</v>
      </c>
      <c r="F856" s="1">
        <f t="shared" si="3"/>
        <v>0.79</v>
      </c>
      <c r="G856" s="1">
        <v>13.0</v>
      </c>
      <c r="H856" s="1">
        <v>0.0</v>
      </c>
      <c r="I856" s="1">
        <v>0.0</v>
      </c>
      <c r="J856" s="1">
        <v>0.0</v>
      </c>
      <c r="K856" s="1">
        <v>3.0</v>
      </c>
      <c r="L856" s="1">
        <v>0.0</v>
      </c>
      <c r="M856" s="1">
        <v>0.0</v>
      </c>
      <c r="N856" s="1">
        <v>0.0</v>
      </c>
      <c r="O856" s="1">
        <v>0.0</v>
      </c>
      <c r="P856" s="1">
        <v>19.0</v>
      </c>
      <c r="Q856" s="1">
        <v>8.0</v>
      </c>
    </row>
    <row r="857">
      <c r="A857" s="1">
        <f t="shared" si="1"/>
        <v>855</v>
      </c>
      <c r="B857" s="1" t="s">
        <v>1499</v>
      </c>
      <c r="C857" s="1" t="s">
        <v>1040</v>
      </c>
      <c r="D857" s="1" t="s">
        <v>28</v>
      </c>
      <c r="E857" s="1">
        <f t="shared" si="2"/>
        <v>10</v>
      </c>
      <c r="F857" s="1">
        <f t="shared" si="3"/>
        <v>2</v>
      </c>
      <c r="G857" s="1">
        <v>5.0</v>
      </c>
      <c r="H857" s="1">
        <v>1.0</v>
      </c>
      <c r="I857" s="1">
        <v>0.0</v>
      </c>
      <c r="J857" s="1">
        <v>1.0</v>
      </c>
      <c r="K857" s="1">
        <v>3.0</v>
      </c>
      <c r="L857" s="1">
        <v>0.0</v>
      </c>
      <c r="M857" s="1">
        <v>0.0</v>
      </c>
      <c r="N857" s="1">
        <v>0.0</v>
      </c>
      <c r="O857" s="1">
        <v>0.0</v>
      </c>
      <c r="P857" s="1">
        <v>12.0</v>
      </c>
      <c r="Q857" s="1">
        <v>2.0</v>
      </c>
    </row>
    <row r="858">
      <c r="A858" s="1">
        <f t="shared" si="1"/>
        <v>855</v>
      </c>
      <c r="B858" s="1" t="s">
        <v>1627</v>
      </c>
      <c r="C858" s="1" t="s">
        <v>1040</v>
      </c>
      <c r="D858" s="1" t="s">
        <v>36</v>
      </c>
      <c r="E858" s="1">
        <f t="shared" si="2"/>
        <v>10</v>
      </c>
      <c r="F858" s="1">
        <f t="shared" si="3"/>
        <v>2</v>
      </c>
      <c r="G858" s="1">
        <v>5.0</v>
      </c>
      <c r="H858" s="1">
        <v>1.0</v>
      </c>
      <c r="I858" s="1">
        <v>0.0</v>
      </c>
      <c r="J858" s="1">
        <v>1.0</v>
      </c>
      <c r="K858" s="1">
        <v>7.0</v>
      </c>
      <c r="L858" s="1">
        <v>0.0</v>
      </c>
      <c r="M858" s="1">
        <v>0.0</v>
      </c>
      <c r="N858" s="1">
        <v>0.0</v>
      </c>
      <c r="O858" s="1">
        <v>0.0</v>
      </c>
      <c r="P858" s="1">
        <v>4.0</v>
      </c>
      <c r="Q858" s="1">
        <v>2.0</v>
      </c>
    </row>
    <row r="859">
      <c r="A859" s="1">
        <f t="shared" si="1"/>
        <v>855</v>
      </c>
      <c r="B859" s="1" t="s">
        <v>2530</v>
      </c>
      <c r="C859" s="1" t="s">
        <v>1082</v>
      </c>
      <c r="D859" s="1" t="s">
        <v>28</v>
      </c>
      <c r="E859" s="1">
        <f t="shared" si="2"/>
        <v>10</v>
      </c>
      <c r="F859" s="1">
        <f t="shared" si="3"/>
        <v>1.67</v>
      </c>
      <c r="G859" s="1">
        <v>6.0</v>
      </c>
      <c r="H859" s="1">
        <v>0.0</v>
      </c>
      <c r="I859" s="1">
        <v>1.0</v>
      </c>
      <c r="J859" s="1">
        <v>1.0</v>
      </c>
      <c r="K859" s="1">
        <v>5.0</v>
      </c>
      <c r="L859" s="1">
        <v>0.0</v>
      </c>
      <c r="M859" s="1">
        <v>0.0</v>
      </c>
      <c r="N859" s="1">
        <v>0.0</v>
      </c>
      <c r="O859" s="1">
        <v>0.0</v>
      </c>
      <c r="P859" s="1">
        <v>10.0</v>
      </c>
      <c r="Q859" s="1">
        <v>4.0</v>
      </c>
    </row>
    <row r="860">
      <c r="A860" s="1">
        <f t="shared" si="1"/>
        <v>855</v>
      </c>
      <c r="B860" s="1" t="s">
        <v>2208</v>
      </c>
      <c r="C860" s="1" t="s">
        <v>1156</v>
      </c>
      <c r="D860" s="1" t="s">
        <v>31</v>
      </c>
      <c r="E860" s="1">
        <f t="shared" si="2"/>
        <v>10</v>
      </c>
      <c r="F860" s="1">
        <f t="shared" si="3"/>
        <v>1.67</v>
      </c>
      <c r="G860" s="1">
        <v>6.0</v>
      </c>
      <c r="H860" s="1">
        <v>0.0</v>
      </c>
      <c r="I860" s="1">
        <v>0.0</v>
      </c>
      <c r="J860" s="1">
        <v>0.0</v>
      </c>
      <c r="K860" s="1">
        <v>7.0</v>
      </c>
      <c r="L860" s="1">
        <v>0.0</v>
      </c>
      <c r="M860" s="1">
        <v>0.0</v>
      </c>
      <c r="N860" s="1">
        <v>0.0</v>
      </c>
      <c r="O860" s="1">
        <v>0.0</v>
      </c>
      <c r="P860" s="1">
        <v>12.0</v>
      </c>
      <c r="Q860" s="1">
        <v>7.0</v>
      </c>
    </row>
    <row r="861">
      <c r="A861" s="1">
        <f t="shared" si="1"/>
        <v>855</v>
      </c>
      <c r="B861" s="1" t="s">
        <v>2329</v>
      </c>
      <c r="C861" s="1" t="s">
        <v>1048</v>
      </c>
      <c r="D861" s="1" t="s">
        <v>66</v>
      </c>
      <c r="E861" s="1">
        <f t="shared" si="2"/>
        <v>10</v>
      </c>
      <c r="F861" s="1">
        <f t="shared" si="3"/>
        <v>1.43</v>
      </c>
      <c r="G861" s="1">
        <v>7.0</v>
      </c>
      <c r="H861" s="1">
        <v>0.0</v>
      </c>
      <c r="I861" s="1">
        <v>1.0</v>
      </c>
      <c r="J861" s="1">
        <v>1.0</v>
      </c>
      <c r="K861" s="1">
        <v>5.0</v>
      </c>
      <c r="L861" s="1">
        <v>0.0</v>
      </c>
      <c r="M861" s="1">
        <v>0.0</v>
      </c>
      <c r="N861" s="1">
        <v>0.0</v>
      </c>
      <c r="O861" s="1">
        <v>0.0</v>
      </c>
      <c r="P861" s="1">
        <v>12.0</v>
      </c>
      <c r="Q861" s="1">
        <v>3.0</v>
      </c>
    </row>
    <row r="862">
      <c r="A862" s="1">
        <f t="shared" si="1"/>
        <v>855</v>
      </c>
      <c r="B862" s="1" t="s">
        <v>2386</v>
      </c>
      <c r="C862" s="1" t="s">
        <v>1175</v>
      </c>
      <c r="D862" s="1" t="s">
        <v>28</v>
      </c>
      <c r="E862" s="1">
        <f t="shared" si="2"/>
        <v>10</v>
      </c>
      <c r="F862" s="1">
        <f t="shared" si="3"/>
        <v>1.43</v>
      </c>
      <c r="G862" s="1">
        <v>7.0</v>
      </c>
      <c r="H862" s="1">
        <v>0.0</v>
      </c>
      <c r="I862" s="1">
        <v>1.0</v>
      </c>
      <c r="J862" s="1">
        <v>1.0</v>
      </c>
      <c r="K862" s="1">
        <v>7.0</v>
      </c>
      <c r="L862" s="1">
        <v>0.0</v>
      </c>
      <c r="M862" s="1">
        <v>0.0</v>
      </c>
      <c r="N862" s="1">
        <v>0.0</v>
      </c>
      <c r="O862" s="1">
        <v>0.0</v>
      </c>
      <c r="P862" s="1">
        <v>4.0</v>
      </c>
      <c r="Q862" s="1">
        <v>5.0</v>
      </c>
    </row>
    <row r="863">
      <c r="A863" s="1">
        <f t="shared" si="1"/>
        <v>855</v>
      </c>
      <c r="B863" s="1" t="s">
        <v>2331</v>
      </c>
      <c r="C863" s="1" t="s">
        <v>1116</v>
      </c>
      <c r="D863" s="1" t="s">
        <v>28</v>
      </c>
      <c r="E863" s="1">
        <f t="shared" si="2"/>
        <v>10</v>
      </c>
      <c r="F863" s="1">
        <f t="shared" si="3"/>
        <v>0.83</v>
      </c>
      <c r="G863" s="1">
        <v>12.0</v>
      </c>
      <c r="H863" s="1">
        <v>0.0</v>
      </c>
      <c r="I863" s="1">
        <v>1.0</v>
      </c>
      <c r="J863" s="1">
        <v>1.0</v>
      </c>
      <c r="K863" s="1">
        <v>5.0</v>
      </c>
      <c r="L863" s="1">
        <v>0.0</v>
      </c>
      <c r="M863" s="1">
        <v>0.0</v>
      </c>
      <c r="N863" s="1">
        <v>0.0</v>
      </c>
      <c r="O863" s="1">
        <v>0.0</v>
      </c>
      <c r="P863" s="1">
        <v>8.0</v>
      </c>
      <c r="Q863" s="1">
        <v>5.0</v>
      </c>
    </row>
    <row r="864">
      <c r="A864" s="1">
        <f t="shared" si="1"/>
        <v>862</v>
      </c>
      <c r="B864" s="1" t="s">
        <v>1575</v>
      </c>
      <c r="C864" s="1" t="s">
        <v>1030</v>
      </c>
      <c r="D864" s="1" t="s">
        <v>66</v>
      </c>
      <c r="E864" s="1">
        <f t="shared" si="2"/>
        <v>9.75</v>
      </c>
      <c r="F864" s="1">
        <f t="shared" si="3"/>
        <v>2.44</v>
      </c>
      <c r="G864" s="1">
        <v>4.0</v>
      </c>
      <c r="H864" s="1">
        <v>0.0</v>
      </c>
      <c r="I864" s="1">
        <v>1.0</v>
      </c>
      <c r="J864" s="1">
        <v>1.0</v>
      </c>
      <c r="K864" s="1">
        <v>5.0</v>
      </c>
      <c r="L864" s="1">
        <v>0.0</v>
      </c>
      <c r="M864" s="1">
        <v>0.0</v>
      </c>
      <c r="N864" s="1">
        <v>0.0</v>
      </c>
      <c r="O864" s="1">
        <v>0.0</v>
      </c>
      <c r="P864" s="1">
        <v>7.0</v>
      </c>
      <c r="Q864" s="1">
        <v>5.0</v>
      </c>
    </row>
    <row r="865">
      <c r="A865" s="1">
        <f t="shared" si="1"/>
        <v>862</v>
      </c>
      <c r="B865" s="1" t="s">
        <v>1221</v>
      </c>
      <c r="C865" s="1" t="s">
        <v>1078</v>
      </c>
      <c r="D865" s="1" t="s">
        <v>31</v>
      </c>
      <c r="E865" s="1">
        <f t="shared" si="2"/>
        <v>9.75</v>
      </c>
      <c r="F865" s="1">
        <f t="shared" si="3"/>
        <v>1.63</v>
      </c>
      <c r="G865" s="1">
        <v>6.0</v>
      </c>
      <c r="H865" s="1">
        <v>0.0</v>
      </c>
      <c r="I865" s="1">
        <v>1.0</v>
      </c>
      <c r="J865" s="1">
        <v>1.0</v>
      </c>
      <c r="K865" s="1">
        <v>9.0</v>
      </c>
      <c r="L865" s="1">
        <v>0.0</v>
      </c>
      <c r="M865" s="1">
        <v>0.0</v>
      </c>
      <c r="N865" s="1">
        <v>0.0</v>
      </c>
      <c r="O865" s="1">
        <v>0.0</v>
      </c>
      <c r="P865" s="1">
        <v>3.0</v>
      </c>
      <c r="Q865" s="1">
        <v>3.0</v>
      </c>
    </row>
    <row r="866">
      <c r="A866" s="1">
        <f t="shared" si="1"/>
        <v>862</v>
      </c>
      <c r="B866" s="1" t="s">
        <v>2531</v>
      </c>
      <c r="C866" s="1" t="s">
        <v>1097</v>
      </c>
      <c r="D866" s="1" t="s">
        <v>28</v>
      </c>
      <c r="E866" s="1">
        <f t="shared" si="2"/>
        <v>9.75</v>
      </c>
      <c r="F866" s="1">
        <f t="shared" si="3"/>
        <v>1.22</v>
      </c>
      <c r="G866" s="1">
        <v>8.0</v>
      </c>
      <c r="H866" s="1">
        <v>0.0</v>
      </c>
      <c r="I866" s="1">
        <v>0.0</v>
      </c>
      <c r="J866" s="1">
        <v>0.0</v>
      </c>
      <c r="K866" s="1">
        <v>14.0</v>
      </c>
      <c r="L866" s="1">
        <v>0.0</v>
      </c>
      <c r="M866" s="1">
        <v>0.0</v>
      </c>
      <c r="N866" s="1">
        <v>0.0</v>
      </c>
      <c r="O866" s="1">
        <v>0.0</v>
      </c>
      <c r="P866" s="1">
        <v>9.0</v>
      </c>
      <c r="Q866" s="1">
        <v>1.0</v>
      </c>
    </row>
    <row r="867">
      <c r="A867" s="1">
        <f t="shared" si="1"/>
        <v>865</v>
      </c>
      <c r="B867" s="1" t="s">
        <v>2187</v>
      </c>
      <c r="C867" s="1" t="s">
        <v>1076</v>
      </c>
      <c r="D867" s="1" t="s">
        <v>5</v>
      </c>
      <c r="E867" s="1">
        <f t="shared" si="2"/>
        <v>9.6</v>
      </c>
      <c r="F867" s="1">
        <f t="shared" si="3"/>
        <v>1.37</v>
      </c>
      <c r="G867" s="1">
        <v>7.0</v>
      </c>
      <c r="R867" s="1">
        <v>1.0</v>
      </c>
      <c r="S867" s="1">
        <v>22.0</v>
      </c>
      <c r="T867" s="1">
        <v>132.0</v>
      </c>
      <c r="U867" s="1">
        <v>0.0</v>
      </c>
    </row>
    <row r="868">
      <c r="A868" s="1">
        <f t="shared" si="1"/>
        <v>866</v>
      </c>
      <c r="B868" s="1" t="s">
        <v>2177</v>
      </c>
      <c r="C868" s="1" t="s">
        <v>1065</v>
      </c>
      <c r="D868" s="1" t="s">
        <v>28</v>
      </c>
      <c r="E868" s="1">
        <f t="shared" si="2"/>
        <v>9.5</v>
      </c>
      <c r="F868" s="1">
        <f t="shared" si="3"/>
        <v>3.17</v>
      </c>
      <c r="G868" s="1">
        <v>3.0</v>
      </c>
      <c r="H868" s="1">
        <v>0.0</v>
      </c>
      <c r="I868" s="1">
        <v>1.0</v>
      </c>
      <c r="J868" s="1">
        <v>1.0</v>
      </c>
      <c r="K868" s="1">
        <v>3.0</v>
      </c>
      <c r="L868" s="1">
        <v>0.0</v>
      </c>
      <c r="M868" s="1">
        <v>0.0</v>
      </c>
      <c r="N868" s="1">
        <v>0.0</v>
      </c>
      <c r="O868" s="1">
        <v>0.0</v>
      </c>
      <c r="P868" s="1">
        <v>6.0</v>
      </c>
      <c r="Q868" s="1">
        <v>7.0</v>
      </c>
    </row>
    <row r="869">
      <c r="A869" s="1">
        <f t="shared" si="1"/>
        <v>866</v>
      </c>
      <c r="B869" s="1" t="s">
        <v>2201</v>
      </c>
      <c r="C869" s="1" t="s">
        <v>1116</v>
      </c>
      <c r="D869" s="1" t="s">
        <v>66</v>
      </c>
      <c r="E869" s="1">
        <f t="shared" si="2"/>
        <v>9.5</v>
      </c>
      <c r="F869" s="1">
        <f t="shared" si="3"/>
        <v>1.9</v>
      </c>
      <c r="G869" s="1">
        <v>5.0</v>
      </c>
      <c r="H869" s="1">
        <v>0.0</v>
      </c>
      <c r="I869" s="1">
        <v>0.0</v>
      </c>
      <c r="J869" s="1">
        <v>0.0</v>
      </c>
      <c r="K869" s="1">
        <v>9.0</v>
      </c>
      <c r="L869" s="1">
        <v>0.0</v>
      </c>
      <c r="M869" s="1">
        <v>0.0</v>
      </c>
      <c r="N869" s="1">
        <v>0.0</v>
      </c>
      <c r="O869" s="1">
        <v>0.0</v>
      </c>
      <c r="P869" s="1">
        <v>2.0</v>
      </c>
      <c r="Q869" s="1">
        <v>9.0</v>
      </c>
    </row>
    <row r="870">
      <c r="A870" s="1">
        <f t="shared" si="1"/>
        <v>866</v>
      </c>
      <c r="B870" s="1" t="s">
        <v>1901</v>
      </c>
      <c r="C870" s="1" t="s">
        <v>1069</v>
      </c>
      <c r="D870" s="1" t="s">
        <v>31</v>
      </c>
      <c r="E870" s="1">
        <f t="shared" si="2"/>
        <v>9.5</v>
      </c>
      <c r="F870" s="1">
        <f t="shared" si="3"/>
        <v>1.58</v>
      </c>
      <c r="G870" s="1">
        <v>6.0</v>
      </c>
      <c r="H870" s="1">
        <v>1.0</v>
      </c>
      <c r="I870" s="1">
        <v>0.0</v>
      </c>
      <c r="J870" s="1">
        <v>1.0</v>
      </c>
      <c r="K870" s="1">
        <v>2.0</v>
      </c>
      <c r="L870" s="1">
        <v>0.0</v>
      </c>
      <c r="M870" s="1">
        <v>0.0</v>
      </c>
      <c r="N870" s="1">
        <v>0.0</v>
      </c>
      <c r="O870" s="1">
        <v>0.0</v>
      </c>
      <c r="P870" s="1">
        <v>8.0</v>
      </c>
      <c r="Q870" s="1">
        <v>4.0</v>
      </c>
    </row>
    <row r="871">
      <c r="A871" s="1">
        <f t="shared" si="1"/>
        <v>866</v>
      </c>
      <c r="B871" s="1" t="s">
        <v>2532</v>
      </c>
      <c r="C871" s="1" t="s">
        <v>1067</v>
      </c>
      <c r="D871" s="1" t="s">
        <v>66</v>
      </c>
      <c r="E871" s="1">
        <f t="shared" si="2"/>
        <v>9.5</v>
      </c>
      <c r="F871" s="1">
        <f t="shared" si="3"/>
        <v>1.58</v>
      </c>
      <c r="G871" s="1">
        <v>6.0</v>
      </c>
      <c r="H871" s="1">
        <v>0.0</v>
      </c>
      <c r="I871" s="1">
        <v>0.0</v>
      </c>
      <c r="J871" s="1">
        <v>0.0</v>
      </c>
      <c r="K871" s="1">
        <v>7.0</v>
      </c>
      <c r="L871" s="1">
        <v>0.0</v>
      </c>
      <c r="M871" s="1">
        <v>0.0</v>
      </c>
      <c r="N871" s="1">
        <v>0.0</v>
      </c>
      <c r="O871" s="1">
        <v>0.0</v>
      </c>
      <c r="P871" s="1">
        <v>14.0</v>
      </c>
      <c r="Q871" s="1">
        <v>5.0</v>
      </c>
    </row>
    <row r="872">
      <c r="A872" s="1">
        <f t="shared" si="1"/>
        <v>866</v>
      </c>
      <c r="B872" s="1" t="s">
        <v>1931</v>
      </c>
      <c r="C872" s="1" t="s">
        <v>1032</v>
      </c>
      <c r="D872" s="1" t="s">
        <v>31</v>
      </c>
      <c r="E872" s="1">
        <f t="shared" si="2"/>
        <v>9.5</v>
      </c>
      <c r="F872" s="1">
        <f t="shared" si="3"/>
        <v>1.36</v>
      </c>
      <c r="G872" s="1">
        <v>7.0</v>
      </c>
      <c r="H872" s="1">
        <v>0.0</v>
      </c>
      <c r="I872" s="1">
        <v>1.0</v>
      </c>
      <c r="J872" s="1">
        <v>1.0</v>
      </c>
      <c r="K872" s="1">
        <v>8.0</v>
      </c>
      <c r="L872" s="1">
        <v>0.0</v>
      </c>
      <c r="M872" s="1">
        <v>0.0</v>
      </c>
      <c r="N872" s="1">
        <v>0.0</v>
      </c>
      <c r="O872" s="1">
        <v>0.0</v>
      </c>
      <c r="P872" s="1">
        <v>6.0</v>
      </c>
      <c r="Q872" s="1">
        <v>2.0</v>
      </c>
    </row>
    <row r="873">
      <c r="A873" s="1">
        <f t="shared" si="1"/>
        <v>866</v>
      </c>
      <c r="B873" s="1" t="s">
        <v>1321</v>
      </c>
      <c r="C873" s="1" t="s">
        <v>1052</v>
      </c>
      <c r="D873" s="1" t="s">
        <v>31</v>
      </c>
      <c r="E873" s="1">
        <f t="shared" si="2"/>
        <v>9.5</v>
      </c>
      <c r="F873" s="1">
        <f t="shared" si="3"/>
        <v>0.95</v>
      </c>
      <c r="G873" s="1">
        <v>10.0</v>
      </c>
      <c r="H873" s="1">
        <v>0.0</v>
      </c>
      <c r="I873" s="1">
        <v>1.0</v>
      </c>
      <c r="J873" s="1">
        <v>1.0</v>
      </c>
      <c r="K873" s="1">
        <v>8.0</v>
      </c>
      <c r="L873" s="1">
        <v>0.0</v>
      </c>
      <c r="M873" s="1">
        <v>0.0</v>
      </c>
      <c r="N873" s="1">
        <v>0.0</v>
      </c>
      <c r="O873" s="1">
        <v>0.0</v>
      </c>
      <c r="P873" s="1">
        <v>6.0</v>
      </c>
      <c r="Q873" s="1">
        <v>2.0</v>
      </c>
    </row>
    <row r="874">
      <c r="A874" s="1">
        <f t="shared" si="1"/>
        <v>866</v>
      </c>
      <c r="B874" s="1" t="s">
        <v>2533</v>
      </c>
      <c r="C874" s="1" t="s">
        <v>1046</v>
      </c>
      <c r="D874" s="1" t="s">
        <v>28</v>
      </c>
      <c r="E874" s="1">
        <f t="shared" si="2"/>
        <v>9.5</v>
      </c>
      <c r="F874" s="1">
        <f t="shared" si="3"/>
        <v>0.63</v>
      </c>
      <c r="G874" s="1">
        <v>15.0</v>
      </c>
      <c r="H874" s="1">
        <v>0.0</v>
      </c>
      <c r="I874" s="1">
        <v>0.0</v>
      </c>
      <c r="J874" s="1">
        <v>0.0</v>
      </c>
      <c r="K874" s="1">
        <v>3.0</v>
      </c>
      <c r="L874" s="1">
        <v>0.0</v>
      </c>
      <c r="M874" s="1">
        <v>0.0</v>
      </c>
      <c r="N874" s="1">
        <v>0.0</v>
      </c>
      <c r="O874" s="1">
        <v>0.0</v>
      </c>
      <c r="P874" s="1">
        <v>12.0</v>
      </c>
      <c r="Q874" s="1">
        <v>10.0</v>
      </c>
    </row>
    <row r="875">
      <c r="A875" s="1">
        <f t="shared" si="1"/>
        <v>873</v>
      </c>
      <c r="B875" s="1" t="s">
        <v>2312</v>
      </c>
      <c r="C875" s="1" t="s">
        <v>1054</v>
      </c>
      <c r="D875" s="1" t="s">
        <v>31</v>
      </c>
      <c r="E875" s="1">
        <f t="shared" si="2"/>
        <v>9.25</v>
      </c>
      <c r="F875" s="1">
        <f t="shared" si="3"/>
        <v>2.31</v>
      </c>
      <c r="G875" s="1">
        <v>4.0</v>
      </c>
      <c r="H875" s="1">
        <v>0.0</v>
      </c>
      <c r="I875" s="1">
        <v>1.0</v>
      </c>
      <c r="J875" s="1">
        <v>1.0</v>
      </c>
      <c r="K875" s="1">
        <v>5.0</v>
      </c>
      <c r="L875" s="1">
        <v>0.0</v>
      </c>
      <c r="M875" s="1">
        <v>1.0</v>
      </c>
      <c r="N875" s="1">
        <v>0.0</v>
      </c>
      <c r="O875" s="1">
        <v>0.0</v>
      </c>
      <c r="P875" s="1">
        <v>7.0</v>
      </c>
      <c r="Q875" s="1">
        <v>4.0</v>
      </c>
    </row>
    <row r="876">
      <c r="A876" s="1">
        <f t="shared" si="1"/>
        <v>873</v>
      </c>
      <c r="B876" s="1" t="s">
        <v>1827</v>
      </c>
      <c r="C876" s="1" t="s">
        <v>1082</v>
      </c>
      <c r="D876" s="1" t="s">
        <v>28</v>
      </c>
      <c r="E876" s="1">
        <f t="shared" si="2"/>
        <v>9.25</v>
      </c>
      <c r="F876" s="1">
        <f t="shared" si="3"/>
        <v>1.85</v>
      </c>
      <c r="G876" s="1">
        <v>5.0</v>
      </c>
      <c r="H876" s="1">
        <v>0.0</v>
      </c>
      <c r="I876" s="1">
        <v>2.0</v>
      </c>
      <c r="J876" s="1">
        <v>2.0</v>
      </c>
      <c r="K876" s="1">
        <v>4.0</v>
      </c>
      <c r="L876" s="1">
        <v>0.0</v>
      </c>
      <c r="M876" s="1">
        <v>0.0</v>
      </c>
      <c r="N876" s="1">
        <v>0.0</v>
      </c>
      <c r="O876" s="1">
        <v>0.0</v>
      </c>
      <c r="P876" s="1">
        <v>1.0</v>
      </c>
      <c r="Q876" s="1">
        <v>2.0</v>
      </c>
    </row>
    <row r="877">
      <c r="A877" s="1">
        <f t="shared" si="1"/>
        <v>873</v>
      </c>
      <c r="B877" s="1" t="s">
        <v>2144</v>
      </c>
      <c r="C877" s="1" t="s">
        <v>1032</v>
      </c>
      <c r="D877" s="1" t="s">
        <v>28</v>
      </c>
      <c r="E877" s="1">
        <f t="shared" si="2"/>
        <v>9.25</v>
      </c>
      <c r="F877" s="1">
        <f t="shared" si="3"/>
        <v>1.54</v>
      </c>
      <c r="G877" s="1">
        <v>6.0</v>
      </c>
      <c r="H877" s="1">
        <v>0.0</v>
      </c>
      <c r="I877" s="1">
        <v>1.0</v>
      </c>
      <c r="J877" s="1">
        <v>1.0</v>
      </c>
      <c r="K877" s="1">
        <v>9.0</v>
      </c>
      <c r="L877" s="1">
        <v>0.0</v>
      </c>
      <c r="M877" s="1">
        <v>0.0</v>
      </c>
      <c r="N877" s="1">
        <v>0.0</v>
      </c>
      <c r="O877" s="1">
        <v>0.0</v>
      </c>
      <c r="P877" s="1">
        <v>3.0</v>
      </c>
      <c r="Q877" s="1">
        <v>2.0</v>
      </c>
    </row>
    <row r="878">
      <c r="A878" s="1">
        <f t="shared" si="1"/>
        <v>876</v>
      </c>
      <c r="B878" s="1" t="s">
        <v>2534</v>
      </c>
      <c r="C878" s="1" t="s">
        <v>1040</v>
      </c>
      <c r="D878" s="1" t="s">
        <v>66</v>
      </c>
      <c r="E878" s="1">
        <f t="shared" si="2"/>
        <v>9</v>
      </c>
      <c r="F878" s="1">
        <f t="shared" si="3"/>
        <v>2.25</v>
      </c>
      <c r="G878" s="1">
        <v>4.0</v>
      </c>
      <c r="H878" s="1">
        <v>0.0</v>
      </c>
      <c r="I878" s="1">
        <v>1.0</v>
      </c>
      <c r="J878" s="1">
        <v>1.0</v>
      </c>
      <c r="K878" s="1">
        <v>5.0</v>
      </c>
      <c r="L878" s="1">
        <v>0.0</v>
      </c>
      <c r="M878" s="1">
        <v>0.0</v>
      </c>
      <c r="N878" s="1">
        <v>0.0</v>
      </c>
      <c r="O878" s="1">
        <v>0.0</v>
      </c>
      <c r="P878" s="1">
        <v>4.0</v>
      </c>
      <c r="Q878" s="1">
        <v>5.0</v>
      </c>
    </row>
    <row r="879">
      <c r="A879" s="1">
        <f t="shared" si="1"/>
        <v>877</v>
      </c>
      <c r="B879" s="1" t="s">
        <v>2334</v>
      </c>
      <c r="C879" s="1" t="s">
        <v>1038</v>
      </c>
      <c r="D879" s="1" t="s">
        <v>31</v>
      </c>
      <c r="E879" s="1">
        <f t="shared" si="2"/>
        <v>8.75</v>
      </c>
      <c r="F879" s="1">
        <f t="shared" si="3"/>
        <v>1.75</v>
      </c>
      <c r="G879" s="1">
        <v>5.0</v>
      </c>
      <c r="H879" s="1">
        <v>1.0</v>
      </c>
      <c r="I879" s="1">
        <v>0.0</v>
      </c>
      <c r="J879" s="1">
        <v>1.0</v>
      </c>
      <c r="K879" s="1">
        <v>4.0</v>
      </c>
      <c r="L879" s="1">
        <v>0.0</v>
      </c>
      <c r="M879" s="1">
        <v>0.0</v>
      </c>
      <c r="N879" s="1">
        <v>0.0</v>
      </c>
      <c r="O879" s="1">
        <v>0.0</v>
      </c>
      <c r="P879" s="1">
        <v>7.0</v>
      </c>
      <c r="Q879" s="1">
        <v>1.0</v>
      </c>
    </row>
    <row r="880">
      <c r="A880" s="1">
        <f t="shared" si="1"/>
        <v>878</v>
      </c>
      <c r="B880" s="1" t="s">
        <v>1729</v>
      </c>
      <c r="C880" s="1" t="s">
        <v>1172</v>
      </c>
      <c r="D880" s="1" t="s">
        <v>36</v>
      </c>
      <c r="E880" s="1">
        <f t="shared" si="2"/>
        <v>8.5</v>
      </c>
      <c r="F880" s="1">
        <f t="shared" si="3"/>
        <v>1.7</v>
      </c>
      <c r="G880" s="1">
        <v>5.0</v>
      </c>
      <c r="H880" s="1">
        <v>0.0</v>
      </c>
      <c r="I880" s="1">
        <v>0.0</v>
      </c>
      <c r="J880" s="1">
        <v>0.0</v>
      </c>
      <c r="K880" s="1">
        <v>4.0</v>
      </c>
      <c r="L880" s="1">
        <v>0.0</v>
      </c>
      <c r="M880" s="1">
        <v>0.0</v>
      </c>
      <c r="N880" s="1">
        <v>0.0</v>
      </c>
      <c r="O880" s="1">
        <v>0.0</v>
      </c>
      <c r="P880" s="1">
        <v>22.0</v>
      </c>
      <c r="Q880" s="1">
        <v>2.0</v>
      </c>
    </row>
    <row r="881">
      <c r="A881" s="1">
        <f t="shared" si="1"/>
        <v>879</v>
      </c>
      <c r="B881" s="1" t="s">
        <v>2404</v>
      </c>
      <c r="C881" s="1" t="s">
        <v>1044</v>
      </c>
      <c r="D881" s="1" t="s">
        <v>31</v>
      </c>
      <c r="E881" s="1">
        <f t="shared" si="2"/>
        <v>8.25</v>
      </c>
      <c r="F881" s="1">
        <f t="shared" si="3"/>
        <v>1.65</v>
      </c>
      <c r="G881" s="1">
        <v>5.0</v>
      </c>
      <c r="H881" s="1">
        <v>0.0</v>
      </c>
      <c r="I881" s="1">
        <v>1.0</v>
      </c>
      <c r="J881" s="1">
        <v>1.0</v>
      </c>
      <c r="K881" s="1">
        <v>3.0</v>
      </c>
      <c r="L881" s="1">
        <v>0.0</v>
      </c>
      <c r="M881" s="1">
        <v>0.0</v>
      </c>
      <c r="N881" s="1">
        <v>0.0</v>
      </c>
      <c r="O881" s="1">
        <v>0.0</v>
      </c>
      <c r="P881" s="1">
        <v>9.0</v>
      </c>
      <c r="Q881" s="1">
        <v>3.0</v>
      </c>
    </row>
    <row r="882">
      <c r="A882" s="1">
        <f t="shared" si="1"/>
        <v>879</v>
      </c>
      <c r="B882" s="1" t="s">
        <v>2166</v>
      </c>
      <c r="C882" s="1" t="s">
        <v>1048</v>
      </c>
      <c r="D882" s="1" t="s">
        <v>66</v>
      </c>
      <c r="E882" s="1">
        <f t="shared" si="2"/>
        <v>8.25</v>
      </c>
      <c r="F882" s="1">
        <f t="shared" si="3"/>
        <v>1.18</v>
      </c>
      <c r="G882" s="1">
        <v>7.0</v>
      </c>
      <c r="H882" s="1">
        <v>0.0</v>
      </c>
      <c r="I882" s="1">
        <v>0.0</v>
      </c>
      <c r="J882" s="1">
        <v>0.0</v>
      </c>
      <c r="K882" s="1">
        <v>6.0</v>
      </c>
      <c r="L882" s="1">
        <v>0.0</v>
      </c>
      <c r="M882" s="1">
        <v>0.0</v>
      </c>
      <c r="N882" s="1">
        <v>0.0</v>
      </c>
      <c r="O882" s="1">
        <v>0.0</v>
      </c>
      <c r="P882" s="1">
        <v>1.0</v>
      </c>
      <c r="Q882" s="1">
        <v>10.0</v>
      </c>
    </row>
    <row r="883">
      <c r="A883" s="1">
        <f t="shared" si="1"/>
        <v>879</v>
      </c>
      <c r="B883" s="1" t="s">
        <v>2449</v>
      </c>
      <c r="C883" s="1" t="s">
        <v>1038</v>
      </c>
      <c r="D883" s="1" t="s">
        <v>36</v>
      </c>
      <c r="E883" s="1">
        <f t="shared" si="2"/>
        <v>8.25</v>
      </c>
      <c r="F883" s="1">
        <f t="shared" si="3"/>
        <v>1.03</v>
      </c>
      <c r="G883" s="1">
        <v>8.0</v>
      </c>
      <c r="H883" s="1">
        <v>0.0</v>
      </c>
      <c r="I883" s="1">
        <v>0.0</v>
      </c>
      <c r="J883" s="1">
        <v>0.0</v>
      </c>
      <c r="K883" s="1">
        <v>10.0</v>
      </c>
      <c r="L883" s="1">
        <v>0.0</v>
      </c>
      <c r="M883" s="1">
        <v>0.0</v>
      </c>
      <c r="N883" s="1">
        <v>0.0</v>
      </c>
      <c r="O883" s="1">
        <v>0.0</v>
      </c>
      <c r="P883" s="1">
        <v>11.0</v>
      </c>
      <c r="Q883" s="1">
        <v>1.0</v>
      </c>
    </row>
    <row r="884">
      <c r="A884" s="1">
        <f t="shared" si="1"/>
        <v>882</v>
      </c>
      <c r="B884" s="1" t="s">
        <v>1414</v>
      </c>
      <c r="C884" s="1" t="s">
        <v>1030</v>
      </c>
      <c r="D884" s="1" t="s">
        <v>66</v>
      </c>
      <c r="E884" s="1">
        <f t="shared" si="2"/>
        <v>8</v>
      </c>
      <c r="F884" s="1">
        <f t="shared" si="3"/>
        <v>1.6</v>
      </c>
      <c r="G884" s="1">
        <v>5.0</v>
      </c>
      <c r="H884" s="1">
        <v>0.0</v>
      </c>
      <c r="I884" s="1">
        <v>1.0</v>
      </c>
      <c r="J884" s="1">
        <v>1.0</v>
      </c>
      <c r="K884" s="1">
        <v>3.0</v>
      </c>
      <c r="L884" s="1">
        <v>0.0</v>
      </c>
      <c r="M884" s="1">
        <v>0.0</v>
      </c>
      <c r="N884" s="1">
        <v>0.0</v>
      </c>
      <c r="O884" s="1">
        <v>0.0</v>
      </c>
      <c r="P884" s="1">
        <v>10.0</v>
      </c>
      <c r="Q884" s="1">
        <v>2.0</v>
      </c>
    </row>
    <row r="885">
      <c r="A885" s="1">
        <f t="shared" si="1"/>
        <v>882</v>
      </c>
      <c r="B885" s="1" t="s">
        <v>2391</v>
      </c>
      <c r="C885" s="1" t="s">
        <v>1034</v>
      </c>
      <c r="D885" s="1" t="s">
        <v>66</v>
      </c>
      <c r="E885" s="1">
        <f t="shared" si="2"/>
        <v>8</v>
      </c>
      <c r="F885" s="1">
        <f t="shared" si="3"/>
        <v>1.33</v>
      </c>
      <c r="G885" s="1">
        <v>6.0</v>
      </c>
      <c r="H885" s="1">
        <v>0.0</v>
      </c>
      <c r="I885" s="1">
        <v>0.0</v>
      </c>
      <c r="J885" s="1">
        <v>0.0</v>
      </c>
      <c r="K885" s="1">
        <v>4.0</v>
      </c>
      <c r="L885" s="1">
        <v>0.0</v>
      </c>
      <c r="M885" s="1">
        <v>0.0</v>
      </c>
      <c r="N885" s="1">
        <v>0.0</v>
      </c>
      <c r="O885" s="1">
        <v>0.0</v>
      </c>
      <c r="P885" s="1">
        <v>10.0</v>
      </c>
      <c r="Q885" s="1">
        <v>7.0</v>
      </c>
    </row>
    <row r="886">
      <c r="A886" s="1">
        <f t="shared" si="1"/>
        <v>884</v>
      </c>
      <c r="B886" s="1" t="s">
        <v>1740</v>
      </c>
      <c r="C886" s="1" t="s">
        <v>1069</v>
      </c>
      <c r="D886" s="1" t="s">
        <v>66</v>
      </c>
      <c r="E886" s="1">
        <f t="shared" si="2"/>
        <v>7.75</v>
      </c>
      <c r="F886" s="1">
        <f t="shared" si="3"/>
        <v>0.97</v>
      </c>
      <c r="G886" s="1">
        <v>8.0</v>
      </c>
      <c r="H886" s="1">
        <v>0.0</v>
      </c>
      <c r="I886" s="1">
        <v>1.0</v>
      </c>
      <c r="J886" s="1">
        <v>1.0</v>
      </c>
      <c r="K886" s="1">
        <v>7.0</v>
      </c>
      <c r="L886" s="1">
        <v>0.0</v>
      </c>
      <c r="M886" s="1">
        <v>0.0</v>
      </c>
      <c r="N886" s="1">
        <v>0.0</v>
      </c>
      <c r="O886" s="1">
        <v>0.0</v>
      </c>
      <c r="P886" s="1">
        <v>3.0</v>
      </c>
      <c r="Q886" s="1">
        <v>1.0</v>
      </c>
    </row>
    <row r="887">
      <c r="A887" s="1">
        <f t="shared" si="1"/>
        <v>884</v>
      </c>
      <c r="B887" s="1" t="s">
        <v>1440</v>
      </c>
      <c r="C887" s="1" t="s">
        <v>1036</v>
      </c>
      <c r="D887" s="1" t="s">
        <v>31</v>
      </c>
      <c r="E887" s="1">
        <f t="shared" si="2"/>
        <v>7.75</v>
      </c>
      <c r="F887" s="1">
        <f t="shared" si="3"/>
        <v>0.78</v>
      </c>
      <c r="G887" s="1">
        <v>10.0</v>
      </c>
      <c r="H887" s="1">
        <v>0.0</v>
      </c>
      <c r="I887" s="1">
        <v>1.0</v>
      </c>
      <c r="J887" s="1">
        <v>1.0</v>
      </c>
      <c r="K887" s="1">
        <v>3.0</v>
      </c>
      <c r="L887" s="1">
        <v>0.0</v>
      </c>
      <c r="M887" s="1">
        <v>0.0</v>
      </c>
      <c r="N887" s="1">
        <v>0.0</v>
      </c>
      <c r="O887" s="1">
        <v>0.0</v>
      </c>
      <c r="P887" s="1">
        <v>3.0</v>
      </c>
      <c r="Q887" s="1">
        <v>5.0</v>
      </c>
    </row>
    <row r="888">
      <c r="A888" s="1">
        <f t="shared" si="1"/>
        <v>886</v>
      </c>
      <c r="B888" s="1" t="s">
        <v>1895</v>
      </c>
      <c r="C888" s="1" t="s">
        <v>1116</v>
      </c>
      <c r="D888" s="1" t="s">
        <v>5</v>
      </c>
      <c r="E888" s="1">
        <f t="shared" si="2"/>
        <v>7.5</v>
      </c>
      <c r="F888" s="1">
        <f t="shared" si="3"/>
        <v>7.5</v>
      </c>
      <c r="G888" s="1">
        <v>1.0</v>
      </c>
      <c r="R888" s="1">
        <v>1.0</v>
      </c>
      <c r="S888" s="1">
        <v>3.0</v>
      </c>
      <c r="T888" s="1">
        <v>30.0</v>
      </c>
      <c r="U888" s="1">
        <v>0.0</v>
      </c>
    </row>
    <row r="889">
      <c r="A889" s="1">
        <f t="shared" si="1"/>
        <v>886</v>
      </c>
      <c r="B889" s="1" t="s">
        <v>2211</v>
      </c>
      <c r="C889" s="1" t="s">
        <v>1054</v>
      </c>
      <c r="D889" s="1" t="s">
        <v>31</v>
      </c>
      <c r="E889" s="1">
        <f t="shared" si="2"/>
        <v>7.5</v>
      </c>
      <c r="F889" s="1">
        <f t="shared" si="3"/>
        <v>1.88</v>
      </c>
      <c r="G889" s="1">
        <v>4.0</v>
      </c>
      <c r="H889" s="1">
        <v>0.0</v>
      </c>
      <c r="I889" s="1">
        <v>1.0</v>
      </c>
      <c r="J889" s="1">
        <v>1.0</v>
      </c>
      <c r="K889" s="1">
        <v>3.0</v>
      </c>
      <c r="L889" s="1">
        <v>0.0</v>
      </c>
      <c r="M889" s="1">
        <v>0.0</v>
      </c>
      <c r="N889" s="1">
        <v>0.0</v>
      </c>
      <c r="O889" s="1">
        <v>0.0</v>
      </c>
      <c r="P889" s="1">
        <v>10.0</v>
      </c>
      <c r="Q889" s="1">
        <v>1.0</v>
      </c>
    </row>
    <row r="890">
      <c r="A890" s="1">
        <f t="shared" si="1"/>
        <v>886</v>
      </c>
      <c r="B890" s="1" t="s">
        <v>2535</v>
      </c>
      <c r="C890" s="1" t="s">
        <v>1175</v>
      </c>
      <c r="D890" s="1" t="s">
        <v>28</v>
      </c>
      <c r="E890" s="1">
        <f t="shared" si="2"/>
        <v>7.5</v>
      </c>
      <c r="F890" s="1">
        <f t="shared" si="3"/>
        <v>1.5</v>
      </c>
      <c r="G890" s="1">
        <v>5.0</v>
      </c>
      <c r="H890" s="1">
        <v>1.0</v>
      </c>
      <c r="I890" s="1">
        <v>0.0</v>
      </c>
      <c r="J890" s="1">
        <v>1.0</v>
      </c>
      <c r="K890" s="1">
        <v>3.0</v>
      </c>
      <c r="L890" s="1">
        <v>0.0</v>
      </c>
      <c r="M890" s="1">
        <v>0.0</v>
      </c>
      <c r="N890" s="1">
        <v>0.0</v>
      </c>
      <c r="O890" s="1">
        <v>0.0</v>
      </c>
      <c r="P890" s="1">
        <v>2.0</v>
      </c>
      <c r="Q890" s="1">
        <v>2.0</v>
      </c>
    </row>
    <row r="891">
      <c r="A891" s="1">
        <f t="shared" si="1"/>
        <v>889</v>
      </c>
      <c r="B891" s="1" t="s">
        <v>2426</v>
      </c>
      <c r="C891" s="1" t="s">
        <v>1042</v>
      </c>
      <c r="D891" s="1" t="s">
        <v>66</v>
      </c>
      <c r="E891" s="1">
        <f t="shared" si="2"/>
        <v>7.25</v>
      </c>
      <c r="F891" s="1">
        <f t="shared" si="3"/>
        <v>3.63</v>
      </c>
      <c r="G891" s="1">
        <v>2.0</v>
      </c>
      <c r="H891" s="1">
        <v>0.0</v>
      </c>
      <c r="I891" s="1">
        <v>1.0</v>
      </c>
      <c r="J891" s="1">
        <v>1.0</v>
      </c>
      <c r="K891" s="1">
        <v>4.0</v>
      </c>
      <c r="L891" s="1">
        <v>0.0</v>
      </c>
      <c r="M891" s="1">
        <v>0.0</v>
      </c>
      <c r="N891" s="1">
        <v>0.0</v>
      </c>
      <c r="O891" s="1">
        <v>0.0</v>
      </c>
      <c r="P891" s="1">
        <v>1.0</v>
      </c>
      <c r="Q891" s="1">
        <v>4.0</v>
      </c>
    </row>
    <row r="892">
      <c r="A892" s="1">
        <f t="shared" si="1"/>
        <v>889</v>
      </c>
      <c r="B892" s="1" t="s">
        <v>2256</v>
      </c>
      <c r="C892" s="1" t="s">
        <v>1076</v>
      </c>
      <c r="D892" s="1" t="s">
        <v>31</v>
      </c>
      <c r="E892" s="1">
        <f t="shared" si="2"/>
        <v>7.25</v>
      </c>
      <c r="F892" s="1">
        <f t="shared" si="3"/>
        <v>1.04</v>
      </c>
      <c r="G892" s="1">
        <v>7.0</v>
      </c>
      <c r="H892" s="1">
        <v>0.0</v>
      </c>
      <c r="I892" s="1">
        <v>1.0</v>
      </c>
      <c r="J892" s="1">
        <v>1.0</v>
      </c>
      <c r="K892" s="1">
        <v>4.0</v>
      </c>
      <c r="L892" s="1">
        <v>0.0</v>
      </c>
      <c r="M892" s="1">
        <v>0.0</v>
      </c>
      <c r="N892" s="1">
        <v>0.0</v>
      </c>
      <c r="O892" s="1">
        <v>0.0</v>
      </c>
      <c r="P892" s="1">
        <v>5.0</v>
      </c>
      <c r="Q892" s="1">
        <v>2.0</v>
      </c>
    </row>
    <row r="893">
      <c r="A893" s="1">
        <f t="shared" si="1"/>
        <v>889</v>
      </c>
      <c r="B893" s="1" t="s">
        <v>2536</v>
      </c>
      <c r="C893" s="1" t="s">
        <v>1091</v>
      </c>
      <c r="D893" s="1" t="s">
        <v>28</v>
      </c>
      <c r="E893" s="1">
        <f t="shared" si="2"/>
        <v>7.25</v>
      </c>
      <c r="F893" s="1">
        <f t="shared" si="3"/>
        <v>1.04</v>
      </c>
      <c r="G893" s="1">
        <v>7.0</v>
      </c>
      <c r="H893" s="1">
        <v>0.0</v>
      </c>
      <c r="I893" s="1">
        <v>0.0</v>
      </c>
      <c r="J893" s="1">
        <v>0.0</v>
      </c>
      <c r="K893" s="1">
        <v>4.0</v>
      </c>
      <c r="L893" s="1">
        <v>0.0</v>
      </c>
      <c r="M893" s="1">
        <v>0.0</v>
      </c>
      <c r="N893" s="1">
        <v>0.0</v>
      </c>
      <c r="O893" s="1">
        <v>0.0</v>
      </c>
      <c r="P893" s="1">
        <v>17.0</v>
      </c>
      <c r="Q893" s="1">
        <v>2.0</v>
      </c>
    </row>
    <row r="894">
      <c r="A894" s="1">
        <f t="shared" si="1"/>
        <v>892</v>
      </c>
      <c r="B894" s="1" t="s">
        <v>1889</v>
      </c>
      <c r="C894" s="1" t="s">
        <v>1034</v>
      </c>
      <c r="D894" s="1" t="s">
        <v>31</v>
      </c>
      <c r="E894" s="1">
        <f t="shared" si="2"/>
        <v>7</v>
      </c>
      <c r="F894" s="1">
        <f t="shared" si="3"/>
        <v>1</v>
      </c>
      <c r="G894" s="1">
        <v>7.0</v>
      </c>
      <c r="H894" s="1">
        <v>0.0</v>
      </c>
      <c r="I894" s="1">
        <v>1.0</v>
      </c>
      <c r="J894" s="1">
        <v>1.0</v>
      </c>
      <c r="K894" s="1">
        <v>3.0</v>
      </c>
      <c r="L894" s="1">
        <v>0.0</v>
      </c>
      <c r="M894" s="1">
        <v>0.0</v>
      </c>
      <c r="N894" s="1">
        <v>0.0</v>
      </c>
      <c r="O894" s="1">
        <v>0.0</v>
      </c>
      <c r="P894" s="1">
        <v>8.0</v>
      </c>
      <c r="Q894" s="1">
        <v>1.0</v>
      </c>
    </row>
    <row r="895">
      <c r="A895" s="1">
        <f t="shared" si="1"/>
        <v>892</v>
      </c>
      <c r="B895" s="1" t="s">
        <v>2039</v>
      </c>
      <c r="C895" s="1" t="s">
        <v>1069</v>
      </c>
      <c r="D895" s="1" t="s">
        <v>31</v>
      </c>
      <c r="E895" s="1">
        <f t="shared" si="2"/>
        <v>7</v>
      </c>
      <c r="F895" s="1">
        <f t="shared" si="3"/>
        <v>1</v>
      </c>
      <c r="G895" s="1">
        <v>7.0</v>
      </c>
      <c r="H895" s="1">
        <v>0.0</v>
      </c>
      <c r="I895" s="1">
        <v>1.0</v>
      </c>
      <c r="J895" s="1">
        <v>1.0</v>
      </c>
      <c r="K895" s="1">
        <v>1.0</v>
      </c>
      <c r="L895" s="1">
        <v>0.0</v>
      </c>
      <c r="M895" s="1">
        <v>0.0</v>
      </c>
      <c r="N895" s="1">
        <v>0.0</v>
      </c>
      <c r="O895" s="1">
        <v>0.0</v>
      </c>
      <c r="P895" s="1">
        <v>12.0</v>
      </c>
      <c r="Q895" s="1">
        <v>1.0</v>
      </c>
    </row>
    <row r="896">
      <c r="A896" s="1">
        <f t="shared" si="1"/>
        <v>892</v>
      </c>
      <c r="B896" s="1" t="s">
        <v>2306</v>
      </c>
      <c r="C896" s="1" t="s">
        <v>1069</v>
      </c>
      <c r="D896" s="1" t="s">
        <v>31</v>
      </c>
      <c r="E896" s="1">
        <f t="shared" si="2"/>
        <v>7</v>
      </c>
      <c r="F896" s="1">
        <f t="shared" si="3"/>
        <v>0.64</v>
      </c>
      <c r="G896" s="1">
        <v>11.0</v>
      </c>
      <c r="H896" s="1">
        <v>0.0</v>
      </c>
      <c r="I896" s="1">
        <v>0.0</v>
      </c>
      <c r="J896" s="1">
        <v>0.0</v>
      </c>
      <c r="K896" s="1">
        <v>4.0</v>
      </c>
      <c r="L896" s="1">
        <v>0.0</v>
      </c>
      <c r="M896" s="1">
        <v>0.0</v>
      </c>
      <c r="N896" s="1">
        <v>0.0</v>
      </c>
      <c r="O896" s="1">
        <v>0.0</v>
      </c>
      <c r="P896" s="1">
        <v>12.0</v>
      </c>
      <c r="Q896" s="1">
        <v>4.0</v>
      </c>
    </row>
    <row r="897">
      <c r="A897" s="1">
        <f t="shared" si="1"/>
        <v>895</v>
      </c>
      <c r="B897" s="1" t="s">
        <v>1617</v>
      </c>
      <c r="C897" s="1" t="s">
        <v>1048</v>
      </c>
      <c r="D897" s="1" t="s">
        <v>66</v>
      </c>
      <c r="E897" s="1">
        <f t="shared" si="2"/>
        <v>6.75</v>
      </c>
      <c r="F897" s="1">
        <f t="shared" si="3"/>
        <v>1.69</v>
      </c>
      <c r="G897" s="1">
        <v>4.0</v>
      </c>
      <c r="H897" s="1">
        <v>0.0</v>
      </c>
      <c r="I897" s="1">
        <v>0.0</v>
      </c>
      <c r="J897" s="1">
        <v>0.0</v>
      </c>
      <c r="K897" s="1">
        <v>5.0</v>
      </c>
      <c r="L897" s="1">
        <v>0.0</v>
      </c>
      <c r="M897" s="1">
        <v>0.0</v>
      </c>
      <c r="N897" s="1">
        <v>0.0</v>
      </c>
      <c r="O897" s="1">
        <v>0.0</v>
      </c>
      <c r="P897" s="1">
        <v>9.0</v>
      </c>
      <c r="Q897" s="1">
        <v>4.0</v>
      </c>
    </row>
    <row r="898">
      <c r="A898" s="1">
        <f t="shared" si="1"/>
        <v>896</v>
      </c>
      <c r="B898" s="1" t="s">
        <v>2243</v>
      </c>
      <c r="C898" s="1" t="s">
        <v>1091</v>
      </c>
      <c r="D898" s="1" t="s">
        <v>31</v>
      </c>
      <c r="E898" s="1">
        <f t="shared" si="2"/>
        <v>6.5</v>
      </c>
      <c r="F898" s="1">
        <f t="shared" si="3"/>
        <v>1.63</v>
      </c>
      <c r="G898" s="1">
        <v>4.0</v>
      </c>
      <c r="H898" s="1">
        <v>0.0</v>
      </c>
      <c r="I898" s="1">
        <v>1.0</v>
      </c>
      <c r="J898" s="1">
        <v>1.0</v>
      </c>
      <c r="K898" s="1">
        <v>7.0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</row>
    <row r="899">
      <c r="A899" s="1">
        <f t="shared" si="1"/>
        <v>896</v>
      </c>
      <c r="B899" s="1" t="s">
        <v>2537</v>
      </c>
      <c r="C899" s="1" t="s">
        <v>1175</v>
      </c>
      <c r="D899" s="1" t="s">
        <v>28</v>
      </c>
      <c r="E899" s="1">
        <f t="shared" si="2"/>
        <v>6.5</v>
      </c>
      <c r="F899" s="1">
        <f t="shared" si="3"/>
        <v>1.63</v>
      </c>
      <c r="G899" s="1">
        <v>4.0</v>
      </c>
      <c r="H899" s="1">
        <v>0.0</v>
      </c>
      <c r="I899" s="1">
        <v>1.0</v>
      </c>
      <c r="J899" s="1">
        <v>1.0</v>
      </c>
      <c r="K899" s="1">
        <v>5.0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2.0</v>
      </c>
    </row>
    <row r="900">
      <c r="A900" s="1">
        <f t="shared" si="1"/>
        <v>896</v>
      </c>
      <c r="B900" s="1" t="s">
        <v>2174</v>
      </c>
      <c r="C900" s="1" t="s">
        <v>1069</v>
      </c>
      <c r="D900" s="1" t="s">
        <v>36</v>
      </c>
      <c r="E900" s="1">
        <f t="shared" si="2"/>
        <v>6.5</v>
      </c>
      <c r="F900" s="1">
        <f t="shared" si="3"/>
        <v>0.72</v>
      </c>
      <c r="G900" s="1">
        <v>9.0</v>
      </c>
      <c r="H900" s="1">
        <v>0.0</v>
      </c>
      <c r="I900" s="1">
        <v>0.0</v>
      </c>
      <c r="J900" s="1">
        <v>0.0</v>
      </c>
      <c r="K900" s="1">
        <v>6.0</v>
      </c>
      <c r="L900" s="1">
        <v>0.0</v>
      </c>
      <c r="M900" s="1">
        <v>0.0</v>
      </c>
      <c r="N900" s="1">
        <v>0.0</v>
      </c>
      <c r="O900" s="1">
        <v>0.0</v>
      </c>
      <c r="P900" s="1">
        <v>14.0</v>
      </c>
      <c r="Q900" s="1">
        <v>0.0</v>
      </c>
    </row>
    <row r="901">
      <c r="A901" s="1">
        <f t="shared" si="1"/>
        <v>899</v>
      </c>
      <c r="B901" s="1" t="s">
        <v>1817</v>
      </c>
      <c r="C901" s="1" t="s">
        <v>1038</v>
      </c>
      <c r="D901" s="1" t="s">
        <v>31</v>
      </c>
      <c r="E901" s="1">
        <f t="shared" si="2"/>
        <v>6.25</v>
      </c>
      <c r="F901" s="1">
        <f t="shared" si="3"/>
        <v>2.08</v>
      </c>
      <c r="G901" s="1">
        <v>3.0</v>
      </c>
      <c r="H901" s="1">
        <v>0.0</v>
      </c>
      <c r="I901" s="1">
        <v>0.0</v>
      </c>
      <c r="J901" s="1">
        <v>0.0</v>
      </c>
      <c r="K901" s="1">
        <v>6.0</v>
      </c>
      <c r="L901" s="1">
        <v>0.0</v>
      </c>
      <c r="M901" s="1">
        <v>0.0</v>
      </c>
      <c r="N901" s="1">
        <v>0.0</v>
      </c>
      <c r="O901" s="1">
        <v>0.0</v>
      </c>
      <c r="P901" s="1">
        <v>11.0</v>
      </c>
      <c r="Q901" s="1">
        <v>1.0</v>
      </c>
    </row>
    <row r="902">
      <c r="A902" s="1">
        <f t="shared" si="1"/>
        <v>899</v>
      </c>
      <c r="B902" s="1" t="s">
        <v>1725</v>
      </c>
      <c r="C902" s="1" t="s">
        <v>1065</v>
      </c>
      <c r="D902" s="1" t="s">
        <v>31</v>
      </c>
      <c r="E902" s="1">
        <f t="shared" si="2"/>
        <v>6.25</v>
      </c>
      <c r="F902" s="1">
        <f t="shared" si="3"/>
        <v>1.25</v>
      </c>
      <c r="G902" s="1">
        <v>5.0</v>
      </c>
      <c r="H902" s="1">
        <v>0.0</v>
      </c>
      <c r="I902" s="1">
        <v>0.0</v>
      </c>
      <c r="J902" s="1">
        <v>0.0</v>
      </c>
      <c r="K902" s="1">
        <v>7.0</v>
      </c>
      <c r="L902" s="1">
        <v>0.0</v>
      </c>
      <c r="M902" s="1">
        <v>0.0</v>
      </c>
      <c r="N902" s="1">
        <v>0.0</v>
      </c>
      <c r="O902" s="1">
        <v>0.0</v>
      </c>
      <c r="P902" s="1">
        <v>9.0</v>
      </c>
      <c r="Q902" s="1">
        <v>1.0</v>
      </c>
    </row>
    <row r="903">
      <c r="A903" s="1">
        <f t="shared" si="1"/>
        <v>899</v>
      </c>
      <c r="B903" s="1" t="s">
        <v>1517</v>
      </c>
      <c r="C903" s="1" t="s">
        <v>1044</v>
      </c>
      <c r="D903" s="1" t="s">
        <v>66</v>
      </c>
      <c r="E903" s="1">
        <f t="shared" si="2"/>
        <v>6.25</v>
      </c>
      <c r="F903" s="1">
        <f t="shared" si="3"/>
        <v>1.25</v>
      </c>
      <c r="G903" s="1">
        <v>5.0</v>
      </c>
      <c r="H903" s="1">
        <v>0.0</v>
      </c>
      <c r="I903" s="1">
        <v>0.0</v>
      </c>
      <c r="J903" s="1">
        <v>0.0</v>
      </c>
      <c r="K903" s="1">
        <v>6.0</v>
      </c>
      <c r="L903" s="1">
        <v>0.0</v>
      </c>
      <c r="M903" s="1">
        <v>0.0</v>
      </c>
      <c r="N903" s="1">
        <v>0.0</v>
      </c>
      <c r="O903" s="1">
        <v>0.0</v>
      </c>
      <c r="P903" s="1">
        <v>3.0</v>
      </c>
      <c r="Q903" s="1">
        <v>5.0</v>
      </c>
    </row>
    <row r="904">
      <c r="A904" s="1">
        <f t="shared" si="1"/>
        <v>899</v>
      </c>
      <c r="B904" s="1" t="s">
        <v>2307</v>
      </c>
      <c r="C904" s="1" t="s">
        <v>1046</v>
      </c>
      <c r="D904" s="1" t="s">
        <v>36</v>
      </c>
      <c r="E904" s="1">
        <f t="shared" si="2"/>
        <v>6.25</v>
      </c>
      <c r="F904" s="1">
        <f t="shared" si="3"/>
        <v>0.89</v>
      </c>
      <c r="G904" s="1">
        <v>7.0</v>
      </c>
      <c r="H904" s="1">
        <v>0.0</v>
      </c>
      <c r="I904" s="1">
        <v>1.0</v>
      </c>
      <c r="J904" s="1">
        <v>1.0</v>
      </c>
      <c r="K904" s="1">
        <v>5.0</v>
      </c>
      <c r="L904" s="1">
        <v>0.0</v>
      </c>
      <c r="M904" s="1">
        <v>0.0</v>
      </c>
      <c r="N904" s="1">
        <v>0.0</v>
      </c>
      <c r="O904" s="1">
        <v>0.0</v>
      </c>
      <c r="P904" s="1">
        <v>1.0</v>
      </c>
      <c r="Q904" s="1">
        <v>1.0</v>
      </c>
    </row>
    <row r="905">
      <c r="A905" s="1">
        <f t="shared" si="1"/>
        <v>903</v>
      </c>
      <c r="B905" s="1" t="s">
        <v>2538</v>
      </c>
      <c r="C905" s="1" t="s">
        <v>1034</v>
      </c>
      <c r="D905" s="1" t="s">
        <v>5</v>
      </c>
      <c r="E905" s="1">
        <f t="shared" si="2"/>
        <v>6</v>
      </c>
      <c r="F905" s="1">
        <f t="shared" si="3"/>
        <v>3</v>
      </c>
      <c r="G905" s="1">
        <v>2.0</v>
      </c>
      <c r="R905" s="1">
        <v>1.0</v>
      </c>
      <c r="S905" s="1">
        <v>5.0</v>
      </c>
      <c r="T905" s="1">
        <v>35.0</v>
      </c>
      <c r="U905" s="1">
        <v>0.0</v>
      </c>
    </row>
    <row r="906">
      <c r="A906" s="1">
        <f t="shared" si="1"/>
        <v>903</v>
      </c>
      <c r="B906" s="1" t="s">
        <v>1430</v>
      </c>
      <c r="C906" s="1" t="s">
        <v>1044</v>
      </c>
      <c r="D906" s="1" t="s">
        <v>31</v>
      </c>
      <c r="E906" s="1">
        <f t="shared" si="2"/>
        <v>6</v>
      </c>
      <c r="F906" s="1">
        <f t="shared" si="3"/>
        <v>6</v>
      </c>
      <c r="G906" s="1">
        <v>1.0</v>
      </c>
      <c r="H906" s="1">
        <v>1.0</v>
      </c>
      <c r="I906" s="1">
        <v>0.0</v>
      </c>
      <c r="J906" s="1">
        <v>1.0</v>
      </c>
      <c r="K906" s="1">
        <v>1.0</v>
      </c>
      <c r="L906" s="1">
        <v>0.0</v>
      </c>
      <c r="M906" s="1">
        <v>0.0</v>
      </c>
      <c r="N906" s="1">
        <v>0.0</v>
      </c>
      <c r="O906" s="1">
        <v>0.0</v>
      </c>
      <c r="P906" s="1">
        <v>4.0</v>
      </c>
      <c r="Q906" s="1">
        <v>0.0</v>
      </c>
    </row>
    <row r="907">
      <c r="A907" s="1">
        <f t="shared" si="1"/>
        <v>905</v>
      </c>
      <c r="B907" s="1" t="s">
        <v>1636</v>
      </c>
      <c r="C907" s="1" t="s">
        <v>1097</v>
      </c>
      <c r="D907" s="1" t="s">
        <v>5</v>
      </c>
      <c r="E907" s="1">
        <f t="shared" si="2"/>
        <v>5.7</v>
      </c>
      <c r="F907" s="1">
        <f t="shared" si="3"/>
        <v>1.43</v>
      </c>
      <c r="G907" s="1">
        <v>4.0</v>
      </c>
      <c r="R907" s="1">
        <v>1.0</v>
      </c>
      <c r="S907" s="1">
        <v>14.0</v>
      </c>
      <c r="T907" s="1">
        <v>79.0</v>
      </c>
      <c r="U907" s="1">
        <v>0.0</v>
      </c>
    </row>
    <row r="908">
      <c r="A908" s="1">
        <f t="shared" si="1"/>
        <v>906</v>
      </c>
      <c r="B908" s="1" t="s">
        <v>1647</v>
      </c>
      <c r="C908" s="1" t="s">
        <v>1078</v>
      </c>
      <c r="D908" s="1" t="s">
        <v>36</v>
      </c>
      <c r="E908" s="1">
        <f t="shared" si="2"/>
        <v>5.5</v>
      </c>
      <c r="F908" s="1">
        <f t="shared" si="3"/>
        <v>5.5</v>
      </c>
      <c r="G908" s="1">
        <v>1.0</v>
      </c>
      <c r="H908" s="1">
        <v>1.0</v>
      </c>
      <c r="I908" s="1">
        <v>0.0</v>
      </c>
      <c r="J908" s="1">
        <v>1.0</v>
      </c>
      <c r="K908" s="1">
        <v>1.0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1.0</v>
      </c>
    </row>
    <row r="909">
      <c r="A909" s="1">
        <f t="shared" si="1"/>
        <v>906</v>
      </c>
      <c r="B909" s="1" t="s">
        <v>1849</v>
      </c>
      <c r="C909" s="1" t="s">
        <v>1116</v>
      </c>
      <c r="D909" s="1" t="s">
        <v>28</v>
      </c>
      <c r="E909" s="1">
        <f t="shared" si="2"/>
        <v>5.5</v>
      </c>
      <c r="F909" s="1">
        <f t="shared" si="3"/>
        <v>2.75</v>
      </c>
      <c r="G909" s="1">
        <v>2.0</v>
      </c>
      <c r="H909" s="1">
        <v>0.0</v>
      </c>
      <c r="I909" s="1">
        <v>1.0</v>
      </c>
      <c r="J909" s="1">
        <v>1.0</v>
      </c>
      <c r="K909" s="1">
        <v>2.0</v>
      </c>
      <c r="L909" s="1">
        <v>0.0</v>
      </c>
      <c r="M909" s="1">
        <v>0.0</v>
      </c>
      <c r="N909" s="1">
        <v>0.0</v>
      </c>
      <c r="O909" s="1">
        <v>0.0</v>
      </c>
      <c r="P909" s="1">
        <v>4.0</v>
      </c>
      <c r="Q909" s="1">
        <v>1.0</v>
      </c>
    </row>
    <row r="910">
      <c r="A910" s="1">
        <f t="shared" si="1"/>
        <v>906</v>
      </c>
      <c r="B910" s="1" t="s">
        <v>2381</v>
      </c>
      <c r="C910" s="1" t="s">
        <v>1038</v>
      </c>
      <c r="D910" s="1" t="s">
        <v>66</v>
      </c>
      <c r="E910" s="1">
        <f t="shared" si="2"/>
        <v>5.5</v>
      </c>
      <c r="F910" s="1">
        <f t="shared" si="3"/>
        <v>1.83</v>
      </c>
      <c r="G910" s="1">
        <v>3.0</v>
      </c>
      <c r="H910" s="1">
        <v>0.0</v>
      </c>
      <c r="I910" s="1">
        <v>0.0</v>
      </c>
      <c r="J910" s="1">
        <v>0.0</v>
      </c>
      <c r="K910" s="1">
        <v>5.0</v>
      </c>
      <c r="L910" s="1">
        <v>0.0</v>
      </c>
      <c r="M910" s="1">
        <v>0.0</v>
      </c>
      <c r="N910" s="1">
        <v>0.0</v>
      </c>
      <c r="O910" s="1">
        <v>0.0</v>
      </c>
      <c r="P910" s="1">
        <v>2.0</v>
      </c>
      <c r="Q910" s="1">
        <v>5.0</v>
      </c>
    </row>
    <row r="911">
      <c r="A911" s="1">
        <f t="shared" si="1"/>
        <v>906</v>
      </c>
      <c r="B911" s="1" t="s">
        <v>1717</v>
      </c>
      <c r="C911" s="1" t="s">
        <v>1054</v>
      </c>
      <c r="D911" s="1" t="s">
        <v>66</v>
      </c>
      <c r="E911" s="1">
        <f t="shared" si="2"/>
        <v>5.5</v>
      </c>
      <c r="F911" s="1">
        <f t="shared" si="3"/>
        <v>1.83</v>
      </c>
      <c r="G911" s="1">
        <v>3.0</v>
      </c>
      <c r="H911" s="1">
        <v>0.0</v>
      </c>
      <c r="I911" s="1">
        <v>0.0</v>
      </c>
      <c r="J911" s="1">
        <v>0.0</v>
      </c>
      <c r="K911" s="1">
        <v>2.0</v>
      </c>
      <c r="L911" s="1">
        <v>0.0</v>
      </c>
      <c r="M911" s="1">
        <v>0.0</v>
      </c>
      <c r="N911" s="1">
        <v>0.0</v>
      </c>
      <c r="O911" s="1">
        <v>0.0</v>
      </c>
      <c r="P911" s="1">
        <v>10.0</v>
      </c>
      <c r="Q911" s="1">
        <v>4.0</v>
      </c>
    </row>
    <row r="912">
      <c r="A912" s="1">
        <f t="shared" si="1"/>
        <v>906</v>
      </c>
      <c r="B912" s="1" t="s">
        <v>2539</v>
      </c>
      <c r="C912" s="1" t="s">
        <v>1570</v>
      </c>
      <c r="D912" s="1" t="s">
        <v>31</v>
      </c>
      <c r="E912" s="1">
        <f t="shared" si="2"/>
        <v>5.5</v>
      </c>
      <c r="F912" s="1">
        <f t="shared" si="3"/>
        <v>1.38</v>
      </c>
      <c r="G912" s="1">
        <v>4.0</v>
      </c>
      <c r="H912" s="1">
        <v>0.0</v>
      </c>
      <c r="I912" s="1">
        <v>0.0</v>
      </c>
      <c r="J912" s="1">
        <v>0.0</v>
      </c>
      <c r="K912" s="1">
        <v>4.0</v>
      </c>
      <c r="L912" s="1">
        <v>0.0</v>
      </c>
      <c r="M912" s="1">
        <v>0.0</v>
      </c>
      <c r="N912" s="1">
        <v>0.0</v>
      </c>
      <c r="O912" s="1">
        <v>0.0</v>
      </c>
      <c r="P912" s="1">
        <v>6.0</v>
      </c>
      <c r="Q912" s="1">
        <v>4.0</v>
      </c>
    </row>
    <row r="913">
      <c r="A913" s="1">
        <f t="shared" si="1"/>
        <v>906</v>
      </c>
      <c r="B913" s="1" t="s">
        <v>1712</v>
      </c>
      <c r="C913" s="1" t="s">
        <v>1111</v>
      </c>
      <c r="D913" s="1" t="s">
        <v>36</v>
      </c>
      <c r="E913" s="1">
        <f t="shared" si="2"/>
        <v>5.5</v>
      </c>
      <c r="F913" s="1">
        <f t="shared" si="3"/>
        <v>1.1</v>
      </c>
      <c r="G913" s="1">
        <v>5.0</v>
      </c>
      <c r="H913" s="1">
        <v>0.0</v>
      </c>
      <c r="I913" s="1">
        <v>0.0</v>
      </c>
      <c r="J913" s="1">
        <v>0.0</v>
      </c>
      <c r="K913" s="1">
        <v>7.0</v>
      </c>
      <c r="L913" s="1">
        <v>0.0</v>
      </c>
      <c r="M913" s="1">
        <v>0.0</v>
      </c>
      <c r="N913" s="1">
        <v>0.0</v>
      </c>
      <c r="O913" s="1">
        <v>0.0</v>
      </c>
      <c r="P913" s="1">
        <v>6.0</v>
      </c>
      <c r="Q913" s="1">
        <v>1.0</v>
      </c>
    </row>
    <row r="914">
      <c r="A914" s="1">
        <f t="shared" si="1"/>
        <v>906</v>
      </c>
      <c r="B914" s="1" t="s">
        <v>2064</v>
      </c>
      <c r="C914" s="1" t="s">
        <v>1046</v>
      </c>
      <c r="D914" s="1" t="s">
        <v>36</v>
      </c>
      <c r="E914" s="1">
        <f t="shared" si="2"/>
        <v>5.5</v>
      </c>
      <c r="F914" s="1">
        <f t="shared" si="3"/>
        <v>0.79</v>
      </c>
      <c r="G914" s="1">
        <v>7.0</v>
      </c>
      <c r="H914" s="1">
        <v>0.0</v>
      </c>
      <c r="I914" s="1">
        <v>0.0</v>
      </c>
      <c r="J914" s="1">
        <v>0.0</v>
      </c>
      <c r="K914" s="1">
        <v>4.0</v>
      </c>
      <c r="L914" s="1">
        <v>0.0</v>
      </c>
      <c r="M914" s="1">
        <v>0.0</v>
      </c>
      <c r="N914" s="1">
        <v>0.0</v>
      </c>
      <c r="O914" s="1">
        <v>0.0</v>
      </c>
      <c r="P914" s="1">
        <v>8.0</v>
      </c>
      <c r="Q914" s="1">
        <v>3.0</v>
      </c>
    </row>
    <row r="915">
      <c r="A915" s="1">
        <f t="shared" si="1"/>
        <v>913</v>
      </c>
      <c r="B915" s="1" t="s">
        <v>1218</v>
      </c>
      <c r="C915" s="1" t="s">
        <v>1036</v>
      </c>
      <c r="D915" s="1" t="s">
        <v>5</v>
      </c>
      <c r="E915" s="1">
        <f t="shared" si="2"/>
        <v>5.4</v>
      </c>
      <c r="F915" s="1">
        <f t="shared" si="3"/>
        <v>5.4</v>
      </c>
      <c r="G915" s="1">
        <v>1.0</v>
      </c>
      <c r="R915" s="1">
        <v>1.0</v>
      </c>
      <c r="S915" s="1">
        <v>5.0</v>
      </c>
      <c r="T915" s="1">
        <v>33.0</v>
      </c>
      <c r="U915" s="1">
        <v>0.0</v>
      </c>
    </row>
    <row r="916">
      <c r="A916" s="1">
        <f t="shared" si="1"/>
        <v>914</v>
      </c>
      <c r="B916" s="1" t="s">
        <v>1655</v>
      </c>
      <c r="C916" s="1" t="s">
        <v>1106</v>
      </c>
      <c r="D916" s="1" t="s">
        <v>36</v>
      </c>
      <c r="E916" s="1">
        <f t="shared" si="2"/>
        <v>5.25</v>
      </c>
      <c r="F916" s="1">
        <f t="shared" si="3"/>
        <v>2.63</v>
      </c>
      <c r="G916" s="1">
        <v>2.0</v>
      </c>
      <c r="H916" s="1">
        <v>0.0</v>
      </c>
      <c r="I916" s="1">
        <v>1.0</v>
      </c>
      <c r="J916" s="1">
        <v>1.0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9.0</v>
      </c>
      <c r="Q916" s="1">
        <v>0.0</v>
      </c>
    </row>
    <row r="917">
      <c r="A917" s="1">
        <f t="shared" si="1"/>
        <v>914</v>
      </c>
      <c r="B917" s="1" t="s">
        <v>1919</v>
      </c>
      <c r="C917" s="1" t="s">
        <v>1080</v>
      </c>
      <c r="D917" s="1" t="s">
        <v>31</v>
      </c>
      <c r="E917" s="1">
        <f t="shared" si="2"/>
        <v>5.25</v>
      </c>
      <c r="F917" s="1">
        <f t="shared" si="3"/>
        <v>1.31</v>
      </c>
      <c r="G917" s="1">
        <v>4.0</v>
      </c>
      <c r="H917" s="1">
        <v>0.0</v>
      </c>
      <c r="I917" s="1">
        <v>0.0</v>
      </c>
      <c r="J917" s="1">
        <v>0.0</v>
      </c>
      <c r="K917" s="1">
        <v>5.0</v>
      </c>
      <c r="L917" s="1">
        <v>0.0</v>
      </c>
      <c r="M917" s="1">
        <v>0.0</v>
      </c>
      <c r="N917" s="1">
        <v>0.0</v>
      </c>
      <c r="O917" s="1">
        <v>0.0</v>
      </c>
      <c r="P917" s="1">
        <v>7.0</v>
      </c>
      <c r="Q917" s="1">
        <v>2.0</v>
      </c>
    </row>
    <row r="918">
      <c r="A918" s="1">
        <f t="shared" si="1"/>
        <v>916</v>
      </c>
      <c r="B918" s="1" t="s">
        <v>2233</v>
      </c>
      <c r="C918" s="1" t="s">
        <v>1040</v>
      </c>
      <c r="D918" s="1" t="s">
        <v>31</v>
      </c>
      <c r="E918" s="1">
        <f t="shared" si="2"/>
        <v>5</v>
      </c>
      <c r="F918" s="1">
        <f t="shared" si="3"/>
        <v>5</v>
      </c>
      <c r="G918" s="1">
        <v>1.0</v>
      </c>
      <c r="H918" s="1">
        <v>0.0</v>
      </c>
      <c r="I918" s="1">
        <v>1.0</v>
      </c>
      <c r="J918" s="1">
        <v>1.0</v>
      </c>
      <c r="K918" s="1">
        <v>2.0</v>
      </c>
      <c r="L918" s="1">
        <v>0.0</v>
      </c>
      <c r="M918" s="1">
        <v>0.0</v>
      </c>
      <c r="N918" s="1">
        <v>0.0</v>
      </c>
      <c r="O918" s="1">
        <v>0.0</v>
      </c>
      <c r="P918" s="1">
        <v>2.0</v>
      </c>
      <c r="Q918" s="1">
        <v>1.0</v>
      </c>
    </row>
    <row r="919">
      <c r="A919" s="1">
        <f t="shared" si="1"/>
        <v>916</v>
      </c>
      <c r="B919" s="1" t="s">
        <v>2125</v>
      </c>
      <c r="C919" s="1" t="s">
        <v>1097</v>
      </c>
      <c r="D919" s="1" t="s">
        <v>28</v>
      </c>
      <c r="E919" s="1">
        <f t="shared" si="2"/>
        <v>5</v>
      </c>
      <c r="F919" s="1">
        <f t="shared" si="3"/>
        <v>2.5</v>
      </c>
      <c r="G919" s="1">
        <v>2.0</v>
      </c>
      <c r="H919" s="1">
        <v>0.0</v>
      </c>
      <c r="I919" s="1">
        <v>1.0</v>
      </c>
      <c r="J919" s="1">
        <v>1.0</v>
      </c>
      <c r="K919" s="1">
        <v>3.0</v>
      </c>
      <c r="L919" s="1">
        <v>0.0</v>
      </c>
      <c r="M919" s="1">
        <v>0.0</v>
      </c>
      <c r="N919" s="1">
        <v>0.0</v>
      </c>
      <c r="O919" s="1">
        <v>0.0</v>
      </c>
      <c r="P919" s="1">
        <v>2.0</v>
      </c>
      <c r="Q919" s="1">
        <v>0.0</v>
      </c>
    </row>
    <row r="920">
      <c r="A920" s="1">
        <f t="shared" si="1"/>
        <v>916</v>
      </c>
      <c r="B920" s="1" t="s">
        <v>1599</v>
      </c>
      <c r="C920" s="1" t="s">
        <v>1080</v>
      </c>
      <c r="D920" s="1" t="s">
        <v>31</v>
      </c>
      <c r="E920" s="1">
        <f t="shared" si="2"/>
        <v>5</v>
      </c>
      <c r="F920" s="1">
        <f t="shared" si="3"/>
        <v>1.25</v>
      </c>
      <c r="G920" s="1">
        <v>4.0</v>
      </c>
      <c r="H920" s="1">
        <v>0.0</v>
      </c>
      <c r="I920" s="1">
        <v>1.0</v>
      </c>
      <c r="J920" s="1">
        <v>1.0</v>
      </c>
      <c r="K920" s="1">
        <v>1.0</v>
      </c>
      <c r="L920" s="1">
        <v>0.0</v>
      </c>
      <c r="M920" s="1">
        <v>0.0</v>
      </c>
      <c r="N920" s="1">
        <v>0.0</v>
      </c>
      <c r="O920" s="1">
        <v>0.0</v>
      </c>
      <c r="P920" s="1">
        <v>4.0</v>
      </c>
      <c r="Q920" s="1">
        <v>1.0</v>
      </c>
    </row>
    <row r="921">
      <c r="A921" s="1">
        <f t="shared" si="1"/>
        <v>916</v>
      </c>
      <c r="B921" s="1" t="s">
        <v>1630</v>
      </c>
      <c r="C921" s="1" t="s">
        <v>1065</v>
      </c>
      <c r="D921" s="1" t="s">
        <v>28</v>
      </c>
      <c r="E921" s="1">
        <f t="shared" si="2"/>
        <v>5</v>
      </c>
      <c r="F921" s="1">
        <f t="shared" si="3"/>
        <v>0.83</v>
      </c>
      <c r="G921" s="1">
        <v>6.0</v>
      </c>
      <c r="H921" s="1">
        <v>0.0</v>
      </c>
      <c r="I921" s="1">
        <v>0.0</v>
      </c>
      <c r="J921" s="1">
        <v>0.0</v>
      </c>
      <c r="K921" s="1">
        <v>8.0</v>
      </c>
      <c r="L921" s="1">
        <v>0.0</v>
      </c>
      <c r="M921" s="1">
        <v>0.0</v>
      </c>
      <c r="N921" s="1">
        <v>0.0</v>
      </c>
      <c r="O921" s="1">
        <v>0.0</v>
      </c>
      <c r="P921" s="1">
        <v>4.0</v>
      </c>
      <c r="Q921" s="1">
        <v>0.0</v>
      </c>
    </row>
    <row r="922">
      <c r="A922" s="1">
        <f t="shared" si="1"/>
        <v>916</v>
      </c>
      <c r="B922" s="1" t="s">
        <v>2221</v>
      </c>
      <c r="C922" s="1" t="s">
        <v>1091</v>
      </c>
      <c r="D922" s="1" t="s">
        <v>31</v>
      </c>
      <c r="E922" s="1">
        <f t="shared" si="2"/>
        <v>5</v>
      </c>
      <c r="F922" s="1">
        <f t="shared" si="3"/>
        <v>0.83</v>
      </c>
      <c r="G922" s="1">
        <v>6.0</v>
      </c>
      <c r="H922" s="1">
        <v>0.0</v>
      </c>
      <c r="I922" s="1">
        <v>0.0</v>
      </c>
      <c r="J922" s="1">
        <v>0.0</v>
      </c>
      <c r="K922" s="1">
        <v>2.0</v>
      </c>
      <c r="L922" s="1">
        <v>0.0</v>
      </c>
      <c r="M922" s="1">
        <v>0.0</v>
      </c>
      <c r="N922" s="1">
        <v>0.0</v>
      </c>
      <c r="O922" s="1">
        <v>0.0</v>
      </c>
      <c r="P922" s="1">
        <v>14.0</v>
      </c>
      <c r="Q922" s="1">
        <v>1.0</v>
      </c>
    </row>
    <row r="923">
      <c r="A923" s="1">
        <f t="shared" si="1"/>
        <v>921</v>
      </c>
      <c r="B923" s="1" t="s">
        <v>1809</v>
      </c>
      <c r="C923" s="1" t="s">
        <v>1069</v>
      </c>
      <c r="D923" s="1" t="s">
        <v>31</v>
      </c>
      <c r="E923" s="1">
        <f t="shared" si="2"/>
        <v>4.75</v>
      </c>
      <c r="F923" s="1">
        <f t="shared" si="3"/>
        <v>1.58</v>
      </c>
      <c r="G923" s="1">
        <v>3.0</v>
      </c>
      <c r="H923" s="1">
        <v>0.0</v>
      </c>
      <c r="I923" s="1">
        <v>1.0</v>
      </c>
      <c r="J923" s="1">
        <v>1.0</v>
      </c>
      <c r="K923" s="1">
        <v>3.0</v>
      </c>
      <c r="L923" s="1">
        <v>0.0</v>
      </c>
      <c r="M923" s="1">
        <v>0.0</v>
      </c>
      <c r="N923" s="1">
        <v>0.0</v>
      </c>
      <c r="O923" s="1">
        <v>0.0</v>
      </c>
      <c r="P923" s="1">
        <v>1.0</v>
      </c>
      <c r="Q923" s="1">
        <v>0.0</v>
      </c>
    </row>
    <row r="924">
      <c r="A924" s="1">
        <f t="shared" si="1"/>
        <v>921</v>
      </c>
      <c r="B924" s="1" t="s">
        <v>2147</v>
      </c>
      <c r="C924" s="1" t="s">
        <v>1091</v>
      </c>
      <c r="D924" s="1" t="s">
        <v>31</v>
      </c>
      <c r="E924" s="1">
        <f t="shared" si="2"/>
        <v>4.75</v>
      </c>
      <c r="F924" s="1">
        <f t="shared" si="3"/>
        <v>0.95</v>
      </c>
      <c r="G924" s="1">
        <v>5.0</v>
      </c>
      <c r="H924" s="1">
        <v>0.0</v>
      </c>
      <c r="I924" s="1">
        <v>0.0</v>
      </c>
      <c r="J924" s="1">
        <v>0.0</v>
      </c>
      <c r="K924" s="1">
        <v>6.0</v>
      </c>
      <c r="L924" s="1">
        <v>0.0</v>
      </c>
      <c r="M924" s="1">
        <v>0.0</v>
      </c>
      <c r="N924" s="1">
        <v>0.0</v>
      </c>
      <c r="O924" s="1">
        <v>0.0</v>
      </c>
      <c r="P924" s="1">
        <v>5.0</v>
      </c>
      <c r="Q924" s="1">
        <v>1.0</v>
      </c>
    </row>
    <row r="925">
      <c r="A925" s="1">
        <f t="shared" si="1"/>
        <v>923</v>
      </c>
      <c r="B925" s="1" t="s">
        <v>2540</v>
      </c>
      <c r="C925" s="1" t="s">
        <v>1175</v>
      </c>
      <c r="D925" s="1" t="s">
        <v>5</v>
      </c>
      <c r="E925" s="1">
        <f t="shared" si="2"/>
        <v>4.5</v>
      </c>
      <c r="F925" s="1">
        <f t="shared" si="3"/>
        <v>1.5</v>
      </c>
      <c r="G925" s="1">
        <v>3.0</v>
      </c>
      <c r="R925" s="1">
        <v>0.0</v>
      </c>
      <c r="S925" s="1">
        <v>11.0</v>
      </c>
      <c r="T925" s="1">
        <v>70.0</v>
      </c>
      <c r="U925" s="1">
        <v>0.0</v>
      </c>
    </row>
    <row r="926">
      <c r="A926" s="1">
        <f t="shared" si="1"/>
        <v>923</v>
      </c>
      <c r="B926" s="1" t="s">
        <v>2541</v>
      </c>
      <c r="C926" s="1" t="s">
        <v>1080</v>
      </c>
      <c r="D926" s="1" t="s">
        <v>5</v>
      </c>
      <c r="E926" s="1">
        <f t="shared" si="2"/>
        <v>4.5</v>
      </c>
      <c r="F926" s="1">
        <f t="shared" si="3"/>
        <v>4.5</v>
      </c>
      <c r="G926" s="1">
        <v>1.0</v>
      </c>
      <c r="R926" s="1">
        <v>1.0</v>
      </c>
      <c r="S926" s="1">
        <v>4.0</v>
      </c>
      <c r="T926" s="1">
        <v>25.0</v>
      </c>
      <c r="U926" s="1">
        <v>0.0</v>
      </c>
    </row>
    <row r="927">
      <c r="A927" s="1">
        <f t="shared" si="1"/>
        <v>923</v>
      </c>
      <c r="B927" s="1" t="s">
        <v>2430</v>
      </c>
      <c r="C927" s="1" t="s">
        <v>1046</v>
      </c>
      <c r="D927" s="1" t="s">
        <v>66</v>
      </c>
      <c r="E927" s="1">
        <f t="shared" si="2"/>
        <v>4.5</v>
      </c>
      <c r="F927" s="1">
        <f t="shared" si="3"/>
        <v>2.25</v>
      </c>
      <c r="G927" s="1">
        <v>2.0</v>
      </c>
      <c r="H927" s="1">
        <v>0.0</v>
      </c>
      <c r="I927" s="1">
        <v>1.0</v>
      </c>
      <c r="J927" s="1">
        <v>1.0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4.0</v>
      </c>
      <c r="Q927" s="1">
        <v>1.0</v>
      </c>
    </row>
    <row r="928">
      <c r="A928" s="1">
        <f t="shared" si="1"/>
        <v>923</v>
      </c>
      <c r="B928" s="1" t="s">
        <v>2542</v>
      </c>
      <c r="C928" s="1" t="s">
        <v>1034</v>
      </c>
      <c r="D928" s="1" t="s">
        <v>66</v>
      </c>
      <c r="E928" s="1">
        <f t="shared" si="2"/>
        <v>4.5</v>
      </c>
      <c r="F928" s="1">
        <f t="shared" si="3"/>
        <v>0.9</v>
      </c>
      <c r="G928" s="1">
        <v>5.0</v>
      </c>
      <c r="H928" s="1">
        <v>0.0</v>
      </c>
      <c r="I928" s="1">
        <v>0.0</v>
      </c>
      <c r="J928" s="1">
        <v>0.0</v>
      </c>
      <c r="K928" s="1">
        <v>3.0</v>
      </c>
      <c r="L928" s="1">
        <v>0.0</v>
      </c>
      <c r="M928" s="1">
        <v>0.0</v>
      </c>
      <c r="N928" s="1">
        <v>0.0</v>
      </c>
      <c r="O928" s="1">
        <v>0.0</v>
      </c>
      <c r="P928" s="1">
        <v>4.0</v>
      </c>
      <c r="Q928" s="1">
        <v>4.0</v>
      </c>
    </row>
    <row r="929">
      <c r="A929" s="1">
        <f t="shared" si="1"/>
        <v>923</v>
      </c>
      <c r="B929" s="1" t="s">
        <v>1428</v>
      </c>
      <c r="C929" s="1" t="s">
        <v>1042</v>
      </c>
      <c r="D929" s="1" t="s">
        <v>31</v>
      </c>
      <c r="E929" s="1">
        <f t="shared" si="2"/>
        <v>4.5</v>
      </c>
      <c r="F929" s="1">
        <f t="shared" si="3"/>
        <v>0.75</v>
      </c>
      <c r="G929" s="1">
        <v>6.0</v>
      </c>
      <c r="H929" s="1">
        <v>0.0</v>
      </c>
      <c r="I929" s="1">
        <v>0.0</v>
      </c>
      <c r="J929" s="1">
        <v>0.0</v>
      </c>
      <c r="K929" s="1">
        <v>3.0</v>
      </c>
      <c r="L929" s="1">
        <v>0.0</v>
      </c>
      <c r="M929" s="1">
        <v>0.0</v>
      </c>
      <c r="N929" s="1">
        <v>0.0</v>
      </c>
      <c r="O929" s="1">
        <v>0.0</v>
      </c>
      <c r="P929" s="1">
        <v>12.0</v>
      </c>
      <c r="Q929" s="1">
        <v>0.0</v>
      </c>
    </row>
    <row r="930">
      <c r="A930" s="1">
        <f t="shared" si="1"/>
        <v>923</v>
      </c>
      <c r="B930" s="1" t="s">
        <v>2348</v>
      </c>
      <c r="C930" s="1" t="s">
        <v>1116</v>
      </c>
      <c r="D930" s="1" t="s">
        <v>66</v>
      </c>
      <c r="E930" s="1">
        <f t="shared" si="2"/>
        <v>4.5</v>
      </c>
      <c r="F930" s="1">
        <f t="shared" si="3"/>
        <v>0.75</v>
      </c>
      <c r="G930" s="1">
        <v>6.0</v>
      </c>
      <c r="H930" s="1">
        <v>0.0</v>
      </c>
      <c r="I930" s="1">
        <v>0.0</v>
      </c>
      <c r="J930" s="1">
        <v>0.0</v>
      </c>
      <c r="K930" s="1">
        <v>2.0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7.0</v>
      </c>
    </row>
    <row r="931">
      <c r="A931" s="1">
        <f t="shared" si="1"/>
        <v>929</v>
      </c>
      <c r="B931" s="1" t="s">
        <v>2543</v>
      </c>
      <c r="C931" s="1" t="s">
        <v>1046</v>
      </c>
      <c r="D931" s="1" t="s">
        <v>66</v>
      </c>
      <c r="E931" s="1">
        <f t="shared" si="2"/>
        <v>4.25</v>
      </c>
      <c r="F931" s="1">
        <f t="shared" si="3"/>
        <v>4.25</v>
      </c>
      <c r="G931" s="1">
        <v>1.0</v>
      </c>
      <c r="H931" s="1">
        <v>0.0</v>
      </c>
      <c r="I931" s="1">
        <v>1.0</v>
      </c>
      <c r="J931" s="1">
        <v>1.0</v>
      </c>
      <c r="K931" s="1">
        <v>1.0</v>
      </c>
      <c r="L931" s="1">
        <v>0.0</v>
      </c>
      <c r="M931" s="1">
        <v>0.0</v>
      </c>
      <c r="N931" s="1">
        <v>0.0</v>
      </c>
      <c r="O931" s="1">
        <v>0.0</v>
      </c>
      <c r="P931" s="1">
        <v>1.0</v>
      </c>
      <c r="Q931" s="1">
        <v>1.0</v>
      </c>
    </row>
    <row r="932">
      <c r="A932" s="1">
        <f t="shared" si="1"/>
        <v>930</v>
      </c>
      <c r="B932" s="1" t="s">
        <v>2544</v>
      </c>
      <c r="C932" s="1" t="s">
        <v>1036</v>
      </c>
      <c r="D932" s="1" t="s">
        <v>28</v>
      </c>
      <c r="E932" s="1">
        <f t="shared" si="2"/>
        <v>4</v>
      </c>
      <c r="F932" s="1">
        <f t="shared" si="3"/>
        <v>0.44</v>
      </c>
      <c r="G932" s="1">
        <v>9.0</v>
      </c>
      <c r="H932" s="1">
        <v>0.0</v>
      </c>
      <c r="I932" s="1">
        <v>0.0</v>
      </c>
      <c r="J932" s="1">
        <v>0.0</v>
      </c>
      <c r="K932" s="1">
        <v>6.0</v>
      </c>
      <c r="L932" s="1">
        <v>0.0</v>
      </c>
      <c r="M932" s="1">
        <v>0.0</v>
      </c>
      <c r="N932" s="1">
        <v>0.0</v>
      </c>
      <c r="O932" s="1">
        <v>0.0</v>
      </c>
      <c r="P932" s="1">
        <v>4.0</v>
      </c>
      <c r="Q932" s="1">
        <v>0.0</v>
      </c>
    </row>
    <row r="933">
      <c r="A933" s="1">
        <f t="shared" si="1"/>
        <v>931</v>
      </c>
      <c r="B933" s="1" t="s">
        <v>2545</v>
      </c>
      <c r="C933" s="1" t="s">
        <v>1030</v>
      </c>
      <c r="D933" s="1" t="s">
        <v>5</v>
      </c>
      <c r="E933" s="1">
        <f t="shared" si="2"/>
        <v>3.9</v>
      </c>
      <c r="F933" s="1">
        <f t="shared" si="3"/>
        <v>0.78</v>
      </c>
      <c r="G933" s="1">
        <v>5.0</v>
      </c>
      <c r="R933" s="1">
        <v>1.0</v>
      </c>
      <c r="S933" s="1">
        <v>18.0</v>
      </c>
      <c r="T933" s="1">
        <v>93.0</v>
      </c>
      <c r="U933" s="1">
        <v>0.0</v>
      </c>
    </row>
    <row r="934">
      <c r="A934" s="1">
        <f t="shared" si="1"/>
        <v>932</v>
      </c>
      <c r="B934" s="1" t="s">
        <v>2546</v>
      </c>
      <c r="C934" s="1" t="s">
        <v>1069</v>
      </c>
      <c r="D934" s="1" t="s">
        <v>31</v>
      </c>
      <c r="E934" s="1">
        <f t="shared" si="2"/>
        <v>3.75</v>
      </c>
      <c r="F934" s="1">
        <f t="shared" si="3"/>
        <v>0.94</v>
      </c>
      <c r="G934" s="1">
        <v>4.0</v>
      </c>
      <c r="H934" s="1">
        <v>0.0</v>
      </c>
      <c r="I934" s="1">
        <v>0.0</v>
      </c>
      <c r="J934" s="1">
        <v>0.0</v>
      </c>
      <c r="K934" s="1">
        <v>1.0</v>
      </c>
      <c r="L934" s="1">
        <v>0.0</v>
      </c>
      <c r="M934" s="1">
        <v>0.0</v>
      </c>
      <c r="N934" s="1">
        <v>0.0</v>
      </c>
      <c r="O934" s="1">
        <v>0.0</v>
      </c>
      <c r="P934" s="1">
        <v>13.0</v>
      </c>
      <c r="Q934" s="1">
        <v>0.0</v>
      </c>
    </row>
    <row r="935">
      <c r="A935" s="1">
        <f t="shared" si="1"/>
        <v>933</v>
      </c>
      <c r="B935" s="1" t="s">
        <v>2547</v>
      </c>
      <c r="C935" s="1" t="s">
        <v>1042</v>
      </c>
      <c r="D935" s="1" t="s">
        <v>31</v>
      </c>
      <c r="E935" s="1">
        <f t="shared" si="2"/>
        <v>3.5</v>
      </c>
      <c r="F935" s="1">
        <f t="shared" si="3"/>
        <v>3.5</v>
      </c>
      <c r="G935" s="1">
        <v>1.0</v>
      </c>
      <c r="H935" s="1">
        <v>0.0</v>
      </c>
      <c r="I935" s="1">
        <v>1.0</v>
      </c>
      <c r="J935" s="1">
        <v>1.0</v>
      </c>
      <c r="K935" s="1">
        <v>1.0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</row>
    <row r="936">
      <c r="A936" s="1">
        <f t="shared" si="1"/>
        <v>933</v>
      </c>
      <c r="B936" s="1" t="s">
        <v>1853</v>
      </c>
      <c r="C936" s="1" t="s">
        <v>1046</v>
      </c>
      <c r="D936" s="1" t="s">
        <v>36</v>
      </c>
      <c r="E936" s="1">
        <f t="shared" si="2"/>
        <v>3.5</v>
      </c>
      <c r="F936" s="1">
        <f t="shared" si="3"/>
        <v>1.75</v>
      </c>
      <c r="G936" s="1">
        <v>2.0</v>
      </c>
      <c r="H936" s="1">
        <v>0.0</v>
      </c>
      <c r="I936" s="1">
        <v>0.0</v>
      </c>
      <c r="J936" s="1">
        <v>0.0</v>
      </c>
      <c r="K936" s="1">
        <v>3.0</v>
      </c>
      <c r="L936" s="1">
        <v>0.0</v>
      </c>
      <c r="M936" s="1">
        <v>0.0</v>
      </c>
      <c r="N936" s="1">
        <v>0.0</v>
      </c>
      <c r="O936" s="1">
        <v>0.0</v>
      </c>
      <c r="P936" s="1">
        <v>6.0</v>
      </c>
      <c r="Q936" s="1">
        <v>1.0</v>
      </c>
    </row>
    <row r="937">
      <c r="A937" s="1">
        <f t="shared" si="1"/>
        <v>933</v>
      </c>
      <c r="B937" s="1" t="s">
        <v>1645</v>
      </c>
      <c r="C937" s="1" t="s">
        <v>1046</v>
      </c>
      <c r="D937" s="1" t="s">
        <v>36</v>
      </c>
      <c r="E937" s="1">
        <f t="shared" si="2"/>
        <v>3.5</v>
      </c>
      <c r="F937" s="1">
        <f t="shared" si="3"/>
        <v>1.17</v>
      </c>
      <c r="G937" s="1">
        <v>3.0</v>
      </c>
      <c r="H937" s="1">
        <v>0.0</v>
      </c>
      <c r="I937" s="1">
        <v>0.0</v>
      </c>
      <c r="J937" s="1">
        <v>0.0</v>
      </c>
      <c r="K937" s="1">
        <v>6.0</v>
      </c>
      <c r="L937" s="1">
        <v>0.0</v>
      </c>
      <c r="M937" s="1">
        <v>0.0</v>
      </c>
      <c r="N937" s="1">
        <v>0.0</v>
      </c>
      <c r="O937" s="1">
        <v>0.0</v>
      </c>
      <c r="P937" s="1">
        <v>2.0</v>
      </c>
      <c r="Q937" s="1">
        <v>0.0</v>
      </c>
    </row>
    <row r="938">
      <c r="A938" s="1">
        <f t="shared" si="1"/>
        <v>933</v>
      </c>
      <c r="B938" s="1" t="s">
        <v>2548</v>
      </c>
      <c r="C938" s="1" t="s">
        <v>1175</v>
      </c>
      <c r="D938" s="1" t="s">
        <v>66</v>
      </c>
      <c r="E938" s="1">
        <f t="shared" si="2"/>
        <v>3.5</v>
      </c>
      <c r="F938" s="1">
        <f t="shared" si="3"/>
        <v>0.88</v>
      </c>
      <c r="G938" s="1">
        <v>4.0</v>
      </c>
      <c r="H938" s="1">
        <v>0.0</v>
      </c>
      <c r="I938" s="1">
        <v>0.0</v>
      </c>
      <c r="J938" s="1">
        <v>0.0</v>
      </c>
      <c r="K938" s="1">
        <v>3.0</v>
      </c>
      <c r="L938" s="1">
        <v>0.0</v>
      </c>
      <c r="M938" s="1">
        <v>0.0</v>
      </c>
      <c r="N938" s="1">
        <v>0.0</v>
      </c>
      <c r="O938" s="1">
        <v>0.0</v>
      </c>
      <c r="P938" s="1">
        <v>2.0</v>
      </c>
      <c r="Q938" s="1">
        <v>3.0</v>
      </c>
    </row>
    <row r="939">
      <c r="A939" s="1">
        <f t="shared" si="1"/>
        <v>933</v>
      </c>
      <c r="B939" s="1" t="s">
        <v>1357</v>
      </c>
      <c r="C939" s="1" t="s">
        <v>1032</v>
      </c>
      <c r="D939" s="1" t="s">
        <v>31</v>
      </c>
      <c r="E939" s="1">
        <f t="shared" si="2"/>
        <v>3.5</v>
      </c>
      <c r="F939" s="1">
        <f t="shared" si="3"/>
        <v>0.58</v>
      </c>
      <c r="G939" s="1">
        <v>6.0</v>
      </c>
      <c r="H939" s="1">
        <v>0.0</v>
      </c>
      <c r="I939" s="1">
        <v>0.0</v>
      </c>
      <c r="J939" s="1">
        <v>0.0</v>
      </c>
      <c r="K939" s="1">
        <v>5.0</v>
      </c>
      <c r="L939" s="1">
        <v>0.0</v>
      </c>
      <c r="M939" s="1">
        <v>0.0</v>
      </c>
      <c r="N939" s="1">
        <v>0.0</v>
      </c>
      <c r="O939" s="1">
        <v>0.0</v>
      </c>
      <c r="P939" s="1">
        <v>4.0</v>
      </c>
      <c r="Q939" s="1">
        <v>0.0</v>
      </c>
    </row>
    <row r="940">
      <c r="A940" s="1">
        <f t="shared" si="1"/>
        <v>938</v>
      </c>
      <c r="B940" s="1" t="s">
        <v>2549</v>
      </c>
      <c r="C940" s="1" t="s">
        <v>1091</v>
      </c>
      <c r="D940" s="1" t="s">
        <v>66</v>
      </c>
      <c r="E940" s="1">
        <f t="shared" si="2"/>
        <v>3.25</v>
      </c>
      <c r="F940" s="1">
        <f t="shared" si="3"/>
        <v>1.63</v>
      </c>
      <c r="G940" s="1">
        <v>2.0</v>
      </c>
      <c r="H940" s="1">
        <v>0.0</v>
      </c>
      <c r="I940" s="1">
        <v>0.0</v>
      </c>
      <c r="J940" s="1">
        <v>0.0</v>
      </c>
      <c r="K940" s="1">
        <v>5.0</v>
      </c>
      <c r="L940" s="1">
        <v>0.0</v>
      </c>
      <c r="M940" s="1">
        <v>0.0</v>
      </c>
      <c r="N940" s="1">
        <v>0.0</v>
      </c>
      <c r="O940" s="1">
        <v>0.0</v>
      </c>
      <c r="P940" s="1">
        <v>1.0</v>
      </c>
      <c r="Q940" s="1">
        <v>1.0</v>
      </c>
    </row>
    <row r="941">
      <c r="A941" s="1">
        <f t="shared" si="1"/>
        <v>939</v>
      </c>
      <c r="B941" s="1" t="s">
        <v>1904</v>
      </c>
      <c r="C941" s="1" t="s">
        <v>1073</v>
      </c>
      <c r="D941" s="1" t="s">
        <v>28</v>
      </c>
      <c r="E941" s="1">
        <f t="shared" si="2"/>
        <v>3</v>
      </c>
      <c r="F941" s="1">
        <f t="shared" si="3"/>
        <v>1</v>
      </c>
      <c r="G941" s="1">
        <v>3.0</v>
      </c>
      <c r="H941" s="1">
        <v>0.0</v>
      </c>
      <c r="I941" s="1">
        <v>0.0</v>
      </c>
      <c r="J941" s="1">
        <v>0.0</v>
      </c>
      <c r="K941" s="1">
        <v>3.0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3.0</v>
      </c>
    </row>
    <row r="942">
      <c r="A942" s="1">
        <f t="shared" si="1"/>
        <v>939</v>
      </c>
      <c r="B942" s="1" t="s">
        <v>1565</v>
      </c>
      <c r="C942" s="1" t="s">
        <v>1054</v>
      </c>
      <c r="D942" s="1" t="s">
        <v>66</v>
      </c>
      <c r="E942" s="1">
        <f t="shared" si="2"/>
        <v>3</v>
      </c>
      <c r="F942" s="1">
        <f t="shared" si="3"/>
        <v>1</v>
      </c>
      <c r="G942" s="1">
        <v>3.0</v>
      </c>
      <c r="H942" s="1">
        <v>0.0</v>
      </c>
      <c r="I942" s="1">
        <v>0.0</v>
      </c>
      <c r="J942" s="1">
        <v>0.0</v>
      </c>
      <c r="K942" s="1">
        <v>4.0</v>
      </c>
      <c r="L942" s="1">
        <v>0.0</v>
      </c>
      <c r="M942" s="1">
        <v>0.0</v>
      </c>
      <c r="N942" s="1">
        <v>0.0</v>
      </c>
      <c r="O942" s="1">
        <v>0.0</v>
      </c>
      <c r="P942" s="1">
        <v>2.0</v>
      </c>
      <c r="Q942" s="1">
        <v>1.0</v>
      </c>
    </row>
    <row r="943">
      <c r="A943" s="1">
        <f t="shared" si="1"/>
        <v>939</v>
      </c>
      <c r="B943" s="1" t="s">
        <v>2377</v>
      </c>
      <c r="C943" s="1" t="s">
        <v>1106</v>
      </c>
      <c r="D943" s="1" t="s">
        <v>36</v>
      </c>
      <c r="E943" s="1">
        <f t="shared" si="2"/>
        <v>3</v>
      </c>
      <c r="F943" s="1">
        <f t="shared" si="3"/>
        <v>0.6</v>
      </c>
      <c r="G943" s="1">
        <v>5.0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8.0</v>
      </c>
      <c r="Q943" s="1">
        <v>2.0</v>
      </c>
    </row>
    <row r="944">
      <c r="A944" s="1">
        <f t="shared" si="1"/>
        <v>939</v>
      </c>
      <c r="B944" s="1" t="s">
        <v>2137</v>
      </c>
      <c r="C944" s="1" t="s">
        <v>1030</v>
      </c>
      <c r="D944" s="1" t="s">
        <v>36</v>
      </c>
      <c r="E944" s="1">
        <f t="shared" si="2"/>
        <v>3</v>
      </c>
      <c r="F944" s="1">
        <f t="shared" si="3"/>
        <v>0.6</v>
      </c>
      <c r="G944" s="1">
        <v>5.0</v>
      </c>
      <c r="H944" s="1">
        <v>0.0</v>
      </c>
      <c r="I944" s="1">
        <v>0.0</v>
      </c>
      <c r="J944" s="1">
        <v>0.0</v>
      </c>
      <c r="K944" s="1">
        <v>2.0</v>
      </c>
      <c r="L944" s="1">
        <v>0.0</v>
      </c>
      <c r="M944" s="1">
        <v>0.0</v>
      </c>
      <c r="N944" s="1">
        <v>0.0</v>
      </c>
      <c r="O944" s="1">
        <v>0.0</v>
      </c>
      <c r="P944" s="1">
        <v>6.0</v>
      </c>
      <c r="Q944" s="1">
        <v>1.0</v>
      </c>
    </row>
    <row r="945">
      <c r="A945" s="1">
        <f t="shared" si="1"/>
        <v>943</v>
      </c>
      <c r="B945" s="1" t="s">
        <v>2176</v>
      </c>
      <c r="C945" s="1" t="s">
        <v>1111</v>
      </c>
      <c r="D945" s="1" t="s">
        <v>66</v>
      </c>
      <c r="E945" s="1">
        <f t="shared" si="2"/>
        <v>2.75</v>
      </c>
      <c r="F945" s="1">
        <f t="shared" si="3"/>
        <v>1.38</v>
      </c>
      <c r="G945" s="1">
        <v>2.0</v>
      </c>
      <c r="H945" s="1">
        <v>0.0</v>
      </c>
      <c r="I945" s="1">
        <v>0.0</v>
      </c>
      <c r="J945" s="1">
        <v>0.0</v>
      </c>
      <c r="K945" s="1">
        <v>3.0</v>
      </c>
      <c r="L945" s="1">
        <v>0.0</v>
      </c>
      <c r="M945" s="1">
        <v>0.0</v>
      </c>
      <c r="N945" s="1">
        <v>0.0</v>
      </c>
      <c r="O945" s="1">
        <v>0.0</v>
      </c>
      <c r="P945" s="1">
        <v>1.0</v>
      </c>
      <c r="Q945" s="1">
        <v>2.0</v>
      </c>
    </row>
    <row r="946">
      <c r="A946" s="1">
        <f t="shared" si="1"/>
        <v>943</v>
      </c>
      <c r="B946" s="1" t="s">
        <v>2394</v>
      </c>
      <c r="C946" s="1" t="s">
        <v>1040</v>
      </c>
      <c r="D946" s="1" t="s">
        <v>28</v>
      </c>
      <c r="E946" s="1">
        <f t="shared" si="2"/>
        <v>2.75</v>
      </c>
      <c r="F946" s="1">
        <f t="shared" si="3"/>
        <v>1.38</v>
      </c>
      <c r="G946" s="1">
        <v>2.0</v>
      </c>
      <c r="H946" s="1">
        <v>0.0</v>
      </c>
      <c r="I946" s="1">
        <v>0.0</v>
      </c>
      <c r="J946" s="1">
        <v>0.0</v>
      </c>
      <c r="K946" s="1">
        <v>2.0</v>
      </c>
      <c r="L946" s="1">
        <v>0.0</v>
      </c>
      <c r="M946" s="1">
        <v>0.0</v>
      </c>
      <c r="N946" s="1">
        <v>0.0</v>
      </c>
      <c r="O946" s="1">
        <v>0.0</v>
      </c>
      <c r="P946" s="1">
        <v>5.0</v>
      </c>
      <c r="Q946" s="1">
        <v>1.0</v>
      </c>
    </row>
    <row r="947">
      <c r="A947" s="1">
        <f t="shared" si="1"/>
        <v>943</v>
      </c>
      <c r="B947" s="1" t="s">
        <v>2272</v>
      </c>
      <c r="C947" s="1" t="s">
        <v>1038</v>
      </c>
      <c r="D947" s="1" t="s">
        <v>36</v>
      </c>
      <c r="E947" s="1">
        <f t="shared" si="2"/>
        <v>2.75</v>
      </c>
      <c r="F947" s="1">
        <f t="shared" si="3"/>
        <v>0.92</v>
      </c>
      <c r="G947" s="1">
        <v>3.0</v>
      </c>
      <c r="H947" s="1">
        <v>0.0</v>
      </c>
      <c r="I947" s="1">
        <v>0.0</v>
      </c>
      <c r="J947" s="1">
        <v>0.0</v>
      </c>
      <c r="K947" s="1">
        <v>4.0</v>
      </c>
      <c r="L947" s="1">
        <v>0.0</v>
      </c>
      <c r="M947" s="1">
        <v>0.0</v>
      </c>
      <c r="N947" s="1">
        <v>0.0</v>
      </c>
      <c r="O947" s="1">
        <v>0.0</v>
      </c>
      <c r="P947" s="1">
        <v>1.0</v>
      </c>
      <c r="Q947" s="1">
        <v>1.0</v>
      </c>
    </row>
    <row r="948">
      <c r="A948" s="1">
        <f t="shared" si="1"/>
        <v>943</v>
      </c>
      <c r="B948" s="1" t="s">
        <v>2220</v>
      </c>
      <c r="C948" s="1" t="s">
        <v>1172</v>
      </c>
      <c r="D948" s="1" t="s">
        <v>66</v>
      </c>
      <c r="E948" s="1">
        <f t="shared" si="2"/>
        <v>2.75</v>
      </c>
      <c r="F948" s="1">
        <f t="shared" si="3"/>
        <v>0.92</v>
      </c>
      <c r="G948" s="1">
        <v>3.0</v>
      </c>
      <c r="H948" s="1">
        <v>0.0</v>
      </c>
      <c r="I948" s="1">
        <v>0.0</v>
      </c>
      <c r="J948" s="1">
        <v>0.0</v>
      </c>
      <c r="K948" s="1">
        <v>1.0</v>
      </c>
      <c r="L948" s="1">
        <v>0.0</v>
      </c>
      <c r="M948" s="1">
        <v>0.0</v>
      </c>
      <c r="N948" s="1">
        <v>0.0</v>
      </c>
      <c r="O948" s="1">
        <v>0.0</v>
      </c>
      <c r="P948" s="1">
        <v>3.0</v>
      </c>
      <c r="Q948" s="1">
        <v>3.0</v>
      </c>
    </row>
    <row r="949">
      <c r="A949" s="1">
        <f t="shared" si="1"/>
        <v>947</v>
      </c>
      <c r="B949" s="1" t="s">
        <v>2550</v>
      </c>
      <c r="C949" s="1" t="s">
        <v>1038</v>
      </c>
      <c r="D949" s="1" t="s">
        <v>31</v>
      </c>
      <c r="E949" s="1">
        <f t="shared" si="2"/>
        <v>2.5</v>
      </c>
      <c r="F949" s="1">
        <f t="shared" si="3"/>
        <v>2.5</v>
      </c>
      <c r="G949" s="1">
        <v>1.0</v>
      </c>
      <c r="H949" s="1">
        <v>0.0</v>
      </c>
      <c r="I949" s="1">
        <v>0.0</v>
      </c>
      <c r="J949" s="1">
        <v>0.0</v>
      </c>
      <c r="K949" s="1">
        <v>3.0</v>
      </c>
      <c r="L949" s="1">
        <v>0.0</v>
      </c>
      <c r="M949" s="1">
        <v>0.0</v>
      </c>
      <c r="N949" s="1">
        <v>0.0</v>
      </c>
      <c r="O949" s="1">
        <v>0.0</v>
      </c>
      <c r="P949" s="1">
        <v>2.0</v>
      </c>
      <c r="Q949" s="1">
        <v>1.0</v>
      </c>
    </row>
    <row r="950">
      <c r="A950" s="1">
        <f t="shared" si="1"/>
        <v>947</v>
      </c>
      <c r="B950" s="1" t="s">
        <v>2551</v>
      </c>
      <c r="C950" s="1" t="s">
        <v>1078</v>
      </c>
      <c r="D950" s="1" t="s">
        <v>66</v>
      </c>
      <c r="E950" s="1">
        <f t="shared" si="2"/>
        <v>2.5</v>
      </c>
      <c r="F950" s="1">
        <f t="shared" si="3"/>
        <v>1.25</v>
      </c>
      <c r="G950" s="1">
        <v>2.0</v>
      </c>
      <c r="H950" s="1">
        <v>0.0</v>
      </c>
      <c r="I950" s="1">
        <v>0.0</v>
      </c>
      <c r="J950" s="1">
        <v>0.0</v>
      </c>
      <c r="K950" s="1">
        <v>3.0</v>
      </c>
      <c r="L950" s="1">
        <v>0.0</v>
      </c>
      <c r="M950" s="1">
        <v>0.0</v>
      </c>
      <c r="N950" s="1">
        <v>0.0</v>
      </c>
      <c r="O950" s="1">
        <v>0.0</v>
      </c>
      <c r="P950" s="1">
        <v>2.0</v>
      </c>
      <c r="Q950" s="1">
        <v>1.0</v>
      </c>
    </row>
    <row r="951">
      <c r="A951" s="1">
        <f t="shared" si="1"/>
        <v>947</v>
      </c>
      <c r="B951" s="1" t="s">
        <v>2552</v>
      </c>
      <c r="C951" s="1" t="s">
        <v>1030</v>
      </c>
      <c r="D951" s="1" t="s">
        <v>66</v>
      </c>
      <c r="E951" s="1">
        <f t="shared" si="2"/>
        <v>2.5</v>
      </c>
      <c r="F951" s="1">
        <f t="shared" si="3"/>
        <v>0.83</v>
      </c>
      <c r="G951" s="1">
        <v>3.0</v>
      </c>
      <c r="H951" s="1">
        <v>0.0</v>
      </c>
      <c r="I951" s="1">
        <v>0.0</v>
      </c>
      <c r="J951" s="1">
        <v>0.0</v>
      </c>
      <c r="K951" s="1">
        <v>2.0</v>
      </c>
      <c r="L951" s="1">
        <v>0.0</v>
      </c>
      <c r="M951" s="1">
        <v>0.0</v>
      </c>
      <c r="N951" s="1">
        <v>0.0</v>
      </c>
      <c r="O951" s="1">
        <v>0.0</v>
      </c>
      <c r="P951" s="1">
        <v>4.0</v>
      </c>
      <c r="Q951" s="1">
        <v>1.0</v>
      </c>
    </row>
    <row r="952">
      <c r="A952" s="1">
        <f t="shared" si="1"/>
        <v>947</v>
      </c>
      <c r="B952" s="1" t="s">
        <v>1873</v>
      </c>
      <c r="C952" s="1" t="s">
        <v>1087</v>
      </c>
      <c r="D952" s="1" t="s">
        <v>31</v>
      </c>
      <c r="E952" s="1">
        <f t="shared" si="2"/>
        <v>2.5</v>
      </c>
      <c r="F952" s="1">
        <f t="shared" si="3"/>
        <v>0.63</v>
      </c>
      <c r="G952" s="1">
        <v>4.0</v>
      </c>
      <c r="H952" s="1">
        <v>0.0</v>
      </c>
      <c r="I952" s="1">
        <v>0.0</v>
      </c>
      <c r="J952" s="1">
        <v>0.0</v>
      </c>
      <c r="K952" s="1">
        <v>2.0</v>
      </c>
      <c r="L952" s="1">
        <v>0.0</v>
      </c>
      <c r="M952" s="1">
        <v>0.0</v>
      </c>
      <c r="N952" s="1">
        <v>0.0</v>
      </c>
      <c r="O952" s="1">
        <v>0.0</v>
      </c>
      <c r="P952" s="1">
        <v>2.0</v>
      </c>
      <c r="Q952" s="1">
        <v>2.0</v>
      </c>
    </row>
    <row r="953">
      <c r="A953" s="1">
        <f t="shared" si="1"/>
        <v>947</v>
      </c>
      <c r="B953" s="1" t="s">
        <v>2553</v>
      </c>
      <c r="C953" s="1" t="s">
        <v>1044</v>
      </c>
      <c r="D953" s="1" t="s">
        <v>28</v>
      </c>
      <c r="E953" s="1">
        <f t="shared" si="2"/>
        <v>2.5</v>
      </c>
      <c r="F953" s="1">
        <f t="shared" si="3"/>
        <v>0.63</v>
      </c>
      <c r="G953" s="1">
        <v>4.0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10.0</v>
      </c>
      <c r="Q953" s="1">
        <v>0.0</v>
      </c>
    </row>
    <row r="954">
      <c r="A954" s="1">
        <f t="shared" si="1"/>
        <v>947</v>
      </c>
      <c r="B954" s="1" t="s">
        <v>2554</v>
      </c>
      <c r="C954" s="1" t="s">
        <v>1044</v>
      </c>
      <c r="D954" s="1" t="s">
        <v>66</v>
      </c>
      <c r="E954" s="1">
        <f t="shared" si="2"/>
        <v>2.5</v>
      </c>
      <c r="F954" s="1">
        <f t="shared" si="3"/>
        <v>0.63</v>
      </c>
      <c r="G954" s="1">
        <v>4.0</v>
      </c>
      <c r="H954" s="1">
        <v>0.0</v>
      </c>
      <c r="I954" s="1">
        <v>0.0</v>
      </c>
      <c r="J954" s="1">
        <v>0.0</v>
      </c>
      <c r="K954" s="1">
        <v>1.0</v>
      </c>
      <c r="L954" s="1">
        <v>0.0</v>
      </c>
      <c r="M954" s="1">
        <v>0.0</v>
      </c>
      <c r="N954" s="1">
        <v>0.0</v>
      </c>
      <c r="O954" s="1">
        <v>0.0</v>
      </c>
      <c r="P954" s="1">
        <v>4.0</v>
      </c>
      <c r="Q954" s="1">
        <v>2.0</v>
      </c>
    </row>
    <row r="955">
      <c r="A955" s="1">
        <f t="shared" si="1"/>
        <v>953</v>
      </c>
      <c r="B955" s="1" t="s">
        <v>2555</v>
      </c>
      <c r="C955" s="1" t="s">
        <v>1034</v>
      </c>
      <c r="D955" s="1" t="s">
        <v>66</v>
      </c>
      <c r="E955" s="1">
        <f t="shared" si="2"/>
        <v>2.25</v>
      </c>
      <c r="F955" s="1">
        <f t="shared" si="3"/>
        <v>2.25</v>
      </c>
      <c r="G955" s="1">
        <v>1.0</v>
      </c>
      <c r="H955" s="1">
        <v>0.0</v>
      </c>
      <c r="I955" s="1">
        <v>0.0</v>
      </c>
      <c r="J955" s="1">
        <v>0.0</v>
      </c>
      <c r="K955" s="1">
        <v>1.0</v>
      </c>
      <c r="L955" s="1">
        <v>0.0</v>
      </c>
      <c r="M955" s="1">
        <v>0.0</v>
      </c>
      <c r="N955" s="1">
        <v>0.0</v>
      </c>
      <c r="O955" s="1">
        <v>0.0</v>
      </c>
      <c r="P955" s="1">
        <v>7.0</v>
      </c>
      <c r="Q955" s="1">
        <v>0.0</v>
      </c>
    </row>
    <row r="956">
      <c r="A956" s="1">
        <f t="shared" si="1"/>
        <v>953</v>
      </c>
      <c r="B956" s="1" t="s">
        <v>1851</v>
      </c>
      <c r="C956" s="1" t="s">
        <v>1054</v>
      </c>
      <c r="D956" s="1" t="s">
        <v>66</v>
      </c>
      <c r="E956" s="1">
        <f t="shared" si="2"/>
        <v>2.25</v>
      </c>
      <c r="F956" s="1">
        <f t="shared" si="3"/>
        <v>2.25</v>
      </c>
      <c r="G956" s="1">
        <v>1.0</v>
      </c>
      <c r="H956" s="1">
        <v>0.0</v>
      </c>
      <c r="I956" s="1">
        <v>0.0</v>
      </c>
      <c r="J956" s="1">
        <v>0.0</v>
      </c>
      <c r="K956" s="1">
        <v>2.0</v>
      </c>
      <c r="L956" s="1">
        <v>0.0</v>
      </c>
      <c r="M956" s="1">
        <v>0.0</v>
      </c>
      <c r="N956" s="1">
        <v>0.0</v>
      </c>
      <c r="O956" s="1">
        <v>0.0</v>
      </c>
      <c r="P956" s="1">
        <v>3.0</v>
      </c>
      <c r="Q956" s="1">
        <v>1.0</v>
      </c>
    </row>
    <row r="957">
      <c r="A957" s="1">
        <f t="shared" si="1"/>
        <v>953</v>
      </c>
      <c r="B957" s="1" t="s">
        <v>2556</v>
      </c>
      <c r="C957" s="1" t="s">
        <v>1052</v>
      </c>
      <c r="D957" s="1" t="s">
        <v>66</v>
      </c>
      <c r="E957" s="1">
        <f t="shared" si="2"/>
        <v>2.25</v>
      </c>
      <c r="F957" s="1">
        <f t="shared" si="3"/>
        <v>1.13</v>
      </c>
      <c r="G957" s="1">
        <v>2.0</v>
      </c>
      <c r="H957" s="1">
        <v>0.0</v>
      </c>
      <c r="I957" s="1">
        <v>0.0</v>
      </c>
      <c r="J957" s="1">
        <v>0.0</v>
      </c>
      <c r="K957" s="1">
        <v>2.0</v>
      </c>
      <c r="L957" s="1">
        <v>0.0</v>
      </c>
      <c r="M957" s="1">
        <v>0.0</v>
      </c>
      <c r="N957" s="1">
        <v>0.0</v>
      </c>
      <c r="O957" s="1">
        <v>0.0</v>
      </c>
      <c r="P957" s="1">
        <v>1.0</v>
      </c>
      <c r="Q957" s="1">
        <v>2.0</v>
      </c>
    </row>
    <row r="958">
      <c r="A958" s="1">
        <f t="shared" si="1"/>
        <v>953</v>
      </c>
      <c r="B958" s="1" t="s">
        <v>2557</v>
      </c>
      <c r="C958" s="1" t="s">
        <v>1082</v>
      </c>
      <c r="D958" s="1" t="s">
        <v>31</v>
      </c>
      <c r="E958" s="1">
        <f t="shared" si="2"/>
        <v>2.25</v>
      </c>
      <c r="F958" s="1">
        <f t="shared" si="3"/>
        <v>1.13</v>
      </c>
      <c r="G958" s="1">
        <v>2.0</v>
      </c>
      <c r="H958" s="1">
        <v>0.0</v>
      </c>
      <c r="I958" s="1">
        <v>0.0</v>
      </c>
      <c r="J958" s="1">
        <v>0.0</v>
      </c>
      <c r="K958" s="1">
        <v>3.0</v>
      </c>
      <c r="L958" s="1">
        <v>0.0</v>
      </c>
      <c r="M958" s="1">
        <v>0.0</v>
      </c>
      <c r="N958" s="1">
        <v>0.0</v>
      </c>
      <c r="O958" s="1">
        <v>0.0</v>
      </c>
      <c r="P958" s="1">
        <v>1.0</v>
      </c>
      <c r="Q958" s="1">
        <v>1.0</v>
      </c>
    </row>
    <row r="959">
      <c r="A959" s="1">
        <f t="shared" si="1"/>
        <v>953</v>
      </c>
      <c r="B959" s="1" t="s">
        <v>2558</v>
      </c>
      <c r="C959" s="1" t="s">
        <v>1042</v>
      </c>
      <c r="D959" s="1" t="s">
        <v>66</v>
      </c>
      <c r="E959" s="1">
        <f t="shared" si="2"/>
        <v>2.25</v>
      </c>
      <c r="F959" s="1">
        <f t="shared" si="3"/>
        <v>1.13</v>
      </c>
      <c r="G959" s="1">
        <v>2.0</v>
      </c>
      <c r="H959" s="1">
        <v>0.0</v>
      </c>
      <c r="I959" s="1">
        <v>0.0</v>
      </c>
      <c r="J959" s="1">
        <v>0.0</v>
      </c>
      <c r="K959" s="1">
        <v>3.0</v>
      </c>
      <c r="L959" s="1">
        <v>0.0</v>
      </c>
      <c r="M959" s="1">
        <v>0.0</v>
      </c>
      <c r="N959" s="1">
        <v>0.0</v>
      </c>
      <c r="O959" s="1">
        <v>0.0</v>
      </c>
      <c r="P959" s="1">
        <v>1.0</v>
      </c>
      <c r="Q959" s="1">
        <v>1.0</v>
      </c>
    </row>
    <row r="960">
      <c r="A960" s="1">
        <f t="shared" si="1"/>
        <v>953</v>
      </c>
      <c r="B960" s="1" t="s">
        <v>1460</v>
      </c>
      <c r="C960" s="1" t="s">
        <v>1032</v>
      </c>
      <c r="D960" s="1" t="s">
        <v>66</v>
      </c>
      <c r="E960" s="1">
        <f t="shared" si="2"/>
        <v>2.25</v>
      </c>
      <c r="F960" s="1">
        <f t="shared" si="3"/>
        <v>1.13</v>
      </c>
      <c r="G960" s="1">
        <v>2.0</v>
      </c>
      <c r="H960" s="1">
        <v>0.0</v>
      </c>
      <c r="I960" s="1">
        <v>0.0</v>
      </c>
      <c r="J960" s="1">
        <v>0.0</v>
      </c>
      <c r="K960" s="1">
        <v>1.0</v>
      </c>
      <c r="L960" s="1">
        <v>0.0</v>
      </c>
      <c r="M960" s="1">
        <v>0.0</v>
      </c>
      <c r="N960" s="1">
        <v>0.0</v>
      </c>
      <c r="O960" s="1">
        <v>0.0</v>
      </c>
      <c r="P960" s="1">
        <v>3.0</v>
      </c>
      <c r="Q960" s="1">
        <v>2.0</v>
      </c>
    </row>
    <row r="961">
      <c r="A961" s="1">
        <f t="shared" si="1"/>
        <v>953</v>
      </c>
      <c r="B961" s="1" t="s">
        <v>2383</v>
      </c>
      <c r="C961" s="1" t="s">
        <v>1052</v>
      </c>
      <c r="D961" s="1" t="s">
        <v>66</v>
      </c>
      <c r="E961" s="1">
        <f t="shared" si="2"/>
        <v>2.25</v>
      </c>
      <c r="F961" s="1">
        <f t="shared" si="3"/>
        <v>1.13</v>
      </c>
      <c r="G961" s="1">
        <v>2.0</v>
      </c>
      <c r="H961" s="1">
        <v>0.0</v>
      </c>
      <c r="I961" s="1">
        <v>0.0</v>
      </c>
      <c r="J961" s="1">
        <v>0.0</v>
      </c>
      <c r="K961" s="1">
        <v>1.0</v>
      </c>
      <c r="L961" s="1">
        <v>0.0</v>
      </c>
      <c r="M961" s="1">
        <v>0.0</v>
      </c>
      <c r="N961" s="1">
        <v>0.0</v>
      </c>
      <c r="O961" s="1">
        <v>0.0</v>
      </c>
      <c r="P961" s="1">
        <v>5.0</v>
      </c>
      <c r="Q961" s="1">
        <v>1.0</v>
      </c>
    </row>
    <row r="962">
      <c r="A962" s="1">
        <f t="shared" si="1"/>
        <v>960</v>
      </c>
      <c r="B962" s="1" t="s">
        <v>2138</v>
      </c>
      <c r="C962" s="1" t="s">
        <v>1076</v>
      </c>
      <c r="D962" s="1" t="s">
        <v>66</v>
      </c>
      <c r="E962" s="1">
        <f t="shared" si="2"/>
        <v>2</v>
      </c>
      <c r="F962" s="1">
        <f t="shared" si="3"/>
        <v>1</v>
      </c>
      <c r="G962" s="1">
        <v>2.0</v>
      </c>
      <c r="H962" s="1">
        <v>0.0</v>
      </c>
      <c r="I962" s="1">
        <v>0.0</v>
      </c>
      <c r="J962" s="1">
        <v>0.0</v>
      </c>
      <c r="K962" s="1">
        <v>3.0</v>
      </c>
      <c r="L962" s="1">
        <v>0.0</v>
      </c>
      <c r="M962" s="1">
        <v>0.0</v>
      </c>
      <c r="N962" s="1">
        <v>0.0</v>
      </c>
      <c r="O962" s="1">
        <v>0.0</v>
      </c>
      <c r="P962" s="1">
        <v>2.0</v>
      </c>
      <c r="Q962" s="1">
        <v>0.0</v>
      </c>
    </row>
    <row r="963">
      <c r="A963" s="1">
        <f t="shared" si="1"/>
        <v>960</v>
      </c>
      <c r="B963" s="1" t="s">
        <v>2095</v>
      </c>
      <c r="C963" s="1" t="s">
        <v>1030</v>
      </c>
      <c r="D963" s="1" t="s">
        <v>31</v>
      </c>
      <c r="E963" s="1">
        <f t="shared" si="2"/>
        <v>2</v>
      </c>
      <c r="F963" s="1">
        <f t="shared" si="3"/>
        <v>0.67</v>
      </c>
      <c r="G963" s="1">
        <v>3.0</v>
      </c>
      <c r="H963" s="1">
        <v>0.0</v>
      </c>
      <c r="I963" s="1">
        <v>0.0</v>
      </c>
      <c r="J963" s="1">
        <v>0.0</v>
      </c>
      <c r="K963" s="1">
        <v>1.0</v>
      </c>
      <c r="L963" s="1">
        <v>0.0</v>
      </c>
      <c r="M963" s="1">
        <v>0.0</v>
      </c>
      <c r="N963" s="1">
        <v>0.0</v>
      </c>
      <c r="O963" s="1">
        <v>0.0</v>
      </c>
      <c r="P963" s="1">
        <v>6.0</v>
      </c>
      <c r="Q963" s="1">
        <v>0.0</v>
      </c>
    </row>
    <row r="964">
      <c r="A964" s="1">
        <f t="shared" si="1"/>
        <v>960</v>
      </c>
      <c r="B964" s="1" t="s">
        <v>2559</v>
      </c>
      <c r="C964" s="1" t="s">
        <v>1570</v>
      </c>
      <c r="D964" s="1" t="s">
        <v>31</v>
      </c>
      <c r="E964" s="1">
        <f t="shared" si="2"/>
        <v>2</v>
      </c>
      <c r="F964" s="1">
        <f t="shared" si="3"/>
        <v>0.5</v>
      </c>
      <c r="G964" s="1">
        <v>4.0</v>
      </c>
      <c r="H964" s="1">
        <v>0.0</v>
      </c>
      <c r="I964" s="1">
        <v>0.0</v>
      </c>
      <c r="J964" s="1">
        <v>0.0</v>
      </c>
      <c r="K964" s="1">
        <v>3.0</v>
      </c>
      <c r="L964" s="1">
        <v>0.0</v>
      </c>
      <c r="M964" s="1">
        <v>0.0</v>
      </c>
      <c r="N964" s="1">
        <v>0.0</v>
      </c>
      <c r="O964" s="1">
        <v>0.0</v>
      </c>
      <c r="P964" s="1">
        <v>2.0</v>
      </c>
      <c r="Q964" s="1">
        <v>0.0</v>
      </c>
    </row>
    <row r="965">
      <c r="A965" s="1">
        <f t="shared" si="1"/>
        <v>963</v>
      </c>
      <c r="B965" s="1" t="s">
        <v>2560</v>
      </c>
      <c r="C965" s="1" t="s">
        <v>1042</v>
      </c>
      <c r="D965" s="1" t="s">
        <v>66</v>
      </c>
      <c r="E965" s="1">
        <f t="shared" si="2"/>
        <v>1.75</v>
      </c>
      <c r="F965" s="1">
        <f t="shared" si="3"/>
        <v>1.75</v>
      </c>
      <c r="G965" s="1">
        <v>1.0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3.0</v>
      </c>
      <c r="Q965" s="1">
        <v>2.0</v>
      </c>
    </row>
    <row r="966">
      <c r="A966" s="1">
        <f t="shared" si="1"/>
        <v>963</v>
      </c>
      <c r="B966" s="1" t="s">
        <v>2561</v>
      </c>
      <c r="C966" s="1" t="s">
        <v>1054</v>
      </c>
      <c r="D966" s="1" t="s">
        <v>66</v>
      </c>
      <c r="E966" s="1">
        <f t="shared" si="2"/>
        <v>1.75</v>
      </c>
      <c r="F966" s="1">
        <f t="shared" si="3"/>
        <v>1.75</v>
      </c>
      <c r="G966" s="1">
        <v>1.0</v>
      </c>
      <c r="H966" s="1">
        <v>0.0</v>
      </c>
      <c r="I966" s="1">
        <v>0.0</v>
      </c>
      <c r="J966" s="1">
        <v>0.0</v>
      </c>
      <c r="K966" s="1">
        <v>2.0</v>
      </c>
      <c r="L966" s="1">
        <v>0.0</v>
      </c>
      <c r="M966" s="1">
        <v>0.0</v>
      </c>
      <c r="N966" s="1">
        <v>0.0</v>
      </c>
      <c r="O966" s="1">
        <v>0.0</v>
      </c>
      <c r="P966" s="1">
        <v>1.0</v>
      </c>
      <c r="Q966" s="1">
        <v>1.0</v>
      </c>
    </row>
    <row r="967">
      <c r="A967" s="1">
        <f t="shared" si="1"/>
        <v>963</v>
      </c>
      <c r="B967" s="1" t="s">
        <v>2562</v>
      </c>
      <c r="C967" s="1" t="s">
        <v>1175</v>
      </c>
      <c r="D967" s="1" t="s">
        <v>28</v>
      </c>
      <c r="E967" s="1">
        <f t="shared" si="2"/>
        <v>1.75</v>
      </c>
      <c r="F967" s="1">
        <f t="shared" si="3"/>
        <v>1.75</v>
      </c>
      <c r="G967" s="1">
        <v>1.0</v>
      </c>
      <c r="H967" s="1">
        <v>0.0</v>
      </c>
      <c r="I967" s="1">
        <v>0.0</v>
      </c>
      <c r="J967" s="1">
        <v>0.0</v>
      </c>
      <c r="K967" s="1">
        <v>1.0</v>
      </c>
      <c r="L967" s="1">
        <v>0.0</v>
      </c>
      <c r="M967" s="1">
        <v>0.0</v>
      </c>
      <c r="N967" s="1">
        <v>0.0</v>
      </c>
      <c r="O967" s="1">
        <v>0.0</v>
      </c>
      <c r="P967" s="1">
        <v>3.0</v>
      </c>
      <c r="Q967" s="1">
        <v>1.0</v>
      </c>
    </row>
    <row r="968">
      <c r="A968" s="1">
        <f t="shared" si="1"/>
        <v>963</v>
      </c>
      <c r="B968" s="1" t="s">
        <v>2036</v>
      </c>
      <c r="C968" s="1" t="s">
        <v>1067</v>
      </c>
      <c r="D968" s="1" t="s">
        <v>28</v>
      </c>
      <c r="E968" s="1">
        <f t="shared" si="2"/>
        <v>1.75</v>
      </c>
      <c r="F968" s="1">
        <f t="shared" si="3"/>
        <v>0.88</v>
      </c>
      <c r="G968" s="1">
        <v>2.0</v>
      </c>
      <c r="H968" s="1">
        <v>0.0</v>
      </c>
      <c r="I968" s="1">
        <v>0.0</v>
      </c>
      <c r="J968" s="1">
        <v>0.0</v>
      </c>
      <c r="K968" s="1">
        <v>1.0</v>
      </c>
      <c r="L968" s="1">
        <v>0.0</v>
      </c>
      <c r="M968" s="1">
        <v>0.0</v>
      </c>
      <c r="N968" s="1">
        <v>0.0</v>
      </c>
      <c r="O968" s="1">
        <v>0.0</v>
      </c>
      <c r="P968" s="1">
        <v>3.0</v>
      </c>
      <c r="Q968" s="1">
        <v>1.0</v>
      </c>
    </row>
    <row r="969">
      <c r="A969" s="1">
        <f t="shared" si="1"/>
        <v>963</v>
      </c>
      <c r="B969" s="1" t="s">
        <v>1258</v>
      </c>
      <c r="C969" s="1" t="s">
        <v>1091</v>
      </c>
      <c r="D969" s="1" t="s">
        <v>66</v>
      </c>
      <c r="E969" s="1">
        <f t="shared" si="2"/>
        <v>1.75</v>
      </c>
      <c r="F969" s="1">
        <f t="shared" si="3"/>
        <v>0.58</v>
      </c>
      <c r="G969" s="1">
        <v>3.0</v>
      </c>
      <c r="H969" s="1">
        <v>0.0</v>
      </c>
      <c r="I969" s="1">
        <v>0.0</v>
      </c>
      <c r="J969" s="1">
        <v>0.0</v>
      </c>
      <c r="K969" s="1">
        <v>1.0</v>
      </c>
      <c r="L969" s="1">
        <v>0.0</v>
      </c>
      <c r="M969" s="1">
        <v>0.0</v>
      </c>
      <c r="N969" s="1">
        <v>0.0</v>
      </c>
      <c r="O969" s="1">
        <v>0.0</v>
      </c>
      <c r="P969" s="1">
        <v>1.0</v>
      </c>
      <c r="Q969" s="1">
        <v>2.0</v>
      </c>
    </row>
    <row r="970">
      <c r="A970" s="1">
        <f t="shared" si="1"/>
        <v>963</v>
      </c>
      <c r="B970" s="1" t="s">
        <v>2563</v>
      </c>
      <c r="C970" s="1" t="s">
        <v>1073</v>
      </c>
      <c r="D970" s="1" t="s">
        <v>66</v>
      </c>
      <c r="E970" s="1">
        <f t="shared" si="2"/>
        <v>1.75</v>
      </c>
      <c r="F970" s="1">
        <f t="shared" si="3"/>
        <v>0.44</v>
      </c>
      <c r="G970" s="1">
        <v>4.0</v>
      </c>
      <c r="H970" s="1">
        <v>0.0</v>
      </c>
      <c r="I970" s="1">
        <v>0.0</v>
      </c>
      <c r="J970" s="1">
        <v>0.0</v>
      </c>
      <c r="K970" s="1">
        <v>2.0</v>
      </c>
      <c r="L970" s="1">
        <v>0.0</v>
      </c>
      <c r="M970" s="1">
        <v>0.0</v>
      </c>
      <c r="N970" s="1">
        <v>0.0</v>
      </c>
      <c r="O970" s="1">
        <v>0.0</v>
      </c>
      <c r="P970" s="1">
        <v>1.0</v>
      </c>
      <c r="Q970" s="1">
        <v>1.0</v>
      </c>
    </row>
    <row r="971">
      <c r="A971" s="1">
        <f t="shared" si="1"/>
        <v>969</v>
      </c>
      <c r="B971" s="1" t="s">
        <v>1964</v>
      </c>
      <c r="C971" s="1" t="s">
        <v>1069</v>
      </c>
      <c r="D971" s="1" t="s">
        <v>5</v>
      </c>
      <c r="E971" s="1">
        <f t="shared" si="2"/>
        <v>1.5</v>
      </c>
      <c r="F971" s="1">
        <f t="shared" si="3"/>
        <v>1.5</v>
      </c>
      <c r="G971" s="1">
        <v>1.0</v>
      </c>
      <c r="R971" s="1">
        <v>0.0</v>
      </c>
      <c r="S971" s="1">
        <v>3.0</v>
      </c>
      <c r="T971" s="1">
        <v>20.0</v>
      </c>
      <c r="U971" s="1">
        <v>0.0</v>
      </c>
    </row>
    <row r="972">
      <c r="A972" s="1">
        <f t="shared" si="1"/>
        <v>969</v>
      </c>
      <c r="B972" s="1" t="s">
        <v>2156</v>
      </c>
      <c r="C972" s="1" t="s">
        <v>1046</v>
      </c>
      <c r="D972" s="1" t="s">
        <v>66</v>
      </c>
      <c r="E972" s="1">
        <f t="shared" si="2"/>
        <v>1.5</v>
      </c>
      <c r="F972" s="1">
        <f t="shared" si="3"/>
        <v>1.5</v>
      </c>
      <c r="G972" s="1">
        <v>1.0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3.0</v>
      </c>
    </row>
    <row r="973">
      <c r="A973" s="1">
        <f t="shared" si="1"/>
        <v>969</v>
      </c>
      <c r="B973" s="1" t="s">
        <v>1308</v>
      </c>
      <c r="C973" s="1" t="s">
        <v>1175</v>
      </c>
      <c r="D973" s="1" t="s">
        <v>66</v>
      </c>
      <c r="E973" s="1">
        <f t="shared" si="2"/>
        <v>1.5</v>
      </c>
      <c r="F973" s="1">
        <f t="shared" si="3"/>
        <v>1.5</v>
      </c>
      <c r="G973" s="1">
        <v>1.0</v>
      </c>
      <c r="H973" s="1">
        <v>0.0</v>
      </c>
      <c r="I973" s="1">
        <v>0.0</v>
      </c>
      <c r="J973" s="1">
        <v>0.0</v>
      </c>
      <c r="K973" s="1">
        <v>1.0</v>
      </c>
      <c r="L973" s="1">
        <v>0.0</v>
      </c>
      <c r="M973" s="1">
        <v>0.0</v>
      </c>
      <c r="N973" s="1">
        <v>0.0</v>
      </c>
      <c r="O973" s="1">
        <v>0.0</v>
      </c>
      <c r="P973" s="1">
        <v>2.0</v>
      </c>
      <c r="Q973" s="1">
        <v>1.0</v>
      </c>
    </row>
    <row r="974">
      <c r="A974" s="1">
        <f t="shared" si="1"/>
        <v>969</v>
      </c>
      <c r="B974" s="1" t="s">
        <v>1674</v>
      </c>
      <c r="C974" s="1" t="s">
        <v>1032</v>
      </c>
      <c r="D974" s="1" t="s">
        <v>36</v>
      </c>
      <c r="E974" s="1">
        <f t="shared" si="2"/>
        <v>1.5</v>
      </c>
      <c r="F974" s="1">
        <f t="shared" si="3"/>
        <v>1.5</v>
      </c>
      <c r="G974" s="1">
        <v>1.0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3.0</v>
      </c>
    </row>
    <row r="975">
      <c r="A975" s="1">
        <f t="shared" si="1"/>
        <v>969</v>
      </c>
      <c r="B975" s="1" t="s">
        <v>2564</v>
      </c>
      <c r="C975" s="1" t="s">
        <v>1570</v>
      </c>
      <c r="D975" s="1" t="s">
        <v>66</v>
      </c>
      <c r="E975" s="1">
        <f t="shared" si="2"/>
        <v>1.5</v>
      </c>
      <c r="F975" s="1">
        <f t="shared" si="3"/>
        <v>0.75</v>
      </c>
      <c r="G975" s="1">
        <v>2.0</v>
      </c>
      <c r="H975" s="1">
        <v>0.0</v>
      </c>
      <c r="I975" s="1">
        <v>0.0</v>
      </c>
      <c r="J975" s="1">
        <v>0.0</v>
      </c>
      <c r="K975" s="1">
        <v>1.0</v>
      </c>
      <c r="L975" s="1">
        <v>0.0</v>
      </c>
      <c r="M975" s="1">
        <v>0.0</v>
      </c>
      <c r="N975" s="1">
        <v>0.0</v>
      </c>
      <c r="O975" s="1">
        <v>0.0</v>
      </c>
      <c r="P975" s="1">
        <v>4.0</v>
      </c>
      <c r="Q975" s="1">
        <v>0.0</v>
      </c>
    </row>
    <row r="976">
      <c r="A976" s="1">
        <f t="shared" si="1"/>
        <v>974</v>
      </c>
      <c r="B976" s="1" t="s">
        <v>2395</v>
      </c>
      <c r="C976" s="1" t="s">
        <v>1111</v>
      </c>
      <c r="D976" s="1" t="s">
        <v>31</v>
      </c>
      <c r="E976" s="1">
        <f t="shared" si="2"/>
        <v>1.25</v>
      </c>
      <c r="F976" s="1">
        <f t="shared" si="3"/>
        <v>0.63</v>
      </c>
      <c r="G976" s="1">
        <v>2.0</v>
      </c>
      <c r="H976" s="1">
        <v>0.0</v>
      </c>
      <c r="I976" s="1">
        <v>0.0</v>
      </c>
      <c r="J976" s="1">
        <v>0.0</v>
      </c>
      <c r="K976" s="1">
        <v>1.0</v>
      </c>
      <c r="L976" s="1">
        <v>0.0</v>
      </c>
      <c r="M976" s="1">
        <v>0.0</v>
      </c>
      <c r="N976" s="1">
        <v>0.0</v>
      </c>
      <c r="O976" s="1">
        <v>0.0</v>
      </c>
      <c r="P976" s="1">
        <v>1.0</v>
      </c>
      <c r="Q976" s="1">
        <v>1.0</v>
      </c>
    </row>
    <row r="977">
      <c r="A977" s="1">
        <f t="shared" si="1"/>
        <v>975</v>
      </c>
      <c r="B977" s="1" t="s">
        <v>2254</v>
      </c>
      <c r="C977" s="1" t="s">
        <v>1067</v>
      </c>
      <c r="D977" s="1" t="s">
        <v>31</v>
      </c>
      <c r="E977" s="1">
        <f t="shared" si="2"/>
        <v>1</v>
      </c>
      <c r="F977" s="1">
        <f t="shared" si="3"/>
        <v>1</v>
      </c>
      <c r="G977" s="1">
        <v>1.0</v>
      </c>
      <c r="H977" s="1">
        <v>0.0</v>
      </c>
      <c r="I977" s="1">
        <v>0.0</v>
      </c>
      <c r="J977" s="1">
        <v>0.0</v>
      </c>
      <c r="K977" s="1">
        <v>2.0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</row>
    <row r="978">
      <c r="A978" s="1">
        <f t="shared" si="1"/>
        <v>975</v>
      </c>
      <c r="B978" s="1" t="s">
        <v>2565</v>
      </c>
      <c r="C978" s="1" t="s">
        <v>1172</v>
      </c>
      <c r="D978" s="1" t="s">
        <v>31</v>
      </c>
      <c r="E978" s="1">
        <f t="shared" si="2"/>
        <v>1</v>
      </c>
      <c r="F978" s="1">
        <f t="shared" si="3"/>
        <v>1</v>
      </c>
      <c r="G978" s="1">
        <v>1.0</v>
      </c>
      <c r="H978" s="1">
        <v>0.0</v>
      </c>
      <c r="I978" s="1">
        <v>0.0</v>
      </c>
      <c r="J978" s="1">
        <v>0.0</v>
      </c>
      <c r="K978" s="1">
        <v>2.0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</row>
    <row r="979">
      <c r="A979" s="1">
        <f t="shared" si="1"/>
        <v>975</v>
      </c>
      <c r="B979" s="1" t="s">
        <v>2566</v>
      </c>
      <c r="C979" s="1" t="s">
        <v>1111</v>
      </c>
      <c r="D979" s="1" t="s">
        <v>66</v>
      </c>
      <c r="E979" s="1">
        <f t="shared" si="2"/>
        <v>1</v>
      </c>
      <c r="F979" s="1">
        <f t="shared" si="3"/>
        <v>1</v>
      </c>
      <c r="G979" s="1">
        <v>1.0</v>
      </c>
      <c r="H979" s="1">
        <v>0.0</v>
      </c>
      <c r="I979" s="1">
        <v>0.0</v>
      </c>
      <c r="J979" s="1">
        <v>0.0</v>
      </c>
      <c r="K979" s="1">
        <v>1.0</v>
      </c>
      <c r="L979" s="1">
        <v>0.0</v>
      </c>
      <c r="M979" s="1">
        <v>0.0</v>
      </c>
      <c r="N979" s="1">
        <v>0.0</v>
      </c>
      <c r="O979" s="1">
        <v>0.0</v>
      </c>
      <c r="P979" s="1">
        <v>2.0</v>
      </c>
      <c r="Q979" s="1">
        <v>0.0</v>
      </c>
    </row>
    <row r="980">
      <c r="A980" s="1">
        <f t="shared" si="1"/>
        <v>975</v>
      </c>
      <c r="B980" s="1" t="s">
        <v>1845</v>
      </c>
      <c r="C980" s="1" t="s">
        <v>1069</v>
      </c>
      <c r="D980" s="1" t="s">
        <v>31</v>
      </c>
      <c r="E980" s="1">
        <f t="shared" si="2"/>
        <v>1</v>
      </c>
      <c r="F980" s="1">
        <f t="shared" si="3"/>
        <v>1</v>
      </c>
      <c r="G980" s="1">
        <v>1.0</v>
      </c>
      <c r="H980" s="1">
        <v>0.0</v>
      </c>
      <c r="I980" s="1">
        <v>0.0</v>
      </c>
      <c r="J980" s="1">
        <v>0.0</v>
      </c>
      <c r="K980" s="1">
        <v>2.0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</row>
    <row r="981">
      <c r="A981" s="1">
        <f t="shared" si="1"/>
        <v>975</v>
      </c>
      <c r="B981" s="1" t="s">
        <v>2567</v>
      </c>
      <c r="C981" s="1" t="s">
        <v>1087</v>
      </c>
      <c r="D981" s="1" t="s">
        <v>28</v>
      </c>
      <c r="E981" s="1">
        <f t="shared" si="2"/>
        <v>1</v>
      </c>
      <c r="F981" s="1">
        <f t="shared" si="3"/>
        <v>1</v>
      </c>
      <c r="G981" s="1">
        <v>1.0</v>
      </c>
      <c r="H981" s="1">
        <v>0.0</v>
      </c>
      <c r="I981" s="1">
        <v>0.0</v>
      </c>
      <c r="J981" s="1">
        <v>0.0</v>
      </c>
      <c r="K981" s="1">
        <v>1.0</v>
      </c>
      <c r="L981" s="1">
        <v>0.0</v>
      </c>
      <c r="M981" s="1">
        <v>0.0</v>
      </c>
      <c r="N981" s="1">
        <v>0.0</v>
      </c>
      <c r="O981" s="1">
        <v>0.0</v>
      </c>
      <c r="P981" s="1">
        <v>2.0</v>
      </c>
      <c r="Q981" s="1">
        <v>0.0</v>
      </c>
    </row>
    <row r="982">
      <c r="A982" s="1">
        <f t="shared" si="1"/>
        <v>975</v>
      </c>
      <c r="B982" s="1" t="s">
        <v>2452</v>
      </c>
      <c r="C982" s="1" t="s">
        <v>1073</v>
      </c>
      <c r="D982" s="1" t="s">
        <v>66</v>
      </c>
      <c r="E982" s="1">
        <f t="shared" si="2"/>
        <v>1</v>
      </c>
      <c r="F982" s="1">
        <f t="shared" si="3"/>
        <v>1</v>
      </c>
      <c r="G982" s="1">
        <v>1.0</v>
      </c>
      <c r="H982" s="1">
        <v>0.0</v>
      </c>
      <c r="I982" s="1">
        <v>0.0</v>
      </c>
      <c r="J982" s="1">
        <v>0.0</v>
      </c>
      <c r="K982" s="1">
        <v>1.0</v>
      </c>
      <c r="L982" s="1">
        <v>0.0</v>
      </c>
      <c r="M982" s="1">
        <v>0.0</v>
      </c>
      <c r="N982" s="1">
        <v>0.0</v>
      </c>
      <c r="O982" s="1">
        <v>0.0</v>
      </c>
      <c r="P982" s="1">
        <v>2.0</v>
      </c>
      <c r="Q982" s="1">
        <v>0.0</v>
      </c>
    </row>
    <row r="983">
      <c r="A983" s="1">
        <f t="shared" si="1"/>
        <v>975</v>
      </c>
      <c r="B983" s="1" t="s">
        <v>1749</v>
      </c>
      <c r="C983" s="1" t="s">
        <v>1030</v>
      </c>
      <c r="D983" s="1" t="s">
        <v>66</v>
      </c>
      <c r="E983" s="1">
        <f t="shared" si="2"/>
        <v>1</v>
      </c>
      <c r="F983" s="1">
        <f t="shared" si="3"/>
        <v>0.33</v>
      </c>
      <c r="G983" s="1">
        <v>3.0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2.0</v>
      </c>
      <c r="Q983" s="1">
        <v>1.0</v>
      </c>
    </row>
    <row r="984">
      <c r="A984" s="1">
        <f t="shared" si="1"/>
        <v>982</v>
      </c>
      <c r="B984" s="1" t="s">
        <v>2568</v>
      </c>
      <c r="C984" s="1" t="s">
        <v>1570</v>
      </c>
      <c r="D984" s="1" t="s">
        <v>5</v>
      </c>
      <c r="E984" s="1">
        <f t="shared" si="2"/>
        <v>0.9</v>
      </c>
      <c r="F984" s="1">
        <f t="shared" si="3"/>
        <v>0.9</v>
      </c>
      <c r="G984" s="1">
        <v>1.0</v>
      </c>
      <c r="R984" s="1">
        <v>0.0</v>
      </c>
      <c r="S984" s="1">
        <v>0.0</v>
      </c>
      <c r="T984" s="1">
        <v>3.0</v>
      </c>
      <c r="U984" s="1">
        <v>0.0</v>
      </c>
    </row>
    <row r="985">
      <c r="A985" s="1">
        <f t="shared" si="1"/>
        <v>983</v>
      </c>
      <c r="B985" s="1" t="s">
        <v>2425</v>
      </c>
      <c r="C985" s="1" t="s">
        <v>1065</v>
      </c>
      <c r="D985" s="1" t="s">
        <v>31</v>
      </c>
      <c r="E985" s="1">
        <f t="shared" si="2"/>
        <v>0.75</v>
      </c>
      <c r="F985" s="1">
        <f t="shared" si="3"/>
        <v>0.75</v>
      </c>
      <c r="G985" s="1">
        <v>1.0</v>
      </c>
      <c r="H985" s="1">
        <v>0.0</v>
      </c>
      <c r="I985" s="1">
        <v>0.0</v>
      </c>
      <c r="J985" s="1">
        <v>0.0</v>
      </c>
      <c r="K985" s="1">
        <v>1.0</v>
      </c>
      <c r="L985" s="1">
        <v>0.0</v>
      </c>
      <c r="M985" s="1">
        <v>0.0</v>
      </c>
      <c r="N985" s="1">
        <v>0.0</v>
      </c>
      <c r="O985" s="1">
        <v>0.0</v>
      </c>
      <c r="P985" s="1">
        <v>1.0</v>
      </c>
      <c r="Q985" s="1">
        <v>0.0</v>
      </c>
    </row>
    <row r="986">
      <c r="A986" s="1">
        <f t="shared" si="1"/>
        <v>983</v>
      </c>
      <c r="B986" s="1" t="s">
        <v>2569</v>
      </c>
      <c r="C986" s="1" t="s">
        <v>1570</v>
      </c>
      <c r="D986" s="1" t="s">
        <v>31</v>
      </c>
      <c r="E986" s="1">
        <f t="shared" si="2"/>
        <v>0.75</v>
      </c>
      <c r="F986" s="1">
        <f t="shared" si="3"/>
        <v>0.75</v>
      </c>
      <c r="G986" s="1">
        <v>1.0</v>
      </c>
      <c r="H986" s="1">
        <v>0.0</v>
      </c>
      <c r="I986" s="1">
        <v>0.0</v>
      </c>
      <c r="J986" s="1">
        <v>0.0</v>
      </c>
      <c r="K986" s="1">
        <v>1.0</v>
      </c>
      <c r="L986" s="1">
        <v>0.0</v>
      </c>
      <c r="M986" s="1">
        <v>0.0</v>
      </c>
      <c r="N986" s="1">
        <v>0.0</v>
      </c>
      <c r="O986" s="1">
        <v>0.0</v>
      </c>
      <c r="P986" s="1">
        <v>1.0</v>
      </c>
      <c r="Q986" s="1">
        <v>0.0</v>
      </c>
    </row>
    <row r="987">
      <c r="A987" s="1">
        <f t="shared" si="1"/>
        <v>983</v>
      </c>
      <c r="B987" s="1" t="s">
        <v>1994</v>
      </c>
      <c r="C987" s="1" t="s">
        <v>1032</v>
      </c>
      <c r="D987" s="1" t="s">
        <v>36</v>
      </c>
      <c r="E987" s="1">
        <f t="shared" si="2"/>
        <v>0.75</v>
      </c>
      <c r="F987" s="1">
        <f t="shared" si="3"/>
        <v>0.75</v>
      </c>
      <c r="G987" s="1">
        <v>1.0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3.0</v>
      </c>
      <c r="Q987" s="1">
        <v>0.0</v>
      </c>
    </row>
    <row r="988">
      <c r="A988" s="1">
        <f t="shared" si="1"/>
        <v>983</v>
      </c>
      <c r="B988" s="1" t="s">
        <v>2458</v>
      </c>
      <c r="C988" s="1" t="s">
        <v>1067</v>
      </c>
      <c r="D988" s="1" t="s">
        <v>28</v>
      </c>
      <c r="E988" s="1">
        <f t="shared" si="2"/>
        <v>0.75</v>
      </c>
      <c r="F988" s="1">
        <f t="shared" si="3"/>
        <v>0.75</v>
      </c>
      <c r="G988" s="1">
        <v>1.0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3.0</v>
      </c>
      <c r="Q988" s="1">
        <v>0.0</v>
      </c>
    </row>
    <row r="989">
      <c r="A989" s="1">
        <f t="shared" si="1"/>
        <v>983</v>
      </c>
      <c r="B989" s="1" t="s">
        <v>2570</v>
      </c>
      <c r="C989" s="1" t="s">
        <v>1570</v>
      </c>
      <c r="D989" s="1" t="s">
        <v>31</v>
      </c>
      <c r="E989" s="1">
        <f t="shared" si="2"/>
        <v>0.75</v>
      </c>
      <c r="F989" s="1">
        <f t="shared" si="3"/>
        <v>0.38</v>
      </c>
      <c r="G989" s="1">
        <v>2.0</v>
      </c>
      <c r="H989" s="1">
        <v>0.0</v>
      </c>
      <c r="I989" s="1">
        <v>0.0</v>
      </c>
      <c r="J989" s="1">
        <v>0.0</v>
      </c>
      <c r="K989" s="1">
        <v>1.0</v>
      </c>
      <c r="L989" s="1">
        <v>0.0</v>
      </c>
      <c r="M989" s="1">
        <v>0.0</v>
      </c>
      <c r="N989" s="1">
        <v>0.0</v>
      </c>
      <c r="O989" s="1">
        <v>0.0</v>
      </c>
      <c r="P989" s="1">
        <v>1.0</v>
      </c>
      <c r="Q989" s="1">
        <v>0.0</v>
      </c>
    </row>
    <row r="990">
      <c r="A990" s="1">
        <f t="shared" si="1"/>
        <v>988</v>
      </c>
      <c r="B990" s="1" t="s">
        <v>1324</v>
      </c>
      <c r="C990" s="1" t="s">
        <v>1080</v>
      </c>
      <c r="D990" s="1" t="s">
        <v>5</v>
      </c>
      <c r="E990" s="1">
        <f t="shared" si="2"/>
        <v>0.6</v>
      </c>
      <c r="F990" s="1">
        <f t="shared" si="3"/>
        <v>0.6</v>
      </c>
      <c r="G990" s="1">
        <v>1.0</v>
      </c>
      <c r="R990" s="1">
        <v>0.0</v>
      </c>
      <c r="S990" s="1">
        <v>0.0</v>
      </c>
      <c r="T990" s="1">
        <v>2.0</v>
      </c>
      <c r="U990" s="1">
        <v>0.0</v>
      </c>
    </row>
    <row r="991">
      <c r="A991" s="1">
        <f t="shared" si="1"/>
        <v>989</v>
      </c>
      <c r="B991" s="1" t="s">
        <v>1376</v>
      </c>
      <c r="C991" s="1" t="s">
        <v>1082</v>
      </c>
      <c r="D991" s="1" t="s">
        <v>31</v>
      </c>
      <c r="E991" s="1">
        <f t="shared" si="2"/>
        <v>0.5</v>
      </c>
      <c r="F991" s="1">
        <f t="shared" si="3"/>
        <v>0.5</v>
      </c>
      <c r="G991" s="1">
        <v>1.0</v>
      </c>
      <c r="H991" s="1">
        <v>0.0</v>
      </c>
      <c r="I991" s="1">
        <v>0.0</v>
      </c>
      <c r="J991" s="1">
        <v>0.0</v>
      </c>
      <c r="K991" s="1">
        <v>1.0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</row>
    <row r="992">
      <c r="A992" s="1">
        <f t="shared" si="1"/>
        <v>989</v>
      </c>
      <c r="B992" s="1" t="s">
        <v>1356</v>
      </c>
      <c r="C992" s="1" t="s">
        <v>1042</v>
      </c>
      <c r="D992" s="1" t="s">
        <v>28</v>
      </c>
      <c r="E992" s="1">
        <f t="shared" si="2"/>
        <v>0.5</v>
      </c>
      <c r="F992" s="1">
        <f t="shared" si="3"/>
        <v>0.5</v>
      </c>
      <c r="G992" s="1">
        <v>1.0</v>
      </c>
      <c r="H992" s="1">
        <v>0.0</v>
      </c>
      <c r="I992" s="1">
        <v>0.0</v>
      </c>
      <c r="J992" s="1">
        <v>0.0</v>
      </c>
      <c r="K992" s="1">
        <v>1.0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</row>
    <row r="993">
      <c r="A993" s="1">
        <f t="shared" si="1"/>
        <v>989</v>
      </c>
      <c r="B993" s="1" t="s">
        <v>2236</v>
      </c>
      <c r="C993" s="1" t="s">
        <v>1042</v>
      </c>
      <c r="D993" s="1" t="s">
        <v>66</v>
      </c>
      <c r="E993" s="1">
        <f t="shared" si="2"/>
        <v>0.5</v>
      </c>
      <c r="F993" s="1">
        <f t="shared" si="3"/>
        <v>0.5</v>
      </c>
      <c r="G993" s="1">
        <v>1.0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1.0</v>
      </c>
    </row>
    <row r="994">
      <c r="A994" s="1">
        <f t="shared" si="1"/>
        <v>989</v>
      </c>
      <c r="B994" s="1" t="s">
        <v>2571</v>
      </c>
      <c r="C994" s="1" t="s">
        <v>1091</v>
      </c>
      <c r="D994" s="1" t="s">
        <v>36</v>
      </c>
      <c r="E994" s="1">
        <f t="shared" si="2"/>
        <v>0.5</v>
      </c>
      <c r="F994" s="1">
        <f t="shared" si="3"/>
        <v>0.5</v>
      </c>
      <c r="G994" s="1">
        <v>1.0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1.0</v>
      </c>
    </row>
    <row r="995">
      <c r="A995" s="1">
        <f t="shared" si="1"/>
        <v>989</v>
      </c>
      <c r="B995" s="1" t="s">
        <v>1735</v>
      </c>
      <c r="C995" s="1" t="s">
        <v>1097</v>
      </c>
      <c r="D995" s="1" t="s">
        <v>28</v>
      </c>
      <c r="E995" s="1">
        <f t="shared" si="2"/>
        <v>0.5</v>
      </c>
      <c r="F995" s="1">
        <f t="shared" si="3"/>
        <v>0.5</v>
      </c>
      <c r="G995" s="1">
        <v>1.0</v>
      </c>
      <c r="H995" s="1">
        <v>0.0</v>
      </c>
      <c r="I995" s="1">
        <v>0.0</v>
      </c>
      <c r="J995" s="1">
        <v>0.0</v>
      </c>
      <c r="K995" s="1">
        <v>1.0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</row>
    <row r="996">
      <c r="A996" s="1">
        <f t="shared" si="1"/>
        <v>989</v>
      </c>
      <c r="B996" s="1" t="s">
        <v>2572</v>
      </c>
      <c r="C996" s="1" t="s">
        <v>1091</v>
      </c>
      <c r="D996" s="1" t="s">
        <v>36</v>
      </c>
      <c r="E996" s="1">
        <f t="shared" si="2"/>
        <v>0.5</v>
      </c>
      <c r="F996" s="1">
        <f t="shared" si="3"/>
        <v>0.25</v>
      </c>
      <c r="G996" s="1">
        <v>2.0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2.0</v>
      </c>
      <c r="Q996" s="1">
        <v>0.0</v>
      </c>
    </row>
    <row r="997">
      <c r="A997" s="1">
        <f t="shared" si="1"/>
        <v>989</v>
      </c>
      <c r="B997" s="1" t="s">
        <v>1806</v>
      </c>
      <c r="C997" s="1" t="s">
        <v>1116</v>
      </c>
      <c r="D997" s="1" t="s">
        <v>31</v>
      </c>
      <c r="E997" s="1">
        <f t="shared" si="2"/>
        <v>0.5</v>
      </c>
      <c r="F997" s="1">
        <f t="shared" si="3"/>
        <v>0.13</v>
      </c>
      <c r="G997" s="1">
        <v>4.0</v>
      </c>
      <c r="H997" s="1">
        <v>0.0</v>
      </c>
      <c r="I997" s="1">
        <v>0.0</v>
      </c>
      <c r="J997" s="1">
        <v>0.0</v>
      </c>
      <c r="K997" s="1">
        <v>1.0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</row>
    <row r="998">
      <c r="A998" s="1">
        <f t="shared" si="1"/>
        <v>996</v>
      </c>
      <c r="B998" s="1" t="s">
        <v>2364</v>
      </c>
      <c r="C998" s="1" t="s">
        <v>1078</v>
      </c>
      <c r="D998" s="1" t="s">
        <v>36</v>
      </c>
      <c r="E998" s="1">
        <f t="shared" si="2"/>
        <v>0.25</v>
      </c>
      <c r="F998" s="1">
        <f t="shared" si="3"/>
        <v>0.25</v>
      </c>
      <c r="G998" s="1">
        <v>1.0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1.0</v>
      </c>
      <c r="Q998" s="1">
        <v>0.0</v>
      </c>
    </row>
    <row r="999">
      <c r="A999" s="1">
        <f t="shared" si="1"/>
        <v>996</v>
      </c>
      <c r="B999" s="1" t="s">
        <v>1792</v>
      </c>
      <c r="C999" s="1" t="s">
        <v>1046</v>
      </c>
      <c r="D999" s="1" t="s">
        <v>28</v>
      </c>
      <c r="E999" s="1">
        <f t="shared" si="2"/>
        <v>0.25</v>
      </c>
      <c r="F999" s="1">
        <f t="shared" si="3"/>
        <v>0.25</v>
      </c>
      <c r="G999" s="1">
        <v>1.0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1.0</v>
      </c>
      <c r="Q999" s="1">
        <v>0.0</v>
      </c>
    </row>
    <row r="1000">
      <c r="A1000" s="1">
        <f t="shared" si="1"/>
        <v>996</v>
      </c>
      <c r="B1000" s="1" t="s">
        <v>2573</v>
      </c>
      <c r="C1000" s="1" t="s">
        <v>1097</v>
      </c>
      <c r="D1000" s="1" t="s">
        <v>66</v>
      </c>
      <c r="E1000" s="1">
        <f t="shared" si="2"/>
        <v>0.25</v>
      </c>
      <c r="F1000" s="1">
        <f t="shared" si="3"/>
        <v>0.25</v>
      </c>
      <c r="G1000" s="1">
        <v>1.0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1.0</v>
      </c>
      <c r="Q1000" s="1">
        <v>0.0</v>
      </c>
    </row>
    <row r="1001">
      <c r="A1001" s="1">
        <f t="shared" si="1"/>
        <v>996</v>
      </c>
      <c r="B1001" s="1" t="s">
        <v>2574</v>
      </c>
      <c r="C1001" s="1" t="s">
        <v>1048</v>
      </c>
      <c r="D1001" s="1" t="s">
        <v>66</v>
      </c>
      <c r="E1001" s="1">
        <f t="shared" si="2"/>
        <v>0.25</v>
      </c>
      <c r="F1001" s="1">
        <f t="shared" si="3"/>
        <v>0.25</v>
      </c>
      <c r="G1001" s="1">
        <v>1.0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1.0</v>
      </c>
      <c r="Q1001" s="1">
        <v>0.0</v>
      </c>
    </row>
    <row r="1002">
      <c r="A1002" s="1">
        <f t="shared" si="1"/>
        <v>1000</v>
      </c>
      <c r="B1002" s="1" t="s">
        <v>2575</v>
      </c>
      <c r="C1002" s="1" t="s">
        <v>1570</v>
      </c>
      <c r="D1002" s="1" t="s">
        <v>36</v>
      </c>
      <c r="E1002" s="1">
        <f t="shared" si="2"/>
        <v>0</v>
      </c>
      <c r="F1002" s="1">
        <f t="shared" si="3"/>
        <v>0</v>
      </c>
      <c r="G1002" s="1">
        <v>1.0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</row>
    <row r="1003">
      <c r="A1003" s="1">
        <f t="shared" si="1"/>
        <v>1000</v>
      </c>
      <c r="B1003" s="1" t="s">
        <v>1657</v>
      </c>
      <c r="C1003" s="1" t="s">
        <v>1076</v>
      </c>
      <c r="D1003" s="1" t="s">
        <v>28</v>
      </c>
      <c r="E1003" s="1">
        <f t="shared" si="2"/>
        <v>0</v>
      </c>
      <c r="F1003" s="1">
        <f t="shared" si="3"/>
        <v>0</v>
      </c>
      <c r="G1003" s="1">
        <v>1.0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</row>
    <row r="1004">
      <c r="A1004" s="1">
        <f t="shared" si="1"/>
        <v>1000</v>
      </c>
      <c r="B1004" s="1" t="s">
        <v>2576</v>
      </c>
      <c r="C1004" s="1" t="s">
        <v>1570</v>
      </c>
      <c r="D1004" s="1" t="s">
        <v>28</v>
      </c>
      <c r="E1004" s="1">
        <f t="shared" si="2"/>
        <v>0</v>
      </c>
      <c r="F1004" s="1">
        <f t="shared" si="3"/>
        <v>0</v>
      </c>
      <c r="G1004" s="1">
        <v>1.0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</row>
    <row r="1005">
      <c r="A1005" s="1">
        <f t="shared" si="1"/>
        <v>1000</v>
      </c>
      <c r="B1005" s="1" t="s">
        <v>2577</v>
      </c>
      <c r="C1005" s="1" t="s">
        <v>1570</v>
      </c>
      <c r="D1005" s="1" t="s">
        <v>36</v>
      </c>
      <c r="E1005" s="1">
        <f t="shared" si="2"/>
        <v>0</v>
      </c>
      <c r="F1005" s="1">
        <f t="shared" si="3"/>
        <v>0</v>
      </c>
      <c r="G1005" s="1">
        <v>2.0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</row>
    <row r="1006">
      <c r="A1006" s="1">
        <f t="shared" si="1"/>
        <v>1000</v>
      </c>
      <c r="B1006" s="1" t="s">
        <v>2405</v>
      </c>
      <c r="C1006" s="1" t="s">
        <v>1082</v>
      </c>
      <c r="D1006" s="1" t="s">
        <v>31</v>
      </c>
      <c r="E1006" s="1">
        <f t="shared" si="2"/>
        <v>0</v>
      </c>
      <c r="F1006" s="1">
        <f t="shared" si="3"/>
        <v>0</v>
      </c>
      <c r="G1006" s="1">
        <v>1.0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</row>
    <row r="1007">
      <c r="A1007" s="1">
        <f t="shared" si="1"/>
        <v>1000</v>
      </c>
      <c r="B1007" s="1" t="s">
        <v>2146</v>
      </c>
      <c r="C1007" s="1" t="s">
        <v>1044</v>
      </c>
      <c r="D1007" s="1" t="s">
        <v>31</v>
      </c>
      <c r="E1007" s="1">
        <f t="shared" si="2"/>
        <v>0</v>
      </c>
      <c r="F1007" s="1">
        <f t="shared" si="3"/>
        <v>0</v>
      </c>
      <c r="G1007" s="1">
        <v>1.0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</row>
    <row r="1008">
      <c r="A1008" s="1">
        <f t="shared" si="1"/>
        <v>1000</v>
      </c>
      <c r="B1008" s="1" t="s">
        <v>2578</v>
      </c>
      <c r="C1008" s="1" t="s">
        <v>1078</v>
      </c>
      <c r="D1008" s="1" t="s">
        <v>31</v>
      </c>
      <c r="E1008" s="1">
        <f t="shared" si="2"/>
        <v>0</v>
      </c>
      <c r="F1008" s="1">
        <f t="shared" si="3"/>
        <v>0</v>
      </c>
      <c r="G1008" s="1">
        <v>1.0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</row>
    <row r="1009">
      <c r="A1009" s="1">
        <f t="shared" si="1"/>
        <v>1000</v>
      </c>
      <c r="B1009" s="1" t="s">
        <v>1318</v>
      </c>
      <c r="C1009" s="1" t="s">
        <v>1091</v>
      </c>
      <c r="D1009" s="1" t="s">
        <v>31</v>
      </c>
      <c r="E1009" s="1">
        <f t="shared" si="2"/>
        <v>0</v>
      </c>
      <c r="F1009" s="1">
        <f t="shared" si="3"/>
        <v>0</v>
      </c>
      <c r="G1009" s="1">
        <v>2.0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</row>
    <row r="1010">
      <c r="A1010" s="1">
        <f t="shared" si="1"/>
        <v>1000</v>
      </c>
      <c r="B1010" s="1" t="s">
        <v>2579</v>
      </c>
      <c r="C1010" s="1" t="s">
        <v>1570</v>
      </c>
      <c r="D1010" s="1" t="s">
        <v>31</v>
      </c>
      <c r="E1010" s="1">
        <f t="shared" si="2"/>
        <v>0</v>
      </c>
      <c r="F1010" s="1">
        <f t="shared" si="3"/>
        <v>0</v>
      </c>
      <c r="G1010" s="1">
        <v>1.0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</row>
    <row r="1011">
      <c r="A1011" s="1">
        <f t="shared" si="1"/>
        <v>1009</v>
      </c>
      <c r="B1011" s="1" t="s">
        <v>2580</v>
      </c>
      <c r="C1011" s="1" t="s">
        <v>1069</v>
      </c>
      <c r="D1011" s="1" t="s">
        <v>5</v>
      </c>
      <c r="E1011" s="1">
        <f t="shared" si="2"/>
        <v>-0.3</v>
      </c>
      <c r="F1011" s="1">
        <f t="shared" si="3"/>
        <v>-0.3</v>
      </c>
      <c r="G1011" s="1">
        <v>1.0</v>
      </c>
      <c r="R1011" s="1">
        <v>0.0</v>
      </c>
      <c r="S1011" s="1">
        <v>2.0</v>
      </c>
      <c r="T1011" s="1">
        <v>9.0</v>
      </c>
      <c r="U1011" s="1">
        <v>0.0</v>
      </c>
    </row>
    <row r="1012">
      <c r="A1012" s="1">
        <f t="shared" si="1"/>
        <v>1010</v>
      </c>
      <c r="B1012" s="1" t="s">
        <v>2581</v>
      </c>
      <c r="C1012" s="1" t="s">
        <v>1032</v>
      </c>
      <c r="D1012" s="1" t="s">
        <v>5</v>
      </c>
      <c r="E1012" s="1">
        <f t="shared" si="2"/>
        <v>-0.6</v>
      </c>
      <c r="F1012" s="1">
        <f t="shared" si="3"/>
        <v>-0.6</v>
      </c>
      <c r="G1012" s="1">
        <v>1.0</v>
      </c>
      <c r="R1012" s="1">
        <v>0.0</v>
      </c>
      <c r="S1012" s="1">
        <v>1.0</v>
      </c>
      <c r="T1012" s="1">
        <v>3.0</v>
      </c>
      <c r="U1012" s="1">
        <v>0.0</v>
      </c>
    </row>
    <row r="1013">
      <c r="A1013" s="1">
        <f t="shared" si="1"/>
        <v>1011</v>
      </c>
      <c r="B1013" s="1" t="s">
        <v>1842</v>
      </c>
      <c r="C1013" s="1" t="s">
        <v>1111</v>
      </c>
      <c r="D1013" s="1" t="s">
        <v>5</v>
      </c>
      <c r="E1013" s="1">
        <f t="shared" si="2"/>
        <v>-0.9</v>
      </c>
      <c r="F1013" s="1">
        <f t="shared" si="3"/>
        <v>-0.3</v>
      </c>
      <c r="G1013" s="1">
        <v>3.0</v>
      </c>
      <c r="R1013" s="1">
        <v>0.0</v>
      </c>
      <c r="S1013" s="1">
        <v>9.0</v>
      </c>
      <c r="T1013" s="1">
        <v>42.0</v>
      </c>
      <c r="U1013" s="1">
        <v>0.0</v>
      </c>
    </row>
  </sheetData>
  <autoFilter ref="$A$1:$U$1013"/>
  <customSheetViews>
    <customSheetView guid="{0C87B9BA-4866-4A17-81B4-F4A9CD84B0B6}" filter="1" showAutoFilter="1">
      <autoFilter ref="$G$1:$G$1013">
        <filterColumn colId="0">
          <customFilters>
            <customFilter operator="greaterThanOrEqual" val="10"/>
          </customFilters>
        </filterColumn>
      </autoFilter>
    </customSheetView>
  </customSheetView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2" max="2" width="17.13"/>
    <col customWidth="1" min="3" max="3" width="8.13"/>
    <col customWidth="1" min="5" max="5" width="9.13"/>
    <col customWidth="1" min="6" max="6" width="11.63"/>
    <col customWidth="1" min="7" max="17" width="6.38"/>
    <col customWidth="1" min="18" max="21" width="6.63"/>
  </cols>
  <sheetData>
    <row r="1">
      <c r="A1" s="13" t="s">
        <v>1021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1024</v>
      </c>
      <c r="K1" s="1" t="s">
        <v>1025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1026</v>
      </c>
      <c r="Q1" s="1" t="s">
        <v>1027</v>
      </c>
      <c r="R1" s="1" t="s">
        <v>19</v>
      </c>
      <c r="S1" s="1" t="s">
        <v>21</v>
      </c>
      <c r="T1" s="1" t="s">
        <v>23</v>
      </c>
      <c r="U1" s="1" t="s">
        <v>24</v>
      </c>
    </row>
    <row r="2">
      <c r="A2" s="1" t="s">
        <v>25</v>
      </c>
      <c r="E2" s="15"/>
      <c r="F2" s="15"/>
      <c r="G2" s="1">
        <v>0.0</v>
      </c>
      <c r="H2" s="1">
        <v>4.5</v>
      </c>
      <c r="I2" s="1">
        <v>3.0</v>
      </c>
      <c r="J2" s="1">
        <v>0.0</v>
      </c>
      <c r="K2" s="1">
        <v>0.5</v>
      </c>
      <c r="L2" s="1">
        <v>0.0</v>
      </c>
      <c r="M2" s="1">
        <v>0.0</v>
      </c>
      <c r="N2" s="1">
        <v>2.0</v>
      </c>
      <c r="O2" s="1">
        <v>2.0</v>
      </c>
      <c r="P2" s="1">
        <v>0.25</v>
      </c>
      <c r="Q2" s="1">
        <v>0.5</v>
      </c>
      <c r="R2" s="1">
        <v>3.0</v>
      </c>
      <c r="S2" s="1">
        <v>-1.5</v>
      </c>
      <c r="T2" s="1">
        <v>0.3</v>
      </c>
      <c r="U2" s="1">
        <v>3.0</v>
      </c>
    </row>
    <row r="3">
      <c r="A3" s="1">
        <f t="shared" ref="A3:A971" si="1">rank(E3,E:E)</f>
        <v>1</v>
      </c>
      <c r="B3" s="1" t="s">
        <v>1055</v>
      </c>
      <c r="C3" s="1" t="s">
        <v>1036</v>
      </c>
      <c r="D3" s="1" t="s">
        <v>31</v>
      </c>
      <c r="E3" s="1">
        <f t="shared" ref="E3:E971" si="2">SUMPRODUCT(G$2:U$2, G3:U3)</f>
        <v>519.75</v>
      </c>
      <c r="F3" s="1">
        <f t="shared" ref="F3:F971" si="3">round(E3/G3, 2)</f>
        <v>7.32</v>
      </c>
      <c r="G3" s="1">
        <v>71.0</v>
      </c>
      <c r="H3" s="1">
        <v>43.0</v>
      </c>
      <c r="I3" s="1">
        <v>67.0</v>
      </c>
      <c r="J3" s="1">
        <v>110.0</v>
      </c>
      <c r="K3" s="1">
        <v>218.0</v>
      </c>
      <c r="L3" s="1">
        <v>16.0</v>
      </c>
      <c r="M3" s="1">
        <v>28.0</v>
      </c>
      <c r="N3" s="1">
        <v>0.0</v>
      </c>
      <c r="O3" s="1">
        <v>0.0</v>
      </c>
      <c r="P3" s="1">
        <v>27.0</v>
      </c>
      <c r="Q3" s="1">
        <v>19.0</v>
      </c>
    </row>
    <row r="4">
      <c r="A4" s="1">
        <f t="shared" si="1"/>
        <v>2</v>
      </c>
      <c r="B4" s="1" t="s">
        <v>1037</v>
      </c>
      <c r="C4" s="1" t="s">
        <v>1038</v>
      </c>
      <c r="D4" s="1" t="s">
        <v>36</v>
      </c>
      <c r="E4" s="1">
        <f t="shared" si="2"/>
        <v>519.25</v>
      </c>
      <c r="F4" s="1">
        <f t="shared" si="3"/>
        <v>7.42</v>
      </c>
      <c r="G4" s="1">
        <v>70.0</v>
      </c>
      <c r="H4" s="1">
        <v>48.0</v>
      </c>
      <c r="I4" s="1">
        <v>47.0</v>
      </c>
      <c r="J4" s="1">
        <v>95.0</v>
      </c>
      <c r="K4" s="1">
        <v>279.0</v>
      </c>
      <c r="L4" s="1">
        <v>20.0</v>
      </c>
      <c r="M4" s="1">
        <v>18.0</v>
      </c>
      <c r="N4" s="1">
        <v>0.0</v>
      </c>
      <c r="O4" s="1">
        <v>0.0</v>
      </c>
      <c r="P4" s="1">
        <v>47.0</v>
      </c>
      <c r="Q4" s="1">
        <v>22.0</v>
      </c>
    </row>
    <row r="5">
      <c r="A5" s="1">
        <f t="shared" si="1"/>
        <v>3</v>
      </c>
      <c r="B5" s="1" t="s">
        <v>1029</v>
      </c>
      <c r="C5" s="1" t="s">
        <v>1030</v>
      </c>
      <c r="D5" s="1" t="s">
        <v>31</v>
      </c>
      <c r="E5" s="1">
        <f t="shared" si="2"/>
        <v>518.75</v>
      </c>
      <c r="F5" s="1">
        <f t="shared" si="3"/>
        <v>7.52</v>
      </c>
      <c r="G5" s="1">
        <v>69.0</v>
      </c>
      <c r="H5" s="1">
        <v>35.0</v>
      </c>
      <c r="I5" s="1">
        <v>58.0</v>
      </c>
      <c r="J5" s="1">
        <v>93.0</v>
      </c>
      <c r="K5" s="1">
        <v>318.0</v>
      </c>
      <c r="L5" s="1">
        <v>12.0</v>
      </c>
      <c r="M5" s="1">
        <v>19.0</v>
      </c>
      <c r="N5" s="1">
        <v>0.0</v>
      </c>
      <c r="O5" s="1">
        <v>0.0</v>
      </c>
      <c r="P5" s="1">
        <v>51.0</v>
      </c>
      <c r="Q5" s="1">
        <v>31.0</v>
      </c>
    </row>
    <row r="6">
      <c r="A6" s="1">
        <f t="shared" si="1"/>
        <v>4</v>
      </c>
      <c r="B6" s="1" t="s">
        <v>1031</v>
      </c>
      <c r="C6" s="1" t="s">
        <v>1032</v>
      </c>
      <c r="D6" s="1" t="s">
        <v>31</v>
      </c>
      <c r="E6" s="1">
        <f t="shared" si="2"/>
        <v>495.5</v>
      </c>
      <c r="F6" s="1">
        <f t="shared" si="3"/>
        <v>7.08</v>
      </c>
      <c r="G6" s="1">
        <v>70.0</v>
      </c>
      <c r="H6" s="1">
        <v>47.0</v>
      </c>
      <c r="I6" s="1">
        <v>33.0</v>
      </c>
      <c r="J6" s="1">
        <v>80.0</v>
      </c>
      <c r="K6" s="1">
        <v>290.0</v>
      </c>
      <c r="L6" s="1">
        <v>12.0</v>
      </c>
      <c r="M6" s="1">
        <v>13.0</v>
      </c>
      <c r="N6" s="1">
        <v>0.0</v>
      </c>
      <c r="O6" s="1">
        <v>0.0</v>
      </c>
      <c r="P6" s="1">
        <v>40.0</v>
      </c>
      <c r="Q6" s="1">
        <v>60.0</v>
      </c>
    </row>
    <row r="7">
      <c r="A7" s="1">
        <f t="shared" si="1"/>
        <v>5</v>
      </c>
      <c r="B7" s="1" t="s">
        <v>1081</v>
      </c>
      <c r="C7" s="1" t="s">
        <v>1082</v>
      </c>
      <c r="D7" s="1" t="s">
        <v>28</v>
      </c>
      <c r="E7" s="1">
        <f t="shared" si="2"/>
        <v>489.5</v>
      </c>
      <c r="F7" s="1">
        <f t="shared" si="3"/>
        <v>7.2</v>
      </c>
      <c r="G7" s="1">
        <v>68.0</v>
      </c>
      <c r="H7" s="1">
        <v>48.0</v>
      </c>
      <c r="I7" s="1">
        <v>19.0</v>
      </c>
      <c r="J7" s="1">
        <v>67.0</v>
      </c>
      <c r="K7" s="1">
        <v>311.0</v>
      </c>
      <c r="L7" s="1">
        <v>13.0</v>
      </c>
      <c r="M7" s="1">
        <v>5.0</v>
      </c>
      <c r="N7" s="1">
        <v>0.0</v>
      </c>
      <c r="O7" s="1">
        <v>0.0</v>
      </c>
      <c r="P7" s="1">
        <v>184.0</v>
      </c>
      <c r="Q7" s="1">
        <v>30.0</v>
      </c>
    </row>
    <row r="8">
      <c r="A8" s="1">
        <f t="shared" si="1"/>
        <v>6</v>
      </c>
      <c r="B8" s="1" t="s">
        <v>1035</v>
      </c>
      <c r="C8" s="1" t="s">
        <v>1036</v>
      </c>
      <c r="D8" s="1" t="s">
        <v>31</v>
      </c>
      <c r="E8" s="1">
        <f t="shared" si="2"/>
        <v>466.25</v>
      </c>
      <c r="F8" s="1">
        <f t="shared" si="3"/>
        <v>7.29</v>
      </c>
      <c r="G8" s="1">
        <v>64.0</v>
      </c>
      <c r="H8" s="1">
        <v>34.0</v>
      </c>
      <c r="I8" s="1">
        <v>63.0</v>
      </c>
      <c r="J8" s="1">
        <v>97.0</v>
      </c>
      <c r="K8" s="1">
        <v>212.0</v>
      </c>
      <c r="L8" s="1">
        <v>11.0</v>
      </c>
      <c r="M8" s="1">
        <v>32.0</v>
      </c>
      <c r="N8" s="1">
        <v>0.0</v>
      </c>
      <c r="O8" s="1">
        <v>0.0</v>
      </c>
      <c r="P8" s="1">
        <v>37.0</v>
      </c>
      <c r="Q8" s="1">
        <v>18.0</v>
      </c>
    </row>
    <row r="9">
      <c r="A9" s="1">
        <f t="shared" si="1"/>
        <v>7</v>
      </c>
      <c r="B9" s="1" t="s">
        <v>1319</v>
      </c>
      <c r="C9" s="1" t="s">
        <v>1172</v>
      </c>
      <c r="D9" s="1" t="s">
        <v>36</v>
      </c>
      <c r="E9" s="1">
        <f t="shared" si="2"/>
        <v>454.5</v>
      </c>
      <c r="F9" s="1">
        <f t="shared" si="3"/>
        <v>6.49</v>
      </c>
      <c r="G9" s="1">
        <v>70.0</v>
      </c>
      <c r="H9" s="1">
        <v>33.0</v>
      </c>
      <c r="I9" s="1">
        <v>51.0</v>
      </c>
      <c r="J9" s="1">
        <v>84.0</v>
      </c>
      <c r="K9" s="1">
        <v>275.0</v>
      </c>
      <c r="L9" s="1">
        <v>8.0</v>
      </c>
      <c r="M9" s="1">
        <v>15.0</v>
      </c>
      <c r="N9" s="1">
        <v>0.0</v>
      </c>
      <c r="O9" s="1">
        <v>0.0</v>
      </c>
      <c r="P9" s="1">
        <v>24.0</v>
      </c>
      <c r="Q9" s="1">
        <v>19.0</v>
      </c>
    </row>
    <row r="10">
      <c r="A10" s="1">
        <f t="shared" si="1"/>
        <v>8</v>
      </c>
      <c r="B10" s="1" t="s">
        <v>1039</v>
      </c>
      <c r="C10" s="1" t="s">
        <v>1040</v>
      </c>
      <c r="D10" s="1" t="s">
        <v>28</v>
      </c>
      <c r="E10" s="1">
        <f t="shared" si="2"/>
        <v>452.75</v>
      </c>
      <c r="F10" s="1">
        <f t="shared" si="3"/>
        <v>6.56</v>
      </c>
      <c r="G10" s="1">
        <v>69.0</v>
      </c>
      <c r="H10" s="1">
        <v>32.0</v>
      </c>
      <c r="I10" s="1">
        <v>63.0</v>
      </c>
      <c r="J10" s="1">
        <v>95.0</v>
      </c>
      <c r="K10" s="1">
        <v>209.0</v>
      </c>
      <c r="L10" s="1">
        <v>7.0</v>
      </c>
      <c r="M10" s="1">
        <v>17.0</v>
      </c>
      <c r="N10" s="1">
        <v>0.0</v>
      </c>
      <c r="O10" s="1">
        <v>0.0</v>
      </c>
      <c r="P10" s="1">
        <v>25.0</v>
      </c>
      <c r="Q10" s="1">
        <v>18.0</v>
      </c>
    </row>
    <row r="11">
      <c r="A11" s="1">
        <f t="shared" si="1"/>
        <v>9</v>
      </c>
      <c r="B11" s="1" t="s">
        <v>1557</v>
      </c>
      <c r="C11" s="1" t="s">
        <v>1080</v>
      </c>
      <c r="D11" s="1" t="s">
        <v>28</v>
      </c>
      <c r="E11" s="1">
        <f t="shared" si="2"/>
        <v>439.5</v>
      </c>
      <c r="F11" s="1">
        <f t="shared" si="3"/>
        <v>6.19</v>
      </c>
      <c r="G11" s="1">
        <v>71.0</v>
      </c>
      <c r="H11" s="1">
        <v>32.0</v>
      </c>
      <c r="I11" s="1">
        <v>34.0</v>
      </c>
      <c r="J11" s="1">
        <v>66.0</v>
      </c>
      <c r="K11" s="1">
        <v>307.0</v>
      </c>
      <c r="L11" s="1">
        <v>8.0</v>
      </c>
      <c r="M11" s="1">
        <v>11.0</v>
      </c>
      <c r="N11" s="1">
        <v>0.0</v>
      </c>
      <c r="O11" s="1">
        <v>0.0</v>
      </c>
      <c r="P11" s="1">
        <v>90.0</v>
      </c>
      <c r="Q11" s="1">
        <v>35.0</v>
      </c>
    </row>
    <row r="12">
      <c r="A12" s="1">
        <f t="shared" si="1"/>
        <v>10</v>
      </c>
      <c r="B12" s="1" t="s">
        <v>1100</v>
      </c>
      <c r="C12" s="1" t="s">
        <v>1040</v>
      </c>
      <c r="D12" s="1" t="s">
        <v>31</v>
      </c>
      <c r="E12" s="1">
        <f t="shared" si="2"/>
        <v>437.75</v>
      </c>
      <c r="F12" s="1">
        <f t="shared" si="3"/>
        <v>7.68</v>
      </c>
      <c r="G12" s="1">
        <v>57.0</v>
      </c>
      <c r="H12" s="1">
        <v>41.0</v>
      </c>
      <c r="I12" s="1">
        <v>34.0</v>
      </c>
      <c r="J12" s="1">
        <v>75.0</v>
      </c>
      <c r="K12" s="1">
        <v>208.0</v>
      </c>
      <c r="L12" s="1">
        <v>15.0</v>
      </c>
      <c r="M12" s="1">
        <v>12.0</v>
      </c>
      <c r="N12" s="1">
        <v>3.0</v>
      </c>
      <c r="O12" s="1">
        <v>2.0</v>
      </c>
      <c r="P12" s="1">
        <v>51.0</v>
      </c>
      <c r="Q12" s="1">
        <v>49.0</v>
      </c>
    </row>
    <row r="13">
      <c r="A13" s="1">
        <f t="shared" si="1"/>
        <v>11</v>
      </c>
      <c r="B13" s="1" t="s">
        <v>1094</v>
      </c>
      <c r="C13" s="1" t="s">
        <v>1067</v>
      </c>
      <c r="D13" s="1" t="s">
        <v>31</v>
      </c>
      <c r="E13" s="1">
        <f t="shared" si="2"/>
        <v>434.5</v>
      </c>
      <c r="F13" s="1">
        <f t="shared" si="3"/>
        <v>6.39</v>
      </c>
      <c r="G13" s="1">
        <v>68.0</v>
      </c>
      <c r="H13" s="1">
        <v>36.0</v>
      </c>
      <c r="I13" s="1">
        <v>42.0</v>
      </c>
      <c r="J13" s="1">
        <v>78.0</v>
      </c>
      <c r="K13" s="1">
        <v>227.0</v>
      </c>
      <c r="L13" s="1">
        <v>11.0</v>
      </c>
      <c r="M13" s="1">
        <v>16.0</v>
      </c>
      <c r="N13" s="1">
        <v>1.0</v>
      </c>
      <c r="O13" s="1">
        <v>0.0</v>
      </c>
      <c r="P13" s="1">
        <v>40.0</v>
      </c>
      <c r="Q13" s="1">
        <v>42.0</v>
      </c>
    </row>
    <row r="14">
      <c r="A14" s="1">
        <f t="shared" si="1"/>
        <v>12</v>
      </c>
      <c r="B14" s="1" t="s">
        <v>1033</v>
      </c>
      <c r="C14" s="1" t="s">
        <v>1034</v>
      </c>
      <c r="D14" s="1" t="s">
        <v>36</v>
      </c>
      <c r="E14" s="1">
        <f t="shared" si="2"/>
        <v>428.25</v>
      </c>
      <c r="F14" s="1">
        <f t="shared" si="3"/>
        <v>6.3</v>
      </c>
      <c r="G14" s="1">
        <v>68.0</v>
      </c>
      <c r="H14" s="1">
        <v>33.0</v>
      </c>
      <c r="I14" s="1">
        <v>52.0</v>
      </c>
      <c r="J14" s="1">
        <v>85.0</v>
      </c>
      <c r="K14" s="1">
        <v>210.0</v>
      </c>
      <c r="L14" s="1">
        <v>4.0</v>
      </c>
      <c r="M14" s="1">
        <v>21.0</v>
      </c>
      <c r="N14" s="1">
        <v>0.0</v>
      </c>
      <c r="O14" s="1">
        <v>0.0</v>
      </c>
      <c r="P14" s="1">
        <v>37.0</v>
      </c>
      <c r="Q14" s="1">
        <v>19.0</v>
      </c>
    </row>
    <row r="15">
      <c r="A15" s="1">
        <f t="shared" si="1"/>
        <v>13</v>
      </c>
      <c r="B15" s="1" t="s">
        <v>1112</v>
      </c>
      <c r="C15" s="1" t="s">
        <v>1038</v>
      </c>
      <c r="D15" s="1" t="s">
        <v>28</v>
      </c>
      <c r="E15" s="1">
        <f t="shared" si="2"/>
        <v>424.75</v>
      </c>
      <c r="F15" s="1">
        <f t="shared" si="3"/>
        <v>6.07</v>
      </c>
      <c r="G15" s="1">
        <v>70.0</v>
      </c>
      <c r="H15" s="1">
        <v>28.0</v>
      </c>
      <c r="I15" s="1">
        <v>59.0</v>
      </c>
      <c r="J15" s="1">
        <v>87.0</v>
      </c>
      <c r="K15" s="1">
        <v>185.0</v>
      </c>
      <c r="L15" s="1">
        <v>5.0</v>
      </c>
      <c r="M15" s="1">
        <v>23.0</v>
      </c>
      <c r="N15" s="1">
        <v>1.0</v>
      </c>
      <c r="O15" s="1">
        <v>2.0</v>
      </c>
      <c r="P15" s="1">
        <v>55.0</v>
      </c>
      <c r="Q15" s="1">
        <v>19.0</v>
      </c>
    </row>
    <row r="16">
      <c r="A16" s="1">
        <f t="shared" si="1"/>
        <v>14</v>
      </c>
      <c r="B16" s="1" t="s">
        <v>1056</v>
      </c>
      <c r="C16" s="1" t="s">
        <v>1042</v>
      </c>
      <c r="D16" s="1" t="s">
        <v>66</v>
      </c>
      <c r="E16" s="1">
        <f t="shared" si="2"/>
        <v>416</v>
      </c>
      <c r="F16" s="1">
        <f t="shared" si="3"/>
        <v>6.03</v>
      </c>
      <c r="G16" s="1">
        <v>69.0</v>
      </c>
      <c r="H16" s="1">
        <v>16.0</v>
      </c>
      <c r="I16" s="1">
        <v>49.0</v>
      </c>
      <c r="J16" s="1">
        <v>65.0</v>
      </c>
      <c r="K16" s="1">
        <v>260.0</v>
      </c>
      <c r="L16" s="1">
        <v>4.0</v>
      </c>
      <c r="M16" s="1">
        <v>19.0</v>
      </c>
      <c r="N16" s="1">
        <v>0.0</v>
      </c>
      <c r="O16" s="1">
        <v>0.0</v>
      </c>
      <c r="P16" s="1">
        <v>52.0</v>
      </c>
      <c r="Q16" s="1">
        <v>108.0</v>
      </c>
    </row>
    <row r="17">
      <c r="A17" s="1">
        <f t="shared" si="1"/>
        <v>15</v>
      </c>
      <c r="B17" s="1" t="s">
        <v>1161</v>
      </c>
      <c r="C17" s="1" t="s">
        <v>1116</v>
      </c>
      <c r="D17" s="1" t="s">
        <v>28</v>
      </c>
      <c r="E17" s="1">
        <f t="shared" si="2"/>
        <v>412.5</v>
      </c>
      <c r="F17" s="1">
        <f t="shared" si="3"/>
        <v>5.81</v>
      </c>
      <c r="G17" s="1">
        <v>71.0</v>
      </c>
      <c r="H17" s="1">
        <v>38.0</v>
      </c>
      <c r="I17" s="1">
        <v>35.0</v>
      </c>
      <c r="J17" s="1">
        <v>73.0</v>
      </c>
      <c r="K17" s="1">
        <v>239.0</v>
      </c>
      <c r="L17" s="1">
        <v>9.0</v>
      </c>
      <c r="M17" s="1">
        <v>8.0</v>
      </c>
      <c r="N17" s="1">
        <v>1.0</v>
      </c>
      <c r="O17" s="1">
        <v>1.0</v>
      </c>
      <c r="P17" s="1">
        <v>18.0</v>
      </c>
      <c r="Q17" s="1">
        <v>17.0</v>
      </c>
    </row>
    <row r="18">
      <c r="A18" s="1">
        <f t="shared" si="1"/>
        <v>16</v>
      </c>
      <c r="B18" s="1" t="s">
        <v>1136</v>
      </c>
      <c r="C18" s="1" t="s">
        <v>1082</v>
      </c>
      <c r="D18" s="1" t="s">
        <v>66</v>
      </c>
      <c r="E18" s="1">
        <f t="shared" si="2"/>
        <v>409.75</v>
      </c>
      <c r="F18" s="1">
        <f t="shared" si="3"/>
        <v>5.94</v>
      </c>
      <c r="G18" s="1">
        <v>69.0</v>
      </c>
      <c r="H18" s="1">
        <v>15.0</v>
      </c>
      <c r="I18" s="1">
        <v>60.0</v>
      </c>
      <c r="J18" s="1">
        <v>75.0</v>
      </c>
      <c r="K18" s="1">
        <v>189.0</v>
      </c>
      <c r="L18" s="1">
        <v>2.0</v>
      </c>
      <c r="M18" s="1">
        <v>24.0</v>
      </c>
      <c r="N18" s="1">
        <v>0.0</v>
      </c>
      <c r="O18" s="1">
        <v>0.0</v>
      </c>
      <c r="P18" s="1">
        <v>55.0</v>
      </c>
      <c r="Q18" s="1">
        <v>108.0</v>
      </c>
    </row>
    <row r="19">
      <c r="A19" s="1">
        <f t="shared" si="1"/>
        <v>17</v>
      </c>
      <c r="B19" s="1" t="s">
        <v>1115</v>
      </c>
      <c r="C19" s="1" t="s">
        <v>1116</v>
      </c>
      <c r="D19" s="1" t="s">
        <v>5</v>
      </c>
      <c r="E19" s="1">
        <f t="shared" si="2"/>
        <v>397.8</v>
      </c>
      <c r="F19" s="1">
        <f t="shared" si="3"/>
        <v>6.86</v>
      </c>
      <c r="G19" s="1">
        <v>58.0</v>
      </c>
      <c r="R19" s="1">
        <v>31.0</v>
      </c>
      <c r="S19" s="1">
        <v>140.0</v>
      </c>
      <c r="T19" s="12">
        <v>1656.0</v>
      </c>
      <c r="U19" s="1">
        <v>6.0</v>
      </c>
    </row>
    <row r="20">
      <c r="A20" s="1">
        <f t="shared" si="1"/>
        <v>18</v>
      </c>
      <c r="B20" s="1" t="s">
        <v>1045</v>
      </c>
      <c r="C20" s="1" t="s">
        <v>1046</v>
      </c>
      <c r="D20" s="1" t="s">
        <v>31</v>
      </c>
      <c r="E20" s="1">
        <f t="shared" si="2"/>
        <v>392.75</v>
      </c>
      <c r="F20" s="1">
        <f t="shared" si="3"/>
        <v>5.69</v>
      </c>
      <c r="G20" s="1">
        <v>69.0</v>
      </c>
      <c r="H20" s="1">
        <v>27.0</v>
      </c>
      <c r="I20" s="1">
        <v>45.0</v>
      </c>
      <c r="J20" s="1">
        <v>72.0</v>
      </c>
      <c r="K20" s="1">
        <v>165.0</v>
      </c>
      <c r="L20" s="1">
        <v>9.0</v>
      </c>
      <c r="M20" s="1">
        <v>16.0</v>
      </c>
      <c r="N20" s="1">
        <v>0.0</v>
      </c>
      <c r="O20" s="1">
        <v>2.0</v>
      </c>
      <c r="P20" s="1">
        <v>123.0</v>
      </c>
      <c r="Q20" s="1">
        <v>38.0</v>
      </c>
    </row>
    <row r="21">
      <c r="A21" s="1">
        <f t="shared" si="1"/>
        <v>19</v>
      </c>
      <c r="B21" s="1" t="s">
        <v>1072</v>
      </c>
      <c r="C21" s="1" t="s">
        <v>1073</v>
      </c>
      <c r="D21" s="1" t="s">
        <v>28</v>
      </c>
      <c r="E21" s="1">
        <f t="shared" si="2"/>
        <v>391.75</v>
      </c>
      <c r="F21" s="1">
        <f t="shared" si="3"/>
        <v>5.76</v>
      </c>
      <c r="G21" s="1">
        <v>68.0</v>
      </c>
      <c r="H21" s="1">
        <v>38.0</v>
      </c>
      <c r="I21" s="1">
        <v>28.0</v>
      </c>
      <c r="J21" s="1">
        <v>66.0</v>
      </c>
      <c r="K21" s="1">
        <v>206.0</v>
      </c>
      <c r="L21" s="1">
        <v>8.0</v>
      </c>
      <c r="M21" s="1">
        <v>9.0</v>
      </c>
      <c r="N21" s="1">
        <v>4.0</v>
      </c>
      <c r="O21" s="1">
        <v>1.0</v>
      </c>
      <c r="P21" s="1">
        <v>55.0</v>
      </c>
      <c r="Q21" s="1">
        <v>20.0</v>
      </c>
    </row>
    <row r="22">
      <c r="A22" s="1">
        <f t="shared" si="1"/>
        <v>20</v>
      </c>
      <c r="B22" s="1" t="s">
        <v>1043</v>
      </c>
      <c r="C22" s="1" t="s">
        <v>1044</v>
      </c>
      <c r="D22" s="1" t="s">
        <v>28</v>
      </c>
      <c r="E22" s="1">
        <f t="shared" si="2"/>
        <v>390.25</v>
      </c>
      <c r="F22" s="1">
        <f t="shared" si="3"/>
        <v>5.5</v>
      </c>
      <c r="G22" s="1">
        <v>71.0</v>
      </c>
      <c r="H22" s="1">
        <v>21.0</v>
      </c>
      <c r="I22" s="1">
        <v>23.0</v>
      </c>
      <c r="J22" s="1">
        <v>44.0</v>
      </c>
      <c r="K22" s="1">
        <v>259.0</v>
      </c>
      <c r="L22" s="1">
        <v>2.0</v>
      </c>
      <c r="M22" s="1">
        <v>6.0</v>
      </c>
      <c r="N22" s="1">
        <v>0.0</v>
      </c>
      <c r="O22" s="1">
        <v>0.0</v>
      </c>
      <c r="P22" s="1">
        <v>303.0</v>
      </c>
      <c r="Q22" s="1">
        <v>43.0</v>
      </c>
    </row>
    <row r="23">
      <c r="A23" s="1">
        <f t="shared" si="1"/>
        <v>21</v>
      </c>
      <c r="B23" s="1" t="s">
        <v>1791</v>
      </c>
      <c r="C23" s="1" t="s">
        <v>1116</v>
      </c>
      <c r="D23" s="1" t="s">
        <v>36</v>
      </c>
      <c r="E23" s="1">
        <f t="shared" si="2"/>
        <v>385.75</v>
      </c>
      <c r="F23" s="1">
        <f t="shared" si="3"/>
        <v>5.67</v>
      </c>
      <c r="G23" s="1">
        <v>68.0</v>
      </c>
      <c r="H23" s="1">
        <v>28.0</v>
      </c>
      <c r="I23" s="1">
        <v>35.0</v>
      </c>
      <c r="J23" s="1">
        <v>63.0</v>
      </c>
      <c r="K23" s="1">
        <v>226.0</v>
      </c>
      <c r="L23" s="1">
        <v>8.0</v>
      </c>
      <c r="M23" s="1">
        <v>8.0</v>
      </c>
      <c r="N23" s="1">
        <v>0.0</v>
      </c>
      <c r="O23" s="1">
        <v>0.0</v>
      </c>
      <c r="P23" s="1">
        <v>97.0</v>
      </c>
      <c r="Q23" s="1">
        <v>35.0</v>
      </c>
    </row>
    <row r="24">
      <c r="A24" s="1">
        <f t="shared" si="1"/>
        <v>22</v>
      </c>
      <c r="B24" s="1" t="s">
        <v>1141</v>
      </c>
      <c r="C24" s="1" t="s">
        <v>1116</v>
      </c>
      <c r="D24" s="1" t="s">
        <v>31</v>
      </c>
      <c r="E24" s="1">
        <f t="shared" si="2"/>
        <v>380.5</v>
      </c>
      <c r="F24" s="1">
        <f t="shared" si="3"/>
        <v>5.36</v>
      </c>
      <c r="G24" s="1">
        <v>71.0</v>
      </c>
      <c r="H24" s="1">
        <v>29.0</v>
      </c>
      <c r="I24" s="1">
        <v>44.0</v>
      </c>
      <c r="J24" s="1">
        <v>73.0</v>
      </c>
      <c r="K24" s="1">
        <v>170.0</v>
      </c>
      <c r="L24" s="1">
        <v>10.0</v>
      </c>
      <c r="M24" s="1">
        <v>10.0</v>
      </c>
      <c r="N24" s="1">
        <v>0.0</v>
      </c>
      <c r="O24" s="1">
        <v>0.0</v>
      </c>
      <c r="P24" s="1">
        <v>34.0</v>
      </c>
      <c r="Q24" s="1">
        <v>49.0</v>
      </c>
    </row>
    <row r="25">
      <c r="A25" s="1">
        <f t="shared" si="1"/>
        <v>23</v>
      </c>
      <c r="B25" s="1" t="s">
        <v>1596</v>
      </c>
      <c r="C25" s="1" t="s">
        <v>1116</v>
      </c>
      <c r="D25" s="1" t="s">
        <v>36</v>
      </c>
      <c r="E25" s="1">
        <f t="shared" si="2"/>
        <v>373</v>
      </c>
      <c r="F25" s="1">
        <f t="shared" si="3"/>
        <v>5.25</v>
      </c>
      <c r="G25" s="1">
        <v>71.0</v>
      </c>
      <c r="H25" s="1">
        <v>22.0</v>
      </c>
      <c r="I25" s="1">
        <v>43.0</v>
      </c>
      <c r="J25" s="1">
        <v>65.0</v>
      </c>
      <c r="K25" s="1">
        <v>180.0</v>
      </c>
      <c r="L25" s="1">
        <v>4.0</v>
      </c>
      <c r="M25" s="1">
        <v>18.0</v>
      </c>
      <c r="N25" s="1">
        <v>1.0</v>
      </c>
      <c r="O25" s="1">
        <v>1.0</v>
      </c>
      <c r="P25" s="1">
        <v>102.0</v>
      </c>
      <c r="Q25" s="1">
        <v>51.0</v>
      </c>
    </row>
    <row r="26">
      <c r="A26" s="1">
        <f t="shared" si="1"/>
        <v>24</v>
      </c>
      <c r="B26" s="1" t="s">
        <v>1266</v>
      </c>
      <c r="C26" s="1" t="s">
        <v>1048</v>
      </c>
      <c r="D26" s="1" t="s">
        <v>28</v>
      </c>
      <c r="E26" s="1">
        <f t="shared" si="2"/>
        <v>370.25</v>
      </c>
      <c r="F26" s="1">
        <f t="shared" si="3"/>
        <v>5.37</v>
      </c>
      <c r="G26" s="1">
        <v>69.0</v>
      </c>
      <c r="H26" s="1">
        <v>23.0</v>
      </c>
      <c r="I26" s="1">
        <v>55.0</v>
      </c>
      <c r="J26" s="1">
        <v>78.0</v>
      </c>
      <c r="K26" s="1">
        <v>152.0</v>
      </c>
      <c r="L26" s="1">
        <v>5.0</v>
      </c>
      <c r="M26" s="1">
        <v>24.0</v>
      </c>
      <c r="N26" s="1">
        <v>0.0</v>
      </c>
      <c r="O26" s="1">
        <v>0.0</v>
      </c>
      <c r="P26" s="1">
        <v>51.0</v>
      </c>
      <c r="Q26" s="1">
        <v>26.0</v>
      </c>
    </row>
    <row r="27">
      <c r="A27" s="1">
        <f t="shared" si="1"/>
        <v>25</v>
      </c>
      <c r="B27" s="1" t="s">
        <v>1061</v>
      </c>
      <c r="C27" s="1" t="s">
        <v>1034</v>
      </c>
      <c r="D27" s="1" t="s">
        <v>31</v>
      </c>
      <c r="E27" s="1">
        <f t="shared" si="2"/>
        <v>365.75</v>
      </c>
      <c r="F27" s="1">
        <f t="shared" si="3"/>
        <v>6.42</v>
      </c>
      <c r="G27" s="1">
        <v>57.0</v>
      </c>
      <c r="H27" s="1">
        <v>29.0</v>
      </c>
      <c r="I27" s="1">
        <v>37.0</v>
      </c>
      <c r="J27" s="1">
        <v>66.0</v>
      </c>
      <c r="K27" s="1">
        <v>176.0</v>
      </c>
      <c r="L27" s="1">
        <v>10.0</v>
      </c>
      <c r="M27" s="1">
        <v>9.0</v>
      </c>
      <c r="N27" s="1">
        <v>0.0</v>
      </c>
      <c r="O27" s="1">
        <v>0.0</v>
      </c>
      <c r="P27" s="1">
        <v>69.0</v>
      </c>
      <c r="Q27" s="1">
        <v>38.0</v>
      </c>
    </row>
    <row r="28">
      <c r="A28" s="1">
        <f t="shared" si="1"/>
        <v>26</v>
      </c>
      <c r="B28" s="1" t="s">
        <v>1142</v>
      </c>
      <c r="C28" s="1" t="s">
        <v>1052</v>
      </c>
      <c r="D28" s="1" t="s">
        <v>31</v>
      </c>
      <c r="E28" s="1">
        <f t="shared" si="2"/>
        <v>365.5</v>
      </c>
      <c r="F28" s="1">
        <f t="shared" si="3"/>
        <v>6.65</v>
      </c>
      <c r="G28" s="1">
        <v>55.0</v>
      </c>
      <c r="H28" s="1">
        <v>25.0</v>
      </c>
      <c r="I28" s="1">
        <v>49.0</v>
      </c>
      <c r="J28" s="1">
        <v>74.0</v>
      </c>
      <c r="K28" s="1">
        <v>171.0</v>
      </c>
      <c r="L28" s="1">
        <v>7.0</v>
      </c>
      <c r="M28" s="1">
        <v>17.0</v>
      </c>
      <c r="N28" s="1">
        <v>0.0</v>
      </c>
      <c r="O28" s="1">
        <v>0.0</v>
      </c>
      <c r="P28" s="1">
        <v>38.0</v>
      </c>
      <c r="Q28" s="1">
        <v>22.0</v>
      </c>
    </row>
    <row r="29">
      <c r="A29" s="1">
        <f t="shared" si="1"/>
        <v>27</v>
      </c>
      <c r="B29" s="1" t="s">
        <v>1060</v>
      </c>
      <c r="C29" s="1" t="s">
        <v>1046</v>
      </c>
      <c r="D29" s="1" t="s">
        <v>31</v>
      </c>
      <c r="E29" s="1">
        <f t="shared" si="2"/>
        <v>356.25</v>
      </c>
      <c r="F29" s="1">
        <f t="shared" si="3"/>
        <v>5.24</v>
      </c>
      <c r="G29" s="1">
        <v>68.0</v>
      </c>
      <c r="H29" s="1">
        <v>27.0</v>
      </c>
      <c r="I29" s="1">
        <v>39.0</v>
      </c>
      <c r="J29" s="1">
        <v>66.0</v>
      </c>
      <c r="K29" s="1">
        <v>162.0</v>
      </c>
      <c r="L29" s="1">
        <v>8.0</v>
      </c>
      <c r="M29" s="1">
        <v>16.0</v>
      </c>
      <c r="N29" s="1">
        <v>0.0</v>
      </c>
      <c r="O29" s="1">
        <v>0.0</v>
      </c>
      <c r="P29" s="1">
        <v>63.0</v>
      </c>
      <c r="Q29" s="1">
        <v>42.0</v>
      </c>
    </row>
    <row r="30">
      <c r="A30" s="1">
        <f t="shared" si="1"/>
        <v>28</v>
      </c>
      <c r="B30" s="1" t="s">
        <v>1290</v>
      </c>
      <c r="C30" s="1" t="s">
        <v>1034</v>
      </c>
      <c r="D30" s="1" t="s">
        <v>5</v>
      </c>
      <c r="E30" s="1">
        <f t="shared" si="2"/>
        <v>356.1</v>
      </c>
      <c r="F30" s="1">
        <f t="shared" si="3"/>
        <v>6.85</v>
      </c>
      <c r="G30" s="1">
        <v>52.0</v>
      </c>
      <c r="R30" s="1">
        <v>35.0</v>
      </c>
      <c r="S30" s="1">
        <v>133.0</v>
      </c>
      <c r="T30" s="12">
        <v>1472.0</v>
      </c>
      <c r="U30" s="1">
        <v>3.0</v>
      </c>
    </row>
    <row r="31">
      <c r="A31" s="1">
        <f t="shared" si="1"/>
        <v>29</v>
      </c>
      <c r="B31" s="1" t="s">
        <v>1215</v>
      </c>
      <c r="C31" s="1" t="s">
        <v>1073</v>
      </c>
      <c r="D31" s="1" t="s">
        <v>36</v>
      </c>
      <c r="E31" s="1">
        <f t="shared" si="2"/>
        <v>353</v>
      </c>
      <c r="F31" s="1">
        <f t="shared" si="3"/>
        <v>5.19</v>
      </c>
      <c r="G31" s="1">
        <v>68.0</v>
      </c>
      <c r="H31" s="1">
        <v>24.0</v>
      </c>
      <c r="I31" s="1">
        <v>37.0</v>
      </c>
      <c r="J31" s="1">
        <v>61.0</v>
      </c>
      <c r="K31" s="1">
        <v>183.0</v>
      </c>
      <c r="L31" s="1">
        <v>6.0</v>
      </c>
      <c r="M31" s="1">
        <v>14.0</v>
      </c>
      <c r="N31" s="1">
        <v>0.0</v>
      </c>
      <c r="O31" s="1">
        <v>0.0</v>
      </c>
      <c r="P31" s="1">
        <v>116.0</v>
      </c>
      <c r="Q31" s="1">
        <v>27.0</v>
      </c>
    </row>
    <row r="32">
      <c r="A32" s="1">
        <f t="shared" si="1"/>
        <v>29</v>
      </c>
      <c r="B32" s="1" t="s">
        <v>1058</v>
      </c>
      <c r="C32" s="1" t="s">
        <v>1069</v>
      </c>
      <c r="D32" s="1" t="s">
        <v>28</v>
      </c>
      <c r="E32" s="1">
        <f t="shared" si="2"/>
        <v>353</v>
      </c>
      <c r="F32" s="1">
        <f t="shared" si="3"/>
        <v>5.12</v>
      </c>
      <c r="G32" s="1">
        <v>69.0</v>
      </c>
      <c r="H32" s="1">
        <v>23.0</v>
      </c>
      <c r="I32" s="1">
        <v>38.0</v>
      </c>
      <c r="J32" s="1">
        <v>61.0</v>
      </c>
      <c r="K32" s="1">
        <v>188.0</v>
      </c>
      <c r="L32" s="1">
        <v>5.0</v>
      </c>
      <c r="M32" s="1">
        <v>14.0</v>
      </c>
      <c r="N32" s="1">
        <v>0.0</v>
      </c>
      <c r="O32" s="1">
        <v>0.0</v>
      </c>
      <c r="P32" s="1">
        <v>122.0</v>
      </c>
      <c r="Q32" s="1">
        <v>22.0</v>
      </c>
    </row>
    <row r="33">
      <c r="A33" s="1">
        <f t="shared" si="1"/>
        <v>31</v>
      </c>
      <c r="B33" s="1" t="s">
        <v>2085</v>
      </c>
      <c r="C33" s="1" t="s">
        <v>1038</v>
      </c>
      <c r="D33" s="1" t="s">
        <v>31</v>
      </c>
      <c r="E33" s="1">
        <f t="shared" si="2"/>
        <v>352.5</v>
      </c>
      <c r="F33" s="1">
        <f t="shared" si="3"/>
        <v>5.78</v>
      </c>
      <c r="G33" s="1">
        <v>61.0</v>
      </c>
      <c r="H33" s="1">
        <v>31.0</v>
      </c>
      <c r="I33" s="1">
        <v>25.0</v>
      </c>
      <c r="J33" s="1">
        <v>56.0</v>
      </c>
      <c r="K33" s="1">
        <v>203.0</v>
      </c>
      <c r="L33" s="1">
        <v>11.0</v>
      </c>
      <c r="M33" s="1">
        <v>9.0</v>
      </c>
      <c r="N33" s="1">
        <v>1.0</v>
      </c>
      <c r="O33" s="1">
        <v>0.0</v>
      </c>
      <c r="P33" s="1">
        <v>46.0</v>
      </c>
      <c r="Q33" s="1">
        <v>46.0</v>
      </c>
    </row>
    <row r="34">
      <c r="A34" s="1">
        <f t="shared" si="1"/>
        <v>32</v>
      </c>
      <c r="B34" s="1" t="s">
        <v>1289</v>
      </c>
      <c r="C34" s="1" t="s">
        <v>1080</v>
      </c>
      <c r="D34" s="1" t="s">
        <v>66</v>
      </c>
      <c r="E34" s="1">
        <f t="shared" si="2"/>
        <v>350.75</v>
      </c>
      <c r="F34" s="1">
        <f t="shared" si="3"/>
        <v>5.01</v>
      </c>
      <c r="G34" s="1">
        <v>70.0</v>
      </c>
      <c r="H34" s="1">
        <v>16.0</v>
      </c>
      <c r="I34" s="1">
        <v>36.0</v>
      </c>
      <c r="J34" s="1">
        <v>52.0</v>
      </c>
      <c r="K34" s="1">
        <v>225.0</v>
      </c>
      <c r="L34" s="1">
        <v>6.0</v>
      </c>
      <c r="M34" s="1">
        <v>16.0</v>
      </c>
      <c r="N34" s="1">
        <v>0.0</v>
      </c>
      <c r="O34" s="1">
        <v>1.0</v>
      </c>
      <c r="P34" s="1">
        <v>47.0</v>
      </c>
      <c r="Q34" s="1">
        <v>89.0</v>
      </c>
    </row>
    <row r="35">
      <c r="A35" s="1">
        <f t="shared" si="1"/>
        <v>33</v>
      </c>
      <c r="B35" s="1" t="s">
        <v>1600</v>
      </c>
      <c r="C35" s="1" t="s">
        <v>1570</v>
      </c>
      <c r="D35" s="1" t="s">
        <v>28</v>
      </c>
      <c r="E35" s="1">
        <f t="shared" si="2"/>
        <v>346.75</v>
      </c>
      <c r="F35" s="1">
        <f t="shared" si="3"/>
        <v>5.03</v>
      </c>
      <c r="G35" s="1">
        <v>69.0</v>
      </c>
      <c r="H35" s="1">
        <v>29.0</v>
      </c>
      <c r="I35" s="1">
        <v>30.0</v>
      </c>
      <c r="J35" s="1">
        <v>59.0</v>
      </c>
      <c r="K35" s="1">
        <v>214.0</v>
      </c>
      <c r="L35" s="1">
        <v>11.0</v>
      </c>
      <c r="M35" s="1">
        <v>10.0</v>
      </c>
      <c r="N35" s="1">
        <v>0.0</v>
      </c>
      <c r="O35" s="1">
        <v>0.0</v>
      </c>
      <c r="P35" s="1">
        <v>33.0</v>
      </c>
      <c r="Q35" s="1">
        <v>22.0</v>
      </c>
    </row>
    <row r="36">
      <c r="A36" s="1">
        <f t="shared" si="1"/>
        <v>34</v>
      </c>
      <c r="B36" s="1" t="s">
        <v>1271</v>
      </c>
      <c r="C36" s="1" t="s">
        <v>1080</v>
      </c>
      <c r="D36" s="1" t="s">
        <v>36</v>
      </c>
      <c r="E36" s="1">
        <f t="shared" si="2"/>
        <v>346</v>
      </c>
      <c r="F36" s="1">
        <f t="shared" si="3"/>
        <v>5.32</v>
      </c>
      <c r="G36" s="1">
        <v>65.0</v>
      </c>
      <c r="H36" s="1">
        <v>21.0</v>
      </c>
      <c r="I36" s="1">
        <v>42.0</v>
      </c>
      <c r="J36" s="1">
        <v>63.0</v>
      </c>
      <c r="K36" s="1">
        <v>168.0</v>
      </c>
      <c r="L36" s="1">
        <v>6.0</v>
      </c>
      <c r="M36" s="1">
        <v>11.0</v>
      </c>
      <c r="N36" s="1">
        <v>0.0</v>
      </c>
      <c r="O36" s="1">
        <v>1.0</v>
      </c>
      <c r="P36" s="1">
        <v>56.0</v>
      </c>
      <c r="Q36" s="1">
        <v>51.0</v>
      </c>
    </row>
    <row r="37">
      <c r="A37" s="1">
        <f t="shared" si="1"/>
        <v>35</v>
      </c>
      <c r="B37" s="1" t="s">
        <v>1243</v>
      </c>
      <c r="C37" s="1" t="s">
        <v>1175</v>
      </c>
      <c r="D37" s="1" t="s">
        <v>66</v>
      </c>
      <c r="E37" s="1">
        <f t="shared" si="2"/>
        <v>343</v>
      </c>
      <c r="F37" s="1">
        <f t="shared" si="3"/>
        <v>4.9</v>
      </c>
      <c r="G37" s="1">
        <v>70.0</v>
      </c>
      <c r="H37" s="1">
        <v>12.0</v>
      </c>
      <c r="I37" s="1">
        <v>33.0</v>
      </c>
      <c r="J37" s="1">
        <v>45.0</v>
      </c>
      <c r="K37" s="1">
        <v>225.0</v>
      </c>
      <c r="L37" s="1">
        <v>5.0</v>
      </c>
      <c r="M37" s="1">
        <v>12.0</v>
      </c>
      <c r="N37" s="1">
        <v>0.0</v>
      </c>
      <c r="O37" s="1">
        <v>1.0</v>
      </c>
      <c r="P37" s="1">
        <v>72.0</v>
      </c>
      <c r="Q37" s="1">
        <v>115.0</v>
      </c>
      <c r="T37" s="12"/>
    </row>
    <row r="38">
      <c r="A38" s="1">
        <f t="shared" si="1"/>
        <v>36</v>
      </c>
      <c r="B38" s="1" t="s">
        <v>1083</v>
      </c>
      <c r="C38" s="1" t="s">
        <v>1032</v>
      </c>
      <c r="D38" s="1" t="s">
        <v>31</v>
      </c>
      <c r="E38" s="1">
        <f t="shared" si="2"/>
        <v>341</v>
      </c>
      <c r="F38" s="1">
        <f t="shared" si="3"/>
        <v>5.41</v>
      </c>
      <c r="G38" s="1">
        <v>63.0</v>
      </c>
      <c r="H38" s="1">
        <v>26.0</v>
      </c>
      <c r="I38" s="1">
        <v>34.0</v>
      </c>
      <c r="J38" s="1">
        <v>60.0</v>
      </c>
      <c r="K38" s="1">
        <v>197.0</v>
      </c>
      <c r="L38" s="1">
        <v>7.0</v>
      </c>
      <c r="M38" s="1">
        <v>14.0</v>
      </c>
      <c r="N38" s="1">
        <v>0.0</v>
      </c>
      <c r="O38" s="1">
        <v>0.0</v>
      </c>
      <c r="P38" s="1">
        <v>32.0</v>
      </c>
      <c r="Q38" s="1">
        <v>31.0</v>
      </c>
    </row>
    <row r="39">
      <c r="A39" s="1">
        <f t="shared" si="1"/>
        <v>37</v>
      </c>
      <c r="B39" s="1" t="s">
        <v>1133</v>
      </c>
      <c r="C39" s="1" t="s">
        <v>1175</v>
      </c>
      <c r="D39" s="1" t="s">
        <v>28</v>
      </c>
      <c r="E39" s="1">
        <f t="shared" si="2"/>
        <v>338.25</v>
      </c>
      <c r="F39" s="1">
        <f t="shared" si="3"/>
        <v>5.29</v>
      </c>
      <c r="G39" s="1">
        <v>64.0</v>
      </c>
      <c r="H39" s="1">
        <v>26.0</v>
      </c>
      <c r="I39" s="1">
        <v>21.0</v>
      </c>
      <c r="J39" s="1">
        <v>47.0</v>
      </c>
      <c r="K39" s="1">
        <v>216.0</v>
      </c>
      <c r="L39" s="1">
        <v>14.0</v>
      </c>
      <c r="M39" s="1">
        <v>4.0</v>
      </c>
      <c r="N39" s="1">
        <v>2.0</v>
      </c>
      <c r="O39" s="1">
        <v>0.0</v>
      </c>
      <c r="P39" s="1">
        <v>135.0</v>
      </c>
      <c r="Q39" s="1">
        <v>25.0</v>
      </c>
    </row>
    <row r="40">
      <c r="A40" s="1">
        <f t="shared" si="1"/>
        <v>38</v>
      </c>
      <c r="B40" s="1" t="s">
        <v>1151</v>
      </c>
      <c r="C40" s="1" t="s">
        <v>1116</v>
      </c>
      <c r="D40" s="1" t="s">
        <v>28</v>
      </c>
      <c r="E40" s="1">
        <f t="shared" si="2"/>
        <v>338</v>
      </c>
      <c r="F40" s="1">
        <f t="shared" si="3"/>
        <v>4.76</v>
      </c>
      <c r="G40" s="1">
        <v>71.0</v>
      </c>
      <c r="H40" s="1">
        <v>25.0</v>
      </c>
      <c r="I40" s="1">
        <v>33.0</v>
      </c>
      <c r="J40" s="1">
        <v>58.0</v>
      </c>
      <c r="K40" s="1">
        <v>203.0</v>
      </c>
      <c r="L40" s="1">
        <v>3.0</v>
      </c>
      <c r="M40" s="1">
        <v>2.0</v>
      </c>
      <c r="N40" s="1">
        <v>1.0</v>
      </c>
      <c r="O40" s="1">
        <v>0.0</v>
      </c>
      <c r="P40" s="1">
        <v>36.0</v>
      </c>
      <c r="Q40" s="1">
        <v>28.0</v>
      </c>
    </row>
    <row r="41">
      <c r="A41" s="1">
        <f t="shared" si="1"/>
        <v>39</v>
      </c>
      <c r="B41" s="1" t="s">
        <v>1157</v>
      </c>
      <c r="C41" s="1" t="s">
        <v>1175</v>
      </c>
      <c r="D41" s="1" t="s">
        <v>28</v>
      </c>
      <c r="E41" s="1">
        <f t="shared" si="2"/>
        <v>337.25</v>
      </c>
      <c r="F41" s="1">
        <f t="shared" si="3"/>
        <v>4.82</v>
      </c>
      <c r="G41" s="1">
        <v>70.0</v>
      </c>
      <c r="H41" s="1">
        <v>22.0</v>
      </c>
      <c r="I41" s="1">
        <v>27.0</v>
      </c>
      <c r="J41" s="1">
        <v>49.0</v>
      </c>
      <c r="K41" s="1">
        <v>199.0</v>
      </c>
      <c r="L41" s="1">
        <v>2.0</v>
      </c>
      <c r="M41" s="1">
        <v>7.0</v>
      </c>
      <c r="N41" s="1">
        <v>0.0</v>
      </c>
      <c r="O41" s="1">
        <v>0.0</v>
      </c>
      <c r="P41" s="1">
        <v>155.0</v>
      </c>
      <c r="Q41" s="1">
        <v>38.0</v>
      </c>
    </row>
    <row r="42">
      <c r="A42" s="1">
        <f t="shared" si="1"/>
        <v>40</v>
      </c>
      <c r="B42" s="1" t="s">
        <v>1188</v>
      </c>
      <c r="C42" s="1" t="s">
        <v>1082</v>
      </c>
      <c r="D42" s="1" t="s">
        <v>36</v>
      </c>
      <c r="E42" s="1">
        <f t="shared" si="2"/>
        <v>336.75</v>
      </c>
      <c r="F42" s="1">
        <f t="shared" si="3"/>
        <v>4.95</v>
      </c>
      <c r="G42" s="1">
        <v>68.0</v>
      </c>
      <c r="H42" s="1">
        <v>21.0</v>
      </c>
      <c r="I42" s="1">
        <v>23.0</v>
      </c>
      <c r="J42" s="1">
        <v>44.0</v>
      </c>
      <c r="K42" s="1">
        <v>154.0</v>
      </c>
      <c r="L42" s="1">
        <v>5.0</v>
      </c>
      <c r="M42" s="1">
        <v>2.0</v>
      </c>
      <c r="N42" s="1">
        <v>1.0</v>
      </c>
      <c r="O42" s="1">
        <v>1.0</v>
      </c>
      <c r="P42" s="1">
        <v>253.0</v>
      </c>
      <c r="Q42" s="1">
        <v>58.0</v>
      </c>
    </row>
    <row r="43">
      <c r="A43" s="1">
        <f t="shared" si="1"/>
        <v>41</v>
      </c>
      <c r="B43" s="1" t="s">
        <v>1225</v>
      </c>
      <c r="C43" s="1" t="s">
        <v>1085</v>
      </c>
      <c r="D43" s="1" t="s">
        <v>31</v>
      </c>
      <c r="E43" s="1">
        <f t="shared" si="2"/>
        <v>336</v>
      </c>
      <c r="F43" s="1">
        <f t="shared" si="3"/>
        <v>4.87</v>
      </c>
      <c r="G43" s="1">
        <v>69.0</v>
      </c>
      <c r="H43" s="1">
        <v>17.0</v>
      </c>
      <c r="I43" s="1">
        <v>33.0</v>
      </c>
      <c r="J43" s="1">
        <v>50.0</v>
      </c>
      <c r="K43" s="1">
        <v>245.0</v>
      </c>
      <c r="L43" s="1">
        <v>3.0</v>
      </c>
      <c r="M43" s="1">
        <v>12.0</v>
      </c>
      <c r="N43" s="1">
        <v>0.0</v>
      </c>
      <c r="O43" s="1">
        <v>0.0</v>
      </c>
      <c r="P43" s="1">
        <v>90.0</v>
      </c>
      <c r="Q43" s="1">
        <v>31.0</v>
      </c>
    </row>
    <row r="44">
      <c r="A44" s="1">
        <f t="shared" si="1"/>
        <v>42</v>
      </c>
      <c r="B44" s="1" t="s">
        <v>1119</v>
      </c>
      <c r="C44" s="1" t="s">
        <v>1120</v>
      </c>
      <c r="D44" s="1" t="s">
        <v>31</v>
      </c>
      <c r="E44" s="1">
        <f t="shared" si="2"/>
        <v>334.5</v>
      </c>
      <c r="F44" s="1">
        <f t="shared" si="3"/>
        <v>4.71</v>
      </c>
      <c r="G44" s="1">
        <v>71.0</v>
      </c>
      <c r="H44" s="1">
        <v>19.0</v>
      </c>
      <c r="I44" s="1">
        <v>34.0</v>
      </c>
      <c r="J44" s="1">
        <v>53.0</v>
      </c>
      <c r="K44" s="1">
        <v>223.0</v>
      </c>
      <c r="L44" s="1">
        <v>5.0</v>
      </c>
      <c r="M44" s="1">
        <v>9.0</v>
      </c>
      <c r="N44" s="1">
        <v>0.0</v>
      </c>
      <c r="O44" s="1">
        <v>0.0</v>
      </c>
      <c r="P44" s="1">
        <v>52.0</v>
      </c>
      <c r="Q44" s="1">
        <v>45.0</v>
      </c>
    </row>
    <row r="45">
      <c r="A45" s="1">
        <f t="shared" si="1"/>
        <v>43</v>
      </c>
      <c r="B45" s="1" t="s">
        <v>1223</v>
      </c>
      <c r="C45" s="1" t="s">
        <v>1069</v>
      </c>
      <c r="D45" s="1" t="s">
        <v>36</v>
      </c>
      <c r="E45" s="1">
        <f t="shared" si="2"/>
        <v>333.75</v>
      </c>
      <c r="F45" s="1">
        <f t="shared" si="3"/>
        <v>4.77</v>
      </c>
      <c r="G45" s="1">
        <v>70.0</v>
      </c>
      <c r="H45" s="1">
        <v>29.0</v>
      </c>
      <c r="I45" s="1">
        <v>25.0</v>
      </c>
      <c r="J45" s="1">
        <v>54.0</v>
      </c>
      <c r="K45" s="1">
        <v>169.0</v>
      </c>
      <c r="L45" s="1">
        <v>8.0</v>
      </c>
      <c r="M45" s="1">
        <v>11.0</v>
      </c>
      <c r="N45" s="1">
        <v>0.0</v>
      </c>
      <c r="O45" s="1">
        <v>0.0</v>
      </c>
      <c r="P45" s="1">
        <v>93.0</v>
      </c>
      <c r="Q45" s="1">
        <v>41.0</v>
      </c>
    </row>
    <row r="46">
      <c r="A46" s="1">
        <f t="shared" si="1"/>
        <v>44</v>
      </c>
      <c r="B46" s="1" t="s">
        <v>1153</v>
      </c>
      <c r="C46" s="1" t="s">
        <v>1036</v>
      </c>
      <c r="D46" s="1" t="s">
        <v>28</v>
      </c>
      <c r="E46" s="1">
        <f t="shared" si="2"/>
        <v>332.25</v>
      </c>
      <c r="F46" s="1">
        <f t="shared" si="3"/>
        <v>5.11</v>
      </c>
      <c r="G46" s="1">
        <v>65.0</v>
      </c>
      <c r="H46" s="1">
        <v>22.0</v>
      </c>
      <c r="I46" s="1">
        <v>39.0</v>
      </c>
      <c r="J46" s="1">
        <v>61.0</v>
      </c>
      <c r="K46" s="1">
        <v>172.0</v>
      </c>
      <c r="L46" s="1">
        <v>7.0</v>
      </c>
      <c r="M46" s="1">
        <v>17.0</v>
      </c>
      <c r="N46" s="1">
        <v>0.0</v>
      </c>
      <c r="O46" s="1">
        <v>0.0</v>
      </c>
      <c r="P46" s="1">
        <v>33.0</v>
      </c>
      <c r="Q46" s="1">
        <v>44.0</v>
      </c>
    </row>
    <row r="47">
      <c r="A47" s="1">
        <f t="shared" si="1"/>
        <v>45</v>
      </c>
      <c r="B47" s="1" t="s">
        <v>2372</v>
      </c>
      <c r="C47" s="1" t="s">
        <v>1097</v>
      </c>
      <c r="D47" s="1" t="s">
        <v>5</v>
      </c>
      <c r="E47" s="1">
        <f t="shared" si="2"/>
        <v>331.5</v>
      </c>
      <c r="F47" s="1">
        <f t="shared" si="3"/>
        <v>5.72</v>
      </c>
      <c r="G47" s="1">
        <v>58.0</v>
      </c>
      <c r="R47" s="1">
        <v>27.0</v>
      </c>
      <c r="S47" s="1">
        <v>160.0</v>
      </c>
      <c r="T47" s="12">
        <v>1595.0</v>
      </c>
      <c r="U47" s="1">
        <v>4.0</v>
      </c>
    </row>
    <row r="48">
      <c r="A48" s="1">
        <f t="shared" si="1"/>
        <v>46</v>
      </c>
      <c r="B48" s="1" t="s">
        <v>1050</v>
      </c>
      <c r="C48" s="1" t="s">
        <v>1032</v>
      </c>
      <c r="D48" s="1" t="s">
        <v>31</v>
      </c>
      <c r="E48" s="1">
        <f t="shared" si="2"/>
        <v>331.25</v>
      </c>
      <c r="F48" s="1">
        <f t="shared" si="3"/>
        <v>4.87</v>
      </c>
      <c r="G48" s="1">
        <v>68.0</v>
      </c>
      <c r="H48" s="1">
        <v>31.0</v>
      </c>
      <c r="I48" s="1">
        <v>28.0</v>
      </c>
      <c r="J48" s="1">
        <v>59.0</v>
      </c>
      <c r="K48" s="1">
        <v>197.0</v>
      </c>
      <c r="L48" s="1">
        <v>9.0</v>
      </c>
      <c r="M48" s="1">
        <v>8.0</v>
      </c>
      <c r="N48" s="1">
        <v>0.0</v>
      </c>
      <c r="O48" s="1">
        <v>0.0</v>
      </c>
      <c r="P48" s="1">
        <v>9.0</v>
      </c>
      <c r="Q48" s="1">
        <v>14.0</v>
      </c>
    </row>
    <row r="49">
      <c r="A49" s="1">
        <f t="shared" si="1"/>
        <v>47</v>
      </c>
      <c r="B49" s="1" t="s">
        <v>1291</v>
      </c>
      <c r="C49" s="1" t="s">
        <v>1091</v>
      </c>
      <c r="D49" s="1" t="s">
        <v>31</v>
      </c>
      <c r="E49" s="1">
        <f t="shared" si="2"/>
        <v>330.5</v>
      </c>
      <c r="F49" s="1">
        <f t="shared" si="3"/>
        <v>4.79</v>
      </c>
      <c r="G49" s="1">
        <v>69.0</v>
      </c>
      <c r="H49" s="1">
        <v>22.0</v>
      </c>
      <c r="I49" s="1">
        <v>37.0</v>
      </c>
      <c r="J49" s="1">
        <v>59.0</v>
      </c>
      <c r="K49" s="1">
        <v>185.0</v>
      </c>
      <c r="L49" s="1">
        <v>4.0</v>
      </c>
      <c r="M49" s="1">
        <v>9.0</v>
      </c>
      <c r="N49" s="1">
        <v>0.0</v>
      </c>
      <c r="O49" s="1">
        <v>0.0</v>
      </c>
      <c r="P49" s="1">
        <v>60.0</v>
      </c>
      <c r="Q49" s="1">
        <v>26.0</v>
      </c>
    </row>
    <row r="50">
      <c r="A50" s="1">
        <f t="shared" si="1"/>
        <v>48</v>
      </c>
      <c r="B50" s="1" t="s">
        <v>1249</v>
      </c>
      <c r="C50" s="1" t="s">
        <v>1073</v>
      </c>
      <c r="D50" s="1" t="s">
        <v>31</v>
      </c>
      <c r="E50" s="1">
        <f t="shared" si="2"/>
        <v>330</v>
      </c>
      <c r="F50" s="1">
        <f t="shared" si="3"/>
        <v>4.85</v>
      </c>
      <c r="G50" s="1">
        <v>68.0</v>
      </c>
      <c r="H50" s="1">
        <v>15.0</v>
      </c>
      <c r="I50" s="1">
        <v>48.0</v>
      </c>
      <c r="J50" s="1">
        <v>63.0</v>
      </c>
      <c r="K50" s="1">
        <v>182.0</v>
      </c>
      <c r="L50" s="1">
        <v>4.0</v>
      </c>
      <c r="M50" s="1">
        <v>17.0</v>
      </c>
      <c r="N50" s="1">
        <v>1.0</v>
      </c>
      <c r="O50" s="1">
        <v>3.0</v>
      </c>
      <c r="P50" s="1">
        <v>18.0</v>
      </c>
      <c r="Q50" s="1">
        <v>30.0</v>
      </c>
    </row>
    <row r="51">
      <c r="A51" s="1">
        <f t="shared" si="1"/>
        <v>49</v>
      </c>
      <c r="B51" s="1" t="s">
        <v>1585</v>
      </c>
      <c r="C51" s="1" t="s">
        <v>1097</v>
      </c>
      <c r="D51" s="1" t="s">
        <v>28</v>
      </c>
      <c r="E51" s="1">
        <f t="shared" si="2"/>
        <v>328.75</v>
      </c>
      <c r="F51" s="1">
        <f t="shared" si="3"/>
        <v>4.83</v>
      </c>
      <c r="G51" s="1">
        <v>68.0</v>
      </c>
      <c r="H51" s="1">
        <v>22.0</v>
      </c>
      <c r="I51" s="1">
        <v>39.0</v>
      </c>
      <c r="J51" s="1">
        <v>61.0</v>
      </c>
      <c r="K51" s="1">
        <v>162.0</v>
      </c>
      <c r="L51" s="1">
        <v>8.0</v>
      </c>
      <c r="M51" s="1">
        <v>6.0</v>
      </c>
      <c r="N51" s="1">
        <v>0.0</v>
      </c>
      <c r="O51" s="1">
        <v>0.0</v>
      </c>
      <c r="P51" s="1">
        <v>79.0</v>
      </c>
      <c r="Q51" s="1">
        <v>24.0</v>
      </c>
    </row>
    <row r="52">
      <c r="A52" s="1">
        <f t="shared" si="1"/>
        <v>50</v>
      </c>
      <c r="B52" s="1" t="s">
        <v>1102</v>
      </c>
      <c r="C52" s="1" t="s">
        <v>1032</v>
      </c>
      <c r="D52" s="1" t="s">
        <v>31</v>
      </c>
      <c r="E52" s="1">
        <f t="shared" si="2"/>
        <v>328.5</v>
      </c>
      <c r="F52" s="1">
        <f t="shared" si="3"/>
        <v>5.57</v>
      </c>
      <c r="G52" s="1">
        <v>59.0</v>
      </c>
      <c r="H52" s="1">
        <v>16.0</v>
      </c>
      <c r="I52" s="1">
        <v>51.0</v>
      </c>
      <c r="J52" s="1">
        <v>67.0</v>
      </c>
      <c r="K52" s="1">
        <v>154.0</v>
      </c>
      <c r="L52" s="1">
        <v>6.0</v>
      </c>
      <c r="M52" s="1">
        <v>18.0</v>
      </c>
      <c r="N52" s="1">
        <v>0.0</v>
      </c>
      <c r="O52" s="1">
        <v>1.0</v>
      </c>
      <c r="P52" s="1">
        <v>24.0</v>
      </c>
      <c r="Q52" s="1">
        <v>37.0</v>
      </c>
    </row>
    <row r="53">
      <c r="A53" s="1">
        <f t="shared" si="1"/>
        <v>51</v>
      </c>
      <c r="B53" s="1" t="s">
        <v>1099</v>
      </c>
      <c r="C53" s="1" t="s">
        <v>1046</v>
      </c>
      <c r="D53" s="1" t="s">
        <v>31</v>
      </c>
      <c r="E53" s="1">
        <f t="shared" si="2"/>
        <v>327.75</v>
      </c>
      <c r="F53" s="1">
        <f t="shared" si="3"/>
        <v>4.75</v>
      </c>
      <c r="G53" s="1">
        <v>69.0</v>
      </c>
      <c r="H53" s="1">
        <v>22.0</v>
      </c>
      <c r="I53" s="1">
        <v>31.0</v>
      </c>
      <c r="J53" s="1">
        <v>53.0</v>
      </c>
      <c r="K53" s="1">
        <v>178.0</v>
      </c>
      <c r="L53" s="1">
        <v>12.0</v>
      </c>
      <c r="M53" s="1">
        <v>4.0</v>
      </c>
      <c r="N53" s="1">
        <v>0.0</v>
      </c>
      <c r="O53" s="1">
        <v>0.0</v>
      </c>
      <c r="P53" s="1">
        <v>55.0</v>
      </c>
      <c r="Q53" s="1">
        <v>66.0</v>
      </c>
    </row>
    <row r="54">
      <c r="A54" s="1">
        <f t="shared" si="1"/>
        <v>52</v>
      </c>
      <c r="B54" s="1" t="s">
        <v>1152</v>
      </c>
      <c r="C54" s="1" t="s">
        <v>1078</v>
      </c>
      <c r="D54" s="1" t="s">
        <v>31</v>
      </c>
      <c r="E54" s="1">
        <f t="shared" si="2"/>
        <v>327.25</v>
      </c>
      <c r="F54" s="1">
        <f t="shared" si="3"/>
        <v>4.68</v>
      </c>
      <c r="G54" s="1">
        <v>70.0</v>
      </c>
      <c r="H54" s="1">
        <v>21.0</v>
      </c>
      <c r="I54" s="1">
        <v>41.0</v>
      </c>
      <c r="J54" s="1">
        <v>62.0</v>
      </c>
      <c r="K54" s="1">
        <v>135.0</v>
      </c>
      <c r="L54" s="1">
        <v>7.0</v>
      </c>
      <c r="M54" s="1">
        <v>14.0</v>
      </c>
      <c r="N54" s="1">
        <v>1.0</v>
      </c>
      <c r="O54" s="1">
        <v>0.0</v>
      </c>
      <c r="P54" s="1">
        <v>49.0</v>
      </c>
      <c r="Q54" s="1">
        <v>56.0</v>
      </c>
    </row>
    <row r="55">
      <c r="A55" s="1">
        <f t="shared" si="1"/>
        <v>53</v>
      </c>
      <c r="B55" s="1" t="s">
        <v>1250</v>
      </c>
      <c r="C55" s="1" t="s">
        <v>1106</v>
      </c>
      <c r="D55" s="1" t="s">
        <v>36</v>
      </c>
      <c r="E55" s="1">
        <f t="shared" si="2"/>
        <v>326.75</v>
      </c>
      <c r="F55" s="1">
        <f t="shared" si="3"/>
        <v>4.6</v>
      </c>
      <c r="G55" s="1">
        <v>71.0</v>
      </c>
      <c r="H55" s="1">
        <v>25.0</v>
      </c>
      <c r="I55" s="1">
        <v>35.0</v>
      </c>
      <c r="J55" s="1">
        <v>60.0</v>
      </c>
      <c r="K55" s="1">
        <v>166.0</v>
      </c>
      <c r="L55" s="1">
        <v>9.0</v>
      </c>
      <c r="M55" s="1">
        <v>18.0</v>
      </c>
      <c r="N55" s="1">
        <v>0.0</v>
      </c>
      <c r="O55" s="1">
        <v>0.0</v>
      </c>
      <c r="P55" s="1">
        <v>67.0</v>
      </c>
      <c r="Q55" s="1">
        <v>19.0</v>
      </c>
    </row>
    <row r="56">
      <c r="A56" s="1">
        <f t="shared" si="1"/>
        <v>53</v>
      </c>
      <c r="B56" s="1" t="s">
        <v>1092</v>
      </c>
      <c r="C56" s="1" t="s">
        <v>1048</v>
      </c>
      <c r="D56" s="1" t="s">
        <v>31</v>
      </c>
      <c r="E56" s="1">
        <f t="shared" si="2"/>
        <v>326.75</v>
      </c>
      <c r="F56" s="1">
        <f t="shared" si="3"/>
        <v>4.95</v>
      </c>
      <c r="G56" s="1">
        <v>66.0</v>
      </c>
      <c r="H56" s="1">
        <v>20.0</v>
      </c>
      <c r="I56" s="1">
        <v>42.0</v>
      </c>
      <c r="J56" s="1">
        <v>62.0</v>
      </c>
      <c r="K56" s="1">
        <v>172.0</v>
      </c>
      <c r="L56" s="1">
        <v>7.0</v>
      </c>
      <c r="M56" s="1">
        <v>13.0</v>
      </c>
      <c r="N56" s="1">
        <v>0.0</v>
      </c>
      <c r="O56" s="1">
        <v>1.0</v>
      </c>
      <c r="P56" s="1">
        <v>21.0</v>
      </c>
      <c r="Q56" s="1">
        <v>35.0</v>
      </c>
    </row>
    <row r="57">
      <c r="A57" s="1">
        <f t="shared" si="1"/>
        <v>55</v>
      </c>
      <c r="B57" s="1" t="s">
        <v>2092</v>
      </c>
      <c r="C57" s="1" t="s">
        <v>1172</v>
      </c>
      <c r="D57" s="1" t="s">
        <v>31</v>
      </c>
      <c r="E57" s="1">
        <f t="shared" si="2"/>
        <v>326.5</v>
      </c>
      <c r="F57" s="1">
        <f t="shared" si="3"/>
        <v>4.66</v>
      </c>
      <c r="G57" s="1">
        <v>70.0</v>
      </c>
      <c r="H57" s="1">
        <v>18.0</v>
      </c>
      <c r="I57" s="1">
        <v>42.0</v>
      </c>
      <c r="J57" s="1">
        <v>60.0</v>
      </c>
      <c r="K57" s="1">
        <v>172.0</v>
      </c>
      <c r="L57" s="1">
        <v>1.0</v>
      </c>
      <c r="M57" s="1">
        <v>7.0</v>
      </c>
      <c r="N57" s="1">
        <v>1.0</v>
      </c>
      <c r="O57" s="1">
        <v>0.0</v>
      </c>
      <c r="P57" s="1">
        <v>56.0</v>
      </c>
      <c r="Q57" s="1">
        <v>35.0</v>
      </c>
    </row>
    <row r="58">
      <c r="A58" s="1">
        <f t="shared" si="1"/>
        <v>56</v>
      </c>
      <c r="B58" s="1" t="s">
        <v>1117</v>
      </c>
      <c r="C58" s="1" t="s">
        <v>1034</v>
      </c>
      <c r="D58" s="1" t="s">
        <v>66</v>
      </c>
      <c r="E58" s="1">
        <f t="shared" si="2"/>
        <v>326.25</v>
      </c>
      <c r="F58" s="1">
        <f t="shared" si="3"/>
        <v>4.94</v>
      </c>
      <c r="G58" s="1">
        <v>66.0</v>
      </c>
      <c r="H58" s="1">
        <v>11.0</v>
      </c>
      <c r="I58" s="1">
        <v>44.0</v>
      </c>
      <c r="J58" s="1">
        <v>55.0</v>
      </c>
      <c r="K58" s="1">
        <v>155.0</v>
      </c>
      <c r="L58" s="1">
        <v>4.0</v>
      </c>
      <c r="M58" s="1">
        <v>18.0</v>
      </c>
      <c r="N58" s="1">
        <v>0.0</v>
      </c>
      <c r="O58" s="1">
        <v>0.0</v>
      </c>
      <c r="P58" s="1">
        <v>73.0</v>
      </c>
      <c r="Q58" s="1">
        <v>98.0</v>
      </c>
    </row>
    <row r="59">
      <c r="A59" s="1">
        <f t="shared" si="1"/>
        <v>57</v>
      </c>
      <c r="B59" s="1" t="s">
        <v>1343</v>
      </c>
      <c r="C59" s="1" t="s">
        <v>1080</v>
      </c>
      <c r="D59" s="1" t="s">
        <v>36</v>
      </c>
      <c r="E59" s="1">
        <f t="shared" si="2"/>
        <v>323.75</v>
      </c>
      <c r="F59" s="1">
        <f t="shared" si="3"/>
        <v>4.56</v>
      </c>
      <c r="G59" s="1">
        <v>71.0</v>
      </c>
      <c r="H59" s="1">
        <v>27.0</v>
      </c>
      <c r="I59" s="1">
        <v>27.0</v>
      </c>
      <c r="J59" s="1">
        <v>54.0</v>
      </c>
      <c r="K59" s="1">
        <v>169.0</v>
      </c>
      <c r="L59" s="1">
        <v>3.0</v>
      </c>
      <c r="M59" s="1">
        <v>2.0</v>
      </c>
      <c r="N59" s="1">
        <v>2.0</v>
      </c>
      <c r="O59" s="1">
        <v>2.0</v>
      </c>
      <c r="P59" s="1">
        <v>55.0</v>
      </c>
      <c r="Q59" s="1">
        <v>30.0</v>
      </c>
    </row>
    <row r="60">
      <c r="A60" s="1">
        <f t="shared" si="1"/>
        <v>58</v>
      </c>
      <c r="B60" s="1" t="s">
        <v>1170</v>
      </c>
      <c r="C60" s="1" t="s">
        <v>1052</v>
      </c>
      <c r="D60" s="1" t="s">
        <v>36</v>
      </c>
      <c r="E60" s="1">
        <f t="shared" si="2"/>
        <v>323.25</v>
      </c>
      <c r="F60" s="1">
        <f t="shared" si="3"/>
        <v>5.88</v>
      </c>
      <c r="G60" s="1">
        <v>55.0</v>
      </c>
      <c r="H60" s="1">
        <v>27.0</v>
      </c>
      <c r="I60" s="1">
        <v>29.0</v>
      </c>
      <c r="J60" s="1">
        <v>56.0</v>
      </c>
      <c r="K60" s="1">
        <v>151.0</v>
      </c>
      <c r="L60" s="1">
        <v>8.0</v>
      </c>
      <c r="M60" s="1">
        <v>9.0</v>
      </c>
      <c r="N60" s="1">
        <v>1.0</v>
      </c>
      <c r="O60" s="1">
        <v>1.0</v>
      </c>
      <c r="P60" s="1">
        <v>71.0</v>
      </c>
      <c r="Q60" s="1">
        <v>35.0</v>
      </c>
    </row>
    <row r="61">
      <c r="A61" s="1">
        <f t="shared" si="1"/>
        <v>59</v>
      </c>
      <c r="B61" s="1" t="s">
        <v>1098</v>
      </c>
      <c r="C61" s="1" t="s">
        <v>1087</v>
      </c>
      <c r="D61" s="1" t="s">
        <v>31</v>
      </c>
      <c r="E61" s="1">
        <f t="shared" si="2"/>
        <v>322.75</v>
      </c>
      <c r="F61" s="1">
        <f t="shared" si="3"/>
        <v>4.75</v>
      </c>
      <c r="G61" s="1">
        <v>68.0</v>
      </c>
      <c r="H61" s="1">
        <v>26.0</v>
      </c>
      <c r="I61" s="1">
        <v>28.0</v>
      </c>
      <c r="J61" s="1">
        <v>54.0</v>
      </c>
      <c r="K61" s="1">
        <v>175.0</v>
      </c>
      <c r="L61" s="1">
        <v>4.0</v>
      </c>
      <c r="M61" s="1">
        <v>3.0</v>
      </c>
      <c r="N61" s="1">
        <v>0.0</v>
      </c>
      <c r="O61" s="1">
        <v>0.0</v>
      </c>
      <c r="P61" s="1">
        <v>49.0</v>
      </c>
      <c r="Q61" s="1">
        <v>44.0</v>
      </c>
    </row>
    <row r="62">
      <c r="A62" s="1">
        <f t="shared" si="1"/>
        <v>60</v>
      </c>
      <c r="B62" s="1" t="s">
        <v>1877</v>
      </c>
      <c r="C62" s="1" t="s">
        <v>1067</v>
      </c>
      <c r="D62" s="1" t="s">
        <v>28</v>
      </c>
      <c r="E62" s="1">
        <f t="shared" si="2"/>
        <v>322.25</v>
      </c>
      <c r="F62" s="1">
        <f t="shared" si="3"/>
        <v>4.96</v>
      </c>
      <c r="G62" s="1">
        <v>65.0</v>
      </c>
      <c r="H62" s="1">
        <v>16.0</v>
      </c>
      <c r="I62" s="1">
        <v>36.0</v>
      </c>
      <c r="J62" s="1">
        <v>52.0</v>
      </c>
      <c r="K62" s="1">
        <v>232.0</v>
      </c>
      <c r="L62" s="1">
        <v>4.0</v>
      </c>
      <c r="M62" s="1">
        <v>14.0</v>
      </c>
      <c r="N62" s="1">
        <v>0.0</v>
      </c>
      <c r="O62" s="1">
        <v>0.0</v>
      </c>
      <c r="P62" s="1">
        <v>47.0</v>
      </c>
      <c r="Q62" s="1">
        <v>29.0</v>
      </c>
    </row>
    <row r="63">
      <c r="A63" s="1">
        <f t="shared" si="1"/>
        <v>60</v>
      </c>
      <c r="B63" s="1" t="s">
        <v>1079</v>
      </c>
      <c r="C63" s="1" t="s">
        <v>1080</v>
      </c>
      <c r="D63" s="1" t="s">
        <v>28</v>
      </c>
      <c r="E63" s="1">
        <f t="shared" si="2"/>
        <v>322.25</v>
      </c>
      <c r="F63" s="1">
        <f t="shared" si="3"/>
        <v>4.88</v>
      </c>
      <c r="G63" s="1">
        <v>66.0</v>
      </c>
      <c r="H63" s="1">
        <v>22.0</v>
      </c>
      <c r="I63" s="1">
        <v>25.0</v>
      </c>
      <c r="J63" s="1">
        <v>47.0</v>
      </c>
      <c r="K63" s="1">
        <v>235.0</v>
      </c>
      <c r="L63" s="1">
        <v>6.0</v>
      </c>
      <c r="M63" s="1">
        <v>6.0</v>
      </c>
      <c r="N63" s="1">
        <v>0.0</v>
      </c>
      <c r="O63" s="1">
        <v>0.0</v>
      </c>
      <c r="P63" s="1">
        <v>99.0</v>
      </c>
      <c r="Q63" s="1">
        <v>12.0</v>
      </c>
      <c r="T63" s="12"/>
    </row>
    <row r="64">
      <c r="A64" s="1">
        <f t="shared" si="1"/>
        <v>62</v>
      </c>
      <c r="B64" s="1" t="s">
        <v>1063</v>
      </c>
      <c r="C64" s="1" t="s">
        <v>1034</v>
      </c>
      <c r="D64" s="1" t="s">
        <v>31</v>
      </c>
      <c r="E64" s="1">
        <f t="shared" si="2"/>
        <v>321</v>
      </c>
      <c r="F64" s="1">
        <f t="shared" si="3"/>
        <v>4.86</v>
      </c>
      <c r="G64" s="1">
        <v>66.0</v>
      </c>
      <c r="H64" s="1">
        <v>25.0</v>
      </c>
      <c r="I64" s="1">
        <v>39.0</v>
      </c>
      <c r="J64" s="1">
        <v>64.0</v>
      </c>
      <c r="K64" s="1">
        <v>141.0</v>
      </c>
      <c r="L64" s="1">
        <v>8.0</v>
      </c>
      <c r="M64" s="1">
        <v>5.0</v>
      </c>
      <c r="N64" s="1">
        <v>0.0</v>
      </c>
      <c r="O64" s="1">
        <v>0.0</v>
      </c>
      <c r="P64" s="1">
        <v>24.0</v>
      </c>
      <c r="Q64" s="1">
        <v>30.0</v>
      </c>
    </row>
    <row r="65">
      <c r="A65" s="1">
        <f t="shared" si="1"/>
        <v>62</v>
      </c>
      <c r="B65" s="1" t="s">
        <v>1086</v>
      </c>
      <c r="C65" s="1" t="s">
        <v>1087</v>
      </c>
      <c r="D65" s="1" t="s">
        <v>31</v>
      </c>
      <c r="E65" s="1">
        <f t="shared" si="2"/>
        <v>321</v>
      </c>
      <c r="F65" s="1">
        <f t="shared" si="3"/>
        <v>4.72</v>
      </c>
      <c r="G65" s="1">
        <v>68.0</v>
      </c>
      <c r="H65" s="1">
        <v>19.0</v>
      </c>
      <c r="I65" s="1">
        <v>41.0</v>
      </c>
      <c r="J65" s="1">
        <v>60.0</v>
      </c>
      <c r="K65" s="1">
        <v>171.0</v>
      </c>
      <c r="L65" s="1">
        <v>4.0</v>
      </c>
      <c r="M65" s="1">
        <v>8.0</v>
      </c>
      <c r="N65" s="1">
        <v>0.0</v>
      </c>
      <c r="O65" s="1">
        <v>0.0</v>
      </c>
      <c r="P65" s="1">
        <v>22.0</v>
      </c>
      <c r="Q65" s="1">
        <v>43.0</v>
      </c>
    </row>
    <row r="66">
      <c r="A66" s="1">
        <f t="shared" si="1"/>
        <v>64</v>
      </c>
      <c r="B66" s="1" t="s">
        <v>1184</v>
      </c>
      <c r="C66" s="1" t="s">
        <v>1106</v>
      </c>
      <c r="D66" s="1" t="s">
        <v>31</v>
      </c>
      <c r="E66" s="1">
        <f t="shared" si="2"/>
        <v>320.75</v>
      </c>
      <c r="F66" s="1">
        <f t="shared" si="3"/>
        <v>4.52</v>
      </c>
      <c r="G66" s="1">
        <v>71.0</v>
      </c>
      <c r="H66" s="1">
        <v>25.0</v>
      </c>
      <c r="I66" s="1">
        <v>33.0</v>
      </c>
      <c r="J66" s="1">
        <v>58.0</v>
      </c>
      <c r="K66" s="1">
        <v>138.0</v>
      </c>
      <c r="L66" s="1">
        <v>10.0</v>
      </c>
      <c r="M66" s="1">
        <v>11.0</v>
      </c>
      <c r="N66" s="1">
        <v>0.0</v>
      </c>
      <c r="O66" s="1">
        <v>0.0</v>
      </c>
      <c r="P66" s="1">
        <v>119.0</v>
      </c>
      <c r="Q66" s="1">
        <v>21.0</v>
      </c>
    </row>
    <row r="67">
      <c r="A67" s="1">
        <f t="shared" si="1"/>
        <v>65</v>
      </c>
      <c r="B67" s="1" t="s">
        <v>1090</v>
      </c>
      <c r="C67" s="1" t="s">
        <v>1091</v>
      </c>
      <c r="D67" s="1" t="s">
        <v>31</v>
      </c>
      <c r="E67" s="1">
        <f t="shared" si="2"/>
        <v>320.25</v>
      </c>
      <c r="F67" s="1">
        <f t="shared" si="3"/>
        <v>4.85</v>
      </c>
      <c r="G67" s="1">
        <v>66.0</v>
      </c>
      <c r="H67" s="1">
        <v>24.0</v>
      </c>
      <c r="I67" s="1">
        <v>37.0</v>
      </c>
      <c r="J67" s="1">
        <v>61.0</v>
      </c>
      <c r="K67" s="1">
        <v>141.0</v>
      </c>
      <c r="L67" s="1">
        <v>5.0</v>
      </c>
      <c r="M67" s="1">
        <v>18.0</v>
      </c>
      <c r="N67" s="1">
        <v>0.0</v>
      </c>
      <c r="O67" s="1">
        <v>0.0</v>
      </c>
      <c r="P67" s="1">
        <v>63.0</v>
      </c>
      <c r="Q67" s="1">
        <v>30.0</v>
      </c>
    </row>
    <row r="68">
      <c r="A68" s="1">
        <f t="shared" si="1"/>
        <v>66</v>
      </c>
      <c r="B68" s="1" t="s">
        <v>1457</v>
      </c>
      <c r="C68" s="1" t="s">
        <v>1106</v>
      </c>
      <c r="D68" s="1" t="s">
        <v>28</v>
      </c>
      <c r="E68" s="1">
        <f t="shared" si="2"/>
        <v>314</v>
      </c>
      <c r="F68" s="1">
        <f t="shared" si="3"/>
        <v>4.42</v>
      </c>
      <c r="G68" s="1">
        <v>71.0</v>
      </c>
      <c r="H68" s="1">
        <v>22.0</v>
      </c>
      <c r="I68" s="1">
        <v>35.0</v>
      </c>
      <c r="J68" s="1">
        <v>57.0</v>
      </c>
      <c r="K68" s="1">
        <v>162.0</v>
      </c>
      <c r="L68" s="1">
        <v>9.0</v>
      </c>
      <c r="M68" s="1">
        <v>11.0</v>
      </c>
      <c r="N68" s="1">
        <v>0.0</v>
      </c>
      <c r="O68" s="1">
        <v>0.0</v>
      </c>
      <c r="P68" s="1">
        <v>60.0</v>
      </c>
      <c r="Q68" s="1">
        <v>28.0</v>
      </c>
    </row>
    <row r="69">
      <c r="A69" s="1">
        <f t="shared" si="1"/>
        <v>67</v>
      </c>
      <c r="B69" s="1" t="s">
        <v>1149</v>
      </c>
      <c r="C69" s="1" t="s">
        <v>1052</v>
      </c>
      <c r="D69" s="1" t="s">
        <v>66</v>
      </c>
      <c r="E69" s="1">
        <f t="shared" si="2"/>
        <v>313.75</v>
      </c>
      <c r="F69" s="1">
        <f t="shared" si="3"/>
        <v>5.14</v>
      </c>
      <c r="G69" s="1">
        <v>61.0</v>
      </c>
      <c r="H69" s="1">
        <v>15.0</v>
      </c>
      <c r="I69" s="1">
        <v>29.0</v>
      </c>
      <c r="J69" s="1">
        <v>44.0</v>
      </c>
      <c r="K69" s="1">
        <v>177.0</v>
      </c>
      <c r="L69" s="1">
        <v>6.0</v>
      </c>
      <c r="M69" s="1">
        <v>9.0</v>
      </c>
      <c r="N69" s="1">
        <v>0.0</v>
      </c>
      <c r="O69" s="1">
        <v>0.0</v>
      </c>
      <c r="P69" s="1">
        <v>101.0</v>
      </c>
      <c r="Q69" s="1">
        <v>91.0</v>
      </c>
    </row>
    <row r="70">
      <c r="A70" s="1">
        <f t="shared" si="1"/>
        <v>68</v>
      </c>
      <c r="B70" s="1" t="s">
        <v>1217</v>
      </c>
      <c r="C70" s="1" t="s">
        <v>1116</v>
      </c>
      <c r="D70" s="1" t="s">
        <v>66</v>
      </c>
      <c r="E70" s="1">
        <f t="shared" si="2"/>
        <v>312.75</v>
      </c>
      <c r="F70" s="1">
        <f t="shared" si="3"/>
        <v>4.4</v>
      </c>
      <c r="G70" s="1">
        <v>71.0</v>
      </c>
      <c r="H70" s="1">
        <v>6.0</v>
      </c>
      <c r="I70" s="1">
        <v>39.0</v>
      </c>
      <c r="J70" s="1">
        <v>45.0</v>
      </c>
      <c r="K70" s="1">
        <v>177.0</v>
      </c>
      <c r="L70" s="1">
        <v>3.0</v>
      </c>
      <c r="M70" s="1">
        <v>22.0</v>
      </c>
      <c r="N70" s="1">
        <v>0.0</v>
      </c>
      <c r="O70" s="1">
        <v>0.0</v>
      </c>
      <c r="P70" s="1">
        <v>165.0</v>
      </c>
      <c r="Q70" s="1">
        <v>78.0</v>
      </c>
      <c r="T70" s="12"/>
    </row>
    <row r="71">
      <c r="A71" s="1">
        <f t="shared" si="1"/>
        <v>69</v>
      </c>
      <c r="B71" s="1" t="s">
        <v>1173</v>
      </c>
      <c r="C71" s="1" t="s">
        <v>1091</v>
      </c>
      <c r="D71" s="1" t="s">
        <v>31</v>
      </c>
      <c r="E71" s="1">
        <f t="shared" si="2"/>
        <v>312.25</v>
      </c>
      <c r="F71" s="1">
        <f t="shared" si="3"/>
        <v>4.53</v>
      </c>
      <c r="G71" s="1">
        <v>69.0</v>
      </c>
      <c r="H71" s="1">
        <v>21.0</v>
      </c>
      <c r="I71" s="1">
        <v>32.0</v>
      </c>
      <c r="J71" s="1">
        <v>53.0</v>
      </c>
      <c r="K71" s="1">
        <v>197.0</v>
      </c>
      <c r="L71" s="1">
        <v>7.0</v>
      </c>
      <c r="M71" s="1">
        <v>13.0</v>
      </c>
      <c r="N71" s="1">
        <v>1.0</v>
      </c>
      <c r="O71" s="1">
        <v>1.0</v>
      </c>
      <c r="P71" s="1">
        <v>45.0</v>
      </c>
      <c r="Q71" s="1">
        <v>16.0</v>
      </c>
      <c r="T71" s="12"/>
    </row>
    <row r="72">
      <c r="A72" s="1">
        <f t="shared" si="1"/>
        <v>70</v>
      </c>
      <c r="B72" s="1" t="s">
        <v>1656</v>
      </c>
      <c r="C72" s="1" t="s">
        <v>1032</v>
      </c>
      <c r="D72" s="1" t="s">
        <v>5</v>
      </c>
      <c r="E72" s="1">
        <f t="shared" si="2"/>
        <v>311.7</v>
      </c>
      <c r="F72" s="1">
        <f t="shared" si="3"/>
        <v>5.99</v>
      </c>
      <c r="G72" s="1">
        <v>52.0</v>
      </c>
      <c r="R72" s="1">
        <v>29.0</v>
      </c>
      <c r="S72" s="1">
        <v>143.0</v>
      </c>
      <c r="T72" s="12">
        <v>1434.0</v>
      </c>
      <c r="U72" s="1">
        <v>3.0</v>
      </c>
    </row>
    <row r="73">
      <c r="A73" s="1">
        <f t="shared" si="1"/>
        <v>71</v>
      </c>
      <c r="B73" s="1" t="s">
        <v>1257</v>
      </c>
      <c r="C73" s="1" t="s">
        <v>1069</v>
      </c>
      <c r="D73" s="1" t="s">
        <v>28</v>
      </c>
      <c r="E73" s="1">
        <f t="shared" si="2"/>
        <v>311.25</v>
      </c>
      <c r="F73" s="1">
        <f t="shared" si="3"/>
        <v>4.45</v>
      </c>
      <c r="G73" s="1">
        <v>70.0</v>
      </c>
      <c r="H73" s="1">
        <v>18.0</v>
      </c>
      <c r="I73" s="1">
        <v>40.0</v>
      </c>
      <c r="J73" s="1">
        <v>58.0</v>
      </c>
      <c r="K73" s="1">
        <v>209.0</v>
      </c>
      <c r="L73" s="1">
        <v>6.0</v>
      </c>
      <c r="M73" s="1">
        <v>12.0</v>
      </c>
      <c r="N73" s="1">
        <v>0.0</v>
      </c>
      <c r="O73" s="1">
        <v>0.0</v>
      </c>
      <c r="P73" s="1">
        <v>1.0</v>
      </c>
      <c r="Q73" s="1">
        <v>11.0</v>
      </c>
    </row>
    <row r="74">
      <c r="A74" s="1">
        <f t="shared" si="1"/>
        <v>72</v>
      </c>
      <c r="B74" s="1" t="s">
        <v>1262</v>
      </c>
      <c r="C74" s="1" t="s">
        <v>1087</v>
      </c>
      <c r="D74" s="1" t="s">
        <v>31</v>
      </c>
      <c r="E74" s="1">
        <f t="shared" si="2"/>
        <v>311</v>
      </c>
      <c r="F74" s="1">
        <f t="shared" si="3"/>
        <v>4.64</v>
      </c>
      <c r="G74" s="1">
        <v>67.0</v>
      </c>
      <c r="H74" s="1">
        <v>26.0</v>
      </c>
      <c r="I74" s="1">
        <v>16.0</v>
      </c>
      <c r="J74" s="1">
        <v>42.0</v>
      </c>
      <c r="K74" s="1">
        <v>151.0</v>
      </c>
      <c r="L74" s="1">
        <v>5.0</v>
      </c>
      <c r="M74" s="1">
        <v>5.0</v>
      </c>
      <c r="N74" s="1">
        <v>3.0</v>
      </c>
      <c r="O74" s="1">
        <v>3.0</v>
      </c>
      <c r="P74" s="1">
        <v>128.0</v>
      </c>
      <c r="Q74" s="1">
        <v>53.0</v>
      </c>
    </row>
    <row r="75">
      <c r="A75" s="1">
        <f t="shared" si="1"/>
        <v>73</v>
      </c>
      <c r="B75" s="1" t="s">
        <v>1361</v>
      </c>
      <c r="C75" s="1" t="s">
        <v>1040</v>
      </c>
      <c r="D75" s="1" t="s">
        <v>31</v>
      </c>
      <c r="E75" s="1">
        <f t="shared" si="2"/>
        <v>310.25</v>
      </c>
      <c r="F75" s="1">
        <f t="shared" si="3"/>
        <v>4.43</v>
      </c>
      <c r="G75" s="1">
        <v>70.0</v>
      </c>
      <c r="H75" s="1">
        <v>18.0</v>
      </c>
      <c r="I75" s="1">
        <v>41.0</v>
      </c>
      <c r="J75" s="1">
        <v>59.0</v>
      </c>
      <c r="K75" s="1">
        <v>154.0</v>
      </c>
      <c r="L75" s="1">
        <v>3.0</v>
      </c>
      <c r="M75" s="1">
        <v>14.0</v>
      </c>
      <c r="N75" s="1">
        <v>0.0</v>
      </c>
      <c r="O75" s="1">
        <v>1.0</v>
      </c>
      <c r="P75" s="1">
        <v>45.0</v>
      </c>
      <c r="Q75" s="1">
        <v>32.0</v>
      </c>
    </row>
    <row r="76">
      <c r="A76" s="1">
        <f t="shared" si="1"/>
        <v>74</v>
      </c>
      <c r="B76" s="1" t="s">
        <v>1041</v>
      </c>
      <c r="C76" s="1" t="s">
        <v>1042</v>
      </c>
      <c r="D76" s="1" t="s">
        <v>36</v>
      </c>
      <c r="E76" s="1">
        <f t="shared" si="2"/>
        <v>308.5</v>
      </c>
      <c r="F76" s="1">
        <f t="shared" si="3"/>
        <v>4.9</v>
      </c>
      <c r="G76" s="1">
        <v>63.0</v>
      </c>
      <c r="H76" s="1">
        <v>21.0</v>
      </c>
      <c r="I76" s="1">
        <v>27.0</v>
      </c>
      <c r="J76" s="1">
        <v>48.0</v>
      </c>
      <c r="K76" s="1">
        <v>198.0</v>
      </c>
      <c r="L76" s="1">
        <v>7.0</v>
      </c>
      <c r="M76" s="1">
        <v>7.0</v>
      </c>
      <c r="N76" s="1">
        <v>0.0</v>
      </c>
      <c r="O76" s="1">
        <v>0.0</v>
      </c>
      <c r="P76" s="1">
        <v>82.0</v>
      </c>
      <c r="Q76" s="1">
        <v>27.0</v>
      </c>
    </row>
    <row r="77">
      <c r="A77" s="1">
        <f t="shared" si="1"/>
        <v>74</v>
      </c>
      <c r="B77" s="1" t="s">
        <v>1387</v>
      </c>
      <c r="C77" s="1" t="s">
        <v>1080</v>
      </c>
      <c r="D77" s="1" t="s">
        <v>66</v>
      </c>
      <c r="E77" s="1">
        <f t="shared" si="2"/>
        <v>308.5</v>
      </c>
      <c r="F77" s="1">
        <f t="shared" si="3"/>
        <v>4.35</v>
      </c>
      <c r="G77" s="1">
        <v>71.0</v>
      </c>
      <c r="H77" s="1">
        <v>13.0</v>
      </c>
      <c r="I77" s="1">
        <v>33.0</v>
      </c>
      <c r="J77" s="1">
        <v>46.0</v>
      </c>
      <c r="K77" s="1">
        <v>219.0</v>
      </c>
      <c r="L77" s="1">
        <v>1.0</v>
      </c>
      <c r="M77" s="1">
        <v>15.0</v>
      </c>
      <c r="N77" s="1">
        <v>1.0</v>
      </c>
      <c r="O77" s="1">
        <v>0.0</v>
      </c>
      <c r="P77" s="1">
        <v>20.0</v>
      </c>
      <c r="Q77" s="1">
        <v>69.0</v>
      </c>
    </row>
    <row r="78">
      <c r="A78" s="1">
        <f t="shared" si="1"/>
        <v>76</v>
      </c>
      <c r="B78" s="1" t="s">
        <v>2468</v>
      </c>
      <c r="C78" s="1" t="s">
        <v>1097</v>
      </c>
      <c r="D78" s="1" t="s">
        <v>66</v>
      </c>
      <c r="E78" s="1">
        <f t="shared" si="2"/>
        <v>308</v>
      </c>
      <c r="F78" s="1">
        <f t="shared" si="3"/>
        <v>4.74</v>
      </c>
      <c r="G78" s="1">
        <v>65.0</v>
      </c>
      <c r="H78" s="1">
        <v>15.0</v>
      </c>
      <c r="I78" s="1">
        <v>21.0</v>
      </c>
      <c r="J78" s="1">
        <v>36.0</v>
      </c>
      <c r="K78" s="1">
        <v>185.0</v>
      </c>
      <c r="L78" s="1">
        <v>3.0</v>
      </c>
      <c r="M78" s="1">
        <v>5.0</v>
      </c>
      <c r="N78" s="1">
        <v>0.0</v>
      </c>
      <c r="O78" s="1">
        <v>0.0</v>
      </c>
      <c r="P78" s="1">
        <v>112.0</v>
      </c>
      <c r="Q78" s="1">
        <v>114.0</v>
      </c>
    </row>
    <row r="79">
      <c r="A79" s="1">
        <f t="shared" si="1"/>
        <v>77</v>
      </c>
      <c r="B79" s="1" t="s">
        <v>1206</v>
      </c>
      <c r="C79" s="1" t="s">
        <v>1087</v>
      </c>
      <c r="D79" s="1" t="s">
        <v>31</v>
      </c>
      <c r="E79" s="1">
        <f t="shared" si="2"/>
        <v>307</v>
      </c>
      <c r="F79" s="1">
        <f t="shared" si="3"/>
        <v>4.51</v>
      </c>
      <c r="G79" s="1">
        <v>68.0</v>
      </c>
      <c r="H79" s="1">
        <v>20.0</v>
      </c>
      <c r="I79" s="1">
        <v>23.0</v>
      </c>
      <c r="J79" s="1">
        <v>43.0</v>
      </c>
      <c r="K79" s="1">
        <v>195.0</v>
      </c>
      <c r="L79" s="1">
        <v>2.0</v>
      </c>
      <c r="M79" s="1">
        <v>5.0</v>
      </c>
      <c r="N79" s="1">
        <v>0.0</v>
      </c>
      <c r="O79" s="1">
        <v>0.0</v>
      </c>
      <c r="P79" s="1">
        <v>102.0</v>
      </c>
      <c r="Q79" s="1">
        <v>50.0</v>
      </c>
    </row>
    <row r="80">
      <c r="A80" s="1">
        <f t="shared" si="1"/>
        <v>78</v>
      </c>
      <c r="B80" s="1" t="s">
        <v>1132</v>
      </c>
      <c r="C80" s="1" t="s">
        <v>1034</v>
      </c>
      <c r="D80" s="1" t="s">
        <v>31</v>
      </c>
      <c r="E80" s="1">
        <f t="shared" si="2"/>
        <v>306.25</v>
      </c>
      <c r="F80" s="1">
        <f t="shared" si="3"/>
        <v>4.64</v>
      </c>
      <c r="G80" s="1">
        <v>66.0</v>
      </c>
      <c r="H80" s="1">
        <v>21.0</v>
      </c>
      <c r="I80" s="1">
        <v>11.0</v>
      </c>
      <c r="J80" s="1">
        <v>32.0</v>
      </c>
      <c r="K80" s="1">
        <v>200.0</v>
      </c>
      <c r="L80" s="1">
        <v>1.0</v>
      </c>
      <c r="M80" s="1">
        <v>2.0</v>
      </c>
      <c r="N80" s="1">
        <v>3.0</v>
      </c>
      <c r="O80" s="1">
        <v>1.0</v>
      </c>
      <c r="P80" s="1">
        <v>191.0</v>
      </c>
      <c r="Q80" s="1">
        <v>46.0</v>
      </c>
    </row>
    <row r="81">
      <c r="A81" s="1">
        <f t="shared" si="1"/>
        <v>79</v>
      </c>
      <c r="B81" s="1" t="s">
        <v>1177</v>
      </c>
      <c r="C81" s="1" t="s">
        <v>1036</v>
      </c>
      <c r="D81" s="1" t="s">
        <v>66</v>
      </c>
      <c r="E81" s="1">
        <f t="shared" si="2"/>
        <v>305</v>
      </c>
      <c r="F81" s="1">
        <f t="shared" si="3"/>
        <v>4.3</v>
      </c>
      <c r="G81" s="1">
        <v>71.0</v>
      </c>
      <c r="H81" s="1">
        <v>5.0</v>
      </c>
      <c r="I81" s="1">
        <v>28.0</v>
      </c>
      <c r="J81" s="1">
        <v>33.0</v>
      </c>
      <c r="K81" s="1">
        <v>170.0</v>
      </c>
      <c r="L81" s="1">
        <v>0.0</v>
      </c>
      <c r="M81" s="1">
        <v>5.0</v>
      </c>
      <c r="N81" s="1">
        <v>0.0</v>
      </c>
      <c r="O81" s="1">
        <v>0.0</v>
      </c>
      <c r="P81" s="1">
        <v>172.0</v>
      </c>
      <c r="Q81" s="1">
        <v>141.0</v>
      </c>
    </row>
    <row r="82">
      <c r="A82" s="1">
        <f t="shared" si="1"/>
        <v>80</v>
      </c>
      <c r="B82" s="1" t="s">
        <v>1477</v>
      </c>
      <c r="C82" s="1" t="s">
        <v>1082</v>
      </c>
      <c r="D82" s="1" t="s">
        <v>36</v>
      </c>
      <c r="E82" s="1">
        <f t="shared" si="2"/>
        <v>304</v>
      </c>
      <c r="F82" s="1">
        <f t="shared" si="3"/>
        <v>4.41</v>
      </c>
      <c r="G82" s="1">
        <v>69.0</v>
      </c>
      <c r="H82" s="1">
        <v>26.0</v>
      </c>
      <c r="I82" s="1">
        <v>23.0</v>
      </c>
      <c r="J82" s="1">
        <v>49.0</v>
      </c>
      <c r="K82" s="1">
        <v>133.0</v>
      </c>
      <c r="L82" s="1">
        <v>10.0</v>
      </c>
      <c r="M82" s="1">
        <v>2.0</v>
      </c>
      <c r="N82" s="1">
        <v>0.0</v>
      </c>
      <c r="O82" s="1">
        <v>0.0</v>
      </c>
      <c r="P82" s="1">
        <v>90.0</v>
      </c>
      <c r="Q82" s="1">
        <v>58.0</v>
      </c>
    </row>
    <row r="83">
      <c r="A83" s="1">
        <f t="shared" si="1"/>
        <v>81</v>
      </c>
      <c r="B83" s="1" t="s">
        <v>1374</v>
      </c>
      <c r="C83" s="1" t="s">
        <v>1097</v>
      </c>
      <c r="D83" s="1" t="s">
        <v>36</v>
      </c>
      <c r="E83" s="1">
        <f t="shared" si="2"/>
        <v>302.75</v>
      </c>
      <c r="F83" s="1">
        <f t="shared" si="3"/>
        <v>5.13</v>
      </c>
      <c r="G83" s="1">
        <v>59.0</v>
      </c>
      <c r="H83" s="1">
        <v>22.0</v>
      </c>
      <c r="I83" s="1">
        <v>21.0</v>
      </c>
      <c r="J83" s="1">
        <v>43.0</v>
      </c>
      <c r="K83" s="1">
        <v>226.0</v>
      </c>
      <c r="L83" s="1">
        <v>1.0</v>
      </c>
      <c r="M83" s="1">
        <v>4.0</v>
      </c>
      <c r="N83" s="1">
        <v>0.0</v>
      </c>
      <c r="O83" s="1">
        <v>0.0</v>
      </c>
      <c r="P83" s="1">
        <v>53.0</v>
      </c>
      <c r="Q83" s="1">
        <v>29.0</v>
      </c>
    </row>
    <row r="84">
      <c r="A84" s="1">
        <f t="shared" si="1"/>
        <v>82</v>
      </c>
      <c r="B84" s="1" t="s">
        <v>1829</v>
      </c>
      <c r="C84" s="1" t="s">
        <v>1082</v>
      </c>
      <c r="D84" s="1" t="s">
        <v>36</v>
      </c>
      <c r="E84" s="1">
        <f t="shared" si="2"/>
        <v>302.25</v>
      </c>
      <c r="F84" s="1">
        <f t="shared" si="3"/>
        <v>4.38</v>
      </c>
      <c r="G84" s="1">
        <v>69.0</v>
      </c>
      <c r="H84" s="1">
        <v>25.0</v>
      </c>
      <c r="I84" s="1">
        <v>27.0</v>
      </c>
      <c r="J84" s="1">
        <v>52.0</v>
      </c>
      <c r="K84" s="1">
        <v>187.0</v>
      </c>
      <c r="L84" s="1">
        <v>1.0</v>
      </c>
      <c r="M84" s="1">
        <v>11.0</v>
      </c>
      <c r="N84" s="1">
        <v>0.0</v>
      </c>
      <c r="O84" s="1">
        <v>0.0</v>
      </c>
      <c r="P84" s="1">
        <v>29.0</v>
      </c>
      <c r="Q84" s="1">
        <v>16.0</v>
      </c>
    </row>
    <row r="85">
      <c r="A85" s="1">
        <f t="shared" si="1"/>
        <v>83</v>
      </c>
      <c r="B85" s="1" t="s">
        <v>1359</v>
      </c>
      <c r="C85" s="1" t="s">
        <v>1097</v>
      </c>
      <c r="D85" s="1" t="s">
        <v>66</v>
      </c>
      <c r="E85" s="1">
        <f t="shared" si="2"/>
        <v>301.25</v>
      </c>
      <c r="F85" s="1">
        <f t="shared" si="3"/>
        <v>4.24</v>
      </c>
      <c r="G85" s="1">
        <v>71.0</v>
      </c>
      <c r="H85" s="1">
        <v>11.0</v>
      </c>
      <c r="I85" s="1">
        <v>29.0</v>
      </c>
      <c r="J85" s="1">
        <v>40.0</v>
      </c>
      <c r="K85" s="1">
        <v>158.0</v>
      </c>
      <c r="L85" s="1">
        <v>3.0</v>
      </c>
      <c r="M85" s="1">
        <v>9.0</v>
      </c>
      <c r="N85" s="1">
        <v>1.0</v>
      </c>
      <c r="O85" s="1">
        <v>0.0</v>
      </c>
      <c r="P85" s="1">
        <v>177.0</v>
      </c>
      <c r="Q85" s="1">
        <v>79.0</v>
      </c>
    </row>
    <row r="86">
      <c r="A86" s="1">
        <f t="shared" si="1"/>
        <v>84</v>
      </c>
      <c r="B86" s="1" t="s">
        <v>1180</v>
      </c>
      <c r="C86" s="1" t="s">
        <v>1106</v>
      </c>
      <c r="D86" s="1" t="s">
        <v>5</v>
      </c>
      <c r="E86" s="1">
        <f t="shared" si="2"/>
        <v>301.2</v>
      </c>
      <c r="F86" s="1">
        <f t="shared" si="3"/>
        <v>6.02</v>
      </c>
      <c r="G86" s="1">
        <v>50.0</v>
      </c>
      <c r="R86" s="1">
        <v>30.0</v>
      </c>
      <c r="S86" s="1">
        <v>126.0</v>
      </c>
      <c r="T86" s="12">
        <v>1304.0</v>
      </c>
      <c r="U86" s="1">
        <v>3.0</v>
      </c>
    </row>
    <row r="87">
      <c r="A87" s="1">
        <f t="shared" si="1"/>
        <v>85</v>
      </c>
      <c r="B87" s="1" t="s">
        <v>1113</v>
      </c>
      <c r="C87" s="1" t="s">
        <v>1054</v>
      </c>
      <c r="D87" s="1" t="s">
        <v>28</v>
      </c>
      <c r="E87" s="1">
        <f t="shared" si="2"/>
        <v>299.25</v>
      </c>
      <c r="F87" s="1">
        <f t="shared" si="3"/>
        <v>4.68</v>
      </c>
      <c r="G87" s="1">
        <v>64.0</v>
      </c>
      <c r="H87" s="1">
        <v>23.0</v>
      </c>
      <c r="I87" s="1">
        <v>31.0</v>
      </c>
      <c r="J87" s="1">
        <v>54.0</v>
      </c>
      <c r="K87" s="1">
        <v>175.0</v>
      </c>
      <c r="L87" s="1">
        <v>9.0</v>
      </c>
      <c r="M87" s="1">
        <v>9.0</v>
      </c>
      <c r="N87" s="1">
        <v>0.0</v>
      </c>
      <c r="O87" s="1">
        <v>0.0</v>
      </c>
      <c r="P87" s="1">
        <v>25.0</v>
      </c>
      <c r="Q87" s="1">
        <v>18.0</v>
      </c>
    </row>
    <row r="88">
      <c r="A88" s="1">
        <f t="shared" si="1"/>
        <v>85</v>
      </c>
      <c r="B88" s="1" t="s">
        <v>1298</v>
      </c>
      <c r="C88" s="1" t="s">
        <v>1156</v>
      </c>
      <c r="D88" s="1" t="s">
        <v>31</v>
      </c>
      <c r="E88" s="1">
        <f t="shared" si="2"/>
        <v>299.25</v>
      </c>
      <c r="F88" s="1">
        <f t="shared" si="3"/>
        <v>4.28</v>
      </c>
      <c r="G88" s="1">
        <v>70.0</v>
      </c>
      <c r="H88" s="1">
        <v>18.0</v>
      </c>
      <c r="I88" s="1">
        <v>31.0</v>
      </c>
      <c r="J88" s="1">
        <v>49.0</v>
      </c>
      <c r="K88" s="1">
        <v>158.0</v>
      </c>
      <c r="L88" s="1">
        <v>1.0</v>
      </c>
      <c r="M88" s="1">
        <v>9.0</v>
      </c>
      <c r="N88" s="1">
        <v>0.0</v>
      </c>
      <c r="O88" s="1">
        <v>0.0</v>
      </c>
      <c r="P88" s="1">
        <v>85.0</v>
      </c>
      <c r="Q88" s="1">
        <v>50.0</v>
      </c>
    </row>
    <row r="89">
      <c r="A89" s="1">
        <f t="shared" si="1"/>
        <v>87</v>
      </c>
      <c r="B89" s="1" t="s">
        <v>1070</v>
      </c>
      <c r="C89" s="1" t="s">
        <v>1040</v>
      </c>
      <c r="D89" s="1" t="s">
        <v>28</v>
      </c>
      <c r="E89" s="1">
        <f t="shared" si="2"/>
        <v>299</v>
      </c>
      <c r="F89" s="1">
        <f t="shared" si="3"/>
        <v>4.75</v>
      </c>
      <c r="G89" s="1">
        <v>63.0</v>
      </c>
      <c r="H89" s="1">
        <v>24.0</v>
      </c>
      <c r="I89" s="1">
        <v>21.0</v>
      </c>
      <c r="J89" s="1">
        <v>45.0</v>
      </c>
      <c r="K89" s="1">
        <v>156.0</v>
      </c>
      <c r="L89" s="1">
        <v>9.0</v>
      </c>
      <c r="M89" s="1">
        <v>4.0</v>
      </c>
      <c r="N89" s="1">
        <v>0.0</v>
      </c>
      <c r="O89" s="1">
        <v>0.0</v>
      </c>
      <c r="P89" s="1">
        <v>116.0</v>
      </c>
      <c r="Q89" s="1">
        <v>42.0</v>
      </c>
    </row>
    <row r="90">
      <c r="A90" s="1">
        <f t="shared" si="1"/>
        <v>88</v>
      </c>
      <c r="B90" s="1" t="s">
        <v>1404</v>
      </c>
      <c r="C90" s="1" t="s">
        <v>1087</v>
      </c>
      <c r="D90" s="1" t="s">
        <v>66</v>
      </c>
      <c r="E90" s="1">
        <f t="shared" si="2"/>
        <v>298.5</v>
      </c>
      <c r="F90" s="1">
        <f t="shared" si="3"/>
        <v>4.39</v>
      </c>
      <c r="G90" s="1">
        <v>68.0</v>
      </c>
      <c r="H90" s="1">
        <v>10.0</v>
      </c>
      <c r="I90" s="1">
        <v>25.0</v>
      </c>
      <c r="J90" s="1">
        <v>35.0</v>
      </c>
      <c r="K90" s="1">
        <v>163.0</v>
      </c>
      <c r="L90" s="1">
        <v>3.0</v>
      </c>
      <c r="M90" s="1">
        <v>5.0</v>
      </c>
      <c r="N90" s="1">
        <v>0.0</v>
      </c>
      <c r="O90" s="1">
        <v>0.0</v>
      </c>
      <c r="P90" s="1">
        <v>110.0</v>
      </c>
      <c r="Q90" s="1">
        <v>139.0</v>
      </c>
    </row>
    <row r="91">
      <c r="A91" s="1">
        <f t="shared" si="1"/>
        <v>88</v>
      </c>
      <c r="B91" s="1" t="s">
        <v>1659</v>
      </c>
      <c r="C91" s="1" t="s">
        <v>1046</v>
      </c>
      <c r="D91" s="1" t="s">
        <v>28</v>
      </c>
      <c r="E91" s="1">
        <f t="shared" si="2"/>
        <v>298.5</v>
      </c>
      <c r="F91" s="1">
        <f t="shared" si="3"/>
        <v>4.33</v>
      </c>
      <c r="G91" s="1">
        <v>69.0</v>
      </c>
      <c r="H91" s="1">
        <v>21.0</v>
      </c>
      <c r="I91" s="1">
        <v>24.0</v>
      </c>
      <c r="J91" s="1">
        <v>45.0</v>
      </c>
      <c r="K91" s="1">
        <v>164.0</v>
      </c>
      <c r="L91" s="1">
        <v>3.0</v>
      </c>
      <c r="M91" s="1">
        <v>7.0</v>
      </c>
      <c r="N91" s="1">
        <v>2.0</v>
      </c>
      <c r="O91" s="1">
        <v>1.0</v>
      </c>
      <c r="P91" s="1">
        <v>96.0</v>
      </c>
      <c r="Q91" s="1">
        <v>40.0</v>
      </c>
    </row>
    <row r="92">
      <c r="A92" s="1">
        <f t="shared" si="1"/>
        <v>90</v>
      </c>
      <c r="B92" s="1" t="s">
        <v>1154</v>
      </c>
      <c r="C92" s="1" t="s">
        <v>1085</v>
      </c>
      <c r="D92" s="1" t="s">
        <v>31</v>
      </c>
      <c r="E92" s="1">
        <f t="shared" si="2"/>
        <v>297.25</v>
      </c>
      <c r="F92" s="1">
        <f t="shared" si="3"/>
        <v>4.31</v>
      </c>
      <c r="G92" s="1">
        <v>69.0</v>
      </c>
      <c r="H92" s="1">
        <v>19.0</v>
      </c>
      <c r="I92" s="1">
        <v>20.0</v>
      </c>
      <c r="J92" s="1">
        <v>39.0</v>
      </c>
      <c r="K92" s="1">
        <v>163.0</v>
      </c>
      <c r="L92" s="1">
        <v>8.0</v>
      </c>
      <c r="M92" s="1">
        <v>6.0</v>
      </c>
      <c r="N92" s="1">
        <v>0.0</v>
      </c>
      <c r="O92" s="1">
        <v>0.0</v>
      </c>
      <c r="P92" s="1">
        <v>167.0</v>
      </c>
      <c r="Q92" s="1">
        <v>57.0</v>
      </c>
    </row>
    <row r="93">
      <c r="A93" s="1">
        <f t="shared" si="1"/>
        <v>91</v>
      </c>
      <c r="B93" s="1" t="s">
        <v>2392</v>
      </c>
      <c r="C93" s="1" t="s">
        <v>1038</v>
      </c>
      <c r="D93" s="1" t="s">
        <v>5</v>
      </c>
      <c r="E93" s="1">
        <f t="shared" si="2"/>
        <v>296.7</v>
      </c>
      <c r="F93" s="1">
        <f t="shared" si="3"/>
        <v>7.24</v>
      </c>
      <c r="G93" s="1">
        <v>41.0</v>
      </c>
      <c r="R93" s="1">
        <v>26.0</v>
      </c>
      <c r="S93" s="1">
        <v>85.0</v>
      </c>
      <c r="T93" s="12">
        <v>1104.0</v>
      </c>
      <c r="U93" s="1">
        <v>5.0</v>
      </c>
    </row>
    <row r="94">
      <c r="A94" s="1">
        <f t="shared" si="1"/>
        <v>92</v>
      </c>
      <c r="B94" s="1" t="s">
        <v>2523</v>
      </c>
      <c r="C94" s="1" t="s">
        <v>1040</v>
      </c>
      <c r="D94" s="1" t="s">
        <v>66</v>
      </c>
      <c r="E94" s="1">
        <f t="shared" si="2"/>
        <v>296.5</v>
      </c>
      <c r="F94" s="1">
        <f t="shared" si="3"/>
        <v>4.36</v>
      </c>
      <c r="G94" s="1">
        <v>68.0</v>
      </c>
      <c r="H94" s="1">
        <v>15.0</v>
      </c>
      <c r="I94" s="1">
        <v>38.0</v>
      </c>
      <c r="J94" s="1">
        <v>53.0</v>
      </c>
      <c r="K94" s="1">
        <v>149.0</v>
      </c>
      <c r="L94" s="1">
        <v>3.0</v>
      </c>
      <c r="M94" s="1">
        <v>16.0</v>
      </c>
      <c r="N94" s="1">
        <v>0.0</v>
      </c>
      <c r="O94" s="1">
        <v>0.0</v>
      </c>
      <c r="P94" s="1">
        <v>48.0</v>
      </c>
      <c r="Q94" s="1">
        <v>57.0</v>
      </c>
      <c r="T94" s="12"/>
    </row>
    <row r="95">
      <c r="A95" s="1">
        <f t="shared" si="1"/>
        <v>93</v>
      </c>
      <c r="B95" s="1" t="s">
        <v>1327</v>
      </c>
      <c r="C95" s="1" t="s">
        <v>1069</v>
      </c>
      <c r="D95" s="1" t="s">
        <v>5</v>
      </c>
      <c r="E95" s="1">
        <f t="shared" si="2"/>
        <v>290.4</v>
      </c>
      <c r="F95" s="1">
        <f t="shared" si="3"/>
        <v>6.75</v>
      </c>
      <c r="G95" s="1">
        <v>43.0</v>
      </c>
      <c r="R95" s="1">
        <v>23.0</v>
      </c>
      <c r="S95" s="1">
        <v>117.0</v>
      </c>
      <c r="T95" s="12">
        <v>1303.0</v>
      </c>
      <c r="U95" s="1">
        <v>2.0</v>
      </c>
    </row>
    <row r="96">
      <c r="A96" s="1">
        <f t="shared" si="1"/>
        <v>94</v>
      </c>
      <c r="B96" s="1" t="s">
        <v>2582</v>
      </c>
      <c r="C96" s="1" t="s">
        <v>1036</v>
      </c>
      <c r="D96" s="1" t="s">
        <v>66</v>
      </c>
      <c r="E96" s="1">
        <f t="shared" si="2"/>
        <v>290.25</v>
      </c>
      <c r="F96" s="1">
        <f t="shared" si="3"/>
        <v>4.68</v>
      </c>
      <c r="G96" s="1">
        <v>62.0</v>
      </c>
      <c r="H96" s="1">
        <v>5.0</v>
      </c>
      <c r="I96" s="1">
        <v>29.0</v>
      </c>
      <c r="J96" s="1">
        <v>34.0</v>
      </c>
      <c r="K96" s="1">
        <v>159.0</v>
      </c>
      <c r="L96" s="1">
        <v>2.0</v>
      </c>
      <c r="M96" s="1">
        <v>16.0</v>
      </c>
      <c r="N96" s="1">
        <v>0.0</v>
      </c>
      <c r="O96" s="1">
        <v>0.0</v>
      </c>
      <c r="P96" s="1">
        <v>45.0</v>
      </c>
      <c r="Q96" s="1">
        <v>180.0</v>
      </c>
    </row>
    <row r="97">
      <c r="A97" s="1">
        <f t="shared" si="1"/>
        <v>95</v>
      </c>
      <c r="B97" s="1" t="s">
        <v>1619</v>
      </c>
      <c r="C97" s="1" t="s">
        <v>1172</v>
      </c>
      <c r="D97" s="1" t="s">
        <v>28</v>
      </c>
      <c r="E97" s="1">
        <f t="shared" si="2"/>
        <v>289.75</v>
      </c>
      <c r="F97" s="1">
        <f t="shared" si="3"/>
        <v>4.26</v>
      </c>
      <c r="G97" s="1">
        <v>68.0</v>
      </c>
      <c r="H97" s="1">
        <v>30.0</v>
      </c>
      <c r="I97" s="1">
        <v>16.0</v>
      </c>
      <c r="J97" s="1">
        <v>46.0</v>
      </c>
      <c r="K97" s="1">
        <v>157.0</v>
      </c>
      <c r="L97" s="1">
        <v>4.0</v>
      </c>
      <c r="M97" s="1">
        <v>4.0</v>
      </c>
      <c r="N97" s="1">
        <v>0.0</v>
      </c>
      <c r="O97" s="1">
        <v>0.0</v>
      </c>
      <c r="P97" s="1">
        <v>79.0</v>
      </c>
      <c r="Q97" s="1">
        <v>17.0</v>
      </c>
    </row>
    <row r="98">
      <c r="A98" s="1">
        <f t="shared" si="1"/>
        <v>96</v>
      </c>
      <c r="B98" s="1" t="s">
        <v>1158</v>
      </c>
      <c r="C98" s="1" t="s">
        <v>1097</v>
      </c>
      <c r="D98" s="1" t="s">
        <v>36</v>
      </c>
      <c r="E98" s="1">
        <f t="shared" si="2"/>
        <v>289.5</v>
      </c>
      <c r="F98" s="1">
        <f t="shared" si="3"/>
        <v>4.26</v>
      </c>
      <c r="G98" s="1">
        <v>68.0</v>
      </c>
      <c r="H98" s="1">
        <v>24.0</v>
      </c>
      <c r="I98" s="1">
        <v>20.0</v>
      </c>
      <c r="J98" s="1">
        <v>44.0</v>
      </c>
      <c r="K98" s="1">
        <v>203.0</v>
      </c>
      <c r="L98" s="1">
        <v>5.0</v>
      </c>
      <c r="M98" s="1">
        <v>5.0</v>
      </c>
      <c r="N98" s="1">
        <v>0.0</v>
      </c>
      <c r="O98" s="1">
        <v>0.0</v>
      </c>
      <c r="P98" s="1">
        <v>48.0</v>
      </c>
      <c r="Q98" s="1">
        <v>16.0</v>
      </c>
    </row>
    <row r="99">
      <c r="A99" s="1">
        <f t="shared" si="1"/>
        <v>96</v>
      </c>
      <c r="B99" s="1" t="s">
        <v>1123</v>
      </c>
      <c r="C99" s="1" t="s">
        <v>1172</v>
      </c>
      <c r="D99" s="1" t="s">
        <v>36</v>
      </c>
      <c r="E99" s="1">
        <f t="shared" si="2"/>
        <v>289.5</v>
      </c>
      <c r="F99" s="1">
        <f t="shared" si="3"/>
        <v>4.14</v>
      </c>
      <c r="G99" s="1">
        <v>70.0</v>
      </c>
      <c r="H99" s="1">
        <v>18.0</v>
      </c>
      <c r="I99" s="1">
        <v>27.0</v>
      </c>
      <c r="J99" s="1">
        <v>45.0</v>
      </c>
      <c r="K99" s="1">
        <v>207.0</v>
      </c>
      <c r="L99" s="1">
        <v>10.0</v>
      </c>
      <c r="M99" s="1">
        <v>6.0</v>
      </c>
      <c r="N99" s="1">
        <v>0.0</v>
      </c>
      <c r="O99" s="1">
        <v>0.0</v>
      </c>
      <c r="P99" s="1">
        <v>58.0</v>
      </c>
      <c r="Q99" s="1">
        <v>19.0</v>
      </c>
    </row>
    <row r="100">
      <c r="A100" s="1">
        <f t="shared" si="1"/>
        <v>98</v>
      </c>
      <c r="B100" s="1" t="s">
        <v>2583</v>
      </c>
      <c r="C100" s="1" t="s">
        <v>1076</v>
      </c>
      <c r="D100" s="1" t="s">
        <v>5</v>
      </c>
      <c r="E100" s="1">
        <f t="shared" si="2"/>
        <v>287.4</v>
      </c>
      <c r="F100" s="1">
        <f t="shared" si="3"/>
        <v>6.11</v>
      </c>
      <c r="G100" s="1">
        <v>47.0</v>
      </c>
      <c r="R100" s="1">
        <v>22.0</v>
      </c>
      <c r="S100" s="1">
        <v>124.0</v>
      </c>
      <c r="T100" s="12">
        <v>1328.0</v>
      </c>
      <c r="U100" s="1">
        <v>3.0</v>
      </c>
    </row>
    <row r="101">
      <c r="A101" s="1">
        <f t="shared" si="1"/>
        <v>99</v>
      </c>
      <c r="B101" s="1" t="s">
        <v>1187</v>
      </c>
      <c r="C101" s="1" t="s">
        <v>1069</v>
      </c>
      <c r="D101" s="1" t="s">
        <v>31</v>
      </c>
      <c r="E101" s="1">
        <f t="shared" si="2"/>
        <v>287.25</v>
      </c>
      <c r="F101" s="1">
        <f t="shared" si="3"/>
        <v>4.1</v>
      </c>
      <c r="G101" s="1">
        <v>70.0</v>
      </c>
      <c r="H101" s="1">
        <v>22.0</v>
      </c>
      <c r="I101" s="1">
        <v>26.0</v>
      </c>
      <c r="J101" s="1">
        <v>48.0</v>
      </c>
      <c r="K101" s="1">
        <v>166.0</v>
      </c>
      <c r="L101" s="1">
        <v>8.0</v>
      </c>
      <c r="M101" s="1">
        <v>8.0</v>
      </c>
      <c r="N101" s="1">
        <v>0.0</v>
      </c>
      <c r="O101" s="1">
        <v>0.0</v>
      </c>
      <c r="P101" s="1">
        <v>65.0</v>
      </c>
      <c r="Q101" s="1">
        <v>22.0</v>
      </c>
    </row>
    <row r="102">
      <c r="A102" s="1">
        <f t="shared" si="1"/>
        <v>99</v>
      </c>
      <c r="B102" s="1" t="s">
        <v>1183</v>
      </c>
      <c r="C102" s="1" t="s">
        <v>1065</v>
      </c>
      <c r="D102" s="1" t="s">
        <v>31</v>
      </c>
      <c r="E102" s="1">
        <f t="shared" si="2"/>
        <v>287.25</v>
      </c>
      <c r="F102" s="1">
        <f t="shared" si="3"/>
        <v>4.05</v>
      </c>
      <c r="G102" s="1">
        <v>71.0</v>
      </c>
      <c r="H102" s="1">
        <v>26.0</v>
      </c>
      <c r="I102" s="1">
        <v>17.0</v>
      </c>
      <c r="J102" s="1">
        <v>43.0</v>
      </c>
      <c r="K102" s="1">
        <v>169.0</v>
      </c>
      <c r="L102" s="1">
        <v>5.0</v>
      </c>
      <c r="M102" s="1">
        <v>4.0</v>
      </c>
      <c r="N102" s="1">
        <v>0.0</v>
      </c>
      <c r="O102" s="1">
        <v>0.0</v>
      </c>
      <c r="P102" s="1">
        <v>75.0</v>
      </c>
      <c r="Q102" s="1">
        <v>32.0</v>
      </c>
      <c r="T102" s="12"/>
    </row>
    <row r="103">
      <c r="A103" s="1">
        <f t="shared" si="1"/>
        <v>101</v>
      </c>
      <c r="B103" s="1" t="s">
        <v>1140</v>
      </c>
      <c r="C103" s="1" t="s">
        <v>1106</v>
      </c>
      <c r="D103" s="1" t="s">
        <v>31</v>
      </c>
      <c r="E103" s="1">
        <f t="shared" si="2"/>
        <v>287</v>
      </c>
      <c r="F103" s="1">
        <f t="shared" si="3"/>
        <v>4.04</v>
      </c>
      <c r="G103" s="1">
        <v>71.0</v>
      </c>
      <c r="H103" s="1">
        <v>12.0</v>
      </c>
      <c r="I103" s="1">
        <v>49.0</v>
      </c>
      <c r="J103" s="1">
        <v>61.0</v>
      </c>
      <c r="K103" s="1">
        <v>118.0</v>
      </c>
      <c r="L103" s="1">
        <v>2.0</v>
      </c>
      <c r="M103" s="1">
        <v>16.0</v>
      </c>
      <c r="N103" s="1">
        <v>1.0</v>
      </c>
      <c r="O103" s="1">
        <v>0.0</v>
      </c>
      <c r="P103" s="1">
        <v>16.0</v>
      </c>
      <c r="Q103" s="1">
        <v>42.0</v>
      </c>
    </row>
    <row r="104">
      <c r="A104" s="1">
        <f t="shared" si="1"/>
        <v>102</v>
      </c>
      <c r="B104" s="1" t="s">
        <v>1247</v>
      </c>
      <c r="C104" s="1" t="s">
        <v>1040</v>
      </c>
      <c r="D104" s="1" t="s">
        <v>66</v>
      </c>
      <c r="E104" s="1">
        <f t="shared" si="2"/>
        <v>286.75</v>
      </c>
      <c r="F104" s="1">
        <f t="shared" si="3"/>
        <v>4.1</v>
      </c>
      <c r="G104" s="1">
        <v>70.0</v>
      </c>
      <c r="H104" s="1">
        <v>7.0</v>
      </c>
      <c r="I104" s="1">
        <v>20.0</v>
      </c>
      <c r="J104" s="1">
        <v>27.0</v>
      </c>
      <c r="K104" s="1">
        <v>168.0</v>
      </c>
      <c r="L104" s="1">
        <v>4.0</v>
      </c>
      <c r="M104" s="1">
        <v>4.0</v>
      </c>
      <c r="N104" s="1">
        <v>0.0</v>
      </c>
      <c r="O104" s="1">
        <v>2.0</v>
      </c>
      <c r="P104" s="1">
        <v>173.0</v>
      </c>
      <c r="Q104" s="1">
        <v>128.0</v>
      </c>
    </row>
    <row r="105">
      <c r="A105" s="1">
        <f t="shared" si="1"/>
        <v>103</v>
      </c>
      <c r="B105" s="1" t="s">
        <v>1148</v>
      </c>
      <c r="C105" s="1" t="s">
        <v>1076</v>
      </c>
      <c r="D105" s="1" t="s">
        <v>36</v>
      </c>
      <c r="E105" s="1">
        <f t="shared" si="2"/>
        <v>286.5</v>
      </c>
      <c r="F105" s="1">
        <f t="shared" si="3"/>
        <v>4.41</v>
      </c>
      <c r="G105" s="1">
        <v>65.0</v>
      </c>
      <c r="H105" s="1">
        <v>25.0</v>
      </c>
      <c r="I105" s="1">
        <v>20.0</v>
      </c>
      <c r="J105" s="1">
        <v>45.0</v>
      </c>
      <c r="K105" s="1">
        <v>155.0</v>
      </c>
      <c r="L105" s="1">
        <v>11.0</v>
      </c>
      <c r="M105" s="1">
        <v>7.0</v>
      </c>
      <c r="N105" s="1">
        <v>0.0</v>
      </c>
      <c r="O105" s="1">
        <v>0.0</v>
      </c>
      <c r="P105" s="1">
        <v>74.0</v>
      </c>
      <c r="Q105" s="1">
        <v>36.0</v>
      </c>
      <c r="T105" s="12"/>
    </row>
    <row r="106">
      <c r="A106" s="1">
        <f t="shared" si="1"/>
        <v>103</v>
      </c>
      <c r="B106" s="1" t="s">
        <v>1155</v>
      </c>
      <c r="C106" s="1" t="s">
        <v>1156</v>
      </c>
      <c r="D106" s="1" t="s">
        <v>66</v>
      </c>
      <c r="E106" s="1">
        <f t="shared" si="2"/>
        <v>286.5</v>
      </c>
      <c r="F106" s="1">
        <f t="shared" si="3"/>
        <v>4.55</v>
      </c>
      <c r="G106" s="1">
        <v>63.0</v>
      </c>
      <c r="H106" s="1">
        <v>20.0</v>
      </c>
      <c r="I106" s="1">
        <v>21.0</v>
      </c>
      <c r="J106" s="1">
        <v>41.0</v>
      </c>
      <c r="K106" s="1">
        <v>187.0</v>
      </c>
      <c r="L106" s="1">
        <v>5.0</v>
      </c>
      <c r="M106" s="1">
        <v>8.0</v>
      </c>
      <c r="N106" s="1">
        <v>1.0</v>
      </c>
      <c r="O106" s="1">
        <v>0.0</v>
      </c>
      <c r="P106" s="1">
        <v>36.0</v>
      </c>
      <c r="Q106" s="1">
        <v>58.0</v>
      </c>
    </row>
    <row r="107">
      <c r="A107" s="1">
        <f t="shared" si="1"/>
        <v>105</v>
      </c>
      <c r="B107" s="1" t="s">
        <v>1436</v>
      </c>
      <c r="C107" s="1" t="s">
        <v>1091</v>
      </c>
      <c r="D107" s="1" t="s">
        <v>31</v>
      </c>
      <c r="E107" s="1">
        <f t="shared" si="2"/>
        <v>286</v>
      </c>
      <c r="F107" s="1">
        <f t="shared" si="3"/>
        <v>4.14</v>
      </c>
      <c r="G107" s="1">
        <v>69.0</v>
      </c>
      <c r="H107" s="1">
        <v>23.0</v>
      </c>
      <c r="I107" s="1">
        <v>18.0</v>
      </c>
      <c r="J107" s="1">
        <v>41.0</v>
      </c>
      <c r="K107" s="1">
        <v>175.0</v>
      </c>
      <c r="L107" s="1">
        <v>4.0</v>
      </c>
      <c r="M107" s="1">
        <v>3.0</v>
      </c>
      <c r="N107" s="1">
        <v>4.0</v>
      </c>
      <c r="O107" s="1">
        <v>0.0</v>
      </c>
      <c r="P107" s="1">
        <v>88.0</v>
      </c>
      <c r="Q107" s="1">
        <v>22.0</v>
      </c>
    </row>
    <row r="108">
      <c r="A108" s="1">
        <f t="shared" si="1"/>
        <v>106</v>
      </c>
      <c r="B108" s="1" t="s">
        <v>1310</v>
      </c>
      <c r="C108" s="1" t="s">
        <v>1570</v>
      </c>
      <c r="D108" s="1" t="s">
        <v>28</v>
      </c>
      <c r="E108" s="1">
        <f t="shared" si="2"/>
        <v>283.25</v>
      </c>
      <c r="F108" s="1">
        <f t="shared" si="3"/>
        <v>4.29</v>
      </c>
      <c r="G108" s="1">
        <v>66.0</v>
      </c>
      <c r="H108" s="1">
        <v>23.0</v>
      </c>
      <c r="I108" s="1">
        <v>17.0</v>
      </c>
      <c r="J108" s="1">
        <v>40.0</v>
      </c>
      <c r="K108" s="1">
        <v>184.0</v>
      </c>
      <c r="L108" s="1">
        <v>5.0</v>
      </c>
      <c r="M108" s="1">
        <v>3.0</v>
      </c>
      <c r="N108" s="1">
        <v>2.0</v>
      </c>
      <c r="O108" s="1">
        <v>0.0</v>
      </c>
      <c r="P108" s="1">
        <v>53.0</v>
      </c>
      <c r="Q108" s="1">
        <v>39.0</v>
      </c>
    </row>
    <row r="109">
      <c r="A109" s="1">
        <f t="shared" si="1"/>
        <v>107</v>
      </c>
      <c r="B109" s="1" t="s">
        <v>2285</v>
      </c>
      <c r="C109" s="1" t="s">
        <v>1065</v>
      </c>
      <c r="D109" s="1" t="s">
        <v>31</v>
      </c>
      <c r="E109" s="1">
        <f t="shared" si="2"/>
        <v>282.75</v>
      </c>
      <c r="F109" s="1">
        <f t="shared" si="3"/>
        <v>4.1</v>
      </c>
      <c r="G109" s="1">
        <v>69.0</v>
      </c>
      <c r="H109" s="1">
        <v>13.0</v>
      </c>
      <c r="I109" s="1">
        <v>29.0</v>
      </c>
      <c r="J109" s="1">
        <v>42.0</v>
      </c>
      <c r="K109" s="1">
        <v>143.0</v>
      </c>
      <c r="L109" s="1">
        <v>3.0</v>
      </c>
      <c r="M109" s="1">
        <v>6.0</v>
      </c>
      <c r="N109" s="1">
        <v>0.0</v>
      </c>
      <c r="O109" s="1">
        <v>0.0</v>
      </c>
      <c r="P109" s="1">
        <v>125.0</v>
      </c>
      <c r="Q109" s="1">
        <v>69.0</v>
      </c>
      <c r="T109" s="12"/>
    </row>
    <row r="110">
      <c r="A110" s="1">
        <f t="shared" si="1"/>
        <v>108</v>
      </c>
      <c r="B110" s="1" t="s">
        <v>1284</v>
      </c>
      <c r="C110" s="1" t="s">
        <v>1065</v>
      </c>
      <c r="D110" s="1" t="s">
        <v>31</v>
      </c>
      <c r="E110" s="1">
        <f t="shared" si="2"/>
        <v>282.25</v>
      </c>
      <c r="F110" s="1">
        <f t="shared" si="3"/>
        <v>4.34</v>
      </c>
      <c r="G110" s="1">
        <v>65.0</v>
      </c>
      <c r="H110" s="1">
        <v>15.0</v>
      </c>
      <c r="I110" s="1">
        <v>27.0</v>
      </c>
      <c r="J110" s="1">
        <v>42.0</v>
      </c>
      <c r="K110" s="1">
        <v>186.0</v>
      </c>
      <c r="L110" s="1">
        <v>3.0</v>
      </c>
      <c r="M110" s="1">
        <v>6.0</v>
      </c>
      <c r="N110" s="1">
        <v>0.0</v>
      </c>
      <c r="O110" s="1">
        <v>3.0</v>
      </c>
      <c r="P110" s="1">
        <v>81.0</v>
      </c>
      <c r="Q110" s="1">
        <v>29.0</v>
      </c>
    </row>
    <row r="111">
      <c r="A111" s="1">
        <f t="shared" si="1"/>
        <v>109</v>
      </c>
      <c r="B111" s="1" t="s">
        <v>1601</v>
      </c>
      <c r="C111" s="1" t="s">
        <v>1044</v>
      </c>
      <c r="D111" s="1" t="s">
        <v>36</v>
      </c>
      <c r="E111" s="1">
        <f t="shared" si="2"/>
        <v>281.25</v>
      </c>
      <c r="F111" s="1">
        <f t="shared" si="3"/>
        <v>4.08</v>
      </c>
      <c r="G111" s="1">
        <v>69.0</v>
      </c>
      <c r="H111" s="1">
        <v>25.0</v>
      </c>
      <c r="I111" s="1">
        <v>22.0</v>
      </c>
      <c r="J111" s="1">
        <v>47.0</v>
      </c>
      <c r="K111" s="1">
        <v>167.0</v>
      </c>
      <c r="L111" s="1">
        <v>11.0</v>
      </c>
      <c r="M111" s="1">
        <v>6.0</v>
      </c>
      <c r="N111" s="1">
        <v>0.0</v>
      </c>
      <c r="O111" s="1">
        <v>0.0</v>
      </c>
      <c r="P111" s="1">
        <v>29.0</v>
      </c>
      <c r="Q111" s="1">
        <v>24.0</v>
      </c>
    </row>
    <row r="112">
      <c r="A112" s="1">
        <f t="shared" si="1"/>
        <v>109</v>
      </c>
      <c r="B112" s="1" t="s">
        <v>1398</v>
      </c>
      <c r="C112" s="1" t="s">
        <v>1044</v>
      </c>
      <c r="D112" s="1" t="s">
        <v>66</v>
      </c>
      <c r="E112" s="1">
        <f t="shared" si="2"/>
        <v>281.25</v>
      </c>
      <c r="F112" s="1">
        <f t="shared" si="3"/>
        <v>3.96</v>
      </c>
      <c r="G112" s="1">
        <v>71.0</v>
      </c>
      <c r="H112" s="1">
        <v>6.0</v>
      </c>
      <c r="I112" s="1">
        <v>33.0</v>
      </c>
      <c r="J112" s="1">
        <v>39.0</v>
      </c>
      <c r="K112" s="1">
        <v>186.0</v>
      </c>
      <c r="L112" s="1">
        <v>0.0</v>
      </c>
      <c r="M112" s="1">
        <v>11.0</v>
      </c>
      <c r="N112" s="1">
        <v>0.0</v>
      </c>
      <c r="O112" s="1">
        <v>0.0</v>
      </c>
      <c r="P112" s="1">
        <v>79.0</v>
      </c>
      <c r="Q112" s="1">
        <v>85.0</v>
      </c>
    </row>
    <row r="113">
      <c r="A113" s="1">
        <f t="shared" si="1"/>
        <v>109</v>
      </c>
      <c r="B113" s="1" t="s">
        <v>1400</v>
      </c>
      <c r="C113" s="1" t="s">
        <v>1034</v>
      </c>
      <c r="D113" s="1" t="s">
        <v>28</v>
      </c>
      <c r="E113" s="1">
        <f t="shared" si="2"/>
        <v>281.25</v>
      </c>
      <c r="F113" s="1">
        <f t="shared" si="3"/>
        <v>4.08</v>
      </c>
      <c r="G113" s="1">
        <v>69.0</v>
      </c>
      <c r="H113" s="1">
        <v>17.0</v>
      </c>
      <c r="I113" s="1">
        <v>24.0</v>
      </c>
      <c r="J113" s="1">
        <v>41.0</v>
      </c>
      <c r="K113" s="1">
        <v>128.0</v>
      </c>
      <c r="L113" s="1">
        <v>4.0</v>
      </c>
      <c r="M113" s="1">
        <v>4.0</v>
      </c>
      <c r="N113" s="1">
        <v>1.0</v>
      </c>
      <c r="O113" s="1">
        <v>0.0</v>
      </c>
      <c r="P113" s="1">
        <v>145.0</v>
      </c>
      <c r="Q113" s="1">
        <v>61.0</v>
      </c>
    </row>
    <row r="114">
      <c r="A114" s="1">
        <f t="shared" si="1"/>
        <v>112</v>
      </c>
      <c r="B114" s="1" t="s">
        <v>1317</v>
      </c>
      <c r="C114" s="1" t="s">
        <v>1091</v>
      </c>
      <c r="D114" s="1" t="s">
        <v>66</v>
      </c>
      <c r="E114" s="1">
        <f t="shared" si="2"/>
        <v>281</v>
      </c>
      <c r="F114" s="1">
        <f t="shared" si="3"/>
        <v>4.07</v>
      </c>
      <c r="G114" s="1">
        <v>69.0</v>
      </c>
      <c r="H114" s="1">
        <v>13.0</v>
      </c>
      <c r="I114" s="1">
        <v>23.0</v>
      </c>
      <c r="J114" s="1">
        <v>36.0</v>
      </c>
      <c r="K114" s="1">
        <v>150.0</v>
      </c>
      <c r="L114" s="1">
        <v>7.0</v>
      </c>
      <c r="M114" s="1">
        <v>9.0</v>
      </c>
      <c r="N114" s="1">
        <v>0.0</v>
      </c>
      <c r="O114" s="1">
        <v>1.0</v>
      </c>
      <c r="P114" s="1">
        <v>84.0</v>
      </c>
      <c r="Q114" s="1">
        <v>111.0</v>
      </c>
    </row>
    <row r="115">
      <c r="A115" s="1">
        <f t="shared" si="1"/>
        <v>113</v>
      </c>
      <c r="B115" s="1" t="s">
        <v>1742</v>
      </c>
      <c r="C115" s="1" t="s">
        <v>1054</v>
      </c>
      <c r="D115" s="1" t="s">
        <v>28</v>
      </c>
      <c r="E115" s="1">
        <f t="shared" si="2"/>
        <v>280.75</v>
      </c>
      <c r="F115" s="1">
        <f t="shared" si="3"/>
        <v>4.07</v>
      </c>
      <c r="G115" s="1">
        <v>69.0</v>
      </c>
      <c r="H115" s="1">
        <v>25.0</v>
      </c>
      <c r="I115" s="1">
        <v>21.0</v>
      </c>
      <c r="J115" s="1">
        <v>46.0</v>
      </c>
      <c r="K115" s="1">
        <v>155.0</v>
      </c>
      <c r="L115" s="1">
        <v>12.0</v>
      </c>
      <c r="M115" s="1">
        <v>6.0</v>
      </c>
      <c r="N115" s="1">
        <v>1.0</v>
      </c>
      <c r="O115" s="1">
        <v>0.0</v>
      </c>
      <c r="P115" s="1">
        <v>27.0</v>
      </c>
      <c r="Q115" s="1">
        <v>38.0</v>
      </c>
    </row>
    <row r="116">
      <c r="A116" s="1">
        <f t="shared" si="1"/>
        <v>114</v>
      </c>
      <c r="B116" s="1" t="s">
        <v>1047</v>
      </c>
      <c r="C116" s="1" t="s">
        <v>1067</v>
      </c>
      <c r="D116" s="1" t="s">
        <v>36</v>
      </c>
      <c r="E116" s="1">
        <f t="shared" si="2"/>
        <v>277.5</v>
      </c>
      <c r="F116" s="1">
        <f t="shared" si="3"/>
        <v>4.02</v>
      </c>
      <c r="G116" s="1">
        <v>69.0</v>
      </c>
      <c r="H116" s="1">
        <v>22.0</v>
      </c>
      <c r="I116" s="1">
        <v>28.0</v>
      </c>
      <c r="J116" s="1">
        <v>50.0</v>
      </c>
      <c r="K116" s="1">
        <v>144.0</v>
      </c>
      <c r="L116" s="1">
        <v>5.0</v>
      </c>
      <c r="M116" s="1">
        <v>7.0</v>
      </c>
      <c r="N116" s="1">
        <v>0.0</v>
      </c>
      <c r="O116" s="1">
        <v>0.0</v>
      </c>
      <c r="P116" s="1">
        <v>36.0</v>
      </c>
      <c r="Q116" s="1">
        <v>27.0</v>
      </c>
    </row>
    <row r="117">
      <c r="A117" s="1">
        <f t="shared" si="1"/>
        <v>115</v>
      </c>
      <c r="B117" s="1" t="s">
        <v>1520</v>
      </c>
      <c r="C117" s="1" t="s">
        <v>1080</v>
      </c>
      <c r="D117" s="1" t="s">
        <v>5</v>
      </c>
      <c r="E117" s="1">
        <f t="shared" si="2"/>
        <v>276.3</v>
      </c>
      <c r="F117" s="1">
        <f t="shared" si="3"/>
        <v>5.64</v>
      </c>
      <c r="G117" s="1">
        <v>49.0</v>
      </c>
      <c r="R117" s="1">
        <v>27.0</v>
      </c>
      <c r="S117" s="1">
        <v>133.0</v>
      </c>
      <c r="T117" s="12">
        <v>1266.0</v>
      </c>
      <c r="U117" s="1">
        <v>5.0</v>
      </c>
    </row>
    <row r="118">
      <c r="A118" s="1">
        <f t="shared" si="1"/>
        <v>116</v>
      </c>
      <c r="B118" s="1" t="s">
        <v>1943</v>
      </c>
      <c r="C118" s="1" t="s">
        <v>1082</v>
      </c>
      <c r="D118" s="1" t="s">
        <v>31</v>
      </c>
      <c r="E118" s="1">
        <f t="shared" si="2"/>
        <v>276</v>
      </c>
      <c r="F118" s="1">
        <f t="shared" si="3"/>
        <v>4.52</v>
      </c>
      <c r="G118" s="1">
        <v>61.0</v>
      </c>
      <c r="H118" s="1">
        <v>12.0</v>
      </c>
      <c r="I118" s="1">
        <v>42.0</v>
      </c>
      <c r="J118" s="1">
        <v>54.0</v>
      </c>
      <c r="K118" s="1">
        <v>132.0</v>
      </c>
      <c r="L118" s="1">
        <v>2.0</v>
      </c>
      <c r="M118" s="1">
        <v>16.0</v>
      </c>
      <c r="N118" s="1">
        <v>0.0</v>
      </c>
      <c r="O118" s="1">
        <v>0.0</v>
      </c>
      <c r="P118" s="1">
        <v>30.0</v>
      </c>
      <c r="Q118" s="1">
        <v>45.0</v>
      </c>
    </row>
    <row r="119">
      <c r="A119" s="1">
        <f t="shared" si="1"/>
        <v>117</v>
      </c>
      <c r="B119" s="1" t="s">
        <v>2281</v>
      </c>
      <c r="C119" s="1" t="s">
        <v>1030</v>
      </c>
      <c r="D119" s="1" t="s">
        <v>28</v>
      </c>
      <c r="E119" s="1">
        <f t="shared" si="2"/>
        <v>275</v>
      </c>
      <c r="F119" s="1">
        <f t="shared" si="3"/>
        <v>5.09</v>
      </c>
      <c r="G119" s="1">
        <v>54.0</v>
      </c>
      <c r="H119" s="1">
        <v>21.0</v>
      </c>
      <c r="I119" s="1">
        <v>23.0</v>
      </c>
      <c r="J119" s="1">
        <v>44.0</v>
      </c>
      <c r="K119" s="1">
        <v>145.0</v>
      </c>
      <c r="L119" s="1">
        <v>6.0</v>
      </c>
      <c r="M119" s="1">
        <v>9.0</v>
      </c>
      <c r="N119" s="1">
        <v>0.0</v>
      </c>
      <c r="O119" s="1">
        <v>0.0</v>
      </c>
      <c r="P119" s="1">
        <v>86.0</v>
      </c>
      <c r="Q119" s="1">
        <v>35.0</v>
      </c>
    </row>
    <row r="120">
      <c r="A120" s="1">
        <f t="shared" si="1"/>
        <v>118</v>
      </c>
      <c r="B120" s="1" t="s">
        <v>1592</v>
      </c>
      <c r="C120" s="1" t="s">
        <v>1069</v>
      </c>
      <c r="D120" s="1" t="s">
        <v>5</v>
      </c>
      <c r="E120" s="1">
        <f t="shared" si="2"/>
        <v>274.8</v>
      </c>
      <c r="F120" s="1">
        <f t="shared" si="3"/>
        <v>5.61</v>
      </c>
      <c r="G120" s="1">
        <v>49.0</v>
      </c>
      <c r="R120" s="1">
        <v>24.0</v>
      </c>
      <c r="S120" s="1">
        <v>138.0</v>
      </c>
      <c r="T120" s="12">
        <v>1346.0</v>
      </c>
      <c r="U120" s="1">
        <v>2.0</v>
      </c>
    </row>
    <row r="121">
      <c r="A121" s="1">
        <f t="shared" si="1"/>
        <v>119</v>
      </c>
      <c r="B121" s="1" t="s">
        <v>1222</v>
      </c>
      <c r="C121" s="1" t="s">
        <v>1097</v>
      </c>
      <c r="D121" s="1" t="s">
        <v>31</v>
      </c>
      <c r="E121" s="1">
        <f t="shared" si="2"/>
        <v>274.25</v>
      </c>
      <c r="F121" s="1">
        <f t="shared" si="3"/>
        <v>3.86</v>
      </c>
      <c r="G121" s="1">
        <v>71.0</v>
      </c>
      <c r="H121" s="1">
        <v>13.0</v>
      </c>
      <c r="I121" s="1">
        <v>34.0</v>
      </c>
      <c r="J121" s="1">
        <v>47.0</v>
      </c>
      <c r="K121" s="1">
        <v>131.0</v>
      </c>
      <c r="L121" s="1">
        <v>1.0</v>
      </c>
      <c r="M121" s="1">
        <v>3.0</v>
      </c>
      <c r="N121" s="1">
        <v>0.0</v>
      </c>
      <c r="O121" s="1">
        <v>0.0</v>
      </c>
      <c r="P121" s="1">
        <v>119.0</v>
      </c>
      <c r="Q121" s="1">
        <v>37.0</v>
      </c>
    </row>
    <row r="122">
      <c r="A122" s="1">
        <f t="shared" si="1"/>
        <v>120</v>
      </c>
      <c r="B122" s="1" t="s">
        <v>2100</v>
      </c>
      <c r="C122" s="1" t="s">
        <v>1046</v>
      </c>
      <c r="D122" s="1" t="s">
        <v>66</v>
      </c>
      <c r="E122" s="1">
        <f t="shared" si="2"/>
        <v>273.5</v>
      </c>
      <c r="F122" s="1">
        <f t="shared" si="3"/>
        <v>4.64</v>
      </c>
      <c r="G122" s="1">
        <v>59.0</v>
      </c>
      <c r="H122" s="1">
        <v>5.0</v>
      </c>
      <c r="I122" s="1">
        <v>28.0</v>
      </c>
      <c r="J122" s="1">
        <v>33.0</v>
      </c>
      <c r="K122" s="1">
        <v>118.0</v>
      </c>
      <c r="L122" s="1">
        <v>1.0</v>
      </c>
      <c r="M122" s="1">
        <v>6.0</v>
      </c>
      <c r="N122" s="1">
        <v>0.0</v>
      </c>
      <c r="O122" s="1">
        <v>0.0</v>
      </c>
      <c r="P122" s="1">
        <v>108.0</v>
      </c>
      <c r="Q122" s="1">
        <v>162.0</v>
      </c>
      <c r="T122" s="12"/>
    </row>
    <row r="123">
      <c r="A123" s="1">
        <f t="shared" si="1"/>
        <v>121</v>
      </c>
      <c r="B123" s="1" t="s">
        <v>1347</v>
      </c>
      <c r="C123" s="1" t="s">
        <v>1034</v>
      </c>
      <c r="D123" s="1" t="s">
        <v>31</v>
      </c>
      <c r="E123" s="1">
        <f t="shared" si="2"/>
        <v>273.25</v>
      </c>
      <c r="F123" s="1">
        <f t="shared" si="3"/>
        <v>4.02</v>
      </c>
      <c r="G123" s="1">
        <v>68.0</v>
      </c>
      <c r="H123" s="1">
        <v>26.0</v>
      </c>
      <c r="I123" s="1">
        <v>23.0</v>
      </c>
      <c r="J123" s="1">
        <v>49.0</v>
      </c>
      <c r="K123" s="1">
        <v>130.0</v>
      </c>
      <c r="L123" s="1">
        <v>8.0</v>
      </c>
      <c r="M123" s="1">
        <v>5.0</v>
      </c>
      <c r="N123" s="1">
        <v>0.0</v>
      </c>
      <c r="O123" s="1">
        <v>0.0</v>
      </c>
      <c r="P123" s="1">
        <v>59.0</v>
      </c>
      <c r="Q123" s="1">
        <v>15.0</v>
      </c>
    </row>
    <row r="124">
      <c r="A124" s="1">
        <f t="shared" si="1"/>
        <v>122</v>
      </c>
      <c r="B124" s="1" t="s">
        <v>1242</v>
      </c>
      <c r="C124" s="1" t="s">
        <v>1120</v>
      </c>
      <c r="D124" s="1" t="s">
        <v>28</v>
      </c>
      <c r="E124" s="1">
        <f t="shared" si="2"/>
        <v>272.75</v>
      </c>
      <c r="F124" s="1">
        <f t="shared" si="3"/>
        <v>3.84</v>
      </c>
      <c r="G124" s="1">
        <v>71.0</v>
      </c>
      <c r="H124" s="1">
        <v>21.0</v>
      </c>
      <c r="I124" s="1">
        <v>27.0</v>
      </c>
      <c r="J124" s="1">
        <v>48.0</v>
      </c>
      <c r="K124" s="1">
        <v>129.0</v>
      </c>
      <c r="L124" s="1">
        <v>3.0</v>
      </c>
      <c r="M124" s="1">
        <v>11.0</v>
      </c>
      <c r="N124" s="1">
        <v>0.0</v>
      </c>
      <c r="O124" s="1">
        <v>0.0</v>
      </c>
      <c r="P124" s="1">
        <v>71.0</v>
      </c>
      <c r="Q124" s="1">
        <v>30.0</v>
      </c>
    </row>
    <row r="125">
      <c r="A125" s="1">
        <f t="shared" si="1"/>
        <v>123</v>
      </c>
      <c r="B125" s="1" t="s">
        <v>1691</v>
      </c>
      <c r="C125" s="1" t="s">
        <v>1073</v>
      </c>
      <c r="D125" s="1" t="s">
        <v>66</v>
      </c>
      <c r="E125" s="1">
        <f t="shared" si="2"/>
        <v>272.5</v>
      </c>
      <c r="F125" s="1">
        <f t="shared" si="3"/>
        <v>5.8</v>
      </c>
      <c r="G125" s="1">
        <v>47.0</v>
      </c>
      <c r="H125" s="1">
        <v>14.0</v>
      </c>
      <c r="I125" s="1">
        <v>26.0</v>
      </c>
      <c r="J125" s="1">
        <v>40.0</v>
      </c>
      <c r="K125" s="1">
        <v>170.0</v>
      </c>
      <c r="L125" s="1">
        <v>2.0</v>
      </c>
      <c r="M125" s="1">
        <v>10.0</v>
      </c>
      <c r="N125" s="1">
        <v>0.0</v>
      </c>
      <c r="O125" s="1">
        <v>1.0</v>
      </c>
      <c r="P125" s="1">
        <v>52.0</v>
      </c>
      <c r="Q125" s="1">
        <v>63.0</v>
      </c>
    </row>
    <row r="126">
      <c r="A126" s="1">
        <f t="shared" si="1"/>
        <v>124</v>
      </c>
      <c r="B126" s="1" t="s">
        <v>1661</v>
      </c>
      <c r="C126" s="1" t="s">
        <v>1044</v>
      </c>
      <c r="D126" s="1" t="s">
        <v>36</v>
      </c>
      <c r="E126" s="1">
        <f t="shared" si="2"/>
        <v>270.75</v>
      </c>
      <c r="F126" s="1">
        <f t="shared" si="3"/>
        <v>3.81</v>
      </c>
      <c r="G126" s="1">
        <v>71.0</v>
      </c>
      <c r="H126" s="1">
        <v>16.0</v>
      </c>
      <c r="I126" s="1">
        <v>27.0</v>
      </c>
      <c r="J126" s="1">
        <v>43.0</v>
      </c>
      <c r="K126" s="1">
        <v>173.0</v>
      </c>
      <c r="L126" s="1">
        <v>3.0</v>
      </c>
      <c r="M126" s="1">
        <v>1.0</v>
      </c>
      <c r="N126" s="1">
        <v>0.0</v>
      </c>
      <c r="O126" s="1">
        <v>2.0</v>
      </c>
      <c r="P126" s="1">
        <v>39.0</v>
      </c>
      <c r="Q126" s="1">
        <v>35.0</v>
      </c>
    </row>
    <row r="127">
      <c r="A127" s="1">
        <f t="shared" si="1"/>
        <v>125</v>
      </c>
      <c r="B127" s="1" t="s">
        <v>1472</v>
      </c>
      <c r="C127" s="1" t="s">
        <v>1054</v>
      </c>
      <c r="D127" s="1" t="s">
        <v>66</v>
      </c>
      <c r="E127" s="1">
        <f t="shared" si="2"/>
        <v>270</v>
      </c>
      <c r="F127" s="1">
        <f t="shared" si="3"/>
        <v>3.91</v>
      </c>
      <c r="G127" s="1">
        <v>69.0</v>
      </c>
      <c r="H127" s="1">
        <v>8.0</v>
      </c>
      <c r="I127" s="1">
        <v>40.0</v>
      </c>
      <c r="J127" s="1">
        <v>48.0</v>
      </c>
      <c r="K127" s="1">
        <v>111.0</v>
      </c>
      <c r="L127" s="1">
        <v>2.0</v>
      </c>
      <c r="M127" s="1">
        <v>16.0</v>
      </c>
      <c r="N127" s="1">
        <v>0.0</v>
      </c>
      <c r="O127" s="1">
        <v>0.0</v>
      </c>
      <c r="P127" s="1">
        <v>48.0</v>
      </c>
      <c r="Q127" s="1">
        <v>93.0</v>
      </c>
    </row>
    <row r="128">
      <c r="A128" s="1">
        <f t="shared" si="1"/>
        <v>126</v>
      </c>
      <c r="B128" s="1" t="s">
        <v>2584</v>
      </c>
      <c r="C128" s="1" t="s">
        <v>1085</v>
      </c>
      <c r="D128" s="1" t="s">
        <v>5</v>
      </c>
      <c r="E128" s="1">
        <f t="shared" si="2"/>
        <v>269.4</v>
      </c>
      <c r="F128" s="1">
        <f t="shared" si="3"/>
        <v>6.12</v>
      </c>
      <c r="G128" s="1">
        <v>44.0</v>
      </c>
      <c r="R128" s="1">
        <v>21.0</v>
      </c>
      <c r="S128" s="1">
        <v>103.0</v>
      </c>
      <c r="T128" s="12">
        <v>1183.0</v>
      </c>
      <c r="U128" s="1">
        <v>2.0</v>
      </c>
    </row>
    <row r="129">
      <c r="A129" s="1">
        <f t="shared" si="1"/>
        <v>127</v>
      </c>
      <c r="B129" s="1" t="s">
        <v>1165</v>
      </c>
      <c r="C129" s="1" t="s">
        <v>1080</v>
      </c>
      <c r="D129" s="1" t="s">
        <v>31</v>
      </c>
      <c r="E129" s="1">
        <f t="shared" si="2"/>
        <v>268.5</v>
      </c>
      <c r="F129" s="1">
        <f t="shared" si="3"/>
        <v>4.26</v>
      </c>
      <c r="G129" s="1">
        <v>63.0</v>
      </c>
      <c r="H129" s="1">
        <v>15.0</v>
      </c>
      <c r="I129" s="1">
        <v>31.0</v>
      </c>
      <c r="J129" s="1">
        <v>46.0</v>
      </c>
      <c r="K129" s="1">
        <v>138.0</v>
      </c>
      <c r="L129" s="1">
        <v>2.0</v>
      </c>
      <c r="M129" s="1">
        <v>6.0</v>
      </c>
      <c r="N129" s="1">
        <v>2.0</v>
      </c>
      <c r="O129" s="1">
        <v>3.0</v>
      </c>
      <c r="P129" s="1">
        <v>40.0</v>
      </c>
      <c r="Q129" s="1">
        <v>38.0</v>
      </c>
    </row>
    <row r="130">
      <c r="A130" s="1">
        <f t="shared" si="1"/>
        <v>128</v>
      </c>
      <c r="B130" s="1" t="s">
        <v>1651</v>
      </c>
      <c r="C130" s="1" t="s">
        <v>1069</v>
      </c>
      <c r="D130" s="1" t="s">
        <v>66</v>
      </c>
      <c r="E130" s="1">
        <f t="shared" si="2"/>
        <v>267.5</v>
      </c>
      <c r="F130" s="1">
        <f t="shared" si="3"/>
        <v>4.46</v>
      </c>
      <c r="G130" s="1">
        <v>60.0</v>
      </c>
      <c r="H130" s="1">
        <v>5.0</v>
      </c>
      <c r="I130" s="1">
        <v>26.0</v>
      </c>
      <c r="J130" s="1">
        <v>31.0</v>
      </c>
      <c r="K130" s="1">
        <v>157.0</v>
      </c>
      <c r="L130" s="1">
        <v>2.0</v>
      </c>
      <c r="M130" s="1">
        <v>9.0</v>
      </c>
      <c r="N130" s="1">
        <v>0.0</v>
      </c>
      <c r="O130" s="1">
        <v>2.0</v>
      </c>
      <c r="P130" s="1">
        <v>42.0</v>
      </c>
      <c r="Q130" s="1">
        <v>148.0</v>
      </c>
    </row>
    <row r="131">
      <c r="A131" s="1">
        <f t="shared" si="1"/>
        <v>129</v>
      </c>
      <c r="B131" s="1" t="s">
        <v>1150</v>
      </c>
      <c r="C131" s="1" t="s">
        <v>1040</v>
      </c>
      <c r="D131" s="1" t="s">
        <v>28</v>
      </c>
      <c r="E131" s="1">
        <f t="shared" si="2"/>
        <v>267</v>
      </c>
      <c r="F131" s="1">
        <f t="shared" si="3"/>
        <v>3.93</v>
      </c>
      <c r="G131" s="1">
        <v>68.0</v>
      </c>
      <c r="H131" s="1">
        <v>16.0</v>
      </c>
      <c r="I131" s="1">
        <v>30.0</v>
      </c>
      <c r="J131" s="1">
        <v>46.0</v>
      </c>
      <c r="K131" s="1">
        <v>148.0</v>
      </c>
      <c r="L131" s="1">
        <v>4.0</v>
      </c>
      <c r="M131" s="1">
        <v>5.0</v>
      </c>
      <c r="N131" s="1">
        <v>0.0</v>
      </c>
      <c r="O131" s="1">
        <v>0.0</v>
      </c>
      <c r="P131" s="1">
        <v>80.0</v>
      </c>
      <c r="Q131" s="1">
        <v>22.0</v>
      </c>
    </row>
    <row r="132">
      <c r="A132" s="1">
        <f t="shared" si="1"/>
        <v>130</v>
      </c>
      <c r="B132" s="1" t="s">
        <v>2159</v>
      </c>
      <c r="C132" s="1" t="s">
        <v>1091</v>
      </c>
      <c r="D132" s="1" t="s">
        <v>28</v>
      </c>
      <c r="E132" s="1">
        <f t="shared" si="2"/>
        <v>266.75</v>
      </c>
      <c r="F132" s="1">
        <f t="shared" si="3"/>
        <v>3.87</v>
      </c>
      <c r="G132" s="1">
        <v>69.0</v>
      </c>
      <c r="H132" s="1">
        <v>12.0</v>
      </c>
      <c r="I132" s="1">
        <v>44.0</v>
      </c>
      <c r="J132" s="1">
        <v>56.0</v>
      </c>
      <c r="K132" s="1">
        <v>132.0</v>
      </c>
      <c r="L132" s="1">
        <v>4.0</v>
      </c>
      <c r="M132" s="1">
        <v>13.0</v>
      </c>
      <c r="N132" s="1">
        <v>0.0</v>
      </c>
      <c r="O132" s="1">
        <v>0.0</v>
      </c>
      <c r="P132" s="1">
        <v>17.0</v>
      </c>
      <c r="Q132" s="1">
        <v>21.0</v>
      </c>
    </row>
    <row r="133">
      <c r="A133" s="1">
        <f t="shared" si="1"/>
        <v>131</v>
      </c>
      <c r="B133" s="1" t="s">
        <v>1578</v>
      </c>
      <c r="C133" s="1" t="s">
        <v>1082</v>
      </c>
      <c r="D133" s="1" t="s">
        <v>31</v>
      </c>
      <c r="E133" s="1">
        <f t="shared" si="2"/>
        <v>265.75</v>
      </c>
      <c r="F133" s="1">
        <f t="shared" si="3"/>
        <v>4.22</v>
      </c>
      <c r="G133" s="1">
        <v>63.0</v>
      </c>
      <c r="H133" s="1">
        <v>19.0</v>
      </c>
      <c r="I133" s="1">
        <v>33.0</v>
      </c>
      <c r="J133" s="1">
        <v>52.0</v>
      </c>
      <c r="K133" s="1">
        <v>129.0</v>
      </c>
      <c r="L133" s="1">
        <v>6.0</v>
      </c>
      <c r="M133" s="1">
        <v>6.0</v>
      </c>
      <c r="N133" s="1">
        <v>0.0</v>
      </c>
      <c r="O133" s="1">
        <v>0.0</v>
      </c>
      <c r="P133" s="1">
        <v>35.0</v>
      </c>
      <c r="Q133" s="1">
        <v>16.0</v>
      </c>
      <c r="T133" s="12"/>
    </row>
    <row r="134">
      <c r="A134" s="1">
        <f t="shared" si="1"/>
        <v>131</v>
      </c>
      <c r="B134" s="1" t="s">
        <v>1751</v>
      </c>
      <c r="C134" s="1" t="s">
        <v>1067</v>
      </c>
      <c r="D134" s="1" t="s">
        <v>66</v>
      </c>
      <c r="E134" s="1">
        <f t="shared" si="2"/>
        <v>265.75</v>
      </c>
      <c r="F134" s="1">
        <f t="shared" si="3"/>
        <v>3.85</v>
      </c>
      <c r="G134" s="1">
        <v>69.0</v>
      </c>
      <c r="H134" s="1">
        <v>6.0</v>
      </c>
      <c r="I134" s="1">
        <v>27.0</v>
      </c>
      <c r="J134" s="1">
        <v>33.0</v>
      </c>
      <c r="K134" s="1">
        <v>128.0</v>
      </c>
      <c r="L134" s="1">
        <v>2.0</v>
      </c>
      <c r="M134" s="1">
        <v>7.0</v>
      </c>
      <c r="N134" s="1">
        <v>0.0</v>
      </c>
      <c r="O134" s="1">
        <v>1.0</v>
      </c>
      <c r="P134" s="1">
        <v>203.0</v>
      </c>
      <c r="Q134" s="1">
        <v>82.0</v>
      </c>
    </row>
    <row r="135">
      <c r="A135" s="1">
        <f t="shared" si="1"/>
        <v>133</v>
      </c>
      <c r="B135" s="1" t="s">
        <v>1270</v>
      </c>
      <c r="C135" s="1" t="s">
        <v>1106</v>
      </c>
      <c r="D135" s="1" t="s">
        <v>66</v>
      </c>
      <c r="E135" s="1">
        <f t="shared" si="2"/>
        <v>265.5</v>
      </c>
      <c r="F135" s="1">
        <f t="shared" si="3"/>
        <v>4.35</v>
      </c>
      <c r="G135" s="1">
        <v>61.0</v>
      </c>
      <c r="H135" s="1">
        <v>9.0</v>
      </c>
      <c r="I135" s="1">
        <v>40.0</v>
      </c>
      <c r="J135" s="1">
        <v>49.0</v>
      </c>
      <c r="K135" s="1">
        <v>144.0</v>
      </c>
      <c r="L135" s="1">
        <v>2.0</v>
      </c>
      <c r="M135" s="1">
        <v>26.0</v>
      </c>
      <c r="N135" s="1">
        <v>0.0</v>
      </c>
      <c r="O135" s="1">
        <v>0.0</v>
      </c>
      <c r="P135" s="1">
        <v>36.0</v>
      </c>
      <c r="Q135" s="1">
        <v>48.0</v>
      </c>
    </row>
    <row r="136">
      <c r="A136" s="1">
        <f t="shared" si="1"/>
        <v>133</v>
      </c>
      <c r="B136" s="1" t="s">
        <v>1506</v>
      </c>
      <c r="C136" s="1" t="s">
        <v>1030</v>
      </c>
      <c r="D136" s="1" t="s">
        <v>66</v>
      </c>
      <c r="E136" s="1">
        <f t="shared" si="2"/>
        <v>265.5</v>
      </c>
      <c r="F136" s="1">
        <f t="shared" si="3"/>
        <v>3.85</v>
      </c>
      <c r="G136" s="1">
        <v>69.0</v>
      </c>
      <c r="H136" s="1">
        <v>9.0</v>
      </c>
      <c r="I136" s="1">
        <v>17.0</v>
      </c>
      <c r="J136" s="1">
        <v>26.0</v>
      </c>
      <c r="K136" s="1">
        <v>134.0</v>
      </c>
      <c r="L136" s="1">
        <v>0.0</v>
      </c>
      <c r="M136" s="1">
        <v>0.0</v>
      </c>
      <c r="N136" s="1">
        <v>0.0</v>
      </c>
      <c r="O136" s="1">
        <v>2.0</v>
      </c>
      <c r="P136" s="1">
        <v>112.0</v>
      </c>
      <c r="Q136" s="1">
        <v>150.0</v>
      </c>
    </row>
    <row r="137">
      <c r="A137" s="1">
        <f t="shared" si="1"/>
        <v>135</v>
      </c>
      <c r="B137" s="1" t="s">
        <v>1057</v>
      </c>
      <c r="C137" s="1" t="s">
        <v>1030</v>
      </c>
      <c r="D137" s="1" t="s">
        <v>66</v>
      </c>
      <c r="E137" s="1">
        <f t="shared" si="2"/>
        <v>263.25</v>
      </c>
      <c r="F137" s="1">
        <f t="shared" si="3"/>
        <v>4.62</v>
      </c>
      <c r="G137" s="1">
        <v>57.0</v>
      </c>
      <c r="H137" s="1">
        <v>12.0</v>
      </c>
      <c r="I137" s="1">
        <v>38.0</v>
      </c>
      <c r="J137" s="1">
        <v>50.0</v>
      </c>
      <c r="K137" s="1">
        <v>121.0</v>
      </c>
      <c r="L137" s="1">
        <v>4.0</v>
      </c>
      <c r="M137" s="1">
        <v>15.0</v>
      </c>
      <c r="N137" s="1">
        <v>0.0</v>
      </c>
      <c r="O137" s="1">
        <v>0.0</v>
      </c>
      <c r="P137" s="1">
        <v>45.0</v>
      </c>
      <c r="Q137" s="1">
        <v>47.0</v>
      </c>
      <c r="T137" s="12"/>
    </row>
    <row r="138">
      <c r="A138" s="1">
        <f t="shared" si="1"/>
        <v>136</v>
      </c>
      <c r="B138" s="1" t="s">
        <v>1252</v>
      </c>
      <c r="C138" s="1" t="s">
        <v>1034</v>
      </c>
      <c r="D138" s="1" t="s">
        <v>31</v>
      </c>
      <c r="E138" s="1">
        <f t="shared" si="2"/>
        <v>262.25</v>
      </c>
      <c r="F138" s="1">
        <f t="shared" si="3"/>
        <v>3.86</v>
      </c>
      <c r="G138" s="1">
        <v>68.0</v>
      </c>
      <c r="H138" s="1">
        <v>16.0</v>
      </c>
      <c r="I138" s="1">
        <v>28.0</v>
      </c>
      <c r="J138" s="1">
        <v>44.0</v>
      </c>
      <c r="K138" s="1">
        <v>113.0</v>
      </c>
      <c r="L138" s="1">
        <v>1.0</v>
      </c>
      <c r="M138" s="1">
        <v>4.0</v>
      </c>
      <c r="N138" s="1">
        <v>1.0</v>
      </c>
      <c r="O138" s="1">
        <v>1.0</v>
      </c>
      <c r="P138" s="1">
        <v>89.0</v>
      </c>
      <c r="Q138" s="1">
        <v>47.0</v>
      </c>
    </row>
    <row r="139">
      <c r="A139" s="1">
        <f t="shared" si="1"/>
        <v>137</v>
      </c>
      <c r="B139" s="1" t="s">
        <v>1328</v>
      </c>
      <c r="C139" s="1" t="s">
        <v>1156</v>
      </c>
      <c r="D139" s="1" t="s">
        <v>31</v>
      </c>
      <c r="E139" s="1">
        <f t="shared" si="2"/>
        <v>261.5</v>
      </c>
      <c r="F139" s="1">
        <f t="shared" si="3"/>
        <v>3.68</v>
      </c>
      <c r="G139" s="1">
        <v>71.0</v>
      </c>
      <c r="H139" s="1">
        <v>17.0</v>
      </c>
      <c r="I139" s="1">
        <v>27.0</v>
      </c>
      <c r="J139" s="1">
        <v>44.0</v>
      </c>
      <c r="K139" s="1">
        <v>179.0</v>
      </c>
      <c r="L139" s="1">
        <v>1.0</v>
      </c>
      <c r="M139" s="1">
        <v>10.0</v>
      </c>
      <c r="N139" s="1">
        <v>0.0</v>
      </c>
      <c r="O139" s="1">
        <v>0.0</v>
      </c>
      <c r="P139" s="1">
        <v>32.0</v>
      </c>
      <c r="Q139" s="1">
        <v>13.0</v>
      </c>
    </row>
    <row r="140">
      <c r="A140" s="1">
        <f t="shared" si="1"/>
        <v>138</v>
      </c>
      <c r="B140" s="1" t="s">
        <v>1429</v>
      </c>
      <c r="C140" s="1" t="s">
        <v>1078</v>
      </c>
      <c r="D140" s="1" t="s">
        <v>31</v>
      </c>
      <c r="E140" s="1">
        <f t="shared" si="2"/>
        <v>261.25</v>
      </c>
      <c r="F140" s="1">
        <f t="shared" si="3"/>
        <v>3.73</v>
      </c>
      <c r="G140" s="1">
        <v>70.0</v>
      </c>
      <c r="H140" s="1">
        <v>17.0</v>
      </c>
      <c r="I140" s="1">
        <v>26.0</v>
      </c>
      <c r="J140" s="1">
        <v>43.0</v>
      </c>
      <c r="K140" s="1">
        <v>142.0</v>
      </c>
      <c r="L140" s="1">
        <v>6.0</v>
      </c>
      <c r="M140" s="1">
        <v>3.0</v>
      </c>
      <c r="N140" s="1">
        <v>0.0</v>
      </c>
      <c r="O140" s="1">
        <v>0.0</v>
      </c>
      <c r="P140" s="1">
        <v>49.0</v>
      </c>
      <c r="Q140" s="1">
        <v>47.0</v>
      </c>
    </row>
    <row r="141">
      <c r="A141" s="1">
        <f t="shared" si="1"/>
        <v>139</v>
      </c>
      <c r="B141" s="1" t="s">
        <v>1110</v>
      </c>
      <c r="C141" s="1" t="s">
        <v>1111</v>
      </c>
      <c r="D141" s="1" t="s">
        <v>31</v>
      </c>
      <c r="E141" s="1">
        <f t="shared" si="2"/>
        <v>261</v>
      </c>
      <c r="F141" s="1">
        <f t="shared" si="3"/>
        <v>3.73</v>
      </c>
      <c r="G141" s="1">
        <v>70.0</v>
      </c>
      <c r="H141" s="1">
        <v>17.0</v>
      </c>
      <c r="I141" s="1">
        <v>27.0</v>
      </c>
      <c r="J141" s="1">
        <v>44.0</v>
      </c>
      <c r="K141" s="1">
        <v>184.0</v>
      </c>
      <c r="L141" s="1">
        <v>2.0</v>
      </c>
      <c r="M141" s="1">
        <v>13.0</v>
      </c>
      <c r="N141" s="1">
        <v>0.0</v>
      </c>
      <c r="O141" s="1">
        <v>0.0</v>
      </c>
      <c r="P141" s="1">
        <v>20.0</v>
      </c>
      <c r="Q141" s="1">
        <v>13.0</v>
      </c>
    </row>
    <row r="142">
      <c r="A142" s="1">
        <f t="shared" si="1"/>
        <v>140</v>
      </c>
      <c r="B142" s="1" t="s">
        <v>1532</v>
      </c>
      <c r="C142" s="1" t="s">
        <v>1065</v>
      </c>
      <c r="D142" s="1" t="s">
        <v>5</v>
      </c>
      <c r="E142" s="1">
        <f t="shared" si="2"/>
        <v>260.4</v>
      </c>
      <c r="F142" s="1">
        <f t="shared" si="3"/>
        <v>5.11</v>
      </c>
      <c r="G142" s="1">
        <v>51.0</v>
      </c>
      <c r="R142" s="1">
        <v>20.0</v>
      </c>
      <c r="S142" s="1">
        <v>149.0</v>
      </c>
      <c r="T142" s="12">
        <v>1403.0</v>
      </c>
      <c r="U142" s="1">
        <v>1.0</v>
      </c>
    </row>
    <row r="143">
      <c r="A143" s="1">
        <f t="shared" si="1"/>
        <v>141</v>
      </c>
      <c r="B143" s="1" t="s">
        <v>1259</v>
      </c>
      <c r="C143" s="1" t="s">
        <v>1069</v>
      </c>
      <c r="D143" s="1" t="s">
        <v>31</v>
      </c>
      <c r="E143" s="1">
        <f t="shared" si="2"/>
        <v>260</v>
      </c>
      <c r="F143" s="1">
        <f t="shared" si="3"/>
        <v>3.71</v>
      </c>
      <c r="G143" s="1">
        <v>70.0</v>
      </c>
      <c r="H143" s="1">
        <v>16.0</v>
      </c>
      <c r="I143" s="1">
        <v>29.0</v>
      </c>
      <c r="J143" s="1">
        <v>45.0</v>
      </c>
      <c r="K143" s="1">
        <v>157.0</v>
      </c>
      <c r="L143" s="1">
        <v>3.0</v>
      </c>
      <c r="M143" s="1">
        <v>7.0</v>
      </c>
      <c r="N143" s="1">
        <v>3.0</v>
      </c>
      <c r="O143" s="1">
        <v>0.0</v>
      </c>
      <c r="P143" s="1">
        <v>44.0</v>
      </c>
      <c r="Q143" s="1">
        <v>11.0</v>
      </c>
    </row>
    <row r="144">
      <c r="A144" s="1">
        <f t="shared" si="1"/>
        <v>142</v>
      </c>
      <c r="B144" s="1" t="s">
        <v>1089</v>
      </c>
      <c r="C144" s="1" t="s">
        <v>1046</v>
      </c>
      <c r="D144" s="1" t="s">
        <v>66</v>
      </c>
      <c r="E144" s="1">
        <f t="shared" si="2"/>
        <v>258.75</v>
      </c>
      <c r="F144" s="1">
        <f t="shared" si="3"/>
        <v>3.81</v>
      </c>
      <c r="G144" s="1">
        <v>68.0</v>
      </c>
      <c r="H144" s="1">
        <v>8.0</v>
      </c>
      <c r="I144" s="1">
        <v>45.0</v>
      </c>
      <c r="J144" s="1">
        <v>53.0</v>
      </c>
      <c r="K144" s="1">
        <v>126.0</v>
      </c>
      <c r="L144" s="1">
        <v>3.0</v>
      </c>
      <c r="M144" s="1">
        <v>22.0</v>
      </c>
      <c r="N144" s="1">
        <v>0.0</v>
      </c>
      <c r="O144" s="1">
        <v>0.0</v>
      </c>
      <c r="P144" s="1">
        <v>7.0</v>
      </c>
      <c r="Q144" s="1">
        <v>46.0</v>
      </c>
    </row>
    <row r="145">
      <c r="A145" s="1">
        <f t="shared" si="1"/>
        <v>142</v>
      </c>
      <c r="B145" s="1" t="s">
        <v>1686</v>
      </c>
      <c r="C145" s="1" t="s">
        <v>1036</v>
      </c>
      <c r="D145" s="1" t="s">
        <v>66</v>
      </c>
      <c r="E145" s="1">
        <f t="shared" si="2"/>
        <v>258.75</v>
      </c>
      <c r="F145" s="1">
        <f t="shared" si="3"/>
        <v>3.7</v>
      </c>
      <c r="G145" s="1">
        <v>70.0</v>
      </c>
      <c r="H145" s="1">
        <v>5.0</v>
      </c>
      <c r="I145" s="1">
        <v>34.0</v>
      </c>
      <c r="J145" s="1">
        <v>39.0</v>
      </c>
      <c r="K145" s="1">
        <v>169.0</v>
      </c>
      <c r="L145" s="1">
        <v>1.0</v>
      </c>
      <c r="M145" s="1">
        <v>11.0</v>
      </c>
      <c r="N145" s="1">
        <v>0.0</v>
      </c>
      <c r="O145" s="1">
        <v>0.0</v>
      </c>
      <c r="P145" s="1">
        <v>47.0</v>
      </c>
      <c r="Q145" s="1">
        <v>76.0</v>
      </c>
    </row>
    <row r="146">
      <c r="A146" s="1">
        <f t="shared" si="1"/>
        <v>144</v>
      </c>
      <c r="B146" s="1" t="s">
        <v>2286</v>
      </c>
      <c r="C146" s="1" t="s">
        <v>1078</v>
      </c>
      <c r="D146" s="1" t="s">
        <v>36</v>
      </c>
      <c r="E146" s="1">
        <f t="shared" si="2"/>
        <v>258.25</v>
      </c>
      <c r="F146" s="1">
        <f t="shared" si="3"/>
        <v>3.91</v>
      </c>
      <c r="G146" s="1">
        <v>66.0</v>
      </c>
      <c r="H146" s="1">
        <v>17.0</v>
      </c>
      <c r="I146" s="1">
        <v>18.0</v>
      </c>
      <c r="J146" s="1">
        <v>35.0</v>
      </c>
      <c r="K146" s="1">
        <v>169.0</v>
      </c>
      <c r="L146" s="1">
        <v>1.0</v>
      </c>
      <c r="M146" s="1">
        <v>4.0</v>
      </c>
      <c r="N146" s="1">
        <v>0.0</v>
      </c>
      <c r="O146" s="1">
        <v>0.0</v>
      </c>
      <c r="P146" s="1">
        <v>143.0</v>
      </c>
      <c r="Q146" s="1">
        <v>15.0</v>
      </c>
    </row>
    <row r="147">
      <c r="A147" s="1">
        <f t="shared" si="1"/>
        <v>145</v>
      </c>
      <c r="B147" s="1" t="s">
        <v>1176</v>
      </c>
      <c r="C147" s="1" t="s">
        <v>1078</v>
      </c>
      <c r="D147" s="1" t="s">
        <v>66</v>
      </c>
      <c r="E147" s="1">
        <f t="shared" si="2"/>
        <v>258</v>
      </c>
      <c r="F147" s="1">
        <f t="shared" si="3"/>
        <v>3.85</v>
      </c>
      <c r="G147" s="1">
        <v>67.0</v>
      </c>
      <c r="H147" s="1">
        <v>7.0</v>
      </c>
      <c r="I147" s="1">
        <v>28.0</v>
      </c>
      <c r="J147" s="1">
        <v>35.0</v>
      </c>
      <c r="K147" s="1">
        <v>141.0</v>
      </c>
      <c r="L147" s="1">
        <v>5.0</v>
      </c>
      <c r="M147" s="1">
        <v>9.0</v>
      </c>
      <c r="N147" s="1">
        <v>0.0</v>
      </c>
      <c r="O147" s="1">
        <v>1.0</v>
      </c>
      <c r="P147" s="1">
        <v>106.0</v>
      </c>
      <c r="Q147" s="1">
        <v>87.0</v>
      </c>
    </row>
    <row r="148">
      <c r="A148" s="1">
        <f t="shared" si="1"/>
        <v>145</v>
      </c>
      <c r="B148" s="1" t="s">
        <v>1064</v>
      </c>
      <c r="C148" s="1" t="s">
        <v>1048</v>
      </c>
      <c r="D148" s="1" t="s">
        <v>28</v>
      </c>
      <c r="E148" s="1">
        <f t="shared" si="2"/>
        <v>258</v>
      </c>
      <c r="F148" s="1">
        <f t="shared" si="3"/>
        <v>3.74</v>
      </c>
      <c r="G148" s="1">
        <v>69.0</v>
      </c>
      <c r="H148" s="1">
        <v>16.0</v>
      </c>
      <c r="I148" s="1">
        <v>18.0</v>
      </c>
      <c r="J148" s="1">
        <v>34.0</v>
      </c>
      <c r="K148" s="1">
        <v>162.0</v>
      </c>
      <c r="L148" s="1">
        <v>2.0</v>
      </c>
      <c r="M148" s="1">
        <v>0.0</v>
      </c>
      <c r="N148" s="1">
        <v>2.0</v>
      </c>
      <c r="O148" s="1">
        <v>0.0</v>
      </c>
      <c r="P148" s="1">
        <v>102.0</v>
      </c>
      <c r="Q148" s="1">
        <v>43.0</v>
      </c>
    </row>
    <row r="149">
      <c r="A149" s="1">
        <f t="shared" si="1"/>
        <v>147</v>
      </c>
      <c r="B149" s="1" t="s">
        <v>1107</v>
      </c>
      <c r="C149" s="1" t="s">
        <v>1046</v>
      </c>
      <c r="D149" s="1" t="s">
        <v>36</v>
      </c>
      <c r="E149" s="1">
        <f t="shared" si="2"/>
        <v>257.5</v>
      </c>
      <c r="F149" s="1">
        <f t="shared" si="3"/>
        <v>4.52</v>
      </c>
      <c r="G149" s="1">
        <v>57.0</v>
      </c>
      <c r="H149" s="1">
        <v>16.0</v>
      </c>
      <c r="I149" s="1">
        <v>29.0</v>
      </c>
      <c r="J149" s="1">
        <v>45.0</v>
      </c>
      <c r="K149" s="1">
        <v>169.0</v>
      </c>
      <c r="L149" s="1">
        <v>5.0</v>
      </c>
      <c r="M149" s="1">
        <v>9.0</v>
      </c>
      <c r="N149" s="1">
        <v>0.0</v>
      </c>
      <c r="O149" s="1">
        <v>0.0</v>
      </c>
      <c r="P149" s="1">
        <v>28.0</v>
      </c>
      <c r="Q149" s="1">
        <v>14.0</v>
      </c>
    </row>
    <row r="150">
      <c r="A150" s="1">
        <f t="shared" si="1"/>
        <v>147</v>
      </c>
      <c r="B150" s="1" t="s">
        <v>1593</v>
      </c>
      <c r="C150" s="1" t="s">
        <v>1065</v>
      </c>
      <c r="D150" s="1" t="s">
        <v>36</v>
      </c>
      <c r="E150" s="1">
        <f t="shared" si="2"/>
        <v>257.5</v>
      </c>
      <c r="F150" s="1">
        <f t="shared" si="3"/>
        <v>3.9</v>
      </c>
      <c r="G150" s="1">
        <v>66.0</v>
      </c>
      <c r="H150" s="1">
        <v>21.0</v>
      </c>
      <c r="I150" s="1">
        <v>18.0</v>
      </c>
      <c r="J150" s="1">
        <v>39.0</v>
      </c>
      <c r="K150" s="1">
        <v>155.0</v>
      </c>
      <c r="L150" s="1">
        <v>4.0</v>
      </c>
      <c r="M150" s="1">
        <v>3.0</v>
      </c>
      <c r="N150" s="1">
        <v>2.0</v>
      </c>
      <c r="O150" s="1">
        <v>0.0</v>
      </c>
      <c r="P150" s="1">
        <v>28.0</v>
      </c>
      <c r="Q150" s="1">
        <v>41.0</v>
      </c>
    </row>
    <row r="151">
      <c r="A151" s="1">
        <f t="shared" si="1"/>
        <v>149</v>
      </c>
      <c r="B151" s="1" t="s">
        <v>1351</v>
      </c>
      <c r="C151" s="1" t="s">
        <v>1082</v>
      </c>
      <c r="D151" s="1" t="s">
        <v>31</v>
      </c>
      <c r="E151" s="1">
        <f t="shared" si="2"/>
        <v>257.25</v>
      </c>
      <c r="F151" s="1">
        <f t="shared" si="3"/>
        <v>3.73</v>
      </c>
      <c r="G151" s="1">
        <v>69.0</v>
      </c>
      <c r="H151" s="1">
        <v>16.0</v>
      </c>
      <c r="I151" s="1">
        <v>23.0</v>
      </c>
      <c r="J151" s="1">
        <v>39.0</v>
      </c>
      <c r="K151" s="1">
        <v>151.0</v>
      </c>
      <c r="L151" s="1">
        <v>2.0</v>
      </c>
      <c r="M151" s="1">
        <v>4.0</v>
      </c>
      <c r="N151" s="1">
        <v>1.0</v>
      </c>
      <c r="O151" s="1">
        <v>1.0</v>
      </c>
      <c r="P151" s="1">
        <v>59.0</v>
      </c>
      <c r="Q151" s="1">
        <v>44.0</v>
      </c>
    </row>
    <row r="152">
      <c r="A152" s="1">
        <f t="shared" si="1"/>
        <v>150</v>
      </c>
      <c r="B152" s="1" t="s">
        <v>1204</v>
      </c>
      <c r="C152" s="1" t="s">
        <v>1106</v>
      </c>
      <c r="D152" s="1" t="s">
        <v>66</v>
      </c>
      <c r="E152" s="1">
        <f t="shared" si="2"/>
        <v>256.75</v>
      </c>
      <c r="F152" s="1">
        <f t="shared" si="3"/>
        <v>4.01</v>
      </c>
      <c r="G152" s="1">
        <v>64.0</v>
      </c>
      <c r="H152" s="1">
        <v>10.0</v>
      </c>
      <c r="I152" s="1">
        <v>18.0</v>
      </c>
      <c r="J152" s="1">
        <v>28.0</v>
      </c>
      <c r="K152" s="1">
        <v>162.0</v>
      </c>
      <c r="L152" s="1">
        <v>3.0</v>
      </c>
      <c r="M152" s="1">
        <v>2.0</v>
      </c>
      <c r="N152" s="1">
        <v>0.0</v>
      </c>
      <c r="O152" s="1">
        <v>1.0</v>
      </c>
      <c r="P152" s="1">
        <v>87.0</v>
      </c>
      <c r="Q152" s="1">
        <v>106.0</v>
      </c>
      <c r="T152" s="12"/>
    </row>
    <row r="153">
      <c r="A153" s="1">
        <f t="shared" si="1"/>
        <v>151</v>
      </c>
      <c r="B153" s="1" t="s">
        <v>1536</v>
      </c>
      <c r="C153" s="1" t="s">
        <v>1048</v>
      </c>
      <c r="D153" s="1" t="s">
        <v>66</v>
      </c>
      <c r="E153" s="1">
        <f t="shared" si="2"/>
        <v>256.5</v>
      </c>
      <c r="F153" s="1">
        <f t="shared" si="3"/>
        <v>3.83</v>
      </c>
      <c r="G153" s="1">
        <v>67.0</v>
      </c>
      <c r="H153" s="1">
        <v>5.0</v>
      </c>
      <c r="I153" s="1">
        <v>36.0</v>
      </c>
      <c r="J153" s="1">
        <v>41.0</v>
      </c>
      <c r="K153" s="1">
        <v>147.0</v>
      </c>
      <c r="L153" s="1">
        <v>0.0</v>
      </c>
      <c r="M153" s="1">
        <v>6.0</v>
      </c>
      <c r="N153" s="1">
        <v>0.0</v>
      </c>
      <c r="O153" s="1">
        <v>1.0</v>
      </c>
      <c r="P153" s="1">
        <v>34.0</v>
      </c>
      <c r="Q153" s="1">
        <v>84.0</v>
      </c>
    </row>
    <row r="154">
      <c r="A154" s="1">
        <f t="shared" si="1"/>
        <v>152</v>
      </c>
      <c r="B154" s="1" t="s">
        <v>1273</v>
      </c>
      <c r="C154" s="1" t="s">
        <v>1073</v>
      </c>
      <c r="D154" s="1" t="s">
        <v>66</v>
      </c>
      <c r="E154" s="1">
        <f t="shared" si="2"/>
        <v>255.75</v>
      </c>
      <c r="F154" s="1">
        <f t="shared" si="3"/>
        <v>3.76</v>
      </c>
      <c r="G154" s="1">
        <v>68.0</v>
      </c>
      <c r="H154" s="1">
        <v>6.0</v>
      </c>
      <c r="I154" s="1">
        <v>30.0</v>
      </c>
      <c r="J154" s="1">
        <v>36.0</v>
      </c>
      <c r="K154" s="1">
        <v>145.0</v>
      </c>
      <c r="L154" s="1">
        <v>0.0</v>
      </c>
      <c r="M154" s="1">
        <v>3.0</v>
      </c>
      <c r="N154" s="1">
        <v>0.0</v>
      </c>
      <c r="O154" s="1">
        <v>1.0</v>
      </c>
      <c r="P154" s="1">
        <v>43.0</v>
      </c>
      <c r="Q154" s="1">
        <v>107.0</v>
      </c>
    </row>
    <row r="155">
      <c r="A155" s="1">
        <f t="shared" si="1"/>
        <v>153</v>
      </c>
      <c r="B155" s="1" t="s">
        <v>1127</v>
      </c>
      <c r="C155" s="1" t="s">
        <v>1040</v>
      </c>
      <c r="D155" s="1" t="s">
        <v>66</v>
      </c>
      <c r="E155" s="1">
        <f t="shared" si="2"/>
        <v>255.25</v>
      </c>
      <c r="F155" s="1">
        <f t="shared" si="3"/>
        <v>3.65</v>
      </c>
      <c r="G155" s="1">
        <v>70.0</v>
      </c>
      <c r="H155" s="1">
        <v>8.0</v>
      </c>
      <c r="I155" s="1">
        <v>34.0</v>
      </c>
      <c r="J155" s="1">
        <v>42.0</v>
      </c>
      <c r="K155" s="1">
        <v>125.0</v>
      </c>
      <c r="L155" s="1">
        <v>1.0</v>
      </c>
      <c r="M155" s="1">
        <v>12.0</v>
      </c>
      <c r="N155" s="1">
        <v>0.0</v>
      </c>
      <c r="O155" s="1">
        <v>0.0</v>
      </c>
      <c r="P155" s="1">
        <v>35.0</v>
      </c>
      <c r="Q155" s="1">
        <v>92.0</v>
      </c>
    </row>
    <row r="156">
      <c r="A156" s="1">
        <f t="shared" si="1"/>
        <v>154</v>
      </c>
      <c r="B156" s="1" t="s">
        <v>1160</v>
      </c>
      <c r="C156" s="1" t="s">
        <v>1038</v>
      </c>
      <c r="D156" s="1" t="s">
        <v>66</v>
      </c>
      <c r="E156" s="1">
        <f t="shared" si="2"/>
        <v>254.25</v>
      </c>
      <c r="F156" s="1">
        <f t="shared" si="3"/>
        <v>3.79</v>
      </c>
      <c r="G156" s="1">
        <v>67.0</v>
      </c>
      <c r="H156" s="1">
        <v>5.0</v>
      </c>
      <c r="I156" s="1">
        <v>27.0</v>
      </c>
      <c r="J156" s="1">
        <v>32.0</v>
      </c>
      <c r="K156" s="1">
        <v>101.0</v>
      </c>
      <c r="L156" s="1">
        <v>1.0</v>
      </c>
      <c r="M156" s="1">
        <v>1.0</v>
      </c>
      <c r="N156" s="1">
        <v>0.0</v>
      </c>
      <c r="O156" s="1">
        <v>1.0</v>
      </c>
      <c r="P156" s="1">
        <v>131.0</v>
      </c>
      <c r="Q156" s="1">
        <v>131.0</v>
      </c>
      <c r="T156" s="12"/>
    </row>
    <row r="157">
      <c r="A157" s="1">
        <f t="shared" si="1"/>
        <v>154</v>
      </c>
      <c r="B157" s="1" t="s">
        <v>1190</v>
      </c>
      <c r="C157" s="1" t="s">
        <v>1042</v>
      </c>
      <c r="D157" s="1" t="s">
        <v>66</v>
      </c>
      <c r="E157" s="1">
        <f t="shared" si="2"/>
        <v>254.25</v>
      </c>
      <c r="F157" s="1">
        <f t="shared" si="3"/>
        <v>3.74</v>
      </c>
      <c r="G157" s="1">
        <v>68.0</v>
      </c>
      <c r="H157" s="1">
        <v>8.0</v>
      </c>
      <c r="I157" s="1">
        <v>25.0</v>
      </c>
      <c r="J157" s="1">
        <v>33.0</v>
      </c>
      <c r="K157" s="1">
        <v>154.0</v>
      </c>
      <c r="L157" s="1">
        <v>0.0</v>
      </c>
      <c r="M157" s="1">
        <v>5.0</v>
      </c>
      <c r="N157" s="1">
        <v>1.0</v>
      </c>
      <c r="O157" s="1">
        <v>1.0</v>
      </c>
      <c r="P157" s="1">
        <v>49.0</v>
      </c>
      <c r="Q157" s="1">
        <v>100.0</v>
      </c>
    </row>
    <row r="158">
      <c r="A158" s="1">
        <f t="shared" si="1"/>
        <v>156</v>
      </c>
      <c r="B158" s="1" t="s">
        <v>1628</v>
      </c>
      <c r="C158" s="1" t="s">
        <v>1034</v>
      </c>
      <c r="D158" s="1" t="s">
        <v>66</v>
      </c>
      <c r="E158" s="1">
        <f t="shared" si="2"/>
        <v>254</v>
      </c>
      <c r="F158" s="1">
        <f t="shared" si="3"/>
        <v>3.63</v>
      </c>
      <c r="G158" s="1">
        <v>70.0</v>
      </c>
      <c r="H158" s="1">
        <v>10.0</v>
      </c>
      <c r="I158" s="1">
        <v>24.0</v>
      </c>
      <c r="J158" s="1">
        <v>34.0</v>
      </c>
      <c r="K158" s="1">
        <v>118.0</v>
      </c>
      <c r="L158" s="1">
        <v>5.0</v>
      </c>
      <c r="M158" s="1">
        <v>8.0</v>
      </c>
      <c r="N158" s="1">
        <v>1.0</v>
      </c>
      <c r="O158" s="1">
        <v>0.0</v>
      </c>
      <c r="P158" s="1">
        <v>106.0</v>
      </c>
      <c r="Q158" s="1">
        <v>99.0</v>
      </c>
    </row>
    <row r="159">
      <c r="A159" s="1">
        <f t="shared" si="1"/>
        <v>157</v>
      </c>
      <c r="B159" s="1" t="s">
        <v>1240</v>
      </c>
      <c r="C159" s="1" t="s">
        <v>1156</v>
      </c>
      <c r="D159" s="1" t="s">
        <v>28</v>
      </c>
      <c r="E159" s="1">
        <f t="shared" si="2"/>
        <v>253.5</v>
      </c>
      <c r="F159" s="1">
        <f t="shared" si="3"/>
        <v>3.78</v>
      </c>
      <c r="G159" s="1">
        <v>67.0</v>
      </c>
      <c r="H159" s="1">
        <v>10.0</v>
      </c>
      <c r="I159" s="1">
        <v>21.0</v>
      </c>
      <c r="J159" s="1">
        <v>31.0</v>
      </c>
      <c r="K159" s="1">
        <v>131.0</v>
      </c>
      <c r="L159" s="1">
        <v>2.0</v>
      </c>
      <c r="M159" s="1">
        <v>2.0</v>
      </c>
      <c r="N159" s="1">
        <v>0.0</v>
      </c>
      <c r="O159" s="1">
        <v>1.0</v>
      </c>
      <c r="P159" s="1">
        <v>212.0</v>
      </c>
      <c r="Q159" s="1">
        <v>50.0</v>
      </c>
    </row>
    <row r="160">
      <c r="A160" s="1">
        <f t="shared" si="1"/>
        <v>158</v>
      </c>
      <c r="B160" s="1" t="s">
        <v>2145</v>
      </c>
      <c r="C160" s="1" t="s">
        <v>1048</v>
      </c>
      <c r="D160" s="1" t="s">
        <v>36</v>
      </c>
      <c r="E160" s="1">
        <f t="shared" si="2"/>
        <v>252.75</v>
      </c>
      <c r="F160" s="1">
        <f t="shared" si="3"/>
        <v>4.86</v>
      </c>
      <c r="G160" s="1">
        <v>52.0</v>
      </c>
      <c r="H160" s="1">
        <v>17.0</v>
      </c>
      <c r="I160" s="1">
        <v>15.0</v>
      </c>
      <c r="J160" s="1">
        <v>32.0</v>
      </c>
      <c r="K160" s="1">
        <v>168.0</v>
      </c>
      <c r="L160" s="1">
        <v>3.0</v>
      </c>
      <c r="M160" s="1">
        <v>4.0</v>
      </c>
      <c r="N160" s="1">
        <v>0.0</v>
      </c>
      <c r="O160" s="1">
        <v>0.0</v>
      </c>
      <c r="P160" s="1">
        <v>107.0</v>
      </c>
      <c r="Q160" s="1">
        <v>41.0</v>
      </c>
    </row>
    <row r="161">
      <c r="A161" s="1">
        <f t="shared" si="1"/>
        <v>159</v>
      </c>
      <c r="B161" s="1" t="s">
        <v>2284</v>
      </c>
      <c r="C161" s="1" t="s">
        <v>1080</v>
      </c>
      <c r="D161" s="1" t="s">
        <v>5</v>
      </c>
      <c r="E161" s="1">
        <f t="shared" si="2"/>
        <v>252.3</v>
      </c>
      <c r="F161" s="1">
        <f t="shared" si="3"/>
        <v>7.01</v>
      </c>
      <c r="G161" s="1">
        <v>36.0</v>
      </c>
      <c r="R161" s="1">
        <v>19.0</v>
      </c>
      <c r="S161" s="1">
        <v>99.0</v>
      </c>
      <c r="T161" s="12">
        <v>1136.0</v>
      </c>
      <c r="U161" s="1">
        <v>1.0</v>
      </c>
    </row>
    <row r="162">
      <c r="A162" s="1">
        <f t="shared" si="1"/>
        <v>160</v>
      </c>
      <c r="B162" s="1" t="s">
        <v>1162</v>
      </c>
      <c r="C162" s="1" t="s">
        <v>1048</v>
      </c>
      <c r="D162" s="1" t="s">
        <v>5</v>
      </c>
      <c r="E162" s="1">
        <f t="shared" si="2"/>
        <v>251.7</v>
      </c>
      <c r="F162" s="1">
        <f t="shared" si="3"/>
        <v>5.03</v>
      </c>
      <c r="G162" s="1">
        <v>50.0</v>
      </c>
      <c r="R162" s="1">
        <v>23.0</v>
      </c>
      <c r="S162" s="1">
        <v>151.0</v>
      </c>
      <c r="T162" s="12">
        <v>1354.0</v>
      </c>
      <c r="U162" s="1">
        <v>1.0</v>
      </c>
    </row>
    <row r="163">
      <c r="A163" s="1">
        <f t="shared" si="1"/>
        <v>161</v>
      </c>
      <c r="B163" s="1" t="s">
        <v>2295</v>
      </c>
      <c r="C163" s="1" t="s">
        <v>1036</v>
      </c>
      <c r="D163" s="1" t="s">
        <v>28</v>
      </c>
      <c r="E163" s="1">
        <f t="shared" si="2"/>
        <v>251.5</v>
      </c>
      <c r="F163" s="1">
        <f t="shared" si="3"/>
        <v>3.59</v>
      </c>
      <c r="G163" s="1">
        <v>70.0</v>
      </c>
      <c r="H163" s="1">
        <v>16.0</v>
      </c>
      <c r="I163" s="1">
        <v>21.0</v>
      </c>
      <c r="J163" s="1">
        <v>37.0</v>
      </c>
      <c r="K163" s="1">
        <v>159.0</v>
      </c>
      <c r="L163" s="1">
        <v>5.0</v>
      </c>
      <c r="M163" s="1">
        <v>5.0</v>
      </c>
      <c r="N163" s="1">
        <v>0.0</v>
      </c>
      <c r="O163" s="1">
        <v>0.0</v>
      </c>
      <c r="P163" s="1">
        <v>96.0</v>
      </c>
      <c r="Q163" s="1">
        <v>26.0</v>
      </c>
    </row>
    <row r="164">
      <c r="A164" s="1">
        <f t="shared" si="1"/>
        <v>161</v>
      </c>
      <c r="B164" s="1" t="s">
        <v>1591</v>
      </c>
      <c r="C164" s="1" t="s">
        <v>1087</v>
      </c>
      <c r="D164" s="1" t="s">
        <v>28</v>
      </c>
      <c r="E164" s="1">
        <f t="shared" si="2"/>
        <v>251.5</v>
      </c>
      <c r="F164" s="1">
        <f t="shared" si="3"/>
        <v>3.7</v>
      </c>
      <c r="G164" s="1">
        <v>68.0</v>
      </c>
      <c r="H164" s="1">
        <v>18.0</v>
      </c>
      <c r="I164" s="1">
        <v>21.0</v>
      </c>
      <c r="J164" s="1">
        <v>39.0</v>
      </c>
      <c r="K164" s="1">
        <v>132.0</v>
      </c>
      <c r="L164" s="1">
        <v>3.0</v>
      </c>
      <c r="M164" s="1">
        <v>4.0</v>
      </c>
      <c r="N164" s="1">
        <v>1.0</v>
      </c>
      <c r="O164" s="1">
        <v>0.0</v>
      </c>
      <c r="P164" s="1">
        <v>86.0</v>
      </c>
      <c r="Q164" s="1">
        <v>36.0</v>
      </c>
    </row>
    <row r="165">
      <c r="A165" s="1">
        <f t="shared" si="1"/>
        <v>163</v>
      </c>
      <c r="B165" s="1" t="s">
        <v>1201</v>
      </c>
      <c r="C165" s="1" t="s">
        <v>1085</v>
      </c>
      <c r="D165" s="1" t="s">
        <v>66</v>
      </c>
      <c r="E165" s="1">
        <f t="shared" si="2"/>
        <v>250.5</v>
      </c>
      <c r="F165" s="1">
        <f t="shared" si="3"/>
        <v>3.68</v>
      </c>
      <c r="G165" s="1">
        <v>68.0</v>
      </c>
      <c r="H165" s="1">
        <v>8.0</v>
      </c>
      <c r="I165" s="1">
        <v>27.0</v>
      </c>
      <c r="J165" s="1">
        <v>35.0</v>
      </c>
      <c r="K165" s="1">
        <v>163.0</v>
      </c>
      <c r="L165" s="1">
        <v>0.0</v>
      </c>
      <c r="M165" s="1">
        <v>7.0</v>
      </c>
      <c r="N165" s="1">
        <v>0.0</v>
      </c>
      <c r="O165" s="1">
        <v>0.0</v>
      </c>
      <c r="P165" s="1">
        <v>40.0</v>
      </c>
      <c r="Q165" s="1">
        <v>84.0</v>
      </c>
    </row>
    <row r="166">
      <c r="A166" s="1">
        <f t="shared" si="1"/>
        <v>164</v>
      </c>
      <c r="B166" s="1" t="s">
        <v>2482</v>
      </c>
      <c r="C166" s="1" t="s">
        <v>1046</v>
      </c>
      <c r="D166" s="1" t="s">
        <v>28</v>
      </c>
      <c r="E166" s="1">
        <f t="shared" si="2"/>
        <v>249.5</v>
      </c>
      <c r="F166" s="1">
        <f t="shared" si="3"/>
        <v>3.62</v>
      </c>
      <c r="G166" s="1">
        <v>69.0</v>
      </c>
      <c r="H166" s="1">
        <v>18.0</v>
      </c>
      <c r="I166" s="1">
        <v>18.0</v>
      </c>
      <c r="J166" s="1">
        <v>36.0</v>
      </c>
      <c r="K166" s="1">
        <v>150.0</v>
      </c>
      <c r="L166" s="1">
        <v>6.0</v>
      </c>
      <c r="M166" s="1">
        <v>3.0</v>
      </c>
      <c r="N166" s="1">
        <v>0.0</v>
      </c>
      <c r="O166" s="1">
        <v>0.0</v>
      </c>
      <c r="P166" s="1">
        <v>102.0</v>
      </c>
      <c r="Q166" s="1">
        <v>28.0</v>
      </c>
    </row>
    <row r="167">
      <c r="A167" s="1">
        <f t="shared" si="1"/>
        <v>165</v>
      </c>
      <c r="B167" s="1" t="s">
        <v>1137</v>
      </c>
      <c r="C167" s="1" t="s">
        <v>1038</v>
      </c>
      <c r="D167" s="1" t="s">
        <v>31</v>
      </c>
      <c r="E167" s="1">
        <f t="shared" si="2"/>
        <v>249.25</v>
      </c>
      <c r="F167" s="1">
        <f t="shared" si="3"/>
        <v>3.56</v>
      </c>
      <c r="G167" s="1">
        <v>70.0</v>
      </c>
      <c r="H167" s="1">
        <v>16.0</v>
      </c>
      <c r="I167" s="1">
        <v>21.0</v>
      </c>
      <c r="J167" s="1">
        <v>37.0</v>
      </c>
      <c r="K167" s="1">
        <v>145.0</v>
      </c>
      <c r="L167" s="1">
        <v>1.0</v>
      </c>
      <c r="M167" s="1">
        <v>4.0</v>
      </c>
      <c r="N167" s="1">
        <v>2.0</v>
      </c>
      <c r="O167" s="1">
        <v>0.0</v>
      </c>
      <c r="P167" s="1">
        <v>83.0</v>
      </c>
      <c r="Q167" s="1">
        <v>34.0</v>
      </c>
    </row>
    <row r="168">
      <c r="A168" s="1">
        <f t="shared" si="1"/>
        <v>166</v>
      </c>
      <c r="B168" s="1" t="s">
        <v>2585</v>
      </c>
      <c r="C168" s="1" t="s">
        <v>1570</v>
      </c>
      <c r="D168" s="1" t="s">
        <v>66</v>
      </c>
      <c r="E168" s="1">
        <f t="shared" si="2"/>
        <v>249</v>
      </c>
      <c r="F168" s="1">
        <f t="shared" si="3"/>
        <v>3.66</v>
      </c>
      <c r="G168" s="1">
        <v>68.0</v>
      </c>
      <c r="H168" s="1">
        <v>8.0</v>
      </c>
      <c r="I168" s="1">
        <v>25.0</v>
      </c>
      <c r="J168" s="1">
        <v>33.0</v>
      </c>
      <c r="K168" s="1">
        <v>126.0</v>
      </c>
      <c r="L168" s="1">
        <v>4.0</v>
      </c>
      <c r="M168" s="1">
        <v>9.0</v>
      </c>
      <c r="N168" s="1">
        <v>1.0</v>
      </c>
      <c r="O168" s="1">
        <v>0.0</v>
      </c>
      <c r="P168" s="1">
        <v>124.0</v>
      </c>
      <c r="Q168" s="1">
        <v>84.0</v>
      </c>
    </row>
    <row r="169">
      <c r="A169" s="1">
        <f t="shared" si="1"/>
        <v>167</v>
      </c>
      <c r="B169" s="1" t="s">
        <v>1602</v>
      </c>
      <c r="C169" s="1" t="s">
        <v>1048</v>
      </c>
      <c r="D169" s="1" t="s">
        <v>31</v>
      </c>
      <c r="E169" s="1">
        <f t="shared" si="2"/>
        <v>248.75</v>
      </c>
      <c r="F169" s="1">
        <f t="shared" si="3"/>
        <v>3.77</v>
      </c>
      <c r="G169" s="1">
        <v>66.0</v>
      </c>
      <c r="H169" s="1">
        <v>20.0</v>
      </c>
      <c r="I169" s="1">
        <v>7.0</v>
      </c>
      <c r="J169" s="1">
        <v>27.0</v>
      </c>
      <c r="K169" s="1">
        <v>108.0</v>
      </c>
      <c r="L169" s="1">
        <v>0.0</v>
      </c>
      <c r="M169" s="1">
        <v>0.0</v>
      </c>
      <c r="N169" s="1">
        <v>1.0</v>
      </c>
      <c r="O169" s="1">
        <v>0.0</v>
      </c>
      <c r="P169" s="1">
        <v>121.0</v>
      </c>
      <c r="Q169" s="1">
        <v>103.0</v>
      </c>
      <c r="T169" s="12"/>
    </row>
    <row r="170">
      <c r="A170" s="1">
        <f t="shared" si="1"/>
        <v>168</v>
      </c>
      <c r="B170" s="1" t="s">
        <v>1422</v>
      </c>
      <c r="C170" s="1" t="s">
        <v>1097</v>
      </c>
      <c r="D170" s="1" t="s">
        <v>36</v>
      </c>
      <c r="E170" s="1">
        <f t="shared" si="2"/>
        <v>248.5</v>
      </c>
      <c r="F170" s="1">
        <f t="shared" si="3"/>
        <v>4.28</v>
      </c>
      <c r="G170" s="1">
        <v>58.0</v>
      </c>
      <c r="H170" s="1">
        <v>16.0</v>
      </c>
      <c r="I170" s="1">
        <v>14.0</v>
      </c>
      <c r="J170" s="1">
        <v>30.0</v>
      </c>
      <c r="K170" s="1">
        <v>155.0</v>
      </c>
      <c r="L170" s="1">
        <v>3.0</v>
      </c>
      <c r="M170" s="1">
        <v>1.0</v>
      </c>
      <c r="N170" s="1">
        <v>3.0</v>
      </c>
      <c r="O170" s="1">
        <v>1.0</v>
      </c>
      <c r="P170" s="1">
        <v>146.0</v>
      </c>
      <c r="Q170" s="1">
        <v>25.0</v>
      </c>
    </row>
    <row r="171">
      <c r="A171" s="1">
        <f t="shared" si="1"/>
        <v>169</v>
      </c>
      <c r="B171" s="1" t="s">
        <v>1511</v>
      </c>
      <c r="C171" s="1" t="s">
        <v>1087</v>
      </c>
      <c r="D171" s="1" t="s">
        <v>5</v>
      </c>
      <c r="E171" s="1">
        <f t="shared" si="2"/>
        <v>248.4</v>
      </c>
      <c r="F171" s="1">
        <f t="shared" si="3"/>
        <v>5.52</v>
      </c>
      <c r="G171" s="1">
        <v>45.0</v>
      </c>
      <c r="R171" s="1">
        <v>19.0</v>
      </c>
      <c r="S171" s="1">
        <v>110.0</v>
      </c>
      <c r="T171" s="12">
        <v>1168.0</v>
      </c>
      <c r="U171" s="1">
        <v>2.0</v>
      </c>
    </row>
    <row r="172">
      <c r="A172" s="1">
        <f t="shared" si="1"/>
        <v>170</v>
      </c>
      <c r="B172" s="1" t="s">
        <v>1143</v>
      </c>
      <c r="C172" s="1" t="s">
        <v>1156</v>
      </c>
      <c r="D172" s="1" t="s">
        <v>36</v>
      </c>
      <c r="E172" s="1">
        <f t="shared" si="2"/>
        <v>248.25</v>
      </c>
      <c r="F172" s="1">
        <f t="shared" si="3"/>
        <v>3.55</v>
      </c>
      <c r="G172" s="1">
        <v>70.0</v>
      </c>
      <c r="H172" s="1">
        <v>15.0</v>
      </c>
      <c r="I172" s="1">
        <v>27.0</v>
      </c>
      <c r="J172" s="1">
        <v>42.0</v>
      </c>
      <c r="K172" s="1">
        <v>151.0</v>
      </c>
      <c r="L172" s="1">
        <v>3.0</v>
      </c>
      <c r="M172" s="1">
        <v>6.0</v>
      </c>
      <c r="N172" s="1">
        <v>1.0</v>
      </c>
      <c r="O172" s="1">
        <v>0.0</v>
      </c>
      <c r="P172" s="1">
        <v>37.0</v>
      </c>
      <c r="Q172" s="1">
        <v>26.0</v>
      </c>
    </row>
    <row r="173">
      <c r="A173" s="1">
        <f t="shared" si="1"/>
        <v>171</v>
      </c>
      <c r="B173" s="1" t="s">
        <v>1244</v>
      </c>
      <c r="C173" s="1" t="s">
        <v>1156</v>
      </c>
      <c r="D173" s="1" t="s">
        <v>28</v>
      </c>
      <c r="E173" s="1">
        <f t="shared" si="2"/>
        <v>247.25</v>
      </c>
      <c r="F173" s="1">
        <f t="shared" si="3"/>
        <v>3.53</v>
      </c>
      <c r="G173" s="1">
        <v>70.0</v>
      </c>
      <c r="H173" s="1">
        <v>11.0</v>
      </c>
      <c r="I173" s="1">
        <v>13.0</v>
      </c>
      <c r="J173" s="1">
        <v>24.0</v>
      </c>
      <c r="K173" s="1">
        <v>179.0</v>
      </c>
      <c r="L173" s="1">
        <v>2.0</v>
      </c>
      <c r="M173" s="1">
        <v>2.0</v>
      </c>
      <c r="N173" s="1">
        <v>0.0</v>
      </c>
      <c r="O173" s="1">
        <v>1.0</v>
      </c>
      <c r="P173" s="1">
        <v>109.0</v>
      </c>
      <c r="Q173" s="1">
        <v>80.0</v>
      </c>
    </row>
    <row r="174">
      <c r="A174" s="1">
        <f t="shared" si="1"/>
        <v>172</v>
      </c>
      <c r="B174" s="1" t="s">
        <v>1062</v>
      </c>
      <c r="C174" s="1" t="s">
        <v>1073</v>
      </c>
      <c r="D174" s="1" t="s">
        <v>31</v>
      </c>
      <c r="E174" s="1">
        <f t="shared" si="2"/>
        <v>246.75</v>
      </c>
      <c r="F174" s="1">
        <f t="shared" si="3"/>
        <v>3.98</v>
      </c>
      <c r="G174" s="1">
        <v>62.0</v>
      </c>
      <c r="H174" s="1">
        <v>11.0</v>
      </c>
      <c r="I174" s="1">
        <v>27.0</v>
      </c>
      <c r="J174" s="1">
        <v>38.0</v>
      </c>
      <c r="K174" s="1">
        <v>141.0</v>
      </c>
      <c r="L174" s="1">
        <v>1.0</v>
      </c>
      <c r="M174" s="1">
        <v>6.0</v>
      </c>
      <c r="N174" s="1">
        <v>1.0</v>
      </c>
      <c r="O174" s="1">
        <v>0.0</v>
      </c>
      <c r="P174" s="1">
        <v>101.0</v>
      </c>
      <c r="Q174" s="1">
        <v>37.0</v>
      </c>
    </row>
    <row r="175">
      <c r="A175" s="1">
        <f t="shared" si="1"/>
        <v>173</v>
      </c>
      <c r="B175" s="1" t="s">
        <v>1226</v>
      </c>
      <c r="C175" s="1" t="s">
        <v>1111</v>
      </c>
      <c r="D175" s="1" t="s">
        <v>36</v>
      </c>
      <c r="E175" s="1">
        <f t="shared" si="2"/>
        <v>245.5</v>
      </c>
      <c r="F175" s="1">
        <f t="shared" si="3"/>
        <v>3.61</v>
      </c>
      <c r="G175" s="1">
        <v>68.0</v>
      </c>
      <c r="H175" s="1">
        <v>22.0</v>
      </c>
      <c r="I175" s="1">
        <v>17.0</v>
      </c>
      <c r="J175" s="1">
        <v>39.0</v>
      </c>
      <c r="K175" s="1">
        <v>158.0</v>
      </c>
      <c r="L175" s="1">
        <v>4.0</v>
      </c>
      <c r="M175" s="1">
        <v>6.0</v>
      </c>
      <c r="N175" s="1">
        <v>0.0</v>
      </c>
      <c r="O175" s="1">
        <v>0.0</v>
      </c>
      <c r="P175" s="1">
        <v>26.0</v>
      </c>
      <c r="Q175" s="1">
        <v>20.0</v>
      </c>
    </row>
    <row r="176">
      <c r="A176" s="1">
        <f t="shared" si="1"/>
        <v>174</v>
      </c>
      <c r="B176" s="1" t="s">
        <v>2586</v>
      </c>
      <c r="C176" s="1" t="s">
        <v>1076</v>
      </c>
      <c r="D176" s="1" t="s">
        <v>5</v>
      </c>
      <c r="E176" s="1">
        <f t="shared" si="2"/>
        <v>244.8</v>
      </c>
      <c r="F176" s="1">
        <f t="shared" si="3"/>
        <v>6.12</v>
      </c>
      <c r="G176" s="1">
        <v>40.0</v>
      </c>
      <c r="R176" s="1">
        <v>16.0</v>
      </c>
      <c r="S176" s="1">
        <v>108.0</v>
      </c>
      <c r="T176" s="12">
        <v>1186.0</v>
      </c>
      <c r="U176" s="1">
        <v>1.0</v>
      </c>
    </row>
    <row r="177">
      <c r="A177" s="1">
        <f t="shared" si="1"/>
        <v>175</v>
      </c>
      <c r="B177" s="1" t="s">
        <v>1933</v>
      </c>
      <c r="C177" s="1" t="s">
        <v>1175</v>
      </c>
      <c r="D177" s="1" t="s">
        <v>31</v>
      </c>
      <c r="E177" s="1">
        <f t="shared" si="2"/>
        <v>244</v>
      </c>
      <c r="F177" s="1">
        <f t="shared" si="3"/>
        <v>4.69</v>
      </c>
      <c r="G177" s="1">
        <v>52.0</v>
      </c>
      <c r="H177" s="1">
        <v>16.0</v>
      </c>
      <c r="I177" s="1">
        <v>23.0</v>
      </c>
      <c r="J177" s="1">
        <v>39.0</v>
      </c>
      <c r="K177" s="1">
        <v>126.0</v>
      </c>
      <c r="L177" s="1">
        <v>0.0</v>
      </c>
      <c r="M177" s="1">
        <v>9.0</v>
      </c>
      <c r="N177" s="1">
        <v>0.0</v>
      </c>
      <c r="O177" s="1">
        <v>2.0</v>
      </c>
      <c r="P177" s="1">
        <v>54.0</v>
      </c>
      <c r="Q177" s="1">
        <v>45.0</v>
      </c>
    </row>
    <row r="178">
      <c r="A178" s="1">
        <f t="shared" si="1"/>
        <v>176</v>
      </c>
      <c r="B178" s="1" t="s">
        <v>1095</v>
      </c>
      <c r="C178" s="1" t="s">
        <v>1052</v>
      </c>
      <c r="D178" s="1" t="s">
        <v>28</v>
      </c>
      <c r="E178" s="1">
        <f t="shared" si="2"/>
        <v>243.5</v>
      </c>
      <c r="F178" s="1">
        <f t="shared" si="3"/>
        <v>6.24</v>
      </c>
      <c r="G178" s="1">
        <v>39.0</v>
      </c>
      <c r="H178" s="1">
        <v>20.0</v>
      </c>
      <c r="I178" s="1">
        <v>23.0</v>
      </c>
      <c r="J178" s="1">
        <v>43.0</v>
      </c>
      <c r="K178" s="1">
        <v>127.0</v>
      </c>
      <c r="L178" s="1">
        <v>6.0</v>
      </c>
      <c r="M178" s="1">
        <v>4.0</v>
      </c>
      <c r="N178" s="1">
        <v>0.0</v>
      </c>
      <c r="O178" s="1">
        <v>0.0</v>
      </c>
      <c r="P178" s="1">
        <v>46.0</v>
      </c>
      <c r="Q178" s="1">
        <v>19.0</v>
      </c>
    </row>
    <row r="179">
      <c r="A179" s="1">
        <f t="shared" si="1"/>
        <v>176</v>
      </c>
      <c r="B179" s="1" t="s">
        <v>1311</v>
      </c>
      <c r="C179" s="1" t="s">
        <v>1097</v>
      </c>
      <c r="D179" s="1" t="s">
        <v>66</v>
      </c>
      <c r="E179" s="1">
        <f t="shared" si="2"/>
        <v>243.5</v>
      </c>
      <c r="F179" s="1">
        <f t="shared" si="3"/>
        <v>3.53</v>
      </c>
      <c r="G179" s="1">
        <v>69.0</v>
      </c>
      <c r="H179" s="1">
        <v>9.0</v>
      </c>
      <c r="I179" s="1">
        <v>12.0</v>
      </c>
      <c r="J179" s="1">
        <v>21.0</v>
      </c>
      <c r="K179" s="1">
        <v>130.0</v>
      </c>
      <c r="L179" s="1">
        <v>0.0</v>
      </c>
      <c r="M179" s="1">
        <v>0.0</v>
      </c>
      <c r="N179" s="1">
        <v>0.0</v>
      </c>
      <c r="O179" s="1">
        <v>0.0</v>
      </c>
      <c r="P179" s="1">
        <v>152.0</v>
      </c>
      <c r="Q179" s="1">
        <v>128.0</v>
      </c>
    </row>
    <row r="180">
      <c r="A180" s="1">
        <f t="shared" si="1"/>
        <v>176</v>
      </c>
      <c r="B180" s="1" t="s">
        <v>1103</v>
      </c>
      <c r="C180" s="1" t="s">
        <v>1097</v>
      </c>
      <c r="D180" s="1" t="s">
        <v>31</v>
      </c>
      <c r="E180" s="1">
        <f t="shared" si="2"/>
        <v>243.5</v>
      </c>
      <c r="F180" s="1">
        <f t="shared" si="3"/>
        <v>3.43</v>
      </c>
      <c r="G180" s="1">
        <v>71.0</v>
      </c>
      <c r="H180" s="1">
        <v>13.0</v>
      </c>
      <c r="I180" s="1">
        <v>28.0</v>
      </c>
      <c r="J180" s="1">
        <v>41.0</v>
      </c>
      <c r="K180" s="1">
        <v>138.0</v>
      </c>
      <c r="L180" s="1">
        <v>6.0</v>
      </c>
      <c r="M180" s="1">
        <v>8.0</v>
      </c>
      <c r="N180" s="1">
        <v>0.0</v>
      </c>
      <c r="O180" s="1">
        <v>0.0</v>
      </c>
      <c r="P180" s="1">
        <v>64.0</v>
      </c>
      <c r="Q180" s="1">
        <v>32.0</v>
      </c>
    </row>
    <row r="181">
      <c r="A181" s="1">
        <f t="shared" si="1"/>
        <v>179</v>
      </c>
      <c r="B181" s="1" t="s">
        <v>2361</v>
      </c>
      <c r="C181" s="1" t="s">
        <v>1042</v>
      </c>
      <c r="D181" s="1" t="s">
        <v>66</v>
      </c>
      <c r="E181" s="1">
        <f t="shared" si="2"/>
        <v>243</v>
      </c>
      <c r="F181" s="1">
        <f t="shared" si="3"/>
        <v>4.96</v>
      </c>
      <c r="G181" s="1">
        <v>49.0</v>
      </c>
      <c r="H181" s="1">
        <v>8.0</v>
      </c>
      <c r="I181" s="1">
        <v>30.0</v>
      </c>
      <c r="J181" s="1">
        <v>38.0</v>
      </c>
      <c r="K181" s="1">
        <v>114.0</v>
      </c>
      <c r="L181" s="1">
        <v>2.0</v>
      </c>
      <c r="M181" s="1">
        <v>7.0</v>
      </c>
      <c r="N181" s="1">
        <v>0.0</v>
      </c>
      <c r="O181" s="1">
        <v>0.0</v>
      </c>
      <c r="P181" s="1">
        <v>48.0</v>
      </c>
      <c r="Q181" s="1">
        <v>96.0</v>
      </c>
    </row>
    <row r="182">
      <c r="A182" s="1">
        <f t="shared" si="1"/>
        <v>179</v>
      </c>
      <c r="B182" s="1" t="s">
        <v>2090</v>
      </c>
      <c r="C182" s="1" t="s">
        <v>1067</v>
      </c>
      <c r="D182" s="1" t="s">
        <v>31</v>
      </c>
      <c r="E182" s="1">
        <f t="shared" si="2"/>
        <v>243</v>
      </c>
      <c r="F182" s="1">
        <f t="shared" si="3"/>
        <v>3.68</v>
      </c>
      <c r="G182" s="1">
        <v>66.0</v>
      </c>
      <c r="H182" s="1">
        <v>19.0</v>
      </c>
      <c r="I182" s="1">
        <v>28.0</v>
      </c>
      <c r="J182" s="1">
        <v>47.0</v>
      </c>
      <c r="K182" s="1">
        <v>113.0</v>
      </c>
      <c r="L182" s="1">
        <v>5.0</v>
      </c>
      <c r="M182" s="1">
        <v>9.0</v>
      </c>
      <c r="N182" s="1">
        <v>0.0</v>
      </c>
      <c r="O182" s="1">
        <v>0.0</v>
      </c>
      <c r="P182" s="1">
        <v>24.0</v>
      </c>
      <c r="Q182" s="1">
        <v>22.0</v>
      </c>
    </row>
    <row r="183">
      <c r="A183" s="1">
        <f t="shared" si="1"/>
        <v>181</v>
      </c>
      <c r="B183" s="1" t="s">
        <v>1754</v>
      </c>
      <c r="C183" s="1" t="s">
        <v>1111</v>
      </c>
      <c r="D183" s="1" t="s">
        <v>66</v>
      </c>
      <c r="E183" s="1">
        <f t="shared" si="2"/>
        <v>242.25</v>
      </c>
      <c r="F183" s="1">
        <f t="shared" si="3"/>
        <v>3.46</v>
      </c>
      <c r="G183" s="1">
        <v>70.0</v>
      </c>
      <c r="H183" s="1">
        <v>4.0</v>
      </c>
      <c r="I183" s="1">
        <v>28.0</v>
      </c>
      <c r="J183" s="1">
        <v>32.0</v>
      </c>
      <c r="K183" s="1">
        <v>101.0</v>
      </c>
      <c r="L183" s="1">
        <v>2.0</v>
      </c>
      <c r="M183" s="1">
        <v>9.0</v>
      </c>
      <c r="N183" s="1">
        <v>0.0</v>
      </c>
      <c r="O183" s="1">
        <v>0.0</v>
      </c>
      <c r="P183" s="1">
        <v>91.0</v>
      </c>
      <c r="Q183" s="1">
        <v>134.0</v>
      </c>
    </row>
    <row r="184">
      <c r="A184" s="1">
        <f t="shared" si="1"/>
        <v>182</v>
      </c>
      <c r="B184" s="1" t="s">
        <v>2104</v>
      </c>
      <c r="C184" s="1" t="s">
        <v>1116</v>
      </c>
      <c r="D184" s="1" t="s">
        <v>31</v>
      </c>
      <c r="E184" s="1">
        <f t="shared" si="2"/>
        <v>241.25</v>
      </c>
      <c r="F184" s="1">
        <f t="shared" si="3"/>
        <v>3.4</v>
      </c>
      <c r="G184" s="1">
        <v>71.0</v>
      </c>
      <c r="H184" s="1">
        <v>17.0</v>
      </c>
      <c r="I184" s="1">
        <v>21.0</v>
      </c>
      <c r="J184" s="1">
        <v>38.0</v>
      </c>
      <c r="K184" s="1">
        <v>136.0</v>
      </c>
      <c r="L184" s="1">
        <v>5.0</v>
      </c>
      <c r="M184" s="1">
        <v>5.0</v>
      </c>
      <c r="N184" s="1">
        <v>0.0</v>
      </c>
      <c r="O184" s="1">
        <v>1.0</v>
      </c>
      <c r="P184" s="1">
        <v>63.0</v>
      </c>
      <c r="Q184" s="1">
        <v>32.0</v>
      </c>
    </row>
    <row r="185">
      <c r="A185" s="1">
        <f t="shared" si="1"/>
        <v>183</v>
      </c>
      <c r="B185" s="1" t="s">
        <v>1268</v>
      </c>
      <c r="C185" s="1" t="s">
        <v>1156</v>
      </c>
      <c r="D185" s="1" t="s">
        <v>66</v>
      </c>
      <c r="E185" s="1">
        <f t="shared" si="2"/>
        <v>241</v>
      </c>
      <c r="F185" s="1">
        <f t="shared" si="3"/>
        <v>4.3</v>
      </c>
      <c r="G185" s="1">
        <v>56.0</v>
      </c>
      <c r="H185" s="1">
        <v>6.0</v>
      </c>
      <c r="I185" s="1">
        <v>24.0</v>
      </c>
      <c r="J185" s="1">
        <v>30.0</v>
      </c>
      <c r="K185" s="1">
        <v>126.0</v>
      </c>
      <c r="L185" s="1">
        <v>2.0</v>
      </c>
      <c r="M185" s="1">
        <v>7.0</v>
      </c>
      <c r="N185" s="1">
        <v>0.0</v>
      </c>
      <c r="O185" s="1">
        <v>1.0</v>
      </c>
      <c r="P185" s="1">
        <v>62.0</v>
      </c>
      <c r="Q185" s="1">
        <v>123.0</v>
      </c>
      <c r="T185" s="12"/>
    </row>
    <row r="186">
      <c r="A186" s="1">
        <f t="shared" si="1"/>
        <v>184</v>
      </c>
      <c r="B186" s="1" t="s">
        <v>1305</v>
      </c>
      <c r="C186" s="1" t="s">
        <v>1087</v>
      </c>
      <c r="D186" s="1" t="s">
        <v>36</v>
      </c>
      <c r="E186" s="1">
        <f t="shared" si="2"/>
        <v>240.75</v>
      </c>
      <c r="F186" s="1">
        <f t="shared" si="3"/>
        <v>4.15</v>
      </c>
      <c r="G186" s="1">
        <v>58.0</v>
      </c>
      <c r="H186" s="1">
        <v>16.0</v>
      </c>
      <c r="I186" s="1">
        <v>24.0</v>
      </c>
      <c r="J186" s="1">
        <v>40.0</v>
      </c>
      <c r="K186" s="1">
        <v>136.0</v>
      </c>
      <c r="L186" s="1">
        <v>4.0</v>
      </c>
      <c r="M186" s="1">
        <v>7.0</v>
      </c>
      <c r="N186" s="1">
        <v>0.0</v>
      </c>
      <c r="O186" s="1">
        <v>0.0</v>
      </c>
      <c r="P186" s="1">
        <v>37.0</v>
      </c>
      <c r="Q186" s="1">
        <v>39.0</v>
      </c>
    </row>
    <row r="187">
      <c r="A187" s="1">
        <f t="shared" si="1"/>
        <v>185</v>
      </c>
      <c r="B187" s="1" t="s">
        <v>1669</v>
      </c>
      <c r="C187" s="1" t="s">
        <v>1030</v>
      </c>
      <c r="D187" s="1" t="s">
        <v>28</v>
      </c>
      <c r="E187" s="1">
        <f t="shared" si="2"/>
        <v>240</v>
      </c>
      <c r="F187" s="1">
        <f t="shared" si="3"/>
        <v>4.14</v>
      </c>
      <c r="G187" s="1">
        <v>58.0</v>
      </c>
      <c r="H187" s="1">
        <v>20.0</v>
      </c>
      <c r="I187" s="1">
        <v>25.0</v>
      </c>
      <c r="J187" s="1">
        <v>45.0</v>
      </c>
      <c r="K187" s="1">
        <v>103.0</v>
      </c>
      <c r="L187" s="1">
        <v>2.0</v>
      </c>
      <c r="M187" s="1">
        <v>9.0</v>
      </c>
      <c r="N187" s="1">
        <v>0.0</v>
      </c>
      <c r="O187" s="1">
        <v>0.0</v>
      </c>
      <c r="P187" s="1">
        <v>26.0</v>
      </c>
      <c r="Q187" s="1">
        <v>34.0</v>
      </c>
    </row>
    <row r="188">
      <c r="A188" s="1">
        <f t="shared" si="1"/>
        <v>186</v>
      </c>
      <c r="B188" s="1" t="s">
        <v>1185</v>
      </c>
      <c r="C188" s="1" t="s">
        <v>1156</v>
      </c>
      <c r="D188" s="1" t="s">
        <v>36</v>
      </c>
      <c r="E188" s="1">
        <f t="shared" si="2"/>
        <v>239.25</v>
      </c>
      <c r="F188" s="1">
        <f t="shared" si="3"/>
        <v>4.88</v>
      </c>
      <c r="G188" s="1">
        <v>49.0</v>
      </c>
      <c r="H188" s="1">
        <v>21.0</v>
      </c>
      <c r="I188" s="1">
        <v>15.0</v>
      </c>
      <c r="J188" s="1">
        <v>36.0</v>
      </c>
      <c r="K188" s="1">
        <v>162.0</v>
      </c>
      <c r="L188" s="1">
        <v>3.0</v>
      </c>
      <c r="M188" s="1">
        <v>3.0</v>
      </c>
      <c r="N188" s="1">
        <v>0.0</v>
      </c>
      <c r="O188" s="1">
        <v>0.0</v>
      </c>
      <c r="P188" s="1">
        <v>43.0</v>
      </c>
      <c r="Q188" s="1">
        <v>16.0</v>
      </c>
    </row>
    <row r="189">
      <c r="A189" s="1">
        <f t="shared" si="1"/>
        <v>186</v>
      </c>
      <c r="B189" s="1" t="s">
        <v>1394</v>
      </c>
      <c r="C189" s="1" t="s">
        <v>1091</v>
      </c>
      <c r="D189" s="1" t="s">
        <v>28</v>
      </c>
      <c r="E189" s="1">
        <f t="shared" si="2"/>
        <v>239.25</v>
      </c>
      <c r="F189" s="1">
        <f t="shared" si="3"/>
        <v>3.63</v>
      </c>
      <c r="G189" s="1">
        <v>66.0</v>
      </c>
      <c r="H189" s="1">
        <v>19.0</v>
      </c>
      <c r="I189" s="1">
        <v>21.0</v>
      </c>
      <c r="J189" s="1">
        <v>40.0</v>
      </c>
      <c r="K189" s="1">
        <v>151.0</v>
      </c>
      <c r="L189" s="1">
        <v>4.0</v>
      </c>
      <c r="M189" s="1">
        <v>5.0</v>
      </c>
      <c r="N189" s="1">
        <v>0.0</v>
      </c>
      <c r="O189" s="1">
        <v>0.0</v>
      </c>
      <c r="P189" s="1">
        <v>25.0</v>
      </c>
      <c r="Q189" s="1">
        <v>18.0</v>
      </c>
    </row>
    <row r="190">
      <c r="A190" s="1">
        <f t="shared" si="1"/>
        <v>188</v>
      </c>
      <c r="B190" s="1" t="s">
        <v>1505</v>
      </c>
      <c r="C190" s="1" t="s">
        <v>1052</v>
      </c>
      <c r="D190" s="1" t="s">
        <v>28</v>
      </c>
      <c r="E190" s="1">
        <f t="shared" si="2"/>
        <v>238.5</v>
      </c>
      <c r="F190" s="1">
        <f t="shared" si="3"/>
        <v>3.51</v>
      </c>
      <c r="G190" s="1">
        <v>68.0</v>
      </c>
      <c r="H190" s="1">
        <v>11.0</v>
      </c>
      <c r="I190" s="1">
        <v>14.0</v>
      </c>
      <c r="J190" s="1">
        <v>25.0</v>
      </c>
      <c r="K190" s="1">
        <v>95.0</v>
      </c>
      <c r="L190" s="1">
        <v>0.0</v>
      </c>
      <c r="M190" s="1">
        <v>1.0</v>
      </c>
      <c r="N190" s="1">
        <v>2.0</v>
      </c>
      <c r="O190" s="1">
        <v>1.0</v>
      </c>
      <c r="P190" s="1">
        <v>244.0</v>
      </c>
      <c r="Q190" s="1">
        <v>65.0</v>
      </c>
    </row>
    <row r="191">
      <c r="A191" s="1">
        <f t="shared" si="1"/>
        <v>189</v>
      </c>
      <c r="B191" s="1" t="s">
        <v>2469</v>
      </c>
      <c r="C191" s="1" t="s">
        <v>1570</v>
      </c>
      <c r="D191" s="1" t="s">
        <v>31</v>
      </c>
      <c r="E191" s="1">
        <f t="shared" si="2"/>
        <v>237.75</v>
      </c>
      <c r="F191" s="1">
        <f t="shared" si="3"/>
        <v>3.4</v>
      </c>
      <c r="G191" s="1">
        <v>70.0</v>
      </c>
      <c r="H191" s="1">
        <v>17.0</v>
      </c>
      <c r="I191" s="1">
        <v>18.0</v>
      </c>
      <c r="J191" s="1">
        <v>35.0</v>
      </c>
      <c r="K191" s="1">
        <v>135.0</v>
      </c>
      <c r="L191" s="1">
        <v>6.0</v>
      </c>
      <c r="M191" s="1">
        <v>5.0</v>
      </c>
      <c r="N191" s="1">
        <v>0.0</v>
      </c>
      <c r="O191" s="1">
        <v>0.0</v>
      </c>
      <c r="P191" s="1">
        <v>77.0</v>
      </c>
      <c r="Q191" s="1">
        <v>41.0</v>
      </c>
    </row>
    <row r="192">
      <c r="A192" s="1">
        <f t="shared" si="1"/>
        <v>189</v>
      </c>
      <c r="B192" s="1" t="s">
        <v>1354</v>
      </c>
      <c r="C192" s="1" t="s">
        <v>1111</v>
      </c>
      <c r="D192" s="1" t="s">
        <v>66</v>
      </c>
      <c r="E192" s="1">
        <f t="shared" si="2"/>
        <v>237.75</v>
      </c>
      <c r="F192" s="1">
        <f t="shared" si="3"/>
        <v>3.6</v>
      </c>
      <c r="G192" s="1">
        <v>66.0</v>
      </c>
      <c r="H192" s="1">
        <v>9.0</v>
      </c>
      <c r="I192" s="1">
        <v>21.0</v>
      </c>
      <c r="J192" s="1">
        <v>30.0</v>
      </c>
      <c r="K192" s="1">
        <v>135.0</v>
      </c>
      <c r="L192" s="1">
        <v>2.0</v>
      </c>
      <c r="M192" s="1">
        <v>5.0</v>
      </c>
      <c r="N192" s="1">
        <v>1.0</v>
      </c>
      <c r="O192" s="1">
        <v>0.0</v>
      </c>
      <c r="P192" s="1">
        <v>129.0</v>
      </c>
      <c r="Q192" s="1">
        <v>65.0</v>
      </c>
    </row>
    <row r="193">
      <c r="A193" s="1">
        <f t="shared" si="1"/>
        <v>191</v>
      </c>
      <c r="B193" s="1" t="s">
        <v>2483</v>
      </c>
      <c r="C193" s="1" t="s">
        <v>1076</v>
      </c>
      <c r="D193" s="1" t="s">
        <v>28</v>
      </c>
      <c r="E193" s="1">
        <f t="shared" si="2"/>
        <v>237</v>
      </c>
      <c r="F193" s="1">
        <f t="shared" si="3"/>
        <v>3.59</v>
      </c>
      <c r="G193" s="1">
        <v>66.0</v>
      </c>
      <c r="H193" s="1">
        <v>13.0</v>
      </c>
      <c r="I193" s="1">
        <v>31.0</v>
      </c>
      <c r="J193" s="1">
        <v>44.0</v>
      </c>
      <c r="K193" s="1">
        <v>158.0</v>
      </c>
      <c r="L193" s="1">
        <v>5.0</v>
      </c>
      <c r="M193" s="1">
        <v>10.0</v>
      </c>
      <c r="N193" s="1">
        <v>0.0</v>
      </c>
      <c r="O193" s="1">
        <v>0.0</v>
      </c>
      <c r="P193" s="1">
        <v>12.0</v>
      </c>
      <c r="Q193" s="1">
        <v>7.0</v>
      </c>
    </row>
    <row r="194">
      <c r="A194" s="1">
        <f t="shared" si="1"/>
        <v>191</v>
      </c>
      <c r="B194" s="1" t="s">
        <v>2299</v>
      </c>
      <c r="C194" s="1" t="s">
        <v>1048</v>
      </c>
      <c r="D194" s="1" t="s">
        <v>66</v>
      </c>
      <c r="E194" s="1">
        <f t="shared" si="2"/>
        <v>237</v>
      </c>
      <c r="F194" s="1">
        <f t="shared" si="3"/>
        <v>3.43</v>
      </c>
      <c r="G194" s="1">
        <v>69.0</v>
      </c>
      <c r="H194" s="1">
        <v>5.0</v>
      </c>
      <c r="I194" s="1">
        <v>40.0</v>
      </c>
      <c r="J194" s="1">
        <v>45.0</v>
      </c>
      <c r="K194" s="1">
        <v>129.0</v>
      </c>
      <c r="L194" s="1">
        <v>2.0</v>
      </c>
      <c r="M194" s="1">
        <v>19.0</v>
      </c>
      <c r="N194" s="1">
        <v>0.0</v>
      </c>
      <c r="O194" s="1">
        <v>0.0</v>
      </c>
      <c r="P194" s="1">
        <v>18.0</v>
      </c>
      <c r="Q194" s="1">
        <v>51.0</v>
      </c>
    </row>
    <row r="195">
      <c r="A195" s="1">
        <f t="shared" si="1"/>
        <v>193</v>
      </c>
      <c r="B195" s="1" t="s">
        <v>1178</v>
      </c>
      <c r="C195" s="1" t="s">
        <v>1111</v>
      </c>
      <c r="D195" s="1" t="s">
        <v>66</v>
      </c>
      <c r="E195" s="1">
        <f t="shared" si="2"/>
        <v>236.75</v>
      </c>
      <c r="F195" s="1">
        <f t="shared" si="3"/>
        <v>3.76</v>
      </c>
      <c r="G195" s="1">
        <v>63.0</v>
      </c>
      <c r="H195" s="1">
        <v>12.0</v>
      </c>
      <c r="I195" s="1">
        <v>14.0</v>
      </c>
      <c r="J195" s="1">
        <v>26.0</v>
      </c>
      <c r="K195" s="1">
        <v>149.0</v>
      </c>
      <c r="L195" s="1">
        <v>5.0</v>
      </c>
      <c r="M195" s="1">
        <v>3.0</v>
      </c>
      <c r="N195" s="1">
        <v>0.0</v>
      </c>
      <c r="O195" s="1">
        <v>0.0</v>
      </c>
      <c r="P195" s="1">
        <v>75.0</v>
      </c>
      <c r="Q195" s="1">
        <v>95.0</v>
      </c>
    </row>
    <row r="196">
      <c r="A196" s="1">
        <f t="shared" si="1"/>
        <v>193</v>
      </c>
      <c r="B196" s="1" t="s">
        <v>1145</v>
      </c>
      <c r="C196" s="1" t="s">
        <v>1052</v>
      </c>
      <c r="D196" s="1" t="s">
        <v>31</v>
      </c>
      <c r="E196" s="1">
        <f t="shared" si="2"/>
        <v>236.75</v>
      </c>
      <c r="F196" s="1">
        <f t="shared" si="3"/>
        <v>3.59</v>
      </c>
      <c r="G196" s="1">
        <v>66.0</v>
      </c>
      <c r="H196" s="1">
        <v>14.0</v>
      </c>
      <c r="I196" s="1">
        <v>21.0</v>
      </c>
      <c r="J196" s="1">
        <v>35.0</v>
      </c>
      <c r="K196" s="1">
        <v>150.0</v>
      </c>
      <c r="L196" s="1">
        <v>2.0</v>
      </c>
      <c r="M196" s="1">
        <v>4.0</v>
      </c>
      <c r="N196" s="1">
        <v>0.0</v>
      </c>
      <c r="O196" s="1">
        <v>0.0</v>
      </c>
      <c r="P196" s="1">
        <v>89.0</v>
      </c>
      <c r="Q196" s="1">
        <v>27.0</v>
      </c>
    </row>
    <row r="197">
      <c r="A197" s="1">
        <f t="shared" si="1"/>
        <v>195</v>
      </c>
      <c r="B197" s="1" t="s">
        <v>1545</v>
      </c>
      <c r="C197" s="1" t="s">
        <v>1038</v>
      </c>
      <c r="D197" s="1" t="s">
        <v>36</v>
      </c>
      <c r="E197" s="1">
        <f t="shared" si="2"/>
        <v>236.5</v>
      </c>
      <c r="F197" s="1">
        <f t="shared" si="3"/>
        <v>3.43</v>
      </c>
      <c r="G197" s="1">
        <v>69.0</v>
      </c>
      <c r="H197" s="1">
        <v>18.0</v>
      </c>
      <c r="I197" s="1">
        <v>13.0</v>
      </c>
      <c r="J197" s="1">
        <v>31.0</v>
      </c>
      <c r="K197" s="1">
        <v>184.0</v>
      </c>
      <c r="L197" s="1">
        <v>4.0</v>
      </c>
      <c r="M197" s="1">
        <v>3.0</v>
      </c>
      <c r="N197" s="1">
        <v>0.0</v>
      </c>
      <c r="O197" s="1">
        <v>0.0</v>
      </c>
      <c r="P197" s="1">
        <v>60.0</v>
      </c>
      <c r="Q197" s="1">
        <v>19.0</v>
      </c>
    </row>
    <row r="198">
      <c r="A198" s="1">
        <f t="shared" si="1"/>
        <v>196</v>
      </c>
      <c r="B198" s="1" t="s">
        <v>1831</v>
      </c>
      <c r="C198" s="1" t="s">
        <v>1054</v>
      </c>
      <c r="D198" s="1" t="s">
        <v>66</v>
      </c>
      <c r="E198" s="1">
        <f t="shared" si="2"/>
        <v>236.25</v>
      </c>
      <c r="F198" s="1">
        <f t="shared" si="3"/>
        <v>3.81</v>
      </c>
      <c r="G198" s="1">
        <v>62.0</v>
      </c>
      <c r="H198" s="1">
        <v>12.0</v>
      </c>
      <c r="I198" s="1">
        <v>20.0</v>
      </c>
      <c r="J198" s="1">
        <v>32.0</v>
      </c>
      <c r="K198" s="1">
        <v>112.0</v>
      </c>
      <c r="L198" s="1">
        <v>3.0</v>
      </c>
      <c r="M198" s="1">
        <v>10.0</v>
      </c>
      <c r="N198" s="1">
        <v>0.0</v>
      </c>
      <c r="O198" s="1">
        <v>0.0</v>
      </c>
      <c r="P198" s="1">
        <v>61.0</v>
      </c>
      <c r="Q198" s="1">
        <v>102.0</v>
      </c>
    </row>
    <row r="199">
      <c r="A199" s="1">
        <f t="shared" si="1"/>
        <v>197</v>
      </c>
      <c r="B199" s="1" t="s">
        <v>1781</v>
      </c>
      <c r="C199" s="1" t="s">
        <v>1111</v>
      </c>
      <c r="D199" s="1" t="s">
        <v>28</v>
      </c>
      <c r="E199" s="1">
        <f t="shared" si="2"/>
        <v>235.75</v>
      </c>
      <c r="F199" s="1">
        <f t="shared" si="3"/>
        <v>3.37</v>
      </c>
      <c r="G199" s="1">
        <v>70.0</v>
      </c>
      <c r="H199" s="1">
        <v>18.0</v>
      </c>
      <c r="I199" s="1">
        <v>20.0</v>
      </c>
      <c r="J199" s="1">
        <v>38.0</v>
      </c>
      <c r="K199" s="1">
        <v>134.0</v>
      </c>
      <c r="L199" s="1">
        <v>6.0</v>
      </c>
      <c r="M199" s="1">
        <v>4.0</v>
      </c>
      <c r="N199" s="1">
        <v>0.0</v>
      </c>
      <c r="O199" s="1">
        <v>0.0</v>
      </c>
      <c r="P199" s="1">
        <v>39.0</v>
      </c>
      <c r="Q199" s="1">
        <v>36.0</v>
      </c>
    </row>
    <row r="200">
      <c r="A200" s="1">
        <f t="shared" si="1"/>
        <v>198</v>
      </c>
      <c r="B200" s="1" t="s">
        <v>1051</v>
      </c>
      <c r="C200" s="1" t="s">
        <v>1052</v>
      </c>
      <c r="D200" s="1" t="s">
        <v>31</v>
      </c>
      <c r="E200" s="1">
        <f t="shared" si="2"/>
        <v>235</v>
      </c>
      <c r="F200" s="1">
        <f t="shared" si="3"/>
        <v>5.73</v>
      </c>
      <c r="G200" s="1">
        <v>41.0</v>
      </c>
      <c r="H200" s="1">
        <v>16.0</v>
      </c>
      <c r="I200" s="1">
        <v>31.0</v>
      </c>
      <c r="J200" s="1">
        <v>47.0</v>
      </c>
      <c r="K200" s="1">
        <v>109.0</v>
      </c>
      <c r="L200" s="1">
        <v>4.0</v>
      </c>
      <c r="M200" s="1">
        <v>13.0</v>
      </c>
      <c r="N200" s="1">
        <v>0.0</v>
      </c>
      <c r="O200" s="1">
        <v>0.0</v>
      </c>
      <c r="P200" s="1">
        <v>28.0</v>
      </c>
      <c r="Q200" s="1">
        <v>17.0</v>
      </c>
    </row>
    <row r="201">
      <c r="A201" s="1">
        <f t="shared" si="1"/>
        <v>198</v>
      </c>
      <c r="B201" s="1" t="s">
        <v>1427</v>
      </c>
      <c r="C201" s="1" t="s">
        <v>1054</v>
      </c>
      <c r="D201" s="1" t="s">
        <v>66</v>
      </c>
      <c r="E201" s="1">
        <f t="shared" si="2"/>
        <v>235</v>
      </c>
      <c r="F201" s="1">
        <f t="shared" si="3"/>
        <v>3.41</v>
      </c>
      <c r="G201" s="1">
        <v>69.0</v>
      </c>
      <c r="H201" s="1">
        <v>6.0</v>
      </c>
      <c r="I201" s="1">
        <v>18.0</v>
      </c>
      <c r="J201" s="1">
        <v>24.0</v>
      </c>
      <c r="K201" s="1">
        <v>167.0</v>
      </c>
      <c r="L201" s="1">
        <v>1.0</v>
      </c>
      <c r="M201" s="1">
        <v>7.0</v>
      </c>
      <c r="N201" s="1">
        <v>0.0</v>
      </c>
      <c r="O201" s="1">
        <v>1.0</v>
      </c>
      <c r="P201" s="1">
        <v>98.0</v>
      </c>
      <c r="Q201" s="1">
        <v>88.0</v>
      </c>
    </row>
    <row r="202">
      <c r="A202" s="1">
        <f t="shared" si="1"/>
        <v>200</v>
      </c>
      <c r="B202" s="1" t="s">
        <v>2302</v>
      </c>
      <c r="C202" s="1" t="s">
        <v>1046</v>
      </c>
      <c r="D202" s="1" t="s">
        <v>5</v>
      </c>
      <c r="E202" s="1">
        <f t="shared" si="2"/>
        <v>234.9</v>
      </c>
      <c r="F202" s="1">
        <f t="shared" si="3"/>
        <v>4.89</v>
      </c>
      <c r="G202" s="1">
        <v>48.0</v>
      </c>
      <c r="R202" s="1">
        <v>25.0</v>
      </c>
      <c r="S202" s="1">
        <v>142.0</v>
      </c>
      <c r="T202" s="12">
        <v>1243.0</v>
      </c>
      <c r="U202" s="1">
        <v>0.0</v>
      </c>
    </row>
    <row r="203">
      <c r="A203" s="1">
        <f t="shared" si="1"/>
        <v>200</v>
      </c>
      <c r="B203" s="1" t="s">
        <v>2282</v>
      </c>
      <c r="C203" s="1" t="s">
        <v>1036</v>
      </c>
      <c r="D203" s="1" t="s">
        <v>5</v>
      </c>
      <c r="E203" s="1">
        <f t="shared" si="2"/>
        <v>234.9</v>
      </c>
      <c r="F203" s="1">
        <f t="shared" si="3"/>
        <v>6.18</v>
      </c>
      <c r="G203" s="1">
        <v>38.0</v>
      </c>
      <c r="R203" s="1">
        <v>18.0</v>
      </c>
      <c r="S203" s="1">
        <v>97.0</v>
      </c>
      <c r="T203" s="12">
        <v>1078.0</v>
      </c>
      <c r="U203" s="1">
        <v>1.0</v>
      </c>
    </row>
    <row r="204">
      <c r="A204" s="1">
        <f t="shared" si="1"/>
        <v>202</v>
      </c>
      <c r="B204" s="1" t="s">
        <v>1169</v>
      </c>
      <c r="C204" s="1" t="s">
        <v>1042</v>
      </c>
      <c r="D204" s="1" t="s">
        <v>31</v>
      </c>
      <c r="E204" s="1">
        <f t="shared" si="2"/>
        <v>234.5</v>
      </c>
      <c r="F204" s="1">
        <f t="shared" si="3"/>
        <v>3.55</v>
      </c>
      <c r="G204" s="1">
        <v>66.0</v>
      </c>
      <c r="H204" s="1">
        <v>13.0</v>
      </c>
      <c r="I204" s="1">
        <v>29.0</v>
      </c>
      <c r="J204" s="1">
        <v>42.0</v>
      </c>
      <c r="K204" s="1">
        <v>136.0</v>
      </c>
      <c r="L204" s="1">
        <v>5.0</v>
      </c>
      <c r="M204" s="1">
        <v>6.0</v>
      </c>
      <c r="N204" s="1">
        <v>0.0</v>
      </c>
      <c r="O204" s="1">
        <v>0.0</v>
      </c>
      <c r="P204" s="1">
        <v>40.0</v>
      </c>
      <c r="Q204" s="1">
        <v>22.0</v>
      </c>
    </row>
    <row r="205">
      <c r="A205" s="1">
        <f t="shared" si="1"/>
        <v>202</v>
      </c>
      <c r="B205" s="1" t="s">
        <v>1166</v>
      </c>
      <c r="C205" s="1" t="s">
        <v>1175</v>
      </c>
      <c r="D205" s="1" t="s">
        <v>66</v>
      </c>
      <c r="E205" s="1">
        <f t="shared" si="2"/>
        <v>234.5</v>
      </c>
      <c r="F205" s="1">
        <f t="shared" si="3"/>
        <v>4.19</v>
      </c>
      <c r="G205" s="1">
        <v>56.0</v>
      </c>
      <c r="H205" s="1">
        <v>6.0</v>
      </c>
      <c r="I205" s="1">
        <v>34.0</v>
      </c>
      <c r="J205" s="1">
        <v>40.0</v>
      </c>
      <c r="K205" s="1">
        <v>120.0</v>
      </c>
      <c r="L205" s="1">
        <v>1.0</v>
      </c>
      <c r="M205" s="1">
        <v>12.0</v>
      </c>
      <c r="N205" s="1">
        <v>1.0</v>
      </c>
      <c r="O205" s="1">
        <v>0.0</v>
      </c>
      <c r="P205" s="1">
        <v>26.0</v>
      </c>
      <c r="Q205" s="1">
        <v>74.0</v>
      </c>
      <c r="T205" s="12"/>
    </row>
    <row r="206">
      <c r="A206" s="1">
        <f t="shared" si="1"/>
        <v>204</v>
      </c>
      <c r="B206" s="1" t="s">
        <v>1626</v>
      </c>
      <c r="C206" s="1" t="s">
        <v>1091</v>
      </c>
      <c r="D206" s="1" t="s">
        <v>5</v>
      </c>
      <c r="E206" s="1">
        <f t="shared" si="2"/>
        <v>234</v>
      </c>
      <c r="F206" s="1">
        <f t="shared" si="3"/>
        <v>5.44</v>
      </c>
      <c r="G206" s="1">
        <v>43.0</v>
      </c>
      <c r="R206" s="1">
        <v>24.0</v>
      </c>
      <c r="S206" s="1">
        <v>95.0</v>
      </c>
      <c r="T206" s="12">
        <v>1005.0</v>
      </c>
      <c r="U206" s="1">
        <v>1.0</v>
      </c>
    </row>
    <row r="207">
      <c r="A207" s="1">
        <f t="shared" si="1"/>
        <v>205</v>
      </c>
      <c r="B207" s="1" t="s">
        <v>1370</v>
      </c>
      <c r="C207" s="1" t="s">
        <v>1052</v>
      </c>
      <c r="D207" s="1" t="s">
        <v>28</v>
      </c>
      <c r="E207" s="1">
        <f t="shared" si="2"/>
        <v>233.25</v>
      </c>
      <c r="F207" s="1">
        <f t="shared" si="3"/>
        <v>3.89</v>
      </c>
      <c r="G207" s="1">
        <v>60.0</v>
      </c>
      <c r="H207" s="1">
        <v>20.0</v>
      </c>
      <c r="I207" s="1">
        <v>21.0</v>
      </c>
      <c r="J207" s="1">
        <v>41.0</v>
      </c>
      <c r="K207" s="1">
        <v>111.0</v>
      </c>
      <c r="L207" s="1">
        <v>7.0</v>
      </c>
      <c r="M207" s="1">
        <v>5.0</v>
      </c>
      <c r="N207" s="1">
        <v>0.0</v>
      </c>
      <c r="O207" s="1">
        <v>0.0</v>
      </c>
      <c r="P207" s="1">
        <v>53.0</v>
      </c>
      <c r="Q207" s="1">
        <v>23.0</v>
      </c>
    </row>
    <row r="208">
      <c r="A208" s="1">
        <f t="shared" si="1"/>
        <v>206</v>
      </c>
      <c r="B208" s="1" t="s">
        <v>1757</v>
      </c>
      <c r="C208" s="1" t="s">
        <v>1054</v>
      </c>
      <c r="D208" s="1" t="s">
        <v>31</v>
      </c>
      <c r="E208" s="1">
        <f t="shared" si="2"/>
        <v>232.75</v>
      </c>
      <c r="F208" s="1">
        <f t="shared" si="3"/>
        <v>3.47</v>
      </c>
      <c r="G208" s="1">
        <v>67.0</v>
      </c>
      <c r="H208" s="1">
        <v>18.0</v>
      </c>
      <c r="I208" s="1">
        <v>17.0</v>
      </c>
      <c r="J208" s="1">
        <v>35.0</v>
      </c>
      <c r="K208" s="1">
        <v>104.0</v>
      </c>
      <c r="L208" s="1">
        <v>1.0</v>
      </c>
      <c r="M208" s="1">
        <v>0.0</v>
      </c>
      <c r="N208" s="1">
        <v>0.0</v>
      </c>
      <c r="O208" s="1">
        <v>0.0</v>
      </c>
      <c r="P208" s="1">
        <v>17.0</v>
      </c>
      <c r="Q208" s="1">
        <v>89.0</v>
      </c>
    </row>
    <row r="209">
      <c r="A209" s="1">
        <f t="shared" si="1"/>
        <v>207</v>
      </c>
      <c r="B209" s="1" t="s">
        <v>1229</v>
      </c>
      <c r="C209" s="1" t="s">
        <v>1120</v>
      </c>
      <c r="D209" s="1" t="s">
        <v>66</v>
      </c>
      <c r="E209" s="1">
        <f t="shared" si="2"/>
        <v>232.25</v>
      </c>
      <c r="F209" s="1">
        <f t="shared" si="3"/>
        <v>3.57</v>
      </c>
      <c r="G209" s="1">
        <v>65.0</v>
      </c>
      <c r="H209" s="1">
        <v>9.0</v>
      </c>
      <c r="I209" s="1">
        <v>22.0</v>
      </c>
      <c r="J209" s="1">
        <v>31.0</v>
      </c>
      <c r="K209" s="1">
        <v>125.0</v>
      </c>
      <c r="L209" s="1">
        <v>1.0</v>
      </c>
      <c r="M209" s="1">
        <v>9.0</v>
      </c>
      <c r="N209" s="1">
        <v>0.0</v>
      </c>
      <c r="O209" s="1">
        <v>0.0</v>
      </c>
      <c r="P209" s="1">
        <v>105.0</v>
      </c>
      <c r="Q209" s="1">
        <v>74.0</v>
      </c>
    </row>
    <row r="210">
      <c r="A210" s="1">
        <f t="shared" si="1"/>
        <v>208</v>
      </c>
      <c r="B210" s="1" t="s">
        <v>1726</v>
      </c>
      <c r="C210" s="1" t="s">
        <v>1175</v>
      </c>
      <c r="D210" s="1" t="s">
        <v>36</v>
      </c>
      <c r="E210" s="1">
        <f t="shared" si="2"/>
        <v>231.5</v>
      </c>
      <c r="F210" s="1">
        <f t="shared" si="3"/>
        <v>3.31</v>
      </c>
      <c r="G210" s="1">
        <v>70.0</v>
      </c>
      <c r="H210" s="1">
        <v>14.0</v>
      </c>
      <c r="I210" s="1">
        <v>19.0</v>
      </c>
      <c r="J210" s="1">
        <v>33.0</v>
      </c>
      <c r="K210" s="1">
        <v>176.0</v>
      </c>
      <c r="L210" s="1">
        <v>3.0</v>
      </c>
      <c r="M210" s="1">
        <v>6.0</v>
      </c>
      <c r="N210" s="1">
        <v>0.0</v>
      </c>
      <c r="O210" s="1">
        <v>0.0</v>
      </c>
      <c r="P210" s="1">
        <v>46.0</v>
      </c>
      <c r="Q210" s="1">
        <v>24.0</v>
      </c>
    </row>
    <row r="211">
      <c r="A211" s="1">
        <f t="shared" si="1"/>
        <v>209</v>
      </c>
      <c r="B211" s="1" t="s">
        <v>1316</v>
      </c>
      <c r="C211" s="1" t="s">
        <v>1120</v>
      </c>
      <c r="D211" s="1" t="s">
        <v>36</v>
      </c>
      <c r="E211" s="1">
        <f t="shared" si="2"/>
        <v>231.25</v>
      </c>
      <c r="F211" s="1">
        <f t="shared" si="3"/>
        <v>5.38</v>
      </c>
      <c r="G211" s="1">
        <v>43.0</v>
      </c>
      <c r="H211" s="1">
        <v>16.0</v>
      </c>
      <c r="I211" s="1">
        <v>22.0</v>
      </c>
      <c r="J211" s="1">
        <v>38.0</v>
      </c>
      <c r="K211" s="1">
        <v>137.0</v>
      </c>
      <c r="L211" s="1">
        <v>6.0</v>
      </c>
      <c r="M211" s="1">
        <v>3.0</v>
      </c>
      <c r="N211" s="1">
        <v>0.0</v>
      </c>
      <c r="O211" s="1">
        <v>0.0</v>
      </c>
      <c r="P211" s="1">
        <v>49.0</v>
      </c>
      <c r="Q211" s="1">
        <v>25.0</v>
      </c>
    </row>
    <row r="212">
      <c r="A212" s="1">
        <f t="shared" si="1"/>
        <v>209</v>
      </c>
      <c r="B212" s="1" t="s">
        <v>1194</v>
      </c>
      <c r="C212" s="1" t="s">
        <v>1073</v>
      </c>
      <c r="D212" s="1" t="s">
        <v>66</v>
      </c>
      <c r="E212" s="1">
        <f t="shared" si="2"/>
        <v>231.25</v>
      </c>
      <c r="F212" s="1">
        <f t="shared" si="3"/>
        <v>3.45</v>
      </c>
      <c r="G212" s="1">
        <v>67.0</v>
      </c>
      <c r="H212" s="1">
        <v>8.0</v>
      </c>
      <c r="I212" s="1">
        <v>16.0</v>
      </c>
      <c r="J212" s="1">
        <v>24.0</v>
      </c>
      <c r="K212" s="1">
        <v>139.0</v>
      </c>
      <c r="L212" s="1">
        <v>0.0</v>
      </c>
      <c r="M212" s="1">
        <v>0.0</v>
      </c>
      <c r="N212" s="1">
        <v>0.0</v>
      </c>
      <c r="O212" s="1">
        <v>2.0</v>
      </c>
      <c r="P212" s="1">
        <v>103.0</v>
      </c>
      <c r="Q212" s="1">
        <v>96.0</v>
      </c>
    </row>
    <row r="213">
      <c r="A213" s="1">
        <f t="shared" si="1"/>
        <v>211</v>
      </c>
      <c r="B213" s="1" t="s">
        <v>1447</v>
      </c>
      <c r="C213" s="1" t="s">
        <v>1076</v>
      </c>
      <c r="D213" s="1" t="s">
        <v>66</v>
      </c>
      <c r="E213" s="1">
        <f t="shared" si="2"/>
        <v>230.75</v>
      </c>
      <c r="F213" s="1">
        <f t="shared" si="3"/>
        <v>3.34</v>
      </c>
      <c r="G213" s="1">
        <v>69.0</v>
      </c>
      <c r="H213" s="1">
        <v>8.0</v>
      </c>
      <c r="I213" s="1">
        <v>23.0</v>
      </c>
      <c r="J213" s="1">
        <v>31.0</v>
      </c>
      <c r="K213" s="1">
        <v>114.0</v>
      </c>
      <c r="L213" s="1">
        <v>3.0</v>
      </c>
      <c r="M213" s="1">
        <v>7.0</v>
      </c>
      <c r="N213" s="1">
        <v>0.0</v>
      </c>
      <c r="O213" s="1">
        <v>0.0</v>
      </c>
      <c r="P213" s="1">
        <v>81.0</v>
      </c>
      <c r="Q213" s="1">
        <v>97.0</v>
      </c>
    </row>
    <row r="214">
      <c r="A214" s="1">
        <f t="shared" si="1"/>
        <v>212</v>
      </c>
      <c r="B214" s="1" t="s">
        <v>1232</v>
      </c>
      <c r="C214" s="1" t="s">
        <v>1038</v>
      </c>
      <c r="D214" s="1" t="s">
        <v>28</v>
      </c>
      <c r="E214" s="1">
        <f t="shared" si="2"/>
        <v>230.25</v>
      </c>
      <c r="F214" s="1">
        <f t="shared" si="3"/>
        <v>3.54</v>
      </c>
      <c r="G214" s="1">
        <v>65.0</v>
      </c>
      <c r="H214" s="1">
        <v>19.0</v>
      </c>
      <c r="I214" s="1">
        <v>16.0</v>
      </c>
      <c r="J214" s="1">
        <v>35.0</v>
      </c>
      <c r="K214" s="1">
        <v>161.0</v>
      </c>
      <c r="L214" s="1">
        <v>7.0</v>
      </c>
      <c r="M214" s="1">
        <v>3.0</v>
      </c>
      <c r="N214" s="1">
        <v>0.0</v>
      </c>
      <c r="O214" s="1">
        <v>0.0</v>
      </c>
      <c r="P214" s="1">
        <v>35.0</v>
      </c>
      <c r="Q214" s="1">
        <v>15.0</v>
      </c>
    </row>
    <row r="215">
      <c r="A215" s="1">
        <f t="shared" si="1"/>
        <v>213</v>
      </c>
      <c r="B215" s="1" t="s">
        <v>1704</v>
      </c>
      <c r="C215" s="1" t="s">
        <v>1067</v>
      </c>
      <c r="D215" s="1" t="s">
        <v>28</v>
      </c>
      <c r="E215" s="1">
        <f t="shared" si="2"/>
        <v>230</v>
      </c>
      <c r="F215" s="1">
        <f t="shared" si="3"/>
        <v>4.26</v>
      </c>
      <c r="G215" s="1">
        <v>54.0</v>
      </c>
      <c r="H215" s="1">
        <v>20.0</v>
      </c>
      <c r="I215" s="1">
        <v>22.0</v>
      </c>
      <c r="J215" s="1">
        <v>42.0</v>
      </c>
      <c r="K215" s="1">
        <v>127.0</v>
      </c>
      <c r="L215" s="1">
        <v>11.0</v>
      </c>
      <c r="M215" s="1">
        <v>6.0</v>
      </c>
      <c r="N215" s="1">
        <v>0.0</v>
      </c>
      <c r="O215" s="1">
        <v>0.0</v>
      </c>
      <c r="P215" s="1">
        <v>10.0</v>
      </c>
      <c r="Q215" s="1">
        <v>16.0</v>
      </c>
    </row>
    <row r="216">
      <c r="A216" s="1">
        <f t="shared" si="1"/>
        <v>213</v>
      </c>
      <c r="B216" s="1" t="s">
        <v>1379</v>
      </c>
      <c r="C216" s="1" t="s">
        <v>1120</v>
      </c>
      <c r="D216" s="1" t="s">
        <v>31</v>
      </c>
      <c r="E216" s="1">
        <f t="shared" si="2"/>
        <v>230</v>
      </c>
      <c r="F216" s="1">
        <f t="shared" si="3"/>
        <v>3.54</v>
      </c>
      <c r="G216" s="1">
        <v>65.0</v>
      </c>
      <c r="H216" s="1">
        <v>17.0</v>
      </c>
      <c r="I216" s="1">
        <v>14.0</v>
      </c>
      <c r="J216" s="1">
        <v>31.0</v>
      </c>
      <c r="K216" s="1">
        <v>98.0</v>
      </c>
      <c r="L216" s="1">
        <v>2.0</v>
      </c>
      <c r="M216" s="1">
        <v>2.0</v>
      </c>
      <c r="N216" s="1">
        <v>4.0</v>
      </c>
      <c r="O216" s="1">
        <v>2.0</v>
      </c>
      <c r="P216" s="1">
        <v>108.0</v>
      </c>
      <c r="Q216" s="1">
        <v>47.0</v>
      </c>
    </row>
    <row r="217">
      <c r="A217" s="1">
        <f t="shared" si="1"/>
        <v>215</v>
      </c>
      <c r="B217" s="1" t="s">
        <v>1164</v>
      </c>
      <c r="C217" s="1" t="s">
        <v>1042</v>
      </c>
      <c r="D217" s="1" t="s">
        <v>5</v>
      </c>
      <c r="E217" s="1">
        <f t="shared" si="2"/>
        <v>229.2</v>
      </c>
      <c r="F217" s="1">
        <f t="shared" si="3"/>
        <v>5.73</v>
      </c>
      <c r="G217" s="1">
        <v>40.0</v>
      </c>
      <c r="R217" s="1">
        <v>17.0</v>
      </c>
      <c r="S217" s="1">
        <v>98.0</v>
      </c>
      <c r="T217" s="12">
        <v>1044.0</v>
      </c>
      <c r="U217" s="1">
        <v>4.0</v>
      </c>
    </row>
    <row r="218">
      <c r="A218" s="1">
        <f t="shared" si="1"/>
        <v>216</v>
      </c>
      <c r="B218" s="1" t="s">
        <v>1496</v>
      </c>
      <c r="C218" s="1" t="s">
        <v>1065</v>
      </c>
      <c r="D218" s="1" t="s">
        <v>66</v>
      </c>
      <c r="E218" s="1">
        <f t="shared" si="2"/>
        <v>228</v>
      </c>
      <c r="F218" s="1">
        <f t="shared" si="3"/>
        <v>3.26</v>
      </c>
      <c r="G218" s="1">
        <v>70.0</v>
      </c>
      <c r="H218" s="1">
        <v>8.0</v>
      </c>
      <c r="I218" s="1">
        <v>26.0</v>
      </c>
      <c r="J218" s="1">
        <v>34.0</v>
      </c>
      <c r="K218" s="1">
        <v>131.0</v>
      </c>
      <c r="L218" s="1">
        <v>1.0</v>
      </c>
      <c r="M218" s="1">
        <v>6.0</v>
      </c>
      <c r="N218" s="1">
        <v>0.0</v>
      </c>
      <c r="O218" s="1">
        <v>0.0</v>
      </c>
      <c r="P218" s="1">
        <v>62.0</v>
      </c>
      <c r="Q218" s="1">
        <v>66.0</v>
      </c>
    </row>
    <row r="219">
      <c r="A219" s="1">
        <f t="shared" si="1"/>
        <v>216</v>
      </c>
      <c r="B219" s="1" t="s">
        <v>2101</v>
      </c>
      <c r="C219" s="1" t="s">
        <v>1087</v>
      </c>
      <c r="D219" s="1" t="s">
        <v>28</v>
      </c>
      <c r="E219" s="1">
        <f t="shared" si="2"/>
        <v>228</v>
      </c>
      <c r="F219" s="1">
        <f t="shared" si="3"/>
        <v>3.35</v>
      </c>
      <c r="G219" s="1">
        <v>68.0</v>
      </c>
      <c r="H219" s="1">
        <v>14.0</v>
      </c>
      <c r="I219" s="1">
        <v>29.0</v>
      </c>
      <c r="J219" s="1">
        <v>43.0</v>
      </c>
      <c r="K219" s="1">
        <v>94.0</v>
      </c>
      <c r="L219" s="1">
        <v>2.0</v>
      </c>
      <c r="M219" s="1">
        <v>7.0</v>
      </c>
      <c r="N219" s="1">
        <v>1.0</v>
      </c>
      <c r="O219" s="1">
        <v>0.0</v>
      </c>
      <c r="P219" s="1">
        <v>20.0</v>
      </c>
      <c r="Q219" s="1">
        <v>48.0</v>
      </c>
    </row>
    <row r="220">
      <c r="A220" s="1">
        <f t="shared" si="1"/>
        <v>218</v>
      </c>
      <c r="B220" s="1" t="s">
        <v>2340</v>
      </c>
      <c r="C220" s="1" t="s">
        <v>1120</v>
      </c>
      <c r="D220" s="1" t="s">
        <v>5</v>
      </c>
      <c r="E220" s="1">
        <f t="shared" si="2"/>
        <v>227.1</v>
      </c>
      <c r="F220" s="1">
        <f t="shared" si="3"/>
        <v>4.94</v>
      </c>
      <c r="G220" s="1">
        <v>46.0</v>
      </c>
      <c r="R220" s="1">
        <v>15.0</v>
      </c>
      <c r="S220" s="1">
        <v>126.0</v>
      </c>
      <c r="T220" s="12">
        <v>1227.0</v>
      </c>
      <c r="U220" s="1">
        <v>1.0</v>
      </c>
    </row>
    <row r="221">
      <c r="A221" s="1">
        <f t="shared" si="1"/>
        <v>219</v>
      </c>
      <c r="B221" s="1" t="s">
        <v>2121</v>
      </c>
      <c r="C221" s="1" t="s">
        <v>1030</v>
      </c>
      <c r="D221" s="1" t="s">
        <v>5</v>
      </c>
      <c r="E221" s="1">
        <f t="shared" si="2"/>
        <v>226.2</v>
      </c>
      <c r="F221" s="1">
        <f t="shared" si="3"/>
        <v>6.65</v>
      </c>
      <c r="G221" s="1">
        <v>34.0</v>
      </c>
      <c r="R221" s="1">
        <v>21.0</v>
      </c>
      <c r="S221" s="1">
        <v>77.0</v>
      </c>
      <c r="T221" s="1">
        <v>919.0</v>
      </c>
      <c r="U221" s="1">
        <v>1.0</v>
      </c>
    </row>
    <row r="222">
      <c r="A222" s="1">
        <f t="shared" si="1"/>
        <v>220</v>
      </c>
      <c r="B222" s="1" t="s">
        <v>1582</v>
      </c>
      <c r="C222" s="1" t="s">
        <v>1172</v>
      </c>
      <c r="D222" s="1" t="s">
        <v>66</v>
      </c>
      <c r="E222" s="1">
        <f t="shared" si="2"/>
        <v>226</v>
      </c>
      <c r="F222" s="1">
        <f t="shared" si="3"/>
        <v>3.9</v>
      </c>
      <c r="G222" s="1">
        <v>58.0</v>
      </c>
      <c r="H222" s="1">
        <v>5.0</v>
      </c>
      <c r="I222" s="1">
        <v>14.0</v>
      </c>
      <c r="J222" s="1">
        <v>19.0</v>
      </c>
      <c r="K222" s="1">
        <v>117.0</v>
      </c>
      <c r="L222" s="1">
        <v>0.0</v>
      </c>
      <c r="M222" s="1">
        <v>0.0</v>
      </c>
      <c r="N222" s="1">
        <v>0.0</v>
      </c>
      <c r="O222" s="1">
        <v>1.0</v>
      </c>
      <c r="P222" s="1">
        <v>128.0</v>
      </c>
      <c r="Q222" s="1">
        <v>138.0</v>
      </c>
    </row>
    <row r="223">
      <c r="A223" s="1">
        <f t="shared" si="1"/>
        <v>221</v>
      </c>
      <c r="B223" s="1" t="s">
        <v>1569</v>
      </c>
      <c r="C223" s="1" t="s">
        <v>1078</v>
      </c>
      <c r="D223" s="1" t="s">
        <v>31</v>
      </c>
      <c r="E223" s="1">
        <f t="shared" si="2"/>
        <v>225.5</v>
      </c>
      <c r="F223" s="1">
        <f t="shared" si="3"/>
        <v>3.76</v>
      </c>
      <c r="G223" s="1">
        <v>60.0</v>
      </c>
      <c r="H223" s="1">
        <v>17.0</v>
      </c>
      <c r="I223" s="1">
        <v>10.0</v>
      </c>
      <c r="J223" s="1">
        <v>27.0</v>
      </c>
      <c r="K223" s="1">
        <v>182.0</v>
      </c>
      <c r="L223" s="1">
        <v>3.0</v>
      </c>
      <c r="M223" s="1">
        <v>2.0</v>
      </c>
      <c r="N223" s="1">
        <v>0.0</v>
      </c>
      <c r="O223" s="1">
        <v>0.0</v>
      </c>
      <c r="P223" s="1">
        <v>66.0</v>
      </c>
      <c r="Q223" s="1">
        <v>23.0</v>
      </c>
      <c r="T223" s="12"/>
    </row>
    <row r="224">
      <c r="A224" s="1">
        <f t="shared" si="1"/>
        <v>222</v>
      </c>
      <c r="B224" s="1" t="s">
        <v>1144</v>
      </c>
      <c r="C224" s="1" t="s">
        <v>1076</v>
      </c>
      <c r="D224" s="1" t="s">
        <v>31</v>
      </c>
      <c r="E224" s="1">
        <f t="shared" si="2"/>
        <v>225</v>
      </c>
      <c r="F224" s="1">
        <f t="shared" si="3"/>
        <v>3.88</v>
      </c>
      <c r="G224" s="1">
        <v>58.0</v>
      </c>
      <c r="H224" s="1">
        <v>14.0</v>
      </c>
      <c r="I224" s="1">
        <v>22.0</v>
      </c>
      <c r="J224" s="1">
        <v>36.0</v>
      </c>
      <c r="K224" s="1">
        <v>123.0</v>
      </c>
      <c r="L224" s="1">
        <v>2.0</v>
      </c>
      <c r="M224" s="1">
        <v>8.0</v>
      </c>
      <c r="N224" s="1">
        <v>1.0</v>
      </c>
      <c r="O224" s="1">
        <v>1.0</v>
      </c>
      <c r="P224" s="1">
        <v>48.0</v>
      </c>
      <c r="Q224" s="1">
        <v>37.0</v>
      </c>
    </row>
    <row r="225">
      <c r="A225" s="1">
        <f t="shared" si="1"/>
        <v>223</v>
      </c>
      <c r="B225" s="1" t="s">
        <v>1432</v>
      </c>
      <c r="C225" s="1" t="s">
        <v>1042</v>
      </c>
      <c r="D225" s="1" t="s">
        <v>31</v>
      </c>
      <c r="E225" s="1">
        <f t="shared" si="2"/>
        <v>224.5</v>
      </c>
      <c r="F225" s="1">
        <f t="shared" si="3"/>
        <v>3.56</v>
      </c>
      <c r="G225" s="1">
        <v>63.0</v>
      </c>
      <c r="H225" s="1">
        <v>15.0</v>
      </c>
      <c r="I225" s="1">
        <v>16.0</v>
      </c>
      <c r="J225" s="1">
        <v>31.0</v>
      </c>
      <c r="K225" s="1">
        <v>128.0</v>
      </c>
      <c r="L225" s="1">
        <v>0.0</v>
      </c>
      <c r="M225" s="1">
        <v>2.0</v>
      </c>
      <c r="N225" s="1">
        <v>1.0</v>
      </c>
      <c r="O225" s="1">
        <v>0.0</v>
      </c>
      <c r="P225" s="1">
        <v>64.0</v>
      </c>
      <c r="Q225" s="1">
        <v>54.0</v>
      </c>
      <c r="T225" s="12"/>
    </row>
    <row r="226">
      <c r="A226" s="1">
        <f t="shared" si="1"/>
        <v>224</v>
      </c>
      <c r="B226" s="1" t="s">
        <v>2089</v>
      </c>
      <c r="C226" s="1" t="s">
        <v>1111</v>
      </c>
      <c r="D226" s="1" t="s">
        <v>36</v>
      </c>
      <c r="E226" s="1">
        <f t="shared" si="2"/>
        <v>224.25</v>
      </c>
      <c r="F226" s="1">
        <f t="shared" si="3"/>
        <v>3.2</v>
      </c>
      <c r="G226" s="1">
        <v>70.0</v>
      </c>
      <c r="H226" s="1">
        <v>14.0</v>
      </c>
      <c r="I226" s="1">
        <v>24.0</v>
      </c>
      <c r="J226" s="1">
        <v>38.0</v>
      </c>
      <c r="K226" s="1">
        <v>153.0</v>
      </c>
      <c r="L226" s="1">
        <v>9.0</v>
      </c>
      <c r="M226" s="1">
        <v>8.0</v>
      </c>
      <c r="N226" s="1">
        <v>0.0</v>
      </c>
      <c r="O226" s="1">
        <v>0.0</v>
      </c>
      <c r="P226" s="1">
        <v>11.0</v>
      </c>
      <c r="Q226" s="1">
        <v>20.0</v>
      </c>
    </row>
    <row r="227">
      <c r="A227" s="1">
        <f t="shared" si="1"/>
        <v>225</v>
      </c>
      <c r="B227" s="1" t="s">
        <v>1346</v>
      </c>
      <c r="C227" s="1" t="s">
        <v>1052</v>
      </c>
      <c r="D227" s="1" t="s">
        <v>5</v>
      </c>
      <c r="E227" s="1">
        <f t="shared" si="2"/>
        <v>224.1</v>
      </c>
      <c r="F227" s="1">
        <f t="shared" si="3"/>
        <v>6.79</v>
      </c>
      <c r="G227" s="1">
        <v>33.0</v>
      </c>
      <c r="R227" s="1">
        <v>20.0</v>
      </c>
      <c r="S227" s="1">
        <v>78.0</v>
      </c>
      <c r="T227" s="1">
        <v>907.0</v>
      </c>
      <c r="U227" s="1">
        <v>3.0</v>
      </c>
    </row>
    <row r="228">
      <c r="A228" s="1">
        <f t="shared" si="1"/>
        <v>226</v>
      </c>
      <c r="B228" s="1" t="s">
        <v>1147</v>
      </c>
      <c r="C228" s="1" t="s">
        <v>1085</v>
      </c>
      <c r="D228" s="1" t="s">
        <v>28</v>
      </c>
      <c r="E228" s="1">
        <f t="shared" si="2"/>
        <v>223.75</v>
      </c>
      <c r="F228" s="1">
        <f t="shared" si="3"/>
        <v>3.73</v>
      </c>
      <c r="G228" s="1">
        <v>60.0</v>
      </c>
      <c r="H228" s="1">
        <v>19.0</v>
      </c>
      <c r="I228" s="1">
        <v>14.0</v>
      </c>
      <c r="J228" s="1">
        <v>33.0</v>
      </c>
      <c r="K228" s="1">
        <v>120.0</v>
      </c>
      <c r="L228" s="1">
        <v>3.0</v>
      </c>
      <c r="M228" s="1">
        <v>11.0</v>
      </c>
      <c r="N228" s="1">
        <v>2.0</v>
      </c>
      <c r="O228" s="1">
        <v>0.0</v>
      </c>
      <c r="P228" s="1">
        <v>73.0</v>
      </c>
      <c r="Q228" s="1">
        <v>28.0</v>
      </c>
    </row>
    <row r="229">
      <c r="A229" s="1">
        <f t="shared" si="1"/>
        <v>227</v>
      </c>
      <c r="B229" s="1" t="s">
        <v>1049</v>
      </c>
      <c r="C229" s="1" t="s">
        <v>1030</v>
      </c>
      <c r="D229" s="1" t="s">
        <v>36</v>
      </c>
      <c r="E229" s="1">
        <f t="shared" si="2"/>
        <v>223.5</v>
      </c>
      <c r="F229" s="1">
        <f t="shared" si="3"/>
        <v>5.32</v>
      </c>
      <c r="G229" s="1">
        <v>42.0</v>
      </c>
      <c r="H229" s="1">
        <v>19.0</v>
      </c>
      <c r="I229" s="1">
        <v>22.0</v>
      </c>
      <c r="J229" s="1">
        <v>41.0</v>
      </c>
      <c r="K229" s="1">
        <v>107.0</v>
      </c>
      <c r="L229" s="1">
        <v>8.0</v>
      </c>
      <c r="M229" s="1">
        <v>6.0</v>
      </c>
      <c r="N229" s="1">
        <v>0.0</v>
      </c>
      <c r="O229" s="1">
        <v>0.0</v>
      </c>
      <c r="P229" s="1">
        <v>28.0</v>
      </c>
      <c r="Q229" s="1">
        <v>23.0</v>
      </c>
      <c r="T229" s="12"/>
    </row>
    <row r="230">
      <c r="A230" s="1">
        <f t="shared" si="1"/>
        <v>227</v>
      </c>
      <c r="B230" s="1" t="s">
        <v>2297</v>
      </c>
      <c r="C230" s="1" t="s">
        <v>1085</v>
      </c>
      <c r="D230" s="1" t="s">
        <v>36</v>
      </c>
      <c r="E230" s="1">
        <f t="shared" si="2"/>
        <v>223.5</v>
      </c>
      <c r="F230" s="1">
        <f t="shared" si="3"/>
        <v>3.73</v>
      </c>
      <c r="G230" s="1">
        <v>60.0</v>
      </c>
      <c r="H230" s="1">
        <v>15.0</v>
      </c>
      <c r="I230" s="1">
        <v>19.0</v>
      </c>
      <c r="J230" s="1">
        <v>34.0</v>
      </c>
      <c r="K230" s="1">
        <v>132.0</v>
      </c>
      <c r="L230" s="1">
        <v>7.0</v>
      </c>
      <c r="M230" s="1">
        <v>3.0</v>
      </c>
      <c r="N230" s="1">
        <v>0.0</v>
      </c>
      <c r="O230" s="1">
        <v>0.0</v>
      </c>
      <c r="P230" s="1">
        <v>48.0</v>
      </c>
      <c r="Q230" s="1">
        <v>42.0</v>
      </c>
      <c r="T230" s="12"/>
    </row>
    <row r="231">
      <c r="A231" s="1">
        <f t="shared" si="1"/>
        <v>229</v>
      </c>
      <c r="B231" s="1" t="s">
        <v>1336</v>
      </c>
      <c r="C231" s="1" t="s">
        <v>1030</v>
      </c>
      <c r="D231" s="1" t="s">
        <v>28</v>
      </c>
      <c r="E231" s="1">
        <f t="shared" si="2"/>
        <v>223</v>
      </c>
      <c r="F231" s="1">
        <f t="shared" si="3"/>
        <v>3.84</v>
      </c>
      <c r="G231" s="1">
        <v>58.0</v>
      </c>
      <c r="H231" s="1">
        <v>21.0</v>
      </c>
      <c r="I231" s="1">
        <v>12.0</v>
      </c>
      <c r="J231" s="1">
        <v>33.0</v>
      </c>
      <c r="K231" s="1">
        <v>140.0</v>
      </c>
      <c r="L231" s="1">
        <v>1.0</v>
      </c>
      <c r="M231" s="1">
        <v>0.0</v>
      </c>
      <c r="N231" s="1">
        <v>2.0</v>
      </c>
      <c r="O231" s="1">
        <v>0.0</v>
      </c>
      <c r="P231" s="1">
        <v>36.0</v>
      </c>
      <c r="Q231" s="1">
        <v>19.0</v>
      </c>
    </row>
    <row r="232">
      <c r="A232" s="1">
        <f t="shared" si="1"/>
        <v>230</v>
      </c>
      <c r="B232" s="1" t="s">
        <v>1088</v>
      </c>
      <c r="C232" s="1" t="s">
        <v>1030</v>
      </c>
      <c r="D232" s="1" t="s">
        <v>31</v>
      </c>
      <c r="E232" s="1">
        <f t="shared" si="2"/>
        <v>222.75</v>
      </c>
      <c r="F232" s="1">
        <f t="shared" si="3"/>
        <v>4.37</v>
      </c>
      <c r="G232" s="1">
        <v>51.0</v>
      </c>
      <c r="H232" s="1">
        <v>19.0</v>
      </c>
      <c r="I232" s="1">
        <v>17.0</v>
      </c>
      <c r="J232" s="1">
        <v>36.0</v>
      </c>
      <c r="K232" s="1">
        <v>133.0</v>
      </c>
      <c r="L232" s="1">
        <v>4.0</v>
      </c>
      <c r="M232" s="1">
        <v>7.0</v>
      </c>
      <c r="N232" s="1">
        <v>0.0</v>
      </c>
      <c r="O232" s="1">
        <v>0.0</v>
      </c>
      <c r="P232" s="1">
        <v>61.0</v>
      </c>
      <c r="Q232" s="1">
        <v>9.0</v>
      </c>
    </row>
    <row r="233">
      <c r="A233" s="1">
        <f t="shared" si="1"/>
        <v>231</v>
      </c>
      <c r="B233" s="1" t="s">
        <v>2102</v>
      </c>
      <c r="C233" s="1" t="s">
        <v>1054</v>
      </c>
      <c r="D233" s="1" t="s">
        <v>5</v>
      </c>
      <c r="E233" s="1">
        <f t="shared" si="2"/>
        <v>222</v>
      </c>
      <c r="F233" s="1">
        <f t="shared" si="3"/>
        <v>5.84</v>
      </c>
      <c r="G233" s="1">
        <v>38.0</v>
      </c>
      <c r="R233" s="1">
        <v>20.0</v>
      </c>
      <c r="S233" s="1">
        <v>97.0</v>
      </c>
      <c r="T233" s="1">
        <v>985.0</v>
      </c>
      <c r="U233" s="1">
        <v>4.0</v>
      </c>
    </row>
    <row r="234">
      <c r="A234" s="1">
        <f t="shared" si="1"/>
        <v>231</v>
      </c>
      <c r="B234" s="1" t="s">
        <v>1059</v>
      </c>
      <c r="C234" s="1" t="s">
        <v>1032</v>
      </c>
      <c r="D234" s="1" t="s">
        <v>36</v>
      </c>
      <c r="E234" s="1">
        <f t="shared" si="2"/>
        <v>222</v>
      </c>
      <c r="F234" s="1">
        <f t="shared" si="3"/>
        <v>4.35</v>
      </c>
      <c r="G234" s="1">
        <v>51.0</v>
      </c>
      <c r="H234" s="1">
        <v>21.0</v>
      </c>
      <c r="I234" s="1">
        <v>16.0</v>
      </c>
      <c r="J234" s="1">
        <v>37.0</v>
      </c>
      <c r="K234" s="1">
        <v>106.0</v>
      </c>
      <c r="L234" s="1">
        <v>3.0</v>
      </c>
      <c r="M234" s="1">
        <v>3.0</v>
      </c>
      <c r="N234" s="1">
        <v>1.0</v>
      </c>
      <c r="O234" s="1">
        <v>0.0</v>
      </c>
      <c r="P234" s="1">
        <v>52.0</v>
      </c>
      <c r="Q234" s="1">
        <v>23.0</v>
      </c>
    </row>
    <row r="235">
      <c r="A235" s="1">
        <f t="shared" si="1"/>
        <v>233</v>
      </c>
      <c r="B235" s="1" t="s">
        <v>1444</v>
      </c>
      <c r="C235" s="1" t="s">
        <v>1097</v>
      </c>
      <c r="D235" s="1" t="s">
        <v>28</v>
      </c>
      <c r="E235" s="1">
        <f t="shared" si="2"/>
        <v>221.5</v>
      </c>
      <c r="F235" s="1">
        <f t="shared" si="3"/>
        <v>3.16</v>
      </c>
      <c r="G235" s="1">
        <v>70.0</v>
      </c>
      <c r="H235" s="1">
        <v>13.0</v>
      </c>
      <c r="I235" s="1">
        <v>14.0</v>
      </c>
      <c r="J235" s="1">
        <v>27.0</v>
      </c>
      <c r="K235" s="1">
        <v>140.0</v>
      </c>
      <c r="L235" s="1">
        <v>0.0</v>
      </c>
      <c r="M235" s="1">
        <v>0.0</v>
      </c>
      <c r="N235" s="1">
        <v>1.0</v>
      </c>
      <c r="O235" s="1">
        <v>0.0</v>
      </c>
      <c r="P235" s="1">
        <v>120.0</v>
      </c>
      <c r="Q235" s="1">
        <v>38.0</v>
      </c>
      <c r="T235" s="12"/>
    </row>
    <row r="236">
      <c r="A236" s="1">
        <f t="shared" si="1"/>
        <v>234</v>
      </c>
      <c r="B236" s="1" t="s">
        <v>1077</v>
      </c>
      <c r="C236" s="1" t="s">
        <v>1078</v>
      </c>
      <c r="D236" s="1" t="s">
        <v>31</v>
      </c>
      <c r="E236" s="1">
        <f t="shared" si="2"/>
        <v>220.75</v>
      </c>
      <c r="F236" s="1">
        <f t="shared" si="3"/>
        <v>3.2</v>
      </c>
      <c r="G236" s="1">
        <v>69.0</v>
      </c>
      <c r="H236" s="1">
        <v>11.0</v>
      </c>
      <c r="I236" s="1">
        <v>21.0</v>
      </c>
      <c r="J236" s="1">
        <v>32.0</v>
      </c>
      <c r="K236" s="1">
        <v>148.0</v>
      </c>
      <c r="L236" s="1">
        <v>2.0</v>
      </c>
      <c r="M236" s="1">
        <v>8.0</v>
      </c>
      <c r="N236" s="1">
        <v>2.0</v>
      </c>
      <c r="O236" s="1">
        <v>2.0</v>
      </c>
      <c r="P236" s="1">
        <v>71.0</v>
      </c>
      <c r="Q236" s="1">
        <v>17.0</v>
      </c>
    </row>
    <row r="237">
      <c r="A237" s="1">
        <f t="shared" si="1"/>
        <v>235</v>
      </c>
      <c r="B237" s="1" t="s">
        <v>1216</v>
      </c>
      <c r="C237" s="1" t="s">
        <v>1570</v>
      </c>
      <c r="D237" s="1" t="s">
        <v>31</v>
      </c>
      <c r="E237" s="1">
        <f t="shared" si="2"/>
        <v>220.5</v>
      </c>
      <c r="F237" s="1">
        <f t="shared" si="3"/>
        <v>3.5</v>
      </c>
      <c r="G237" s="1">
        <v>63.0</v>
      </c>
      <c r="H237" s="1">
        <v>17.0</v>
      </c>
      <c r="I237" s="1">
        <v>13.0</v>
      </c>
      <c r="J237" s="1">
        <v>30.0</v>
      </c>
      <c r="K237" s="1">
        <v>130.0</v>
      </c>
      <c r="L237" s="1">
        <v>4.0</v>
      </c>
      <c r="M237" s="1">
        <v>2.0</v>
      </c>
      <c r="N237" s="1">
        <v>1.0</v>
      </c>
      <c r="O237" s="1">
        <v>0.0</v>
      </c>
      <c r="P237" s="1">
        <v>42.0</v>
      </c>
      <c r="Q237" s="1">
        <v>55.0</v>
      </c>
    </row>
    <row r="238">
      <c r="A238" s="1">
        <f t="shared" si="1"/>
        <v>236</v>
      </c>
      <c r="B238" s="1" t="s">
        <v>1124</v>
      </c>
      <c r="C238" s="1" t="s">
        <v>1085</v>
      </c>
      <c r="D238" s="1" t="s">
        <v>36</v>
      </c>
      <c r="E238" s="1">
        <f t="shared" si="2"/>
        <v>220</v>
      </c>
      <c r="F238" s="1">
        <f t="shared" si="3"/>
        <v>3.28</v>
      </c>
      <c r="G238" s="1">
        <v>67.0</v>
      </c>
      <c r="H238" s="1">
        <v>14.0</v>
      </c>
      <c r="I238" s="1">
        <v>17.0</v>
      </c>
      <c r="J238" s="1">
        <v>31.0</v>
      </c>
      <c r="K238" s="1">
        <v>125.0</v>
      </c>
      <c r="L238" s="1">
        <v>6.0</v>
      </c>
      <c r="M238" s="1">
        <v>5.0</v>
      </c>
      <c r="N238" s="1">
        <v>0.0</v>
      </c>
      <c r="O238" s="1">
        <v>1.0</v>
      </c>
      <c r="P238" s="1">
        <v>62.0</v>
      </c>
      <c r="Q238" s="1">
        <v>52.0</v>
      </c>
    </row>
    <row r="239">
      <c r="A239" s="1">
        <f t="shared" si="1"/>
        <v>237</v>
      </c>
      <c r="B239" s="1" t="s">
        <v>1333</v>
      </c>
      <c r="C239" s="1" t="s">
        <v>1046</v>
      </c>
      <c r="D239" s="1" t="s">
        <v>66</v>
      </c>
      <c r="E239" s="1">
        <f t="shared" si="2"/>
        <v>219.75</v>
      </c>
      <c r="F239" s="1">
        <f t="shared" si="3"/>
        <v>3.23</v>
      </c>
      <c r="G239" s="1">
        <v>68.0</v>
      </c>
      <c r="H239" s="1">
        <v>6.0</v>
      </c>
      <c r="I239" s="1">
        <v>15.0</v>
      </c>
      <c r="J239" s="1">
        <v>21.0</v>
      </c>
      <c r="K239" s="1">
        <v>134.0</v>
      </c>
      <c r="L239" s="1">
        <v>1.0</v>
      </c>
      <c r="M239" s="1">
        <v>6.0</v>
      </c>
      <c r="N239" s="1">
        <v>1.0</v>
      </c>
      <c r="O239" s="1">
        <v>0.0</v>
      </c>
      <c r="P239" s="1">
        <v>99.0</v>
      </c>
      <c r="Q239" s="1">
        <v>108.0</v>
      </c>
    </row>
    <row r="240">
      <c r="A240" s="1">
        <f t="shared" si="1"/>
        <v>238</v>
      </c>
      <c r="B240" s="1" t="s">
        <v>1203</v>
      </c>
      <c r="C240" s="1" t="s">
        <v>1111</v>
      </c>
      <c r="D240" s="1" t="s">
        <v>36</v>
      </c>
      <c r="E240" s="1">
        <f t="shared" si="2"/>
        <v>219.5</v>
      </c>
      <c r="F240" s="1">
        <f t="shared" si="3"/>
        <v>3.14</v>
      </c>
      <c r="G240" s="1">
        <v>70.0</v>
      </c>
      <c r="H240" s="1">
        <v>11.0</v>
      </c>
      <c r="I240" s="1">
        <v>34.0</v>
      </c>
      <c r="J240" s="1">
        <v>45.0</v>
      </c>
      <c r="K240" s="1">
        <v>95.0</v>
      </c>
      <c r="L240" s="1">
        <v>2.0</v>
      </c>
      <c r="M240" s="1">
        <v>11.0</v>
      </c>
      <c r="N240" s="1">
        <v>0.0</v>
      </c>
      <c r="O240" s="1">
        <v>0.0</v>
      </c>
      <c r="P240" s="1">
        <v>12.0</v>
      </c>
      <c r="Q240" s="1">
        <v>35.0</v>
      </c>
      <c r="T240" s="12"/>
    </row>
    <row r="241">
      <c r="A241" s="1">
        <f t="shared" si="1"/>
        <v>239</v>
      </c>
      <c r="B241" s="1" t="s">
        <v>1186</v>
      </c>
      <c r="C241" s="1" t="s">
        <v>1111</v>
      </c>
      <c r="D241" s="1" t="s">
        <v>28</v>
      </c>
      <c r="E241" s="1">
        <f t="shared" si="2"/>
        <v>218.75</v>
      </c>
      <c r="F241" s="1">
        <f t="shared" si="3"/>
        <v>3.31</v>
      </c>
      <c r="G241" s="1">
        <v>66.0</v>
      </c>
      <c r="H241" s="1">
        <v>15.0</v>
      </c>
      <c r="I241" s="1">
        <v>10.0</v>
      </c>
      <c r="J241" s="1">
        <v>25.0</v>
      </c>
      <c r="K241" s="1">
        <v>109.0</v>
      </c>
      <c r="L241" s="1">
        <v>0.0</v>
      </c>
      <c r="M241" s="1">
        <v>0.0</v>
      </c>
      <c r="N241" s="1">
        <v>1.0</v>
      </c>
      <c r="O241" s="1">
        <v>0.0</v>
      </c>
      <c r="P241" s="1">
        <v>201.0</v>
      </c>
      <c r="Q241" s="1">
        <v>29.0</v>
      </c>
    </row>
    <row r="242">
      <c r="A242" s="1">
        <f t="shared" si="1"/>
        <v>239</v>
      </c>
      <c r="B242" s="1" t="s">
        <v>1549</v>
      </c>
      <c r="C242" s="1" t="s">
        <v>1052</v>
      </c>
      <c r="D242" s="1" t="s">
        <v>36</v>
      </c>
      <c r="E242" s="1">
        <f t="shared" si="2"/>
        <v>218.75</v>
      </c>
      <c r="F242" s="1">
        <f t="shared" si="3"/>
        <v>3.17</v>
      </c>
      <c r="G242" s="1">
        <v>69.0</v>
      </c>
      <c r="H242" s="1">
        <v>13.0</v>
      </c>
      <c r="I242" s="1">
        <v>23.0</v>
      </c>
      <c r="J242" s="1">
        <v>36.0</v>
      </c>
      <c r="K242" s="1">
        <v>121.0</v>
      </c>
      <c r="L242" s="1">
        <v>0.0</v>
      </c>
      <c r="M242" s="1">
        <v>3.0</v>
      </c>
      <c r="N242" s="1">
        <v>2.0</v>
      </c>
      <c r="O242" s="1">
        <v>0.0</v>
      </c>
      <c r="P242" s="1">
        <v>73.0</v>
      </c>
      <c r="Q242" s="1">
        <v>17.0</v>
      </c>
    </row>
    <row r="243">
      <c r="A243" s="1">
        <f t="shared" si="1"/>
        <v>241</v>
      </c>
      <c r="B243" s="1" t="s">
        <v>1558</v>
      </c>
      <c r="C243" s="1" t="s">
        <v>1030</v>
      </c>
      <c r="D243" s="1" t="s">
        <v>5</v>
      </c>
      <c r="E243" s="1">
        <f t="shared" si="2"/>
        <v>218.1</v>
      </c>
      <c r="F243" s="1">
        <f t="shared" si="3"/>
        <v>6.06</v>
      </c>
      <c r="G243" s="1">
        <v>36.0</v>
      </c>
      <c r="R243" s="1">
        <v>18.0</v>
      </c>
      <c r="S243" s="1">
        <v>90.0</v>
      </c>
      <c r="T243" s="1">
        <v>977.0</v>
      </c>
      <c r="U243" s="1">
        <v>2.0</v>
      </c>
    </row>
    <row r="244">
      <c r="A244" s="1">
        <f t="shared" si="1"/>
        <v>242</v>
      </c>
      <c r="B244" s="1" t="s">
        <v>1777</v>
      </c>
      <c r="C244" s="1" t="s">
        <v>1044</v>
      </c>
      <c r="D244" s="1" t="s">
        <v>31</v>
      </c>
      <c r="E244" s="1">
        <f t="shared" si="2"/>
        <v>218</v>
      </c>
      <c r="F244" s="1">
        <f t="shared" si="3"/>
        <v>3.07</v>
      </c>
      <c r="G244" s="1">
        <v>71.0</v>
      </c>
      <c r="H244" s="1">
        <v>11.0</v>
      </c>
      <c r="I244" s="1">
        <v>26.0</v>
      </c>
      <c r="J244" s="1">
        <v>37.0</v>
      </c>
      <c r="K244" s="1">
        <v>102.0</v>
      </c>
      <c r="L244" s="1">
        <v>1.0</v>
      </c>
      <c r="M244" s="1">
        <v>1.0</v>
      </c>
      <c r="N244" s="1">
        <v>4.0</v>
      </c>
      <c r="O244" s="1">
        <v>1.0</v>
      </c>
      <c r="P244" s="1">
        <v>44.0</v>
      </c>
      <c r="Q244" s="1">
        <v>37.0</v>
      </c>
    </row>
    <row r="245">
      <c r="A245" s="1">
        <f t="shared" si="1"/>
        <v>243</v>
      </c>
      <c r="B245" s="1" t="s">
        <v>2115</v>
      </c>
      <c r="C245" s="1" t="s">
        <v>1111</v>
      </c>
      <c r="D245" s="1" t="s">
        <v>31</v>
      </c>
      <c r="E245" s="1">
        <f t="shared" si="2"/>
        <v>217.75</v>
      </c>
      <c r="F245" s="1">
        <f t="shared" si="3"/>
        <v>3.11</v>
      </c>
      <c r="G245" s="1">
        <v>70.0</v>
      </c>
      <c r="H245" s="1">
        <v>10.0</v>
      </c>
      <c r="I245" s="1">
        <v>18.0</v>
      </c>
      <c r="J245" s="1">
        <v>28.0</v>
      </c>
      <c r="K245" s="1">
        <v>158.0</v>
      </c>
      <c r="L245" s="1">
        <v>1.0</v>
      </c>
      <c r="M245" s="1">
        <v>6.0</v>
      </c>
      <c r="N245" s="1">
        <v>1.0</v>
      </c>
      <c r="O245" s="1">
        <v>0.0</v>
      </c>
      <c r="P245" s="1">
        <v>43.0</v>
      </c>
      <c r="Q245" s="1">
        <v>54.0</v>
      </c>
    </row>
    <row r="246">
      <c r="A246" s="1">
        <f t="shared" si="1"/>
        <v>244</v>
      </c>
      <c r="B246" s="1" t="s">
        <v>2158</v>
      </c>
      <c r="C246" s="1" t="s">
        <v>1036</v>
      </c>
      <c r="D246" s="1" t="s">
        <v>36</v>
      </c>
      <c r="E246" s="1">
        <f t="shared" si="2"/>
        <v>217.25</v>
      </c>
      <c r="F246" s="1">
        <f t="shared" si="3"/>
        <v>3.68</v>
      </c>
      <c r="G246" s="1">
        <v>59.0</v>
      </c>
      <c r="H246" s="1">
        <v>15.0</v>
      </c>
      <c r="I246" s="1">
        <v>19.0</v>
      </c>
      <c r="J246" s="1">
        <v>34.0</v>
      </c>
      <c r="K246" s="1">
        <v>99.0</v>
      </c>
      <c r="L246" s="1">
        <v>0.0</v>
      </c>
      <c r="M246" s="1">
        <v>0.0</v>
      </c>
      <c r="N246" s="1">
        <v>0.0</v>
      </c>
      <c r="O246" s="1">
        <v>0.0</v>
      </c>
      <c r="P246" s="1">
        <v>157.0</v>
      </c>
      <c r="Q246" s="1">
        <v>8.0</v>
      </c>
    </row>
    <row r="247">
      <c r="A247" s="1">
        <f t="shared" si="1"/>
        <v>245</v>
      </c>
      <c r="B247" s="1" t="s">
        <v>1576</v>
      </c>
      <c r="C247" s="1" t="s">
        <v>1042</v>
      </c>
      <c r="D247" s="1" t="s">
        <v>31</v>
      </c>
      <c r="E247" s="1">
        <f t="shared" si="2"/>
        <v>217</v>
      </c>
      <c r="F247" s="1">
        <f t="shared" si="3"/>
        <v>3.39</v>
      </c>
      <c r="G247" s="1">
        <v>64.0</v>
      </c>
      <c r="H247" s="1">
        <v>15.0</v>
      </c>
      <c r="I247" s="1">
        <v>19.0</v>
      </c>
      <c r="J247" s="1">
        <v>34.0</v>
      </c>
      <c r="K247" s="1">
        <v>136.0</v>
      </c>
      <c r="L247" s="1">
        <v>2.0</v>
      </c>
      <c r="M247" s="1">
        <v>7.0</v>
      </c>
      <c r="N247" s="1">
        <v>2.0</v>
      </c>
      <c r="O247" s="1">
        <v>0.0</v>
      </c>
      <c r="P247" s="1">
        <v>28.0</v>
      </c>
      <c r="Q247" s="1">
        <v>27.0</v>
      </c>
    </row>
    <row r="248">
      <c r="A248" s="1">
        <f t="shared" si="1"/>
        <v>246</v>
      </c>
      <c r="B248" s="1" t="s">
        <v>1514</v>
      </c>
      <c r="C248" s="1" t="s">
        <v>1034</v>
      </c>
      <c r="D248" s="1" t="s">
        <v>28</v>
      </c>
      <c r="E248" s="1">
        <f t="shared" si="2"/>
        <v>216.5</v>
      </c>
      <c r="F248" s="1">
        <f t="shared" si="3"/>
        <v>3.09</v>
      </c>
      <c r="G248" s="1">
        <v>70.0</v>
      </c>
      <c r="H248" s="1">
        <v>8.0</v>
      </c>
      <c r="I248" s="1">
        <v>18.0</v>
      </c>
      <c r="J248" s="1">
        <v>26.0</v>
      </c>
      <c r="K248" s="1">
        <v>102.0</v>
      </c>
      <c r="L248" s="1">
        <v>0.0</v>
      </c>
      <c r="M248" s="1">
        <v>2.0</v>
      </c>
      <c r="N248" s="1">
        <v>0.0</v>
      </c>
      <c r="O248" s="1">
        <v>1.0</v>
      </c>
      <c r="P248" s="1">
        <v>162.0</v>
      </c>
      <c r="Q248" s="1">
        <v>66.0</v>
      </c>
    </row>
    <row r="249">
      <c r="A249" s="1">
        <f t="shared" si="1"/>
        <v>247</v>
      </c>
      <c r="B249" s="1" t="s">
        <v>2086</v>
      </c>
      <c r="C249" s="1" t="s">
        <v>1038</v>
      </c>
      <c r="D249" s="1" t="s">
        <v>31</v>
      </c>
      <c r="E249" s="1">
        <f t="shared" si="2"/>
        <v>215.25</v>
      </c>
      <c r="F249" s="1">
        <f t="shared" si="3"/>
        <v>3.53</v>
      </c>
      <c r="G249" s="1">
        <v>61.0</v>
      </c>
      <c r="H249" s="1">
        <v>13.0</v>
      </c>
      <c r="I249" s="1">
        <v>30.0</v>
      </c>
      <c r="J249" s="1">
        <v>43.0</v>
      </c>
      <c r="K249" s="1">
        <v>83.0</v>
      </c>
      <c r="L249" s="1">
        <v>3.0</v>
      </c>
      <c r="M249" s="1">
        <v>11.0</v>
      </c>
      <c r="N249" s="1">
        <v>0.0</v>
      </c>
      <c r="O249" s="1">
        <v>0.0</v>
      </c>
      <c r="P249" s="1">
        <v>37.0</v>
      </c>
      <c r="Q249" s="1">
        <v>32.0</v>
      </c>
      <c r="T249" s="12"/>
    </row>
    <row r="250">
      <c r="A250" s="1">
        <f t="shared" si="1"/>
        <v>248</v>
      </c>
      <c r="B250" s="1" t="s">
        <v>1066</v>
      </c>
      <c r="C250" s="1" t="s">
        <v>1067</v>
      </c>
      <c r="D250" s="1" t="s">
        <v>66</v>
      </c>
      <c r="E250" s="1">
        <f t="shared" si="2"/>
        <v>214.5</v>
      </c>
      <c r="F250" s="1">
        <f t="shared" si="3"/>
        <v>3.64</v>
      </c>
      <c r="G250" s="1">
        <v>59.0</v>
      </c>
      <c r="H250" s="1">
        <v>4.0</v>
      </c>
      <c r="I250" s="1">
        <v>36.0</v>
      </c>
      <c r="J250" s="1">
        <v>40.0</v>
      </c>
      <c r="K250" s="1">
        <v>90.0</v>
      </c>
      <c r="L250" s="1">
        <v>2.0</v>
      </c>
      <c r="M250" s="1">
        <v>17.0</v>
      </c>
      <c r="N250" s="1">
        <v>0.0</v>
      </c>
      <c r="O250" s="1">
        <v>0.0</v>
      </c>
      <c r="P250" s="1">
        <v>72.0</v>
      </c>
      <c r="Q250" s="1">
        <v>51.0</v>
      </c>
    </row>
    <row r="251">
      <c r="A251" s="1">
        <f t="shared" si="1"/>
        <v>249</v>
      </c>
      <c r="B251" s="1" t="s">
        <v>1341</v>
      </c>
      <c r="C251" s="1" t="s">
        <v>1175</v>
      </c>
      <c r="D251" s="1" t="s">
        <v>28</v>
      </c>
      <c r="E251" s="1">
        <f t="shared" si="2"/>
        <v>214.25</v>
      </c>
      <c r="F251" s="1">
        <f t="shared" si="3"/>
        <v>4.46</v>
      </c>
      <c r="G251" s="1">
        <v>48.0</v>
      </c>
      <c r="H251" s="1">
        <v>16.0</v>
      </c>
      <c r="I251" s="1">
        <v>20.0</v>
      </c>
      <c r="J251" s="1">
        <v>36.0</v>
      </c>
      <c r="K251" s="1">
        <v>117.0</v>
      </c>
      <c r="L251" s="1">
        <v>2.0</v>
      </c>
      <c r="M251" s="1">
        <v>5.0</v>
      </c>
      <c r="N251" s="1">
        <v>2.0</v>
      </c>
      <c r="O251" s="1">
        <v>0.0</v>
      </c>
      <c r="P251" s="1">
        <v>29.0</v>
      </c>
      <c r="Q251" s="1">
        <v>25.0</v>
      </c>
    </row>
    <row r="252">
      <c r="A252" s="1">
        <f t="shared" si="1"/>
        <v>249</v>
      </c>
      <c r="B252" s="1" t="s">
        <v>1334</v>
      </c>
      <c r="C252" s="1" t="s">
        <v>1085</v>
      </c>
      <c r="D252" s="1" t="s">
        <v>66</v>
      </c>
      <c r="E252" s="1">
        <f t="shared" si="2"/>
        <v>214.25</v>
      </c>
      <c r="F252" s="1">
        <f t="shared" si="3"/>
        <v>3.11</v>
      </c>
      <c r="G252" s="1">
        <v>69.0</v>
      </c>
      <c r="H252" s="1">
        <v>3.0</v>
      </c>
      <c r="I252" s="1">
        <v>20.0</v>
      </c>
      <c r="J252" s="1">
        <v>23.0</v>
      </c>
      <c r="K252" s="1">
        <v>98.0</v>
      </c>
      <c r="L252" s="1">
        <v>1.0</v>
      </c>
      <c r="M252" s="1">
        <v>6.0</v>
      </c>
      <c r="N252" s="1">
        <v>0.0</v>
      </c>
      <c r="O252" s="1">
        <v>3.0</v>
      </c>
      <c r="P252" s="1">
        <v>89.0</v>
      </c>
      <c r="Q252" s="1">
        <v>127.0</v>
      </c>
    </row>
    <row r="253">
      <c r="A253" s="1">
        <f t="shared" si="1"/>
        <v>251</v>
      </c>
      <c r="B253" s="1" t="s">
        <v>1527</v>
      </c>
      <c r="C253" s="1" t="s">
        <v>1030</v>
      </c>
      <c r="D253" s="1" t="s">
        <v>66</v>
      </c>
      <c r="E253" s="1">
        <f t="shared" si="2"/>
        <v>213.5</v>
      </c>
      <c r="F253" s="1">
        <f t="shared" si="3"/>
        <v>3.05</v>
      </c>
      <c r="G253" s="1">
        <v>70.0</v>
      </c>
      <c r="H253" s="1">
        <v>4.0</v>
      </c>
      <c r="I253" s="1">
        <v>30.0</v>
      </c>
      <c r="J253" s="1">
        <v>34.0</v>
      </c>
      <c r="K253" s="1">
        <v>96.0</v>
      </c>
      <c r="L253" s="1">
        <v>1.0</v>
      </c>
      <c r="M253" s="1">
        <v>12.0</v>
      </c>
      <c r="N253" s="1">
        <v>0.0</v>
      </c>
      <c r="O253" s="1">
        <v>0.0</v>
      </c>
      <c r="P253" s="1">
        <v>46.0</v>
      </c>
      <c r="Q253" s="1">
        <v>92.0</v>
      </c>
    </row>
    <row r="254">
      <c r="A254" s="1">
        <f t="shared" si="1"/>
        <v>252</v>
      </c>
      <c r="B254" s="1" t="s">
        <v>1264</v>
      </c>
      <c r="C254" s="1" t="s">
        <v>1073</v>
      </c>
      <c r="D254" s="1" t="s">
        <v>5</v>
      </c>
      <c r="E254" s="1">
        <f t="shared" si="2"/>
        <v>212.1</v>
      </c>
      <c r="F254" s="1">
        <f t="shared" si="3"/>
        <v>5.3</v>
      </c>
      <c r="G254" s="1">
        <v>40.0</v>
      </c>
      <c r="R254" s="1">
        <v>21.0</v>
      </c>
      <c r="S254" s="1">
        <v>104.0</v>
      </c>
      <c r="T254" s="1">
        <v>987.0</v>
      </c>
      <c r="U254" s="1">
        <v>3.0</v>
      </c>
    </row>
    <row r="255">
      <c r="A255" s="1">
        <f t="shared" si="1"/>
        <v>253</v>
      </c>
      <c r="B255" s="1" t="s">
        <v>1510</v>
      </c>
      <c r="C255" s="1" t="s">
        <v>1030</v>
      </c>
      <c r="D255" s="1" t="s">
        <v>66</v>
      </c>
      <c r="E255" s="1">
        <f t="shared" si="2"/>
        <v>211.75</v>
      </c>
      <c r="F255" s="1">
        <f t="shared" si="3"/>
        <v>3.26</v>
      </c>
      <c r="G255" s="1">
        <v>65.0</v>
      </c>
      <c r="H255" s="1">
        <v>4.0</v>
      </c>
      <c r="I255" s="1">
        <v>22.0</v>
      </c>
      <c r="J255" s="1">
        <v>26.0</v>
      </c>
      <c r="K255" s="1">
        <v>92.0</v>
      </c>
      <c r="L255" s="1">
        <v>0.0</v>
      </c>
      <c r="M255" s="1">
        <v>0.0</v>
      </c>
      <c r="N255" s="1">
        <v>0.0</v>
      </c>
      <c r="O255" s="1">
        <v>0.0</v>
      </c>
      <c r="P255" s="1">
        <v>83.0</v>
      </c>
      <c r="Q255" s="1">
        <v>122.0</v>
      </c>
    </row>
    <row r="256">
      <c r="A256" s="1">
        <f t="shared" si="1"/>
        <v>253</v>
      </c>
      <c r="B256" s="1" t="s">
        <v>2186</v>
      </c>
      <c r="C256" s="1" t="s">
        <v>1032</v>
      </c>
      <c r="D256" s="1" t="s">
        <v>66</v>
      </c>
      <c r="E256" s="1">
        <f t="shared" si="2"/>
        <v>211.75</v>
      </c>
      <c r="F256" s="1">
        <f t="shared" si="3"/>
        <v>4</v>
      </c>
      <c r="G256" s="1">
        <v>53.0</v>
      </c>
      <c r="H256" s="1">
        <v>6.0</v>
      </c>
      <c r="I256" s="1">
        <v>17.0</v>
      </c>
      <c r="J256" s="1">
        <v>23.0</v>
      </c>
      <c r="K256" s="1">
        <v>99.0</v>
      </c>
      <c r="L256" s="1">
        <v>0.0</v>
      </c>
      <c r="M256" s="1">
        <v>0.0</v>
      </c>
      <c r="N256" s="1">
        <v>0.0</v>
      </c>
      <c r="O256" s="1">
        <v>1.0</v>
      </c>
      <c r="P256" s="1">
        <v>109.0</v>
      </c>
      <c r="Q256" s="1">
        <v>110.0</v>
      </c>
    </row>
    <row r="257">
      <c r="A257" s="1">
        <f t="shared" si="1"/>
        <v>255</v>
      </c>
      <c r="B257" s="1" t="s">
        <v>1598</v>
      </c>
      <c r="C257" s="1" t="s">
        <v>1046</v>
      </c>
      <c r="D257" s="1" t="s">
        <v>66</v>
      </c>
      <c r="E257" s="1">
        <f t="shared" si="2"/>
        <v>211.25</v>
      </c>
      <c r="F257" s="1">
        <f t="shared" si="3"/>
        <v>3.58</v>
      </c>
      <c r="G257" s="1">
        <v>59.0</v>
      </c>
      <c r="H257" s="1">
        <v>7.0</v>
      </c>
      <c r="I257" s="1">
        <v>24.0</v>
      </c>
      <c r="J257" s="1">
        <v>31.0</v>
      </c>
      <c r="K257" s="1">
        <v>112.0</v>
      </c>
      <c r="L257" s="1">
        <v>1.0</v>
      </c>
      <c r="M257" s="1">
        <v>6.0</v>
      </c>
      <c r="N257" s="1">
        <v>0.0</v>
      </c>
      <c r="O257" s="1">
        <v>0.0</v>
      </c>
      <c r="P257" s="1">
        <v>25.0</v>
      </c>
      <c r="Q257" s="1">
        <v>91.0</v>
      </c>
    </row>
    <row r="258">
      <c r="A258" s="1">
        <f t="shared" si="1"/>
        <v>256</v>
      </c>
      <c r="B258" s="1" t="s">
        <v>1760</v>
      </c>
      <c r="C258" s="1" t="s">
        <v>1111</v>
      </c>
      <c r="D258" s="1" t="s">
        <v>5</v>
      </c>
      <c r="E258" s="1">
        <f t="shared" si="2"/>
        <v>211.2</v>
      </c>
      <c r="F258" s="1">
        <f t="shared" si="3"/>
        <v>6.4</v>
      </c>
      <c r="G258" s="1">
        <v>33.0</v>
      </c>
      <c r="R258" s="1">
        <v>15.0</v>
      </c>
      <c r="S258" s="1">
        <v>80.0</v>
      </c>
      <c r="T258" s="1">
        <v>934.0</v>
      </c>
      <c r="U258" s="1">
        <v>2.0</v>
      </c>
    </row>
    <row r="259">
      <c r="A259" s="1">
        <f t="shared" si="1"/>
        <v>257</v>
      </c>
      <c r="B259" s="1" t="s">
        <v>1350</v>
      </c>
      <c r="C259" s="1" t="s">
        <v>1073</v>
      </c>
      <c r="D259" s="1" t="s">
        <v>31</v>
      </c>
      <c r="E259" s="1">
        <f t="shared" si="2"/>
        <v>210.75</v>
      </c>
      <c r="F259" s="1">
        <f t="shared" si="3"/>
        <v>3.1</v>
      </c>
      <c r="G259" s="1">
        <v>68.0</v>
      </c>
      <c r="H259" s="1">
        <v>8.0</v>
      </c>
      <c r="I259" s="1">
        <v>19.0</v>
      </c>
      <c r="J259" s="1">
        <v>27.0</v>
      </c>
      <c r="K259" s="1">
        <v>125.0</v>
      </c>
      <c r="L259" s="1">
        <v>2.0</v>
      </c>
      <c r="M259" s="1">
        <v>1.0</v>
      </c>
      <c r="N259" s="1">
        <v>0.0</v>
      </c>
      <c r="O259" s="1">
        <v>0.0</v>
      </c>
      <c r="P259" s="1">
        <v>149.0</v>
      </c>
      <c r="Q259" s="1">
        <v>36.0</v>
      </c>
    </row>
    <row r="260">
      <c r="A260" s="1">
        <f t="shared" si="1"/>
        <v>258</v>
      </c>
      <c r="B260" s="1" t="s">
        <v>1340</v>
      </c>
      <c r="C260" s="1" t="s">
        <v>1067</v>
      </c>
      <c r="D260" s="1" t="s">
        <v>5</v>
      </c>
      <c r="E260" s="1">
        <f t="shared" si="2"/>
        <v>210</v>
      </c>
      <c r="F260" s="1">
        <f t="shared" si="3"/>
        <v>6.18</v>
      </c>
      <c r="G260" s="1">
        <v>34.0</v>
      </c>
      <c r="R260" s="1">
        <v>17.0</v>
      </c>
      <c r="S260" s="1">
        <v>91.0</v>
      </c>
      <c r="T260" s="1">
        <v>975.0</v>
      </c>
      <c r="U260" s="1">
        <v>1.0</v>
      </c>
    </row>
    <row r="261">
      <c r="A261" s="1">
        <f t="shared" si="1"/>
        <v>259</v>
      </c>
      <c r="B261" s="1" t="s">
        <v>1395</v>
      </c>
      <c r="C261" s="1" t="s">
        <v>1082</v>
      </c>
      <c r="D261" s="1" t="s">
        <v>66</v>
      </c>
      <c r="E261" s="1">
        <f t="shared" si="2"/>
        <v>209</v>
      </c>
      <c r="F261" s="1">
        <f t="shared" si="3"/>
        <v>3.03</v>
      </c>
      <c r="G261" s="1">
        <v>69.0</v>
      </c>
      <c r="H261" s="1">
        <v>4.0</v>
      </c>
      <c r="I261" s="1">
        <v>23.0</v>
      </c>
      <c r="J261" s="1">
        <v>27.0</v>
      </c>
      <c r="K261" s="1">
        <v>105.0</v>
      </c>
      <c r="L261" s="1">
        <v>1.0</v>
      </c>
      <c r="M261" s="1">
        <v>4.0</v>
      </c>
      <c r="N261" s="1">
        <v>0.0</v>
      </c>
      <c r="O261" s="1">
        <v>1.0</v>
      </c>
      <c r="P261" s="1">
        <v>106.0</v>
      </c>
      <c r="Q261" s="1">
        <v>82.0</v>
      </c>
    </row>
    <row r="262">
      <c r="A262" s="1">
        <f t="shared" si="1"/>
        <v>260</v>
      </c>
      <c r="B262" s="1" t="s">
        <v>1597</v>
      </c>
      <c r="C262" s="1" t="s">
        <v>1073</v>
      </c>
      <c r="D262" s="1" t="s">
        <v>36</v>
      </c>
      <c r="E262" s="1">
        <f t="shared" si="2"/>
        <v>208.75</v>
      </c>
      <c r="F262" s="1">
        <f t="shared" si="3"/>
        <v>3.03</v>
      </c>
      <c r="G262" s="1">
        <v>69.0</v>
      </c>
      <c r="H262" s="1">
        <v>12.0</v>
      </c>
      <c r="I262" s="1">
        <v>17.0</v>
      </c>
      <c r="J262" s="1">
        <v>29.0</v>
      </c>
      <c r="K262" s="1">
        <v>84.0</v>
      </c>
      <c r="L262" s="1">
        <v>0.0</v>
      </c>
      <c r="M262" s="1">
        <v>0.0</v>
      </c>
      <c r="N262" s="1">
        <v>2.0</v>
      </c>
      <c r="O262" s="1">
        <v>0.0</v>
      </c>
      <c r="P262" s="1">
        <v>125.0</v>
      </c>
      <c r="Q262" s="1">
        <v>53.0</v>
      </c>
    </row>
    <row r="263">
      <c r="A263" s="1">
        <f t="shared" si="1"/>
        <v>260</v>
      </c>
      <c r="B263" s="1" t="s">
        <v>1386</v>
      </c>
      <c r="C263" s="1" t="s">
        <v>1054</v>
      </c>
      <c r="D263" s="1" t="s">
        <v>66</v>
      </c>
      <c r="E263" s="1">
        <f t="shared" si="2"/>
        <v>208.75</v>
      </c>
      <c r="F263" s="1">
        <f t="shared" si="3"/>
        <v>3.03</v>
      </c>
      <c r="G263" s="1">
        <v>69.0</v>
      </c>
      <c r="H263" s="1">
        <v>2.0</v>
      </c>
      <c r="I263" s="1">
        <v>26.0</v>
      </c>
      <c r="J263" s="1">
        <v>28.0</v>
      </c>
      <c r="K263" s="1">
        <v>103.0</v>
      </c>
      <c r="L263" s="1">
        <v>0.0</v>
      </c>
      <c r="M263" s="1">
        <v>1.0</v>
      </c>
      <c r="N263" s="1">
        <v>0.0</v>
      </c>
      <c r="O263" s="1">
        <v>2.0</v>
      </c>
      <c r="P263" s="1">
        <v>41.0</v>
      </c>
      <c r="Q263" s="1">
        <v>112.0</v>
      </c>
    </row>
    <row r="264">
      <c r="A264" s="1">
        <f t="shared" si="1"/>
        <v>262</v>
      </c>
      <c r="B264" s="1" t="s">
        <v>2388</v>
      </c>
      <c r="C264" s="1" t="s">
        <v>1048</v>
      </c>
      <c r="D264" s="1" t="s">
        <v>36</v>
      </c>
      <c r="E264" s="1">
        <f t="shared" si="2"/>
        <v>208.5</v>
      </c>
      <c r="F264" s="1">
        <f t="shared" si="3"/>
        <v>3.02</v>
      </c>
      <c r="G264" s="1">
        <v>69.0</v>
      </c>
      <c r="H264" s="1">
        <v>19.0</v>
      </c>
      <c r="I264" s="1">
        <v>14.0</v>
      </c>
      <c r="J264" s="1">
        <v>33.0</v>
      </c>
      <c r="K264" s="1">
        <v>117.0</v>
      </c>
      <c r="L264" s="1">
        <v>4.0</v>
      </c>
      <c r="M264" s="1">
        <v>2.0</v>
      </c>
      <c r="N264" s="1">
        <v>0.0</v>
      </c>
      <c r="O264" s="1">
        <v>0.0</v>
      </c>
      <c r="P264" s="1">
        <v>56.0</v>
      </c>
      <c r="Q264" s="1">
        <v>17.0</v>
      </c>
    </row>
    <row r="265">
      <c r="A265" s="1">
        <f t="shared" si="1"/>
        <v>263</v>
      </c>
      <c r="B265" s="1" t="s">
        <v>1857</v>
      </c>
      <c r="C265" s="1" t="s">
        <v>1085</v>
      </c>
      <c r="D265" s="1" t="s">
        <v>66</v>
      </c>
      <c r="E265" s="1">
        <f t="shared" si="2"/>
        <v>208.25</v>
      </c>
      <c r="F265" s="1">
        <f t="shared" si="3"/>
        <v>3.59</v>
      </c>
      <c r="G265" s="1">
        <v>58.0</v>
      </c>
      <c r="H265" s="1">
        <v>6.0</v>
      </c>
      <c r="I265" s="1">
        <v>26.0</v>
      </c>
      <c r="J265" s="1">
        <v>32.0</v>
      </c>
      <c r="K265" s="1">
        <v>120.0</v>
      </c>
      <c r="L265" s="1">
        <v>2.0</v>
      </c>
      <c r="M265" s="1">
        <v>15.0</v>
      </c>
      <c r="N265" s="1">
        <v>0.0</v>
      </c>
      <c r="O265" s="1">
        <v>0.0</v>
      </c>
      <c r="P265" s="1">
        <v>29.0</v>
      </c>
      <c r="Q265" s="1">
        <v>72.0</v>
      </c>
    </row>
    <row r="266">
      <c r="A266" s="1">
        <f t="shared" si="1"/>
        <v>263</v>
      </c>
      <c r="B266" s="1" t="s">
        <v>1561</v>
      </c>
      <c r="C266" s="1" t="s">
        <v>1042</v>
      </c>
      <c r="D266" s="1" t="s">
        <v>31</v>
      </c>
      <c r="E266" s="1">
        <f t="shared" si="2"/>
        <v>208.25</v>
      </c>
      <c r="F266" s="1">
        <f t="shared" si="3"/>
        <v>3.06</v>
      </c>
      <c r="G266" s="1">
        <v>68.0</v>
      </c>
      <c r="H266" s="1">
        <v>14.0</v>
      </c>
      <c r="I266" s="1">
        <v>22.0</v>
      </c>
      <c r="J266" s="1">
        <v>36.0</v>
      </c>
      <c r="K266" s="1">
        <v>101.0</v>
      </c>
      <c r="L266" s="1">
        <v>3.0</v>
      </c>
      <c r="M266" s="1">
        <v>6.0</v>
      </c>
      <c r="N266" s="1">
        <v>1.0</v>
      </c>
      <c r="O266" s="1">
        <v>0.0</v>
      </c>
      <c r="P266" s="1">
        <v>39.0</v>
      </c>
      <c r="Q266" s="1">
        <v>34.0</v>
      </c>
    </row>
    <row r="267">
      <c r="A267" s="1">
        <f t="shared" si="1"/>
        <v>265</v>
      </c>
      <c r="B267" s="1" t="s">
        <v>2346</v>
      </c>
      <c r="C267" s="1" t="s">
        <v>1036</v>
      </c>
      <c r="D267" s="1" t="s">
        <v>36</v>
      </c>
      <c r="E267" s="1">
        <f t="shared" si="2"/>
        <v>208</v>
      </c>
      <c r="F267" s="1">
        <f t="shared" si="3"/>
        <v>3.78</v>
      </c>
      <c r="G267" s="1">
        <v>55.0</v>
      </c>
      <c r="H267" s="1">
        <v>19.0</v>
      </c>
      <c r="I267" s="1">
        <v>12.0</v>
      </c>
      <c r="J267" s="1">
        <v>31.0</v>
      </c>
      <c r="K267" s="1">
        <v>112.0</v>
      </c>
      <c r="L267" s="1">
        <v>12.0</v>
      </c>
      <c r="M267" s="1">
        <v>5.0</v>
      </c>
      <c r="N267" s="1">
        <v>0.0</v>
      </c>
      <c r="O267" s="1">
        <v>0.0</v>
      </c>
      <c r="P267" s="1">
        <v>88.0</v>
      </c>
      <c r="Q267" s="1">
        <v>17.0</v>
      </c>
      <c r="T267" s="12"/>
    </row>
    <row r="268">
      <c r="A268" s="1">
        <f t="shared" si="1"/>
        <v>266</v>
      </c>
      <c r="B268" s="1" t="s">
        <v>1610</v>
      </c>
      <c r="C268" s="1" t="s">
        <v>1111</v>
      </c>
      <c r="D268" s="1" t="s">
        <v>5</v>
      </c>
      <c r="E268" s="1">
        <f t="shared" si="2"/>
        <v>207.9</v>
      </c>
      <c r="F268" s="1">
        <f t="shared" si="3"/>
        <v>7.17</v>
      </c>
      <c r="G268" s="1">
        <v>29.0</v>
      </c>
      <c r="R268" s="1">
        <v>16.0</v>
      </c>
      <c r="S268" s="1">
        <v>65.0</v>
      </c>
      <c r="T268" s="1">
        <v>838.0</v>
      </c>
      <c r="U268" s="1">
        <v>2.0</v>
      </c>
    </row>
    <row r="269">
      <c r="A269" s="1">
        <f t="shared" si="1"/>
        <v>267</v>
      </c>
      <c r="B269" s="1" t="s">
        <v>1880</v>
      </c>
      <c r="C269" s="1" t="s">
        <v>1085</v>
      </c>
      <c r="D269" s="1" t="s">
        <v>36</v>
      </c>
      <c r="E269" s="1">
        <f t="shared" si="2"/>
        <v>207.75</v>
      </c>
      <c r="F269" s="1">
        <f t="shared" si="3"/>
        <v>3.25</v>
      </c>
      <c r="G269" s="1">
        <v>64.0</v>
      </c>
      <c r="H269" s="1">
        <v>20.0</v>
      </c>
      <c r="I269" s="1">
        <v>9.0</v>
      </c>
      <c r="J269" s="1">
        <v>29.0</v>
      </c>
      <c r="K269" s="1">
        <v>132.0</v>
      </c>
      <c r="L269" s="1">
        <v>7.0</v>
      </c>
      <c r="M269" s="1">
        <v>5.0</v>
      </c>
      <c r="N269" s="1">
        <v>0.0</v>
      </c>
      <c r="O269" s="1">
        <v>0.0</v>
      </c>
      <c r="P269" s="1">
        <v>63.0</v>
      </c>
      <c r="Q269" s="1">
        <v>18.0</v>
      </c>
      <c r="T269" s="12"/>
    </row>
    <row r="270">
      <c r="A270" s="1">
        <f t="shared" si="1"/>
        <v>267</v>
      </c>
      <c r="B270" s="1" t="s">
        <v>2250</v>
      </c>
      <c r="C270" s="1" t="s">
        <v>1042</v>
      </c>
      <c r="D270" s="1" t="s">
        <v>66</v>
      </c>
      <c r="E270" s="1">
        <f t="shared" si="2"/>
        <v>207.75</v>
      </c>
      <c r="F270" s="1">
        <f t="shared" si="3"/>
        <v>3.92</v>
      </c>
      <c r="G270" s="1">
        <v>53.0</v>
      </c>
      <c r="H270" s="1">
        <v>7.0</v>
      </c>
      <c r="I270" s="1">
        <v>11.0</v>
      </c>
      <c r="J270" s="1">
        <v>18.0</v>
      </c>
      <c r="K270" s="1">
        <v>63.0</v>
      </c>
      <c r="L270" s="1">
        <v>0.0</v>
      </c>
      <c r="M270" s="1">
        <v>0.0</v>
      </c>
      <c r="N270" s="1">
        <v>1.0</v>
      </c>
      <c r="O270" s="1">
        <v>0.0</v>
      </c>
      <c r="P270" s="1">
        <v>199.0</v>
      </c>
      <c r="Q270" s="1">
        <v>120.0</v>
      </c>
    </row>
    <row r="271">
      <c r="A271" s="1">
        <f t="shared" si="1"/>
        <v>269</v>
      </c>
      <c r="B271" s="1" t="s">
        <v>1539</v>
      </c>
      <c r="C271" s="1" t="s">
        <v>1078</v>
      </c>
      <c r="D271" s="1" t="s">
        <v>5</v>
      </c>
      <c r="E271" s="1">
        <f t="shared" si="2"/>
        <v>207.6</v>
      </c>
      <c r="F271" s="1">
        <f t="shared" si="3"/>
        <v>4.94</v>
      </c>
      <c r="G271" s="1">
        <v>42.0</v>
      </c>
      <c r="R271" s="1">
        <v>16.0</v>
      </c>
      <c r="S271" s="1">
        <v>117.0</v>
      </c>
      <c r="T271" s="12">
        <v>1107.0</v>
      </c>
      <c r="U271" s="1">
        <v>1.0</v>
      </c>
    </row>
    <row r="272">
      <c r="A272" s="1">
        <f t="shared" si="1"/>
        <v>270</v>
      </c>
      <c r="B272" s="1" t="s">
        <v>1278</v>
      </c>
      <c r="C272" s="1" t="s">
        <v>1030</v>
      </c>
      <c r="D272" s="1" t="s">
        <v>31</v>
      </c>
      <c r="E272" s="1">
        <f t="shared" si="2"/>
        <v>207.5</v>
      </c>
      <c r="F272" s="1">
        <f t="shared" si="3"/>
        <v>3.1</v>
      </c>
      <c r="G272" s="1">
        <v>67.0</v>
      </c>
      <c r="H272" s="1">
        <v>11.0</v>
      </c>
      <c r="I272" s="1">
        <v>20.0</v>
      </c>
      <c r="J272" s="1">
        <v>31.0</v>
      </c>
      <c r="K272" s="1">
        <v>106.0</v>
      </c>
      <c r="L272" s="1">
        <v>1.0</v>
      </c>
      <c r="M272" s="1">
        <v>4.0</v>
      </c>
      <c r="N272" s="1">
        <v>0.0</v>
      </c>
      <c r="O272" s="1">
        <v>3.0</v>
      </c>
      <c r="P272" s="1">
        <v>36.0</v>
      </c>
      <c r="Q272" s="1">
        <v>60.0</v>
      </c>
    </row>
    <row r="273">
      <c r="A273" s="1">
        <f t="shared" si="1"/>
        <v>271</v>
      </c>
      <c r="B273" s="1" t="s">
        <v>2287</v>
      </c>
      <c r="C273" s="1" t="s">
        <v>1076</v>
      </c>
      <c r="D273" s="1" t="s">
        <v>66</v>
      </c>
      <c r="E273" s="1">
        <f t="shared" si="2"/>
        <v>207</v>
      </c>
      <c r="F273" s="1">
        <f t="shared" si="3"/>
        <v>3.04</v>
      </c>
      <c r="G273" s="1">
        <v>68.0</v>
      </c>
      <c r="H273" s="1">
        <v>7.0</v>
      </c>
      <c r="I273" s="1">
        <v>11.0</v>
      </c>
      <c r="J273" s="1">
        <v>18.0</v>
      </c>
      <c r="K273" s="1">
        <v>151.0</v>
      </c>
      <c r="L273" s="1">
        <v>2.0</v>
      </c>
      <c r="M273" s="1">
        <v>4.0</v>
      </c>
      <c r="N273" s="1">
        <v>0.0</v>
      </c>
      <c r="O273" s="1">
        <v>0.0</v>
      </c>
      <c r="P273" s="1">
        <v>88.0</v>
      </c>
      <c r="Q273" s="1">
        <v>90.0</v>
      </c>
    </row>
    <row r="274">
      <c r="A274" s="1">
        <f t="shared" si="1"/>
        <v>272</v>
      </c>
      <c r="B274" s="1" t="s">
        <v>2094</v>
      </c>
      <c r="C274" s="1" t="s">
        <v>1570</v>
      </c>
      <c r="D274" s="1" t="s">
        <v>31</v>
      </c>
      <c r="E274" s="1">
        <f t="shared" si="2"/>
        <v>206.75</v>
      </c>
      <c r="F274" s="1">
        <f t="shared" si="3"/>
        <v>3.13</v>
      </c>
      <c r="G274" s="1">
        <v>66.0</v>
      </c>
      <c r="H274" s="1">
        <v>10.0</v>
      </c>
      <c r="I274" s="1">
        <v>22.0</v>
      </c>
      <c r="J274" s="1">
        <v>32.0</v>
      </c>
      <c r="K274" s="1">
        <v>110.0</v>
      </c>
      <c r="L274" s="1">
        <v>3.0</v>
      </c>
      <c r="M274" s="1">
        <v>7.0</v>
      </c>
      <c r="N274" s="1">
        <v>0.0</v>
      </c>
      <c r="O274" s="1">
        <v>0.0</v>
      </c>
      <c r="P274" s="1">
        <v>115.0</v>
      </c>
      <c r="Q274" s="1">
        <v>24.0</v>
      </c>
    </row>
    <row r="275">
      <c r="A275" s="1">
        <f t="shared" si="1"/>
        <v>272</v>
      </c>
      <c r="B275" s="1" t="s">
        <v>1332</v>
      </c>
      <c r="C275" s="1" t="s">
        <v>1069</v>
      </c>
      <c r="D275" s="1" t="s">
        <v>28</v>
      </c>
      <c r="E275" s="1">
        <f t="shared" si="2"/>
        <v>206.75</v>
      </c>
      <c r="F275" s="1">
        <f t="shared" si="3"/>
        <v>3.04</v>
      </c>
      <c r="G275" s="1">
        <v>68.0</v>
      </c>
      <c r="H275" s="1">
        <v>17.0</v>
      </c>
      <c r="I275" s="1">
        <v>15.0</v>
      </c>
      <c r="J275" s="1">
        <v>32.0</v>
      </c>
      <c r="K275" s="1">
        <v>109.0</v>
      </c>
      <c r="L275" s="1">
        <v>0.0</v>
      </c>
      <c r="M275" s="1">
        <v>1.0</v>
      </c>
      <c r="N275" s="1">
        <v>0.0</v>
      </c>
      <c r="O275" s="1">
        <v>0.0</v>
      </c>
      <c r="P275" s="1">
        <v>73.0</v>
      </c>
      <c r="Q275" s="1">
        <v>25.0</v>
      </c>
    </row>
    <row r="276">
      <c r="A276" s="1">
        <f t="shared" si="1"/>
        <v>274</v>
      </c>
      <c r="B276" s="1" t="s">
        <v>1409</v>
      </c>
      <c r="C276" s="1" t="s">
        <v>1156</v>
      </c>
      <c r="D276" s="1" t="s">
        <v>5</v>
      </c>
      <c r="E276" s="1">
        <f t="shared" si="2"/>
        <v>206.4</v>
      </c>
      <c r="F276" s="1">
        <f t="shared" si="3"/>
        <v>5.58</v>
      </c>
      <c r="G276" s="1">
        <v>37.0</v>
      </c>
      <c r="R276" s="1">
        <v>19.0</v>
      </c>
      <c r="S276" s="1">
        <v>92.0</v>
      </c>
      <c r="T276" s="1">
        <v>938.0</v>
      </c>
      <c r="U276" s="1">
        <v>2.0</v>
      </c>
    </row>
    <row r="277">
      <c r="A277" s="1">
        <f t="shared" si="1"/>
        <v>275</v>
      </c>
      <c r="B277" s="1" t="s">
        <v>2291</v>
      </c>
      <c r="C277" s="1" t="s">
        <v>1172</v>
      </c>
      <c r="D277" s="1" t="s">
        <v>66</v>
      </c>
      <c r="E277" s="1">
        <f t="shared" si="2"/>
        <v>206</v>
      </c>
      <c r="F277" s="1">
        <f t="shared" si="3"/>
        <v>3.38</v>
      </c>
      <c r="G277" s="1">
        <v>61.0</v>
      </c>
      <c r="H277" s="1">
        <v>3.0</v>
      </c>
      <c r="I277" s="1">
        <v>24.0</v>
      </c>
      <c r="J277" s="1">
        <v>27.0</v>
      </c>
      <c r="K277" s="1">
        <v>111.0</v>
      </c>
      <c r="L277" s="1">
        <v>2.0</v>
      </c>
      <c r="M277" s="1">
        <v>9.0</v>
      </c>
      <c r="N277" s="1">
        <v>0.0</v>
      </c>
      <c r="O277" s="1">
        <v>0.0</v>
      </c>
      <c r="P277" s="1">
        <v>26.0</v>
      </c>
      <c r="Q277" s="1">
        <v>117.0</v>
      </c>
    </row>
    <row r="278">
      <c r="A278" s="1">
        <f t="shared" si="1"/>
        <v>276</v>
      </c>
      <c r="B278" s="1" t="s">
        <v>1193</v>
      </c>
      <c r="C278" s="1" t="s">
        <v>1030</v>
      </c>
      <c r="D278" s="1" t="s">
        <v>66</v>
      </c>
      <c r="E278" s="1">
        <f t="shared" si="2"/>
        <v>205.25</v>
      </c>
      <c r="F278" s="1">
        <f t="shared" si="3"/>
        <v>3.02</v>
      </c>
      <c r="G278" s="1">
        <v>68.0</v>
      </c>
      <c r="H278" s="1">
        <v>6.0</v>
      </c>
      <c r="I278" s="1">
        <v>22.0</v>
      </c>
      <c r="J278" s="1">
        <v>28.0</v>
      </c>
      <c r="K278" s="1">
        <v>122.0</v>
      </c>
      <c r="L278" s="1">
        <v>1.0</v>
      </c>
      <c r="M278" s="1">
        <v>5.0</v>
      </c>
      <c r="N278" s="1">
        <v>0.0</v>
      </c>
      <c r="O278" s="1">
        <v>0.0</v>
      </c>
      <c r="P278" s="1">
        <v>55.0</v>
      </c>
      <c r="Q278" s="1">
        <v>75.0</v>
      </c>
    </row>
    <row r="279">
      <c r="A279" s="1">
        <f t="shared" si="1"/>
        <v>276</v>
      </c>
      <c r="B279" s="1" t="s">
        <v>1260</v>
      </c>
      <c r="C279" s="1" t="s">
        <v>1078</v>
      </c>
      <c r="D279" s="1" t="s">
        <v>66</v>
      </c>
      <c r="E279" s="1">
        <f t="shared" si="2"/>
        <v>205.25</v>
      </c>
      <c r="F279" s="1">
        <f t="shared" si="3"/>
        <v>2.93</v>
      </c>
      <c r="G279" s="1">
        <v>70.0</v>
      </c>
      <c r="H279" s="1">
        <v>5.0</v>
      </c>
      <c r="I279" s="1">
        <v>19.0</v>
      </c>
      <c r="J279" s="1">
        <v>24.0</v>
      </c>
      <c r="K279" s="1">
        <v>127.0</v>
      </c>
      <c r="L279" s="1">
        <v>0.0</v>
      </c>
      <c r="M279" s="1">
        <v>5.0</v>
      </c>
      <c r="N279" s="1">
        <v>0.0</v>
      </c>
      <c r="O279" s="1">
        <v>0.0</v>
      </c>
      <c r="P279" s="1">
        <v>81.0</v>
      </c>
      <c r="Q279" s="1">
        <v>84.0</v>
      </c>
    </row>
    <row r="280">
      <c r="A280" s="1">
        <f t="shared" si="1"/>
        <v>278</v>
      </c>
      <c r="B280" s="1" t="s">
        <v>1195</v>
      </c>
      <c r="C280" s="1" t="s">
        <v>1069</v>
      </c>
      <c r="D280" s="1" t="s">
        <v>66</v>
      </c>
      <c r="E280" s="1">
        <f t="shared" si="2"/>
        <v>204.5</v>
      </c>
      <c r="F280" s="1">
        <f t="shared" si="3"/>
        <v>2.92</v>
      </c>
      <c r="G280" s="1">
        <v>70.0</v>
      </c>
      <c r="H280" s="1">
        <v>5.0</v>
      </c>
      <c r="I280" s="1">
        <v>17.0</v>
      </c>
      <c r="J280" s="1">
        <v>22.0</v>
      </c>
      <c r="K280" s="1">
        <v>132.0</v>
      </c>
      <c r="L280" s="1">
        <v>1.0</v>
      </c>
      <c r="M280" s="1">
        <v>4.0</v>
      </c>
      <c r="N280" s="1">
        <v>0.0</v>
      </c>
      <c r="O280" s="1">
        <v>0.0</v>
      </c>
      <c r="P280" s="1">
        <v>82.0</v>
      </c>
      <c r="Q280" s="1">
        <v>89.0</v>
      </c>
    </row>
    <row r="281">
      <c r="A281" s="1">
        <f t="shared" si="1"/>
        <v>278</v>
      </c>
      <c r="B281" s="1" t="s">
        <v>1233</v>
      </c>
      <c r="C281" s="1" t="s">
        <v>1073</v>
      </c>
      <c r="D281" s="1" t="s">
        <v>28</v>
      </c>
      <c r="E281" s="1">
        <f t="shared" si="2"/>
        <v>204.5</v>
      </c>
      <c r="F281" s="1">
        <f t="shared" si="3"/>
        <v>3.01</v>
      </c>
      <c r="G281" s="1">
        <v>68.0</v>
      </c>
      <c r="H281" s="1">
        <v>13.0</v>
      </c>
      <c r="I281" s="1">
        <v>17.0</v>
      </c>
      <c r="J281" s="1">
        <v>30.0</v>
      </c>
      <c r="K281" s="1">
        <v>129.0</v>
      </c>
      <c r="L281" s="1">
        <v>0.0</v>
      </c>
      <c r="M281" s="1">
        <v>0.0</v>
      </c>
      <c r="N281" s="1">
        <v>3.0</v>
      </c>
      <c r="O281" s="1">
        <v>0.0</v>
      </c>
      <c r="P281" s="1">
        <v>64.0</v>
      </c>
      <c r="Q281" s="1">
        <v>17.0</v>
      </c>
    </row>
    <row r="282">
      <c r="A282" s="1">
        <f t="shared" si="1"/>
        <v>280</v>
      </c>
      <c r="B282" s="1" t="s">
        <v>2298</v>
      </c>
      <c r="C282" s="1" t="s">
        <v>1030</v>
      </c>
      <c r="D282" s="1" t="s">
        <v>36</v>
      </c>
      <c r="E282" s="1">
        <f t="shared" si="2"/>
        <v>203.75</v>
      </c>
      <c r="F282" s="1">
        <f t="shared" si="3"/>
        <v>3.13</v>
      </c>
      <c r="G282" s="1">
        <v>65.0</v>
      </c>
      <c r="H282" s="1">
        <v>16.0</v>
      </c>
      <c r="I282" s="1">
        <v>17.0</v>
      </c>
      <c r="J282" s="1">
        <v>33.0</v>
      </c>
      <c r="K282" s="1">
        <v>111.0</v>
      </c>
      <c r="L282" s="1">
        <v>4.0</v>
      </c>
      <c r="M282" s="1">
        <v>1.0</v>
      </c>
      <c r="N282" s="1">
        <v>0.0</v>
      </c>
      <c r="O282" s="1">
        <v>0.0</v>
      </c>
      <c r="P282" s="1">
        <v>25.0</v>
      </c>
      <c r="Q282" s="1">
        <v>38.0</v>
      </c>
    </row>
    <row r="283">
      <c r="A283" s="1">
        <f t="shared" si="1"/>
        <v>281</v>
      </c>
      <c r="B283" s="1" t="s">
        <v>2111</v>
      </c>
      <c r="C283" s="1" t="s">
        <v>1038</v>
      </c>
      <c r="D283" s="1" t="s">
        <v>5</v>
      </c>
      <c r="E283" s="1">
        <f t="shared" si="2"/>
        <v>203.1</v>
      </c>
      <c r="F283" s="1">
        <f t="shared" si="3"/>
        <v>6.55</v>
      </c>
      <c r="G283" s="1">
        <v>31.0</v>
      </c>
      <c r="R283" s="1">
        <v>18.0</v>
      </c>
      <c r="S283" s="1">
        <v>73.0</v>
      </c>
      <c r="T283" s="1">
        <v>832.0</v>
      </c>
      <c r="U283" s="1">
        <v>3.0</v>
      </c>
    </row>
    <row r="284">
      <c r="A284" s="1">
        <f t="shared" si="1"/>
        <v>282</v>
      </c>
      <c r="B284" s="1" t="s">
        <v>1208</v>
      </c>
      <c r="C284" s="1" t="s">
        <v>1040</v>
      </c>
      <c r="D284" s="1" t="s">
        <v>5</v>
      </c>
      <c r="E284" s="1">
        <f t="shared" si="2"/>
        <v>203.1</v>
      </c>
      <c r="F284" s="1">
        <f t="shared" si="3"/>
        <v>5.97</v>
      </c>
      <c r="G284" s="1">
        <v>34.0</v>
      </c>
      <c r="R284" s="1">
        <v>17.0</v>
      </c>
      <c r="S284" s="1">
        <v>96.0</v>
      </c>
      <c r="T284" s="1">
        <v>967.0</v>
      </c>
      <c r="U284" s="1">
        <v>2.0</v>
      </c>
    </row>
    <row r="285">
      <c r="A285" s="1">
        <f t="shared" si="1"/>
        <v>283</v>
      </c>
      <c r="B285" s="1" t="s">
        <v>1197</v>
      </c>
      <c r="C285" s="1" t="s">
        <v>1054</v>
      </c>
      <c r="D285" s="1" t="s">
        <v>36</v>
      </c>
      <c r="E285" s="1">
        <f t="shared" si="2"/>
        <v>202.75</v>
      </c>
      <c r="F285" s="1">
        <f t="shared" si="3"/>
        <v>3.12</v>
      </c>
      <c r="G285" s="1">
        <v>65.0</v>
      </c>
      <c r="H285" s="1">
        <v>15.0</v>
      </c>
      <c r="I285" s="1">
        <v>22.0</v>
      </c>
      <c r="J285" s="1">
        <v>37.0</v>
      </c>
      <c r="K285" s="1">
        <v>96.0</v>
      </c>
      <c r="L285" s="1">
        <v>3.0</v>
      </c>
      <c r="M285" s="1">
        <v>4.0</v>
      </c>
      <c r="N285" s="1">
        <v>0.0</v>
      </c>
      <c r="O285" s="1">
        <v>0.0</v>
      </c>
      <c r="P285" s="1">
        <v>13.0</v>
      </c>
      <c r="Q285" s="1">
        <v>36.0</v>
      </c>
    </row>
    <row r="286">
      <c r="A286" s="1">
        <f t="shared" si="1"/>
        <v>284</v>
      </c>
      <c r="B286" s="1" t="s">
        <v>1828</v>
      </c>
      <c r="C286" s="1" t="s">
        <v>1106</v>
      </c>
      <c r="D286" s="1" t="s">
        <v>28</v>
      </c>
      <c r="E286" s="1">
        <f t="shared" si="2"/>
        <v>202.25</v>
      </c>
      <c r="F286" s="1">
        <f t="shared" si="3"/>
        <v>3.49</v>
      </c>
      <c r="G286" s="1">
        <v>58.0</v>
      </c>
      <c r="H286" s="1">
        <v>16.0</v>
      </c>
      <c r="I286" s="1">
        <v>14.0</v>
      </c>
      <c r="J286" s="1">
        <v>30.0</v>
      </c>
      <c r="K286" s="1">
        <v>90.0</v>
      </c>
      <c r="L286" s="1">
        <v>1.0</v>
      </c>
      <c r="M286" s="1">
        <v>0.0</v>
      </c>
      <c r="N286" s="1">
        <v>0.0</v>
      </c>
      <c r="O286" s="1">
        <v>0.0</v>
      </c>
      <c r="P286" s="1">
        <v>109.0</v>
      </c>
      <c r="Q286" s="1">
        <v>32.0</v>
      </c>
    </row>
    <row r="287">
      <c r="A287" s="1">
        <f t="shared" si="1"/>
        <v>285</v>
      </c>
      <c r="B287" s="1" t="s">
        <v>1489</v>
      </c>
      <c r="C287" s="1" t="s">
        <v>1156</v>
      </c>
      <c r="D287" s="1" t="s">
        <v>5</v>
      </c>
      <c r="E287" s="1">
        <f t="shared" si="2"/>
        <v>201.9</v>
      </c>
      <c r="F287" s="1">
        <f t="shared" si="3"/>
        <v>6.12</v>
      </c>
      <c r="G287" s="1">
        <v>33.0</v>
      </c>
      <c r="R287" s="1">
        <v>13.0</v>
      </c>
      <c r="S287" s="1">
        <v>71.0</v>
      </c>
      <c r="T287" s="1">
        <v>848.0</v>
      </c>
      <c r="U287" s="1">
        <v>5.0</v>
      </c>
    </row>
    <row r="288">
      <c r="A288" s="1">
        <f t="shared" si="1"/>
        <v>286</v>
      </c>
      <c r="B288" s="1" t="s">
        <v>1168</v>
      </c>
      <c r="C288" s="1" t="s">
        <v>1073</v>
      </c>
      <c r="D288" s="1" t="s">
        <v>31</v>
      </c>
      <c r="E288" s="1">
        <f t="shared" si="2"/>
        <v>201.75</v>
      </c>
      <c r="F288" s="1">
        <f t="shared" si="3"/>
        <v>3.15</v>
      </c>
      <c r="G288" s="1">
        <v>64.0</v>
      </c>
      <c r="H288" s="1">
        <v>16.0</v>
      </c>
      <c r="I288" s="1">
        <v>20.0</v>
      </c>
      <c r="J288" s="1">
        <v>36.0</v>
      </c>
      <c r="K288" s="1">
        <v>88.0</v>
      </c>
      <c r="L288" s="1">
        <v>5.0</v>
      </c>
      <c r="M288" s="1">
        <v>4.0</v>
      </c>
      <c r="N288" s="1">
        <v>0.0</v>
      </c>
      <c r="O288" s="1">
        <v>0.0</v>
      </c>
      <c r="P288" s="1">
        <v>65.0</v>
      </c>
      <c r="Q288" s="1">
        <v>19.0</v>
      </c>
    </row>
    <row r="289">
      <c r="A289" s="1">
        <f t="shared" si="1"/>
        <v>287</v>
      </c>
      <c r="B289" s="1" t="s">
        <v>2280</v>
      </c>
      <c r="C289" s="1" t="s">
        <v>1085</v>
      </c>
      <c r="D289" s="1" t="s">
        <v>5</v>
      </c>
      <c r="E289" s="1">
        <f t="shared" si="2"/>
        <v>201</v>
      </c>
      <c r="F289" s="1">
        <f t="shared" si="3"/>
        <v>6.7</v>
      </c>
      <c r="G289" s="1">
        <v>30.0</v>
      </c>
      <c r="R289" s="1">
        <v>16.0</v>
      </c>
      <c r="S289" s="1">
        <v>62.0</v>
      </c>
      <c r="T289" s="1">
        <v>820.0</v>
      </c>
      <c r="U289" s="1">
        <v>0.0</v>
      </c>
    </row>
    <row r="290">
      <c r="A290" s="1">
        <f t="shared" si="1"/>
        <v>288</v>
      </c>
      <c r="B290" s="1" t="s">
        <v>1159</v>
      </c>
      <c r="C290" s="1" t="s">
        <v>1172</v>
      </c>
      <c r="D290" s="1" t="s">
        <v>31</v>
      </c>
      <c r="E290" s="1">
        <f t="shared" si="2"/>
        <v>200.75</v>
      </c>
      <c r="F290" s="1">
        <f t="shared" si="3"/>
        <v>3.46</v>
      </c>
      <c r="G290" s="1">
        <v>58.0</v>
      </c>
      <c r="H290" s="1">
        <v>12.0</v>
      </c>
      <c r="I290" s="1">
        <v>26.0</v>
      </c>
      <c r="J290" s="1">
        <v>38.0</v>
      </c>
      <c r="K290" s="1">
        <v>97.0</v>
      </c>
      <c r="L290" s="1">
        <v>2.0</v>
      </c>
      <c r="M290" s="1">
        <v>6.0</v>
      </c>
      <c r="N290" s="1">
        <v>0.0</v>
      </c>
      <c r="O290" s="1">
        <v>0.0</v>
      </c>
      <c r="P290" s="1">
        <v>23.0</v>
      </c>
      <c r="Q290" s="1">
        <v>29.0</v>
      </c>
    </row>
    <row r="291">
      <c r="A291" s="1">
        <f t="shared" si="1"/>
        <v>289</v>
      </c>
      <c r="B291" s="1" t="s">
        <v>1419</v>
      </c>
      <c r="C291" s="1" t="s">
        <v>1120</v>
      </c>
      <c r="D291" s="1" t="s">
        <v>28</v>
      </c>
      <c r="E291" s="1">
        <f t="shared" si="2"/>
        <v>199.75</v>
      </c>
      <c r="F291" s="1">
        <f t="shared" si="3"/>
        <v>3.27</v>
      </c>
      <c r="G291" s="1">
        <v>61.0</v>
      </c>
      <c r="H291" s="1">
        <v>15.0</v>
      </c>
      <c r="I291" s="1">
        <v>17.0</v>
      </c>
      <c r="J291" s="1">
        <v>32.0</v>
      </c>
      <c r="K291" s="1">
        <v>111.0</v>
      </c>
      <c r="L291" s="1">
        <v>6.0</v>
      </c>
      <c r="M291" s="1">
        <v>3.0</v>
      </c>
      <c r="N291" s="1">
        <v>0.0</v>
      </c>
      <c r="O291" s="1">
        <v>0.0</v>
      </c>
      <c r="P291" s="1">
        <v>75.0</v>
      </c>
      <c r="Q291" s="1">
        <v>14.0</v>
      </c>
    </row>
    <row r="292">
      <c r="A292" s="1">
        <f t="shared" si="1"/>
        <v>290</v>
      </c>
      <c r="B292" s="1" t="s">
        <v>1228</v>
      </c>
      <c r="C292" s="1" t="s">
        <v>1078</v>
      </c>
      <c r="D292" s="1" t="s">
        <v>66</v>
      </c>
      <c r="E292" s="1">
        <f t="shared" si="2"/>
        <v>199</v>
      </c>
      <c r="F292" s="1">
        <f t="shared" si="3"/>
        <v>2.84</v>
      </c>
      <c r="G292" s="1">
        <v>70.0</v>
      </c>
      <c r="H292" s="1">
        <v>4.0</v>
      </c>
      <c r="I292" s="1">
        <v>14.0</v>
      </c>
      <c r="J292" s="1">
        <v>18.0</v>
      </c>
      <c r="K292" s="1">
        <v>112.0</v>
      </c>
      <c r="L292" s="1">
        <v>0.0</v>
      </c>
      <c r="M292" s="1">
        <v>1.0</v>
      </c>
      <c r="N292" s="1">
        <v>0.0</v>
      </c>
      <c r="O292" s="1">
        <v>0.0</v>
      </c>
      <c r="P292" s="1">
        <v>132.0</v>
      </c>
      <c r="Q292" s="1">
        <v>100.0</v>
      </c>
    </row>
    <row r="293">
      <c r="A293" s="1">
        <f t="shared" si="1"/>
        <v>291</v>
      </c>
      <c r="B293" s="1" t="s">
        <v>1468</v>
      </c>
      <c r="C293" s="1" t="s">
        <v>1054</v>
      </c>
      <c r="D293" s="1" t="s">
        <v>28</v>
      </c>
      <c r="E293" s="1">
        <f t="shared" si="2"/>
        <v>198.5</v>
      </c>
      <c r="F293" s="1">
        <f t="shared" si="3"/>
        <v>3.36</v>
      </c>
      <c r="G293" s="1">
        <v>59.0</v>
      </c>
      <c r="H293" s="1">
        <v>11.0</v>
      </c>
      <c r="I293" s="1">
        <v>14.0</v>
      </c>
      <c r="J293" s="1">
        <v>25.0</v>
      </c>
      <c r="K293" s="1">
        <v>86.0</v>
      </c>
      <c r="L293" s="1">
        <v>0.0</v>
      </c>
      <c r="M293" s="1">
        <v>0.0</v>
      </c>
      <c r="N293" s="1">
        <v>0.0</v>
      </c>
      <c r="O293" s="1">
        <v>0.0</v>
      </c>
      <c r="P293" s="1">
        <v>184.0</v>
      </c>
      <c r="Q293" s="1">
        <v>36.0</v>
      </c>
    </row>
    <row r="294">
      <c r="A294" s="1">
        <f t="shared" si="1"/>
        <v>291</v>
      </c>
      <c r="B294" s="1" t="s">
        <v>1121</v>
      </c>
      <c r="C294" s="1" t="s">
        <v>1116</v>
      </c>
      <c r="D294" s="1" t="s">
        <v>66</v>
      </c>
      <c r="E294" s="1">
        <f t="shared" si="2"/>
        <v>198.5</v>
      </c>
      <c r="F294" s="1">
        <f t="shared" si="3"/>
        <v>3.05</v>
      </c>
      <c r="G294" s="1">
        <v>65.0</v>
      </c>
      <c r="H294" s="1">
        <v>5.0</v>
      </c>
      <c r="I294" s="1">
        <v>26.0</v>
      </c>
      <c r="J294" s="1">
        <v>31.0</v>
      </c>
      <c r="K294" s="1">
        <v>120.0</v>
      </c>
      <c r="L294" s="1">
        <v>1.0</v>
      </c>
      <c r="M294" s="1">
        <v>11.0</v>
      </c>
      <c r="N294" s="1">
        <v>0.0</v>
      </c>
      <c r="O294" s="1">
        <v>0.0</v>
      </c>
      <c r="P294" s="1">
        <v>34.0</v>
      </c>
      <c r="Q294" s="1">
        <v>59.0</v>
      </c>
    </row>
    <row r="295">
      <c r="A295" s="1">
        <f t="shared" si="1"/>
        <v>293</v>
      </c>
      <c r="B295" s="1" t="s">
        <v>1445</v>
      </c>
      <c r="C295" s="1" t="s">
        <v>1091</v>
      </c>
      <c r="D295" s="1" t="s">
        <v>66</v>
      </c>
      <c r="E295" s="1">
        <f t="shared" si="2"/>
        <v>198</v>
      </c>
      <c r="F295" s="1">
        <f t="shared" si="3"/>
        <v>3</v>
      </c>
      <c r="G295" s="1">
        <v>66.0</v>
      </c>
      <c r="H295" s="1">
        <v>6.0</v>
      </c>
      <c r="I295" s="1">
        <v>23.0</v>
      </c>
      <c r="J295" s="1">
        <v>29.0</v>
      </c>
      <c r="K295" s="1">
        <v>103.0</v>
      </c>
      <c r="L295" s="1">
        <v>2.0</v>
      </c>
      <c r="M295" s="1">
        <v>7.0</v>
      </c>
      <c r="N295" s="1">
        <v>0.0</v>
      </c>
      <c r="O295" s="1">
        <v>0.0</v>
      </c>
      <c r="P295" s="1">
        <v>86.0</v>
      </c>
      <c r="Q295" s="1">
        <v>58.0</v>
      </c>
    </row>
    <row r="296">
      <c r="A296" s="1">
        <f t="shared" si="1"/>
        <v>294</v>
      </c>
      <c r="B296" s="1" t="s">
        <v>1476</v>
      </c>
      <c r="C296" s="1" t="s">
        <v>1034</v>
      </c>
      <c r="D296" s="1" t="s">
        <v>66</v>
      </c>
      <c r="E296" s="1">
        <f t="shared" si="2"/>
        <v>197.5</v>
      </c>
      <c r="F296" s="1">
        <f t="shared" si="3"/>
        <v>2.95</v>
      </c>
      <c r="G296" s="1">
        <v>67.0</v>
      </c>
      <c r="H296" s="1">
        <v>5.0</v>
      </c>
      <c r="I296" s="1">
        <v>7.0</v>
      </c>
      <c r="J296" s="1">
        <v>12.0</v>
      </c>
      <c r="K296" s="1">
        <v>125.0</v>
      </c>
      <c r="L296" s="1">
        <v>0.0</v>
      </c>
      <c r="M296" s="1">
        <v>0.0</v>
      </c>
      <c r="N296" s="1">
        <v>0.0</v>
      </c>
      <c r="O296" s="1">
        <v>0.0</v>
      </c>
      <c r="P296" s="1">
        <v>172.0</v>
      </c>
      <c r="Q296" s="1">
        <v>97.0</v>
      </c>
    </row>
    <row r="297">
      <c r="A297" s="1">
        <f t="shared" si="1"/>
        <v>295</v>
      </c>
      <c r="B297" s="1" t="s">
        <v>2170</v>
      </c>
      <c r="C297" s="1" t="s">
        <v>1032</v>
      </c>
      <c r="D297" s="1" t="s">
        <v>36</v>
      </c>
      <c r="E297" s="1">
        <f t="shared" si="2"/>
        <v>197.25</v>
      </c>
      <c r="F297" s="1">
        <f t="shared" si="3"/>
        <v>2.9</v>
      </c>
      <c r="G297" s="1">
        <v>68.0</v>
      </c>
      <c r="H297" s="1">
        <v>8.0</v>
      </c>
      <c r="I297" s="1">
        <v>17.0</v>
      </c>
      <c r="J297" s="1">
        <v>25.0</v>
      </c>
      <c r="K297" s="1">
        <v>119.0</v>
      </c>
      <c r="L297" s="1">
        <v>5.0</v>
      </c>
      <c r="M297" s="1">
        <v>4.0</v>
      </c>
      <c r="N297" s="1">
        <v>0.0</v>
      </c>
      <c r="O297" s="1">
        <v>0.0</v>
      </c>
      <c r="P297" s="1">
        <v>145.0</v>
      </c>
      <c r="Q297" s="1">
        <v>29.0</v>
      </c>
    </row>
    <row r="298">
      <c r="A298" s="1">
        <f t="shared" si="1"/>
        <v>296</v>
      </c>
      <c r="B298" s="1" t="s">
        <v>1433</v>
      </c>
      <c r="C298" s="1" t="s">
        <v>1034</v>
      </c>
      <c r="D298" s="1" t="s">
        <v>31</v>
      </c>
      <c r="E298" s="1">
        <f t="shared" si="2"/>
        <v>197</v>
      </c>
      <c r="F298" s="1">
        <f t="shared" si="3"/>
        <v>3.03</v>
      </c>
      <c r="G298" s="1">
        <v>65.0</v>
      </c>
      <c r="H298" s="1">
        <v>14.0</v>
      </c>
      <c r="I298" s="1">
        <v>17.0</v>
      </c>
      <c r="J298" s="1">
        <v>31.0</v>
      </c>
      <c r="K298" s="1">
        <v>113.0</v>
      </c>
      <c r="L298" s="1">
        <v>1.0</v>
      </c>
      <c r="M298" s="1">
        <v>6.0</v>
      </c>
      <c r="N298" s="1">
        <v>0.0</v>
      </c>
      <c r="O298" s="1">
        <v>0.0</v>
      </c>
      <c r="P298" s="1">
        <v>62.0</v>
      </c>
      <c r="Q298" s="1">
        <v>22.0</v>
      </c>
    </row>
    <row r="299">
      <c r="A299" s="1">
        <f t="shared" si="1"/>
        <v>297</v>
      </c>
      <c r="B299" s="1" t="s">
        <v>1074</v>
      </c>
      <c r="C299" s="1" t="s">
        <v>1054</v>
      </c>
      <c r="D299" s="1" t="s">
        <v>31</v>
      </c>
      <c r="E299" s="1">
        <f t="shared" si="2"/>
        <v>196.75</v>
      </c>
      <c r="F299" s="1">
        <f t="shared" si="3"/>
        <v>3.17</v>
      </c>
      <c r="G299" s="1">
        <v>62.0</v>
      </c>
      <c r="H299" s="1">
        <v>8.0</v>
      </c>
      <c r="I299" s="1">
        <v>21.0</v>
      </c>
      <c r="J299" s="1">
        <v>29.0</v>
      </c>
      <c r="K299" s="1">
        <v>102.0</v>
      </c>
      <c r="L299" s="1">
        <v>1.0</v>
      </c>
      <c r="M299" s="1">
        <v>0.0</v>
      </c>
      <c r="N299" s="1">
        <v>0.0</v>
      </c>
      <c r="O299" s="1">
        <v>1.0</v>
      </c>
      <c r="P299" s="1">
        <v>93.0</v>
      </c>
      <c r="Q299" s="1">
        <v>43.0</v>
      </c>
    </row>
    <row r="300">
      <c r="A300" s="1">
        <f t="shared" si="1"/>
        <v>298</v>
      </c>
      <c r="B300" s="1" t="s">
        <v>1276</v>
      </c>
      <c r="C300" s="1" t="s">
        <v>1034</v>
      </c>
      <c r="D300" s="1" t="s">
        <v>28</v>
      </c>
      <c r="E300" s="1">
        <f t="shared" si="2"/>
        <v>195.5</v>
      </c>
      <c r="F300" s="1">
        <f t="shared" si="3"/>
        <v>2.79</v>
      </c>
      <c r="G300" s="1">
        <v>70.0</v>
      </c>
      <c r="H300" s="1">
        <v>10.0</v>
      </c>
      <c r="I300" s="1">
        <v>20.0</v>
      </c>
      <c r="J300" s="1">
        <v>30.0</v>
      </c>
      <c r="K300" s="1">
        <v>110.0</v>
      </c>
      <c r="L300" s="1">
        <v>1.0</v>
      </c>
      <c r="M300" s="1">
        <v>5.0</v>
      </c>
      <c r="N300" s="1">
        <v>2.0</v>
      </c>
      <c r="O300" s="1">
        <v>1.0</v>
      </c>
      <c r="P300" s="1">
        <v>78.0</v>
      </c>
      <c r="Q300" s="1">
        <v>20.0</v>
      </c>
    </row>
    <row r="301">
      <c r="A301" s="1">
        <f t="shared" si="1"/>
        <v>299</v>
      </c>
      <c r="B301" s="1" t="s">
        <v>2289</v>
      </c>
      <c r="C301" s="1" t="s">
        <v>1036</v>
      </c>
      <c r="D301" s="1" t="s">
        <v>5</v>
      </c>
      <c r="E301" s="1">
        <f t="shared" si="2"/>
        <v>195.3</v>
      </c>
      <c r="F301" s="1">
        <f t="shared" si="3"/>
        <v>5.01</v>
      </c>
      <c r="G301" s="1">
        <v>39.0</v>
      </c>
      <c r="R301" s="1">
        <v>19.0</v>
      </c>
      <c r="S301" s="1">
        <v>106.0</v>
      </c>
      <c r="T301" s="1">
        <v>981.0</v>
      </c>
      <c r="U301" s="1">
        <v>1.0</v>
      </c>
    </row>
    <row r="302">
      <c r="A302" s="1">
        <f t="shared" si="1"/>
        <v>300</v>
      </c>
      <c r="B302" s="1" t="s">
        <v>1416</v>
      </c>
      <c r="C302" s="1" t="s">
        <v>1156</v>
      </c>
      <c r="D302" s="1" t="s">
        <v>66</v>
      </c>
      <c r="E302" s="1">
        <f t="shared" si="2"/>
        <v>195.25</v>
      </c>
      <c r="F302" s="1">
        <f t="shared" si="3"/>
        <v>2.87</v>
      </c>
      <c r="G302" s="1">
        <v>68.0</v>
      </c>
      <c r="H302" s="1">
        <v>0.0</v>
      </c>
      <c r="I302" s="1">
        <v>11.0</v>
      </c>
      <c r="J302" s="1">
        <v>11.0</v>
      </c>
      <c r="K302" s="1">
        <v>97.0</v>
      </c>
      <c r="L302" s="1">
        <v>0.0</v>
      </c>
      <c r="M302" s="1">
        <v>2.0</v>
      </c>
      <c r="N302" s="1">
        <v>0.0</v>
      </c>
      <c r="O302" s="1">
        <v>0.0</v>
      </c>
      <c r="P302" s="1">
        <v>129.0</v>
      </c>
      <c r="Q302" s="1">
        <v>163.0</v>
      </c>
    </row>
    <row r="303">
      <c r="A303" s="1">
        <f t="shared" si="1"/>
        <v>301</v>
      </c>
      <c r="B303" s="1" t="s">
        <v>1378</v>
      </c>
      <c r="C303" s="1" t="s">
        <v>1076</v>
      </c>
      <c r="D303" s="1" t="s">
        <v>28</v>
      </c>
      <c r="E303" s="1">
        <f t="shared" si="2"/>
        <v>194.5</v>
      </c>
      <c r="F303" s="1">
        <f t="shared" si="3"/>
        <v>2.86</v>
      </c>
      <c r="G303" s="1">
        <v>68.0</v>
      </c>
      <c r="H303" s="1">
        <v>11.0</v>
      </c>
      <c r="I303" s="1">
        <v>12.0</v>
      </c>
      <c r="J303" s="1">
        <v>23.0</v>
      </c>
      <c r="K303" s="1">
        <v>141.0</v>
      </c>
      <c r="L303" s="1">
        <v>0.0</v>
      </c>
      <c r="M303" s="1">
        <v>0.0</v>
      </c>
      <c r="N303" s="1">
        <v>0.0</v>
      </c>
      <c r="O303" s="1">
        <v>0.0</v>
      </c>
      <c r="P303" s="1">
        <v>102.0</v>
      </c>
      <c r="Q303" s="1">
        <v>26.0</v>
      </c>
    </row>
    <row r="304">
      <c r="A304" s="1">
        <f t="shared" si="1"/>
        <v>302</v>
      </c>
      <c r="B304" s="1" t="s">
        <v>1320</v>
      </c>
      <c r="C304" s="1" t="s">
        <v>1065</v>
      </c>
      <c r="D304" s="1" t="s">
        <v>66</v>
      </c>
      <c r="E304" s="1">
        <f t="shared" si="2"/>
        <v>194.25</v>
      </c>
      <c r="F304" s="1">
        <f t="shared" si="3"/>
        <v>3.29</v>
      </c>
      <c r="G304" s="1">
        <v>59.0</v>
      </c>
      <c r="H304" s="1">
        <v>9.0</v>
      </c>
      <c r="I304" s="1">
        <v>20.0</v>
      </c>
      <c r="J304" s="1">
        <v>29.0</v>
      </c>
      <c r="K304" s="1">
        <v>117.0</v>
      </c>
      <c r="L304" s="1">
        <v>2.0</v>
      </c>
      <c r="M304" s="1">
        <v>6.0</v>
      </c>
      <c r="N304" s="1">
        <v>0.0</v>
      </c>
      <c r="O304" s="1">
        <v>0.0</v>
      </c>
      <c r="P304" s="1">
        <v>25.0</v>
      </c>
      <c r="Q304" s="1">
        <v>58.0</v>
      </c>
    </row>
    <row r="305">
      <c r="A305" s="1">
        <f t="shared" si="1"/>
        <v>302</v>
      </c>
      <c r="B305" s="1" t="s">
        <v>1246</v>
      </c>
      <c r="C305" s="1" t="s">
        <v>1067</v>
      </c>
      <c r="D305" s="1" t="s">
        <v>28</v>
      </c>
      <c r="E305" s="1">
        <f t="shared" si="2"/>
        <v>194.25</v>
      </c>
      <c r="F305" s="1">
        <f t="shared" si="3"/>
        <v>3.29</v>
      </c>
      <c r="G305" s="1">
        <v>59.0</v>
      </c>
      <c r="H305" s="1">
        <v>14.0</v>
      </c>
      <c r="I305" s="1">
        <v>9.0</v>
      </c>
      <c r="J305" s="1">
        <v>23.0</v>
      </c>
      <c r="K305" s="1">
        <v>183.0</v>
      </c>
      <c r="L305" s="1">
        <v>0.0</v>
      </c>
      <c r="M305" s="1">
        <v>3.0</v>
      </c>
      <c r="N305" s="1">
        <v>0.0</v>
      </c>
      <c r="O305" s="1">
        <v>0.0</v>
      </c>
      <c r="P305" s="1">
        <v>29.0</v>
      </c>
      <c r="Q305" s="1">
        <v>11.0</v>
      </c>
    </row>
    <row r="306">
      <c r="A306" s="1">
        <f t="shared" si="1"/>
        <v>302</v>
      </c>
      <c r="B306" s="1" t="s">
        <v>1105</v>
      </c>
      <c r="C306" s="1" t="s">
        <v>1106</v>
      </c>
      <c r="D306" s="1" t="s">
        <v>31</v>
      </c>
      <c r="E306" s="1">
        <f t="shared" si="2"/>
        <v>194.25</v>
      </c>
      <c r="F306" s="1">
        <f t="shared" si="3"/>
        <v>2.94</v>
      </c>
      <c r="G306" s="1">
        <v>66.0</v>
      </c>
      <c r="H306" s="1">
        <v>10.0</v>
      </c>
      <c r="I306" s="1">
        <v>32.0</v>
      </c>
      <c r="J306" s="1">
        <v>42.0</v>
      </c>
      <c r="K306" s="1">
        <v>87.0</v>
      </c>
      <c r="L306" s="1">
        <v>1.0</v>
      </c>
      <c r="M306" s="1">
        <v>6.0</v>
      </c>
      <c r="N306" s="1">
        <v>0.0</v>
      </c>
      <c r="O306" s="1">
        <v>0.0</v>
      </c>
      <c r="P306" s="1">
        <v>13.0</v>
      </c>
      <c r="Q306" s="1">
        <v>13.0</v>
      </c>
      <c r="T306" s="12"/>
    </row>
    <row r="307">
      <c r="A307" s="1">
        <f t="shared" si="1"/>
        <v>305</v>
      </c>
      <c r="B307" s="1" t="s">
        <v>1697</v>
      </c>
      <c r="C307" s="1" t="s">
        <v>1097</v>
      </c>
      <c r="D307" s="1" t="s">
        <v>66</v>
      </c>
      <c r="E307" s="1">
        <f t="shared" si="2"/>
        <v>194</v>
      </c>
      <c r="F307" s="1">
        <f t="shared" si="3"/>
        <v>2.85</v>
      </c>
      <c r="G307" s="1">
        <v>68.0</v>
      </c>
      <c r="H307" s="1">
        <v>7.0</v>
      </c>
      <c r="I307" s="1">
        <v>13.0</v>
      </c>
      <c r="J307" s="1">
        <v>20.0</v>
      </c>
      <c r="K307" s="1">
        <v>97.0</v>
      </c>
      <c r="L307" s="1">
        <v>0.0</v>
      </c>
      <c r="M307" s="1">
        <v>0.0</v>
      </c>
      <c r="N307" s="1">
        <v>0.0</v>
      </c>
      <c r="O307" s="1">
        <v>0.0</v>
      </c>
      <c r="P307" s="1">
        <v>118.0</v>
      </c>
      <c r="Q307" s="1">
        <v>91.0</v>
      </c>
    </row>
    <row r="308">
      <c r="A308" s="1">
        <f t="shared" si="1"/>
        <v>306</v>
      </c>
      <c r="B308" s="1" t="s">
        <v>1191</v>
      </c>
      <c r="C308" s="1" t="s">
        <v>1091</v>
      </c>
      <c r="D308" s="1" t="s">
        <v>66</v>
      </c>
      <c r="E308" s="1">
        <f t="shared" si="2"/>
        <v>191.75</v>
      </c>
      <c r="F308" s="1">
        <f t="shared" si="3"/>
        <v>2.78</v>
      </c>
      <c r="G308" s="1">
        <v>69.0</v>
      </c>
      <c r="H308" s="1">
        <v>8.0</v>
      </c>
      <c r="I308" s="1">
        <v>17.0</v>
      </c>
      <c r="J308" s="1">
        <v>25.0</v>
      </c>
      <c r="K308" s="1">
        <v>110.0</v>
      </c>
      <c r="L308" s="1">
        <v>0.0</v>
      </c>
      <c r="M308" s="1">
        <v>4.0</v>
      </c>
      <c r="N308" s="1">
        <v>0.0</v>
      </c>
      <c r="O308" s="1">
        <v>0.0</v>
      </c>
      <c r="P308" s="1">
        <v>41.0</v>
      </c>
      <c r="Q308" s="1">
        <v>79.0</v>
      </c>
    </row>
    <row r="309">
      <c r="A309" s="1">
        <f t="shared" si="1"/>
        <v>307</v>
      </c>
      <c r="B309" s="1" t="s">
        <v>1207</v>
      </c>
      <c r="C309" s="1" t="s">
        <v>1030</v>
      </c>
      <c r="D309" s="1" t="s">
        <v>28</v>
      </c>
      <c r="E309" s="1">
        <f t="shared" si="2"/>
        <v>191</v>
      </c>
      <c r="F309" s="1">
        <f t="shared" si="3"/>
        <v>2.94</v>
      </c>
      <c r="G309" s="1">
        <v>65.0</v>
      </c>
      <c r="H309" s="1">
        <v>13.0</v>
      </c>
      <c r="I309" s="1">
        <v>14.0</v>
      </c>
      <c r="J309" s="1">
        <v>27.0</v>
      </c>
      <c r="K309" s="1">
        <v>113.0</v>
      </c>
      <c r="L309" s="1">
        <v>1.0</v>
      </c>
      <c r="M309" s="1">
        <v>0.0</v>
      </c>
      <c r="N309" s="1">
        <v>1.0</v>
      </c>
      <c r="O309" s="1">
        <v>0.0</v>
      </c>
      <c r="P309" s="1">
        <v>84.0</v>
      </c>
      <c r="Q309" s="1">
        <v>22.0</v>
      </c>
    </row>
    <row r="310">
      <c r="A310" s="1">
        <f t="shared" si="1"/>
        <v>308</v>
      </c>
      <c r="B310" s="1" t="s">
        <v>1220</v>
      </c>
      <c r="C310" s="1" t="s">
        <v>1106</v>
      </c>
      <c r="D310" s="1" t="s">
        <v>28</v>
      </c>
      <c r="E310" s="1">
        <f t="shared" si="2"/>
        <v>190.5</v>
      </c>
      <c r="F310" s="1">
        <f t="shared" si="3"/>
        <v>2.76</v>
      </c>
      <c r="G310" s="1">
        <v>69.0</v>
      </c>
      <c r="H310" s="1">
        <v>11.0</v>
      </c>
      <c r="I310" s="1">
        <v>15.0</v>
      </c>
      <c r="J310" s="1">
        <v>26.0</v>
      </c>
      <c r="K310" s="1">
        <v>75.0</v>
      </c>
      <c r="L310" s="1">
        <v>0.0</v>
      </c>
      <c r="M310" s="1">
        <v>0.0</v>
      </c>
      <c r="N310" s="1">
        <v>2.0</v>
      </c>
      <c r="O310" s="1">
        <v>1.0</v>
      </c>
      <c r="P310" s="1">
        <v>144.0</v>
      </c>
      <c r="Q310" s="1">
        <v>33.0</v>
      </c>
    </row>
    <row r="311">
      <c r="A311" s="1">
        <f t="shared" si="1"/>
        <v>309</v>
      </c>
      <c r="B311" s="1" t="s">
        <v>1139</v>
      </c>
      <c r="C311" s="1" t="s">
        <v>1032</v>
      </c>
      <c r="D311" s="1" t="s">
        <v>66</v>
      </c>
      <c r="E311" s="1">
        <f t="shared" si="2"/>
        <v>190</v>
      </c>
      <c r="F311" s="1">
        <f t="shared" si="3"/>
        <v>4.04</v>
      </c>
      <c r="G311" s="1">
        <v>47.0</v>
      </c>
      <c r="H311" s="1">
        <v>3.0</v>
      </c>
      <c r="I311" s="1">
        <v>24.0</v>
      </c>
      <c r="J311" s="1">
        <v>27.0</v>
      </c>
      <c r="K311" s="1">
        <v>123.0</v>
      </c>
      <c r="L311" s="1">
        <v>0.0</v>
      </c>
      <c r="M311" s="1">
        <v>7.0</v>
      </c>
      <c r="N311" s="1">
        <v>0.0</v>
      </c>
      <c r="O311" s="1">
        <v>0.0</v>
      </c>
      <c r="P311" s="1">
        <v>38.0</v>
      </c>
      <c r="Q311" s="1">
        <v>67.0</v>
      </c>
    </row>
    <row r="312">
      <c r="A312" s="1">
        <f t="shared" si="1"/>
        <v>310</v>
      </c>
      <c r="B312" s="1" t="s">
        <v>1211</v>
      </c>
      <c r="C312" s="1" t="s">
        <v>1069</v>
      </c>
      <c r="D312" s="1" t="s">
        <v>66</v>
      </c>
      <c r="E312" s="1">
        <f t="shared" si="2"/>
        <v>189.75</v>
      </c>
      <c r="F312" s="1">
        <f t="shared" si="3"/>
        <v>2.71</v>
      </c>
      <c r="G312" s="1">
        <v>70.0</v>
      </c>
      <c r="H312" s="1">
        <v>5.0</v>
      </c>
      <c r="I312" s="1">
        <v>17.0</v>
      </c>
      <c r="J312" s="1">
        <v>22.0</v>
      </c>
      <c r="K312" s="1">
        <v>124.0</v>
      </c>
      <c r="L312" s="1">
        <v>0.0</v>
      </c>
      <c r="M312" s="1">
        <v>4.0</v>
      </c>
      <c r="N312" s="1">
        <v>0.0</v>
      </c>
      <c r="O312" s="1">
        <v>0.0</v>
      </c>
      <c r="P312" s="1">
        <v>51.0</v>
      </c>
      <c r="Q312" s="1">
        <v>83.0</v>
      </c>
    </row>
    <row r="313">
      <c r="A313" s="1">
        <f t="shared" si="1"/>
        <v>311</v>
      </c>
      <c r="B313" s="1" t="s">
        <v>1353</v>
      </c>
      <c r="C313" s="1" t="s">
        <v>1106</v>
      </c>
      <c r="D313" s="1" t="s">
        <v>66</v>
      </c>
      <c r="E313" s="1">
        <f t="shared" si="2"/>
        <v>189.5</v>
      </c>
      <c r="F313" s="1">
        <f t="shared" si="3"/>
        <v>2.75</v>
      </c>
      <c r="G313" s="1">
        <v>69.0</v>
      </c>
      <c r="H313" s="1">
        <v>5.0</v>
      </c>
      <c r="I313" s="1">
        <v>11.0</v>
      </c>
      <c r="J313" s="1">
        <v>16.0</v>
      </c>
      <c r="K313" s="1">
        <v>147.0</v>
      </c>
      <c r="L313" s="1">
        <v>1.0</v>
      </c>
      <c r="M313" s="1">
        <v>2.0</v>
      </c>
      <c r="N313" s="1">
        <v>0.0</v>
      </c>
      <c r="O313" s="1">
        <v>1.0</v>
      </c>
      <c r="P313" s="1">
        <v>82.0</v>
      </c>
      <c r="Q313" s="1">
        <v>76.0</v>
      </c>
    </row>
    <row r="314">
      <c r="A314" s="1">
        <f t="shared" si="1"/>
        <v>311</v>
      </c>
      <c r="B314" s="1" t="s">
        <v>1189</v>
      </c>
      <c r="C314" s="1" t="s">
        <v>1076</v>
      </c>
      <c r="D314" s="1" t="s">
        <v>31</v>
      </c>
      <c r="E314" s="1">
        <f t="shared" si="2"/>
        <v>189.5</v>
      </c>
      <c r="F314" s="1">
        <f t="shared" si="3"/>
        <v>2.92</v>
      </c>
      <c r="G314" s="1">
        <v>65.0</v>
      </c>
      <c r="H314" s="1">
        <v>8.0</v>
      </c>
      <c r="I314" s="1">
        <v>24.0</v>
      </c>
      <c r="J314" s="1">
        <v>32.0</v>
      </c>
      <c r="K314" s="1">
        <v>97.0</v>
      </c>
      <c r="L314" s="1">
        <v>3.0</v>
      </c>
      <c r="M314" s="1">
        <v>5.0</v>
      </c>
      <c r="N314" s="1">
        <v>2.0</v>
      </c>
      <c r="O314" s="1">
        <v>2.0</v>
      </c>
      <c r="P314" s="1">
        <v>62.0</v>
      </c>
      <c r="Q314" s="1">
        <v>19.0</v>
      </c>
    </row>
    <row r="315">
      <c r="A315" s="1">
        <f t="shared" si="1"/>
        <v>313</v>
      </c>
      <c r="B315" s="1" t="s">
        <v>1716</v>
      </c>
      <c r="C315" s="1" t="s">
        <v>1042</v>
      </c>
      <c r="D315" s="1" t="s">
        <v>28</v>
      </c>
      <c r="E315" s="1">
        <f t="shared" si="2"/>
        <v>188.75</v>
      </c>
      <c r="F315" s="1">
        <f t="shared" si="3"/>
        <v>3.31</v>
      </c>
      <c r="G315" s="1">
        <v>57.0</v>
      </c>
      <c r="H315" s="1">
        <v>15.0</v>
      </c>
      <c r="I315" s="1">
        <v>13.0</v>
      </c>
      <c r="J315" s="1">
        <v>28.0</v>
      </c>
      <c r="K315" s="1">
        <v>127.0</v>
      </c>
      <c r="L315" s="1">
        <v>4.0</v>
      </c>
      <c r="M315" s="1">
        <v>4.0</v>
      </c>
      <c r="N315" s="1">
        <v>0.0</v>
      </c>
      <c r="O315" s="1">
        <v>0.0</v>
      </c>
      <c r="P315" s="1">
        <v>27.0</v>
      </c>
      <c r="Q315" s="1">
        <v>24.0</v>
      </c>
    </row>
    <row r="316">
      <c r="A316" s="1">
        <f t="shared" si="1"/>
        <v>313</v>
      </c>
      <c r="B316" s="1" t="s">
        <v>1075</v>
      </c>
      <c r="C316" s="1" t="s">
        <v>1076</v>
      </c>
      <c r="D316" s="1" t="s">
        <v>28</v>
      </c>
      <c r="E316" s="1">
        <f t="shared" si="2"/>
        <v>188.75</v>
      </c>
      <c r="F316" s="1">
        <f t="shared" si="3"/>
        <v>3.15</v>
      </c>
      <c r="G316" s="1">
        <v>60.0</v>
      </c>
      <c r="H316" s="1">
        <v>16.0</v>
      </c>
      <c r="I316" s="1">
        <v>16.0</v>
      </c>
      <c r="J316" s="1">
        <v>32.0</v>
      </c>
      <c r="K316" s="1">
        <v>101.0</v>
      </c>
      <c r="L316" s="1">
        <v>1.0</v>
      </c>
      <c r="M316" s="1">
        <v>5.0</v>
      </c>
      <c r="N316" s="1">
        <v>0.0</v>
      </c>
      <c r="O316" s="1">
        <v>0.0</v>
      </c>
      <c r="P316" s="1">
        <v>29.0</v>
      </c>
      <c r="Q316" s="1">
        <v>22.0</v>
      </c>
    </row>
    <row r="317">
      <c r="A317" s="1">
        <f t="shared" si="1"/>
        <v>315</v>
      </c>
      <c r="B317" s="1" t="s">
        <v>1485</v>
      </c>
      <c r="C317" s="1" t="s">
        <v>1116</v>
      </c>
      <c r="D317" s="1" t="s">
        <v>36</v>
      </c>
      <c r="E317" s="1">
        <f t="shared" si="2"/>
        <v>188.5</v>
      </c>
      <c r="F317" s="1">
        <f t="shared" si="3"/>
        <v>2.65</v>
      </c>
      <c r="G317" s="1">
        <v>71.0</v>
      </c>
      <c r="H317" s="1">
        <v>12.0</v>
      </c>
      <c r="I317" s="1">
        <v>17.0</v>
      </c>
      <c r="J317" s="1">
        <v>29.0</v>
      </c>
      <c r="K317" s="1">
        <v>117.0</v>
      </c>
      <c r="L317" s="1">
        <v>1.0</v>
      </c>
      <c r="M317" s="1">
        <v>1.0</v>
      </c>
      <c r="N317" s="1">
        <v>0.0</v>
      </c>
      <c r="O317" s="1">
        <v>0.0</v>
      </c>
      <c r="P317" s="1">
        <v>58.0</v>
      </c>
      <c r="Q317" s="1">
        <v>21.0</v>
      </c>
    </row>
    <row r="318">
      <c r="A318" s="1">
        <f t="shared" si="1"/>
        <v>316</v>
      </c>
      <c r="B318" s="1" t="s">
        <v>1366</v>
      </c>
      <c r="C318" s="1" t="s">
        <v>1054</v>
      </c>
      <c r="D318" s="1" t="s">
        <v>28</v>
      </c>
      <c r="E318" s="1">
        <f t="shared" si="2"/>
        <v>188.25</v>
      </c>
      <c r="F318" s="1">
        <f t="shared" si="3"/>
        <v>2.81</v>
      </c>
      <c r="G318" s="1">
        <v>67.0</v>
      </c>
      <c r="H318" s="1">
        <v>8.0</v>
      </c>
      <c r="I318" s="1">
        <v>20.0</v>
      </c>
      <c r="J318" s="1">
        <v>28.0</v>
      </c>
      <c r="K318" s="1">
        <v>93.0</v>
      </c>
      <c r="L318" s="1">
        <v>0.0</v>
      </c>
      <c r="M318" s="1">
        <v>3.0</v>
      </c>
      <c r="N318" s="1">
        <v>0.0</v>
      </c>
      <c r="O318" s="1">
        <v>0.0</v>
      </c>
      <c r="P318" s="1">
        <v>95.0</v>
      </c>
      <c r="Q318" s="1">
        <v>44.0</v>
      </c>
    </row>
    <row r="319">
      <c r="A319" s="1">
        <f t="shared" si="1"/>
        <v>317</v>
      </c>
      <c r="B319" s="1" t="s">
        <v>1435</v>
      </c>
      <c r="C319" s="1" t="s">
        <v>1038</v>
      </c>
      <c r="D319" s="1" t="s">
        <v>66</v>
      </c>
      <c r="E319" s="1">
        <f t="shared" si="2"/>
        <v>188</v>
      </c>
      <c r="F319" s="1">
        <f t="shared" si="3"/>
        <v>2.81</v>
      </c>
      <c r="G319" s="1">
        <v>67.0</v>
      </c>
      <c r="H319" s="1">
        <v>4.0</v>
      </c>
      <c r="I319" s="1">
        <v>15.0</v>
      </c>
      <c r="J319" s="1">
        <v>19.0</v>
      </c>
      <c r="K319" s="1">
        <v>111.0</v>
      </c>
      <c r="L319" s="1">
        <v>0.0</v>
      </c>
      <c r="M319" s="1">
        <v>0.0</v>
      </c>
      <c r="N319" s="1">
        <v>0.0</v>
      </c>
      <c r="O319" s="1">
        <v>0.0</v>
      </c>
      <c r="P319" s="1">
        <v>126.0</v>
      </c>
      <c r="Q319" s="1">
        <v>76.0</v>
      </c>
    </row>
    <row r="320">
      <c r="A320" s="1">
        <f t="shared" si="1"/>
        <v>318</v>
      </c>
      <c r="B320" s="1" t="s">
        <v>1830</v>
      </c>
      <c r="C320" s="1" t="s">
        <v>1036</v>
      </c>
      <c r="D320" s="1" t="s">
        <v>66</v>
      </c>
      <c r="E320" s="1">
        <f t="shared" si="2"/>
        <v>187.75</v>
      </c>
      <c r="F320" s="1">
        <f t="shared" si="3"/>
        <v>2.64</v>
      </c>
      <c r="G320" s="1">
        <v>71.0</v>
      </c>
      <c r="H320" s="1">
        <v>5.0</v>
      </c>
      <c r="I320" s="1">
        <v>16.0</v>
      </c>
      <c r="J320" s="1">
        <v>21.0</v>
      </c>
      <c r="K320" s="1">
        <v>99.0</v>
      </c>
      <c r="L320" s="1">
        <v>1.0</v>
      </c>
      <c r="M320" s="1">
        <v>1.0</v>
      </c>
      <c r="N320" s="1">
        <v>0.0</v>
      </c>
      <c r="O320" s="1">
        <v>0.0</v>
      </c>
      <c r="P320" s="1">
        <v>59.0</v>
      </c>
      <c r="Q320" s="1">
        <v>106.0</v>
      </c>
    </row>
    <row r="321">
      <c r="A321" s="1">
        <f t="shared" si="1"/>
        <v>318</v>
      </c>
      <c r="B321" s="1" t="s">
        <v>1411</v>
      </c>
      <c r="C321" s="1" t="s">
        <v>1116</v>
      </c>
      <c r="D321" s="1" t="s">
        <v>31</v>
      </c>
      <c r="E321" s="1">
        <f t="shared" si="2"/>
        <v>187.75</v>
      </c>
      <c r="F321" s="1">
        <f t="shared" si="3"/>
        <v>2.98</v>
      </c>
      <c r="G321" s="1">
        <v>63.0</v>
      </c>
      <c r="H321" s="1">
        <v>10.0</v>
      </c>
      <c r="I321" s="1">
        <v>16.0</v>
      </c>
      <c r="J321" s="1">
        <v>26.0</v>
      </c>
      <c r="K321" s="1">
        <v>121.0</v>
      </c>
      <c r="L321" s="1">
        <v>1.0</v>
      </c>
      <c r="M321" s="1">
        <v>0.0</v>
      </c>
      <c r="N321" s="1">
        <v>0.0</v>
      </c>
      <c r="O321" s="1">
        <v>3.0</v>
      </c>
      <c r="P321" s="1">
        <v>59.0</v>
      </c>
      <c r="Q321" s="1">
        <v>27.0</v>
      </c>
    </row>
    <row r="322">
      <c r="A322" s="1">
        <f t="shared" si="1"/>
        <v>320</v>
      </c>
      <c r="B322" s="1" t="s">
        <v>1309</v>
      </c>
      <c r="C322" s="1" t="s">
        <v>1106</v>
      </c>
      <c r="D322" s="1" t="s">
        <v>66</v>
      </c>
      <c r="E322" s="1">
        <f t="shared" si="2"/>
        <v>187.5</v>
      </c>
      <c r="F322" s="1">
        <f t="shared" si="3"/>
        <v>2.64</v>
      </c>
      <c r="G322" s="1">
        <v>71.0</v>
      </c>
      <c r="H322" s="1">
        <v>9.0</v>
      </c>
      <c r="I322" s="1">
        <v>14.0</v>
      </c>
      <c r="J322" s="1">
        <v>23.0</v>
      </c>
      <c r="K322" s="1">
        <v>138.0</v>
      </c>
      <c r="L322" s="1">
        <v>4.0</v>
      </c>
      <c r="M322" s="1">
        <v>6.0</v>
      </c>
      <c r="N322" s="1">
        <v>0.0</v>
      </c>
      <c r="O322" s="1">
        <v>0.0</v>
      </c>
      <c r="P322" s="1">
        <v>50.0</v>
      </c>
      <c r="Q322" s="1">
        <v>47.0</v>
      </c>
    </row>
    <row r="323">
      <c r="A323" s="1">
        <f t="shared" si="1"/>
        <v>320</v>
      </c>
      <c r="B323" s="1" t="s">
        <v>2321</v>
      </c>
      <c r="C323" s="1" t="s">
        <v>1106</v>
      </c>
      <c r="D323" s="1" t="s">
        <v>31</v>
      </c>
      <c r="E323" s="1">
        <f t="shared" si="2"/>
        <v>187.5</v>
      </c>
      <c r="F323" s="1">
        <f t="shared" si="3"/>
        <v>2.8</v>
      </c>
      <c r="G323" s="1">
        <v>67.0</v>
      </c>
      <c r="H323" s="1">
        <v>13.0</v>
      </c>
      <c r="I323" s="1">
        <v>16.0</v>
      </c>
      <c r="J323" s="1">
        <v>29.0</v>
      </c>
      <c r="K323" s="1">
        <v>109.0</v>
      </c>
      <c r="L323" s="1">
        <v>2.0</v>
      </c>
      <c r="M323" s="1">
        <v>2.0</v>
      </c>
      <c r="N323" s="1">
        <v>1.0</v>
      </c>
      <c r="O323" s="1">
        <v>0.0</v>
      </c>
      <c r="P323" s="1">
        <v>32.0</v>
      </c>
      <c r="Q323" s="1">
        <v>33.0</v>
      </c>
    </row>
    <row r="324">
      <c r="A324" s="1">
        <f t="shared" si="1"/>
        <v>322</v>
      </c>
      <c r="B324" s="1" t="s">
        <v>1938</v>
      </c>
      <c r="C324" s="1" t="s">
        <v>1044</v>
      </c>
      <c r="D324" s="1" t="s">
        <v>5</v>
      </c>
      <c r="E324" s="1">
        <f t="shared" si="2"/>
        <v>186.9</v>
      </c>
      <c r="F324" s="1">
        <f t="shared" si="3"/>
        <v>4.92</v>
      </c>
      <c r="G324" s="1">
        <v>38.0</v>
      </c>
      <c r="R324" s="1">
        <v>20.0</v>
      </c>
      <c r="S324" s="1">
        <v>107.0</v>
      </c>
      <c r="T324" s="1">
        <v>948.0</v>
      </c>
      <c r="U324" s="1">
        <v>1.0</v>
      </c>
    </row>
    <row r="325">
      <c r="A325" s="1">
        <f t="shared" si="1"/>
        <v>323</v>
      </c>
      <c r="B325" s="1" t="s">
        <v>1676</v>
      </c>
      <c r="C325" s="1" t="s">
        <v>1175</v>
      </c>
      <c r="D325" s="1" t="s">
        <v>5</v>
      </c>
      <c r="E325" s="1">
        <f t="shared" si="2"/>
        <v>186.3</v>
      </c>
      <c r="F325" s="1">
        <f t="shared" si="3"/>
        <v>4.54</v>
      </c>
      <c r="G325" s="1">
        <v>41.0</v>
      </c>
      <c r="R325" s="1">
        <v>17.0</v>
      </c>
      <c r="S325" s="1">
        <v>118.0</v>
      </c>
      <c r="T325" s="12">
        <v>1021.0</v>
      </c>
      <c r="U325" s="1">
        <v>2.0</v>
      </c>
    </row>
    <row r="326">
      <c r="A326" s="1">
        <f t="shared" si="1"/>
        <v>324</v>
      </c>
      <c r="B326" s="1" t="s">
        <v>1525</v>
      </c>
      <c r="C326" s="1" t="s">
        <v>1042</v>
      </c>
      <c r="D326" s="1" t="s">
        <v>31</v>
      </c>
      <c r="E326" s="1">
        <f t="shared" si="2"/>
        <v>185.75</v>
      </c>
      <c r="F326" s="1">
        <f t="shared" si="3"/>
        <v>2.86</v>
      </c>
      <c r="G326" s="1">
        <v>65.0</v>
      </c>
      <c r="H326" s="1">
        <v>10.0</v>
      </c>
      <c r="I326" s="1">
        <v>15.0</v>
      </c>
      <c r="J326" s="1">
        <v>25.0</v>
      </c>
      <c r="K326" s="1">
        <v>115.0</v>
      </c>
      <c r="L326" s="1">
        <v>3.0</v>
      </c>
      <c r="M326" s="1">
        <v>2.0</v>
      </c>
      <c r="N326" s="1">
        <v>0.0</v>
      </c>
      <c r="O326" s="1">
        <v>0.0</v>
      </c>
      <c r="P326" s="1">
        <v>91.0</v>
      </c>
      <c r="Q326" s="1">
        <v>31.0</v>
      </c>
    </row>
    <row r="327">
      <c r="A327" s="1">
        <f t="shared" si="1"/>
        <v>324</v>
      </c>
      <c r="B327" s="1" t="s">
        <v>1581</v>
      </c>
      <c r="C327" s="1" t="s">
        <v>1078</v>
      </c>
      <c r="D327" s="1" t="s">
        <v>66</v>
      </c>
      <c r="E327" s="1">
        <f t="shared" si="2"/>
        <v>185.75</v>
      </c>
      <c r="F327" s="1">
        <f t="shared" si="3"/>
        <v>2.86</v>
      </c>
      <c r="G327" s="1">
        <v>65.0</v>
      </c>
      <c r="H327" s="1">
        <v>4.0</v>
      </c>
      <c r="I327" s="1">
        <v>13.0</v>
      </c>
      <c r="J327" s="1">
        <v>17.0</v>
      </c>
      <c r="K327" s="1">
        <v>80.0</v>
      </c>
      <c r="L327" s="1">
        <v>0.0</v>
      </c>
      <c r="M327" s="1">
        <v>0.0</v>
      </c>
      <c r="N327" s="1">
        <v>0.0</v>
      </c>
      <c r="O327" s="1">
        <v>2.0</v>
      </c>
      <c r="P327" s="1">
        <v>119.0</v>
      </c>
      <c r="Q327" s="1">
        <v>110.0</v>
      </c>
    </row>
    <row r="328">
      <c r="A328" s="1">
        <f t="shared" si="1"/>
        <v>326</v>
      </c>
      <c r="B328" s="1" t="s">
        <v>1267</v>
      </c>
      <c r="C328" s="1" t="s">
        <v>1080</v>
      </c>
      <c r="D328" s="1" t="s">
        <v>66</v>
      </c>
      <c r="E328" s="1">
        <f t="shared" si="2"/>
        <v>185.25</v>
      </c>
      <c r="F328" s="1">
        <f t="shared" si="3"/>
        <v>2.61</v>
      </c>
      <c r="G328" s="1">
        <v>71.0</v>
      </c>
      <c r="H328" s="1">
        <v>2.0</v>
      </c>
      <c r="I328" s="1">
        <v>7.0</v>
      </c>
      <c r="J328" s="1">
        <v>9.0</v>
      </c>
      <c r="K328" s="1">
        <v>73.0</v>
      </c>
      <c r="L328" s="1">
        <v>0.0</v>
      </c>
      <c r="M328" s="1">
        <v>0.0</v>
      </c>
      <c r="N328" s="1">
        <v>1.0</v>
      </c>
      <c r="O328" s="1">
        <v>0.0</v>
      </c>
      <c r="P328" s="1">
        <v>201.0</v>
      </c>
      <c r="Q328" s="1">
        <v>133.0</v>
      </c>
    </row>
    <row r="329">
      <c r="A329" s="1">
        <f t="shared" si="1"/>
        <v>327</v>
      </c>
      <c r="B329" s="1" t="s">
        <v>1391</v>
      </c>
      <c r="C329" s="1" t="s">
        <v>1156</v>
      </c>
      <c r="D329" s="1" t="s">
        <v>36</v>
      </c>
      <c r="E329" s="1">
        <f t="shared" si="2"/>
        <v>185</v>
      </c>
      <c r="F329" s="1">
        <f t="shared" si="3"/>
        <v>4.2</v>
      </c>
      <c r="G329" s="1">
        <v>44.0</v>
      </c>
      <c r="H329" s="1">
        <v>12.0</v>
      </c>
      <c r="I329" s="1">
        <v>14.0</v>
      </c>
      <c r="J329" s="1">
        <v>26.0</v>
      </c>
      <c r="K329" s="1">
        <v>148.0</v>
      </c>
      <c r="L329" s="1">
        <v>3.0</v>
      </c>
      <c r="M329" s="1">
        <v>5.0</v>
      </c>
      <c r="N329" s="1">
        <v>0.0</v>
      </c>
      <c r="O329" s="1">
        <v>0.0</v>
      </c>
      <c r="P329" s="1">
        <v>18.0</v>
      </c>
      <c r="Q329" s="1">
        <v>21.0</v>
      </c>
    </row>
    <row r="330">
      <c r="A330" s="1">
        <f t="shared" si="1"/>
        <v>328</v>
      </c>
      <c r="B330" s="1" t="s">
        <v>1575</v>
      </c>
      <c r="C330" s="1" t="s">
        <v>1030</v>
      </c>
      <c r="D330" s="1" t="s">
        <v>66</v>
      </c>
      <c r="E330" s="1">
        <f t="shared" si="2"/>
        <v>183.75</v>
      </c>
      <c r="F330" s="1">
        <f t="shared" si="3"/>
        <v>3.11</v>
      </c>
      <c r="G330" s="1">
        <v>59.0</v>
      </c>
      <c r="H330" s="1">
        <v>3.0</v>
      </c>
      <c r="I330" s="1">
        <v>13.0</v>
      </c>
      <c r="J330" s="1">
        <v>16.0</v>
      </c>
      <c r="K330" s="1">
        <v>99.0</v>
      </c>
      <c r="L330" s="1">
        <v>0.0</v>
      </c>
      <c r="M330" s="1">
        <v>0.0</v>
      </c>
      <c r="N330" s="1">
        <v>0.0</v>
      </c>
      <c r="O330" s="1">
        <v>0.0</v>
      </c>
      <c r="P330" s="1">
        <v>97.0</v>
      </c>
      <c r="Q330" s="1">
        <v>115.0</v>
      </c>
    </row>
    <row r="331">
      <c r="A331" s="1">
        <f t="shared" si="1"/>
        <v>329</v>
      </c>
      <c r="B331" s="1" t="s">
        <v>1285</v>
      </c>
      <c r="C331" s="1" t="s">
        <v>1073</v>
      </c>
      <c r="D331" s="1" t="s">
        <v>36</v>
      </c>
      <c r="E331" s="1">
        <f t="shared" si="2"/>
        <v>183.5</v>
      </c>
      <c r="F331" s="1">
        <f t="shared" si="3"/>
        <v>2.74</v>
      </c>
      <c r="G331" s="1">
        <v>67.0</v>
      </c>
      <c r="H331" s="1">
        <v>11.0</v>
      </c>
      <c r="I331" s="1">
        <v>18.0</v>
      </c>
      <c r="J331" s="1">
        <v>29.0</v>
      </c>
      <c r="K331" s="1">
        <v>115.0</v>
      </c>
      <c r="L331" s="1">
        <v>4.0</v>
      </c>
      <c r="M331" s="1">
        <v>7.0</v>
      </c>
      <c r="N331" s="1">
        <v>0.0</v>
      </c>
      <c r="O331" s="1">
        <v>0.0</v>
      </c>
      <c r="P331" s="1">
        <v>52.0</v>
      </c>
      <c r="Q331" s="1">
        <v>19.0</v>
      </c>
    </row>
    <row r="332">
      <c r="A332" s="1">
        <f t="shared" si="1"/>
        <v>330</v>
      </c>
      <c r="B332" s="1" t="s">
        <v>2099</v>
      </c>
      <c r="C332" s="1" t="s">
        <v>1036</v>
      </c>
      <c r="D332" s="1" t="s">
        <v>36</v>
      </c>
      <c r="E332" s="1">
        <f t="shared" si="2"/>
        <v>182.25</v>
      </c>
      <c r="F332" s="1">
        <f t="shared" si="3"/>
        <v>2.94</v>
      </c>
      <c r="G332" s="1">
        <v>62.0</v>
      </c>
      <c r="H332" s="1">
        <v>12.0</v>
      </c>
      <c r="I332" s="1">
        <v>9.0</v>
      </c>
      <c r="J332" s="1">
        <v>21.0</v>
      </c>
      <c r="K332" s="1">
        <v>64.0</v>
      </c>
      <c r="L332" s="1">
        <v>0.0</v>
      </c>
      <c r="M332" s="1">
        <v>0.0</v>
      </c>
      <c r="N332" s="1">
        <v>2.0</v>
      </c>
      <c r="O332" s="1">
        <v>1.0</v>
      </c>
      <c r="P332" s="1">
        <v>165.0</v>
      </c>
      <c r="Q332" s="1">
        <v>44.0</v>
      </c>
    </row>
    <row r="333">
      <c r="A333" s="1">
        <f t="shared" si="1"/>
        <v>331</v>
      </c>
      <c r="B333" s="1" t="s">
        <v>2587</v>
      </c>
      <c r="C333" s="1" t="s">
        <v>1087</v>
      </c>
      <c r="D333" s="1" t="s">
        <v>66</v>
      </c>
      <c r="E333" s="1">
        <f t="shared" si="2"/>
        <v>181.75</v>
      </c>
      <c r="F333" s="1">
        <f t="shared" si="3"/>
        <v>2.84</v>
      </c>
      <c r="G333" s="1">
        <v>64.0</v>
      </c>
      <c r="H333" s="1">
        <v>2.0</v>
      </c>
      <c r="I333" s="1">
        <v>9.0</v>
      </c>
      <c r="J333" s="1">
        <v>11.0</v>
      </c>
      <c r="K333" s="1">
        <v>96.0</v>
      </c>
      <c r="L333" s="1">
        <v>1.0</v>
      </c>
      <c r="M333" s="1">
        <v>0.0</v>
      </c>
      <c r="N333" s="1">
        <v>0.0</v>
      </c>
      <c r="O333" s="1">
        <v>0.0</v>
      </c>
      <c r="P333" s="1">
        <v>135.0</v>
      </c>
      <c r="Q333" s="1">
        <v>128.0</v>
      </c>
      <c r="T333" s="12"/>
    </row>
    <row r="334">
      <c r="A334" s="1">
        <f t="shared" si="1"/>
        <v>331</v>
      </c>
      <c r="B334" s="1" t="s">
        <v>2406</v>
      </c>
      <c r="C334" s="1" t="s">
        <v>1042</v>
      </c>
      <c r="D334" s="1" t="s">
        <v>31</v>
      </c>
      <c r="E334" s="1">
        <f t="shared" si="2"/>
        <v>181.75</v>
      </c>
      <c r="F334" s="1">
        <f t="shared" si="3"/>
        <v>2.75</v>
      </c>
      <c r="G334" s="1">
        <v>66.0</v>
      </c>
      <c r="H334" s="1">
        <v>10.0</v>
      </c>
      <c r="I334" s="1">
        <v>21.0</v>
      </c>
      <c r="J334" s="1">
        <v>31.0</v>
      </c>
      <c r="K334" s="1">
        <v>122.0</v>
      </c>
      <c r="L334" s="1">
        <v>0.0</v>
      </c>
      <c r="M334" s="1">
        <v>0.0</v>
      </c>
      <c r="N334" s="1">
        <v>0.0</v>
      </c>
      <c r="O334" s="1">
        <v>0.0</v>
      </c>
      <c r="P334" s="1">
        <v>23.0</v>
      </c>
      <c r="Q334" s="1">
        <v>14.0</v>
      </c>
    </row>
    <row r="335">
      <c r="A335" s="1">
        <f t="shared" si="1"/>
        <v>333</v>
      </c>
      <c r="B335" s="1" t="s">
        <v>1675</v>
      </c>
      <c r="C335" s="1" t="s">
        <v>1087</v>
      </c>
      <c r="D335" s="1" t="s">
        <v>66</v>
      </c>
      <c r="E335" s="1">
        <f t="shared" si="2"/>
        <v>181.25</v>
      </c>
      <c r="F335" s="1">
        <f t="shared" si="3"/>
        <v>2.71</v>
      </c>
      <c r="G335" s="1">
        <v>67.0</v>
      </c>
      <c r="H335" s="1">
        <v>5.0</v>
      </c>
      <c r="I335" s="1">
        <v>8.0</v>
      </c>
      <c r="J335" s="1">
        <v>13.0</v>
      </c>
      <c r="K335" s="1">
        <v>98.0</v>
      </c>
      <c r="L335" s="1">
        <v>0.0</v>
      </c>
      <c r="M335" s="1">
        <v>0.0</v>
      </c>
      <c r="N335" s="1">
        <v>0.0</v>
      </c>
      <c r="O335" s="1">
        <v>2.0</v>
      </c>
      <c r="P335" s="1">
        <v>93.0</v>
      </c>
      <c r="Q335" s="1">
        <v>117.0</v>
      </c>
    </row>
    <row r="336">
      <c r="A336" s="1">
        <f t="shared" si="1"/>
        <v>334</v>
      </c>
      <c r="B336" s="1" t="s">
        <v>2110</v>
      </c>
      <c r="C336" s="1" t="s">
        <v>1065</v>
      </c>
      <c r="D336" s="1" t="s">
        <v>31</v>
      </c>
      <c r="E336" s="1">
        <f t="shared" si="2"/>
        <v>180.5</v>
      </c>
      <c r="F336" s="1">
        <f t="shared" si="3"/>
        <v>3.22</v>
      </c>
      <c r="G336" s="1">
        <v>56.0</v>
      </c>
      <c r="H336" s="1">
        <v>15.0</v>
      </c>
      <c r="I336" s="1">
        <v>10.0</v>
      </c>
      <c r="J336" s="1">
        <v>25.0</v>
      </c>
      <c r="K336" s="1">
        <v>94.0</v>
      </c>
      <c r="L336" s="1">
        <v>2.0</v>
      </c>
      <c r="M336" s="1">
        <v>0.0</v>
      </c>
      <c r="N336" s="1">
        <v>3.0</v>
      </c>
      <c r="O336" s="1">
        <v>2.0</v>
      </c>
      <c r="P336" s="1">
        <v>54.0</v>
      </c>
      <c r="Q336" s="1">
        <v>25.0</v>
      </c>
      <c r="T336" s="12"/>
    </row>
    <row r="337">
      <c r="A337" s="1">
        <f t="shared" si="1"/>
        <v>335</v>
      </c>
      <c r="B337" s="1" t="s">
        <v>1785</v>
      </c>
      <c r="C337" s="1" t="s">
        <v>1570</v>
      </c>
      <c r="D337" s="1" t="s">
        <v>31</v>
      </c>
      <c r="E337" s="1">
        <f t="shared" si="2"/>
        <v>180</v>
      </c>
      <c r="F337" s="1">
        <f t="shared" si="3"/>
        <v>3.27</v>
      </c>
      <c r="G337" s="1">
        <v>55.0</v>
      </c>
      <c r="H337" s="1">
        <v>11.0</v>
      </c>
      <c r="I337" s="1">
        <v>15.0</v>
      </c>
      <c r="J337" s="1">
        <v>26.0</v>
      </c>
      <c r="K337" s="1">
        <v>129.0</v>
      </c>
      <c r="L337" s="1">
        <v>3.0</v>
      </c>
      <c r="M337" s="1">
        <v>4.0</v>
      </c>
      <c r="N337" s="1">
        <v>0.0</v>
      </c>
      <c r="O337" s="1">
        <v>0.0</v>
      </c>
      <c r="P337" s="1">
        <v>36.0</v>
      </c>
      <c r="Q337" s="1">
        <v>24.0</v>
      </c>
    </row>
    <row r="338">
      <c r="A338" s="1">
        <f t="shared" si="1"/>
        <v>336</v>
      </c>
      <c r="B338" s="1" t="s">
        <v>1490</v>
      </c>
      <c r="C338" s="1" t="s">
        <v>1038</v>
      </c>
      <c r="D338" s="1" t="s">
        <v>31</v>
      </c>
      <c r="E338" s="1">
        <f t="shared" si="2"/>
        <v>179.25</v>
      </c>
      <c r="F338" s="1">
        <f t="shared" si="3"/>
        <v>2.6</v>
      </c>
      <c r="G338" s="1">
        <v>69.0</v>
      </c>
      <c r="H338" s="1">
        <v>6.0</v>
      </c>
      <c r="I338" s="1">
        <v>17.0</v>
      </c>
      <c r="J338" s="1">
        <v>23.0</v>
      </c>
      <c r="K338" s="1">
        <v>95.0</v>
      </c>
      <c r="L338" s="1">
        <v>0.0</v>
      </c>
      <c r="M338" s="1">
        <v>1.0</v>
      </c>
      <c r="N338" s="1">
        <v>0.0</v>
      </c>
      <c r="O338" s="1">
        <v>1.0</v>
      </c>
      <c r="P338" s="1">
        <v>145.0</v>
      </c>
      <c r="Q338" s="1">
        <v>31.0</v>
      </c>
    </row>
    <row r="339">
      <c r="A339" s="1">
        <f t="shared" si="1"/>
        <v>337</v>
      </c>
      <c r="B339" s="1" t="s">
        <v>1696</v>
      </c>
      <c r="C339" s="1" t="s">
        <v>1080</v>
      </c>
      <c r="D339" s="1" t="s">
        <v>36</v>
      </c>
      <c r="E339" s="1">
        <f t="shared" si="2"/>
        <v>178.5</v>
      </c>
      <c r="F339" s="1">
        <f t="shared" si="3"/>
        <v>2.51</v>
      </c>
      <c r="G339" s="1">
        <v>71.0</v>
      </c>
      <c r="H339" s="1">
        <v>8.0</v>
      </c>
      <c r="I339" s="1">
        <v>7.0</v>
      </c>
      <c r="J339" s="1">
        <v>15.0</v>
      </c>
      <c r="K339" s="1">
        <v>61.0</v>
      </c>
      <c r="L339" s="1">
        <v>0.0</v>
      </c>
      <c r="M339" s="1">
        <v>0.0</v>
      </c>
      <c r="N339" s="1">
        <v>0.0</v>
      </c>
      <c r="O339" s="1">
        <v>0.0</v>
      </c>
      <c r="P339" s="1">
        <v>316.0</v>
      </c>
      <c r="Q339" s="1">
        <v>24.0</v>
      </c>
    </row>
    <row r="340">
      <c r="A340" s="1">
        <f t="shared" si="1"/>
        <v>337</v>
      </c>
      <c r="B340" s="1" t="s">
        <v>2479</v>
      </c>
      <c r="C340" s="1" t="s">
        <v>1570</v>
      </c>
      <c r="D340" s="1" t="s">
        <v>66</v>
      </c>
      <c r="E340" s="1">
        <f t="shared" si="2"/>
        <v>178.5</v>
      </c>
      <c r="F340" s="1">
        <f t="shared" si="3"/>
        <v>3.8</v>
      </c>
      <c r="G340" s="1">
        <v>47.0</v>
      </c>
      <c r="H340" s="1">
        <v>5.0</v>
      </c>
      <c r="I340" s="1">
        <v>18.0</v>
      </c>
      <c r="J340" s="1">
        <v>23.0</v>
      </c>
      <c r="K340" s="1">
        <v>95.0</v>
      </c>
      <c r="L340" s="1">
        <v>1.0</v>
      </c>
      <c r="M340" s="1">
        <v>9.0</v>
      </c>
      <c r="N340" s="1">
        <v>0.0</v>
      </c>
      <c r="O340" s="1">
        <v>1.0</v>
      </c>
      <c r="P340" s="1">
        <v>50.0</v>
      </c>
      <c r="Q340" s="1">
        <v>80.0</v>
      </c>
    </row>
    <row r="341">
      <c r="A341" s="1">
        <f t="shared" si="1"/>
        <v>339</v>
      </c>
      <c r="B341" s="1" t="s">
        <v>1213</v>
      </c>
      <c r="C341" s="1" t="s">
        <v>1091</v>
      </c>
      <c r="D341" s="1" t="s">
        <v>31</v>
      </c>
      <c r="E341" s="1">
        <f t="shared" si="2"/>
        <v>177.75</v>
      </c>
      <c r="F341" s="1">
        <f t="shared" si="3"/>
        <v>3.63</v>
      </c>
      <c r="G341" s="1">
        <v>49.0</v>
      </c>
      <c r="H341" s="1">
        <v>13.0</v>
      </c>
      <c r="I341" s="1">
        <v>14.0</v>
      </c>
      <c r="J341" s="1">
        <v>27.0</v>
      </c>
      <c r="K341" s="1">
        <v>74.0</v>
      </c>
      <c r="L341" s="1">
        <v>0.0</v>
      </c>
      <c r="M341" s="1">
        <v>0.0</v>
      </c>
      <c r="N341" s="1">
        <v>0.0</v>
      </c>
      <c r="O341" s="1">
        <v>0.0</v>
      </c>
      <c r="P341" s="1">
        <v>109.0</v>
      </c>
      <c r="Q341" s="1">
        <v>26.0</v>
      </c>
    </row>
    <row r="342">
      <c r="A342" s="1">
        <f t="shared" si="1"/>
        <v>340</v>
      </c>
      <c r="B342" s="1" t="s">
        <v>1292</v>
      </c>
      <c r="C342" s="1" t="s">
        <v>1052</v>
      </c>
      <c r="D342" s="1" t="s">
        <v>66</v>
      </c>
      <c r="E342" s="1">
        <f t="shared" si="2"/>
        <v>177</v>
      </c>
      <c r="F342" s="1">
        <f t="shared" si="3"/>
        <v>2.57</v>
      </c>
      <c r="G342" s="1">
        <v>69.0</v>
      </c>
      <c r="H342" s="1">
        <v>2.0</v>
      </c>
      <c r="I342" s="1">
        <v>20.0</v>
      </c>
      <c r="J342" s="1">
        <v>22.0</v>
      </c>
      <c r="K342" s="1">
        <v>79.0</v>
      </c>
      <c r="L342" s="1">
        <v>0.0</v>
      </c>
      <c r="M342" s="1">
        <v>2.0</v>
      </c>
      <c r="N342" s="1">
        <v>0.0</v>
      </c>
      <c r="O342" s="1">
        <v>0.0</v>
      </c>
      <c r="P342" s="1">
        <v>106.0</v>
      </c>
      <c r="Q342" s="1">
        <v>84.0</v>
      </c>
    </row>
    <row r="343">
      <c r="A343" s="1">
        <f t="shared" si="1"/>
        <v>340</v>
      </c>
      <c r="B343" s="1" t="s">
        <v>1802</v>
      </c>
      <c r="C343" s="1" t="s">
        <v>1040</v>
      </c>
      <c r="D343" s="1" t="s">
        <v>28</v>
      </c>
      <c r="E343" s="1">
        <f t="shared" si="2"/>
        <v>177</v>
      </c>
      <c r="F343" s="1">
        <f t="shared" si="3"/>
        <v>3</v>
      </c>
      <c r="G343" s="1">
        <v>59.0</v>
      </c>
      <c r="H343" s="1">
        <v>6.0</v>
      </c>
      <c r="I343" s="1">
        <v>12.0</v>
      </c>
      <c r="J343" s="1">
        <v>18.0</v>
      </c>
      <c r="K343" s="1">
        <v>86.0</v>
      </c>
      <c r="L343" s="1">
        <v>2.0</v>
      </c>
      <c r="M343" s="1">
        <v>3.0</v>
      </c>
      <c r="N343" s="1">
        <v>1.0</v>
      </c>
      <c r="O343" s="1">
        <v>1.0</v>
      </c>
      <c r="P343" s="1">
        <v>164.0</v>
      </c>
      <c r="Q343" s="1">
        <v>52.0</v>
      </c>
    </row>
    <row r="344">
      <c r="A344" s="1">
        <f t="shared" si="1"/>
        <v>340</v>
      </c>
      <c r="B344" s="1" t="s">
        <v>1678</v>
      </c>
      <c r="C344" s="1" t="s">
        <v>1069</v>
      </c>
      <c r="D344" s="1" t="s">
        <v>31</v>
      </c>
      <c r="E344" s="1">
        <f t="shared" si="2"/>
        <v>177</v>
      </c>
      <c r="F344" s="1">
        <f t="shared" si="3"/>
        <v>2.6</v>
      </c>
      <c r="G344" s="1">
        <v>68.0</v>
      </c>
      <c r="H344" s="1">
        <v>10.0</v>
      </c>
      <c r="I344" s="1">
        <v>19.0</v>
      </c>
      <c r="J344" s="1">
        <v>29.0</v>
      </c>
      <c r="K344" s="1">
        <v>102.0</v>
      </c>
      <c r="L344" s="1">
        <v>1.0</v>
      </c>
      <c r="M344" s="1">
        <v>3.0</v>
      </c>
      <c r="N344" s="1">
        <v>1.0</v>
      </c>
      <c r="O344" s="1">
        <v>1.0</v>
      </c>
      <c r="P344" s="1">
        <v>12.0</v>
      </c>
      <c r="Q344" s="1">
        <v>34.0</v>
      </c>
    </row>
    <row r="345">
      <c r="A345" s="1">
        <f t="shared" si="1"/>
        <v>343</v>
      </c>
      <c r="B345" s="1" t="s">
        <v>2335</v>
      </c>
      <c r="C345" s="1" t="s">
        <v>1065</v>
      </c>
      <c r="D345" s="1" t="s">
        <v>31</v>
      </c>
      <c r="E345" s="1">
        <f t="shared" si="2"/>
        <v>176.75</v>
      </c>
      <c r="F345" s="1">
        <f t="shared" si="3"/>
        <v>2.49</v>
      </c>
      <c r="G345" s="1">
        <v>71.0</v>
      </c>
      <c r="H345" s="1">
        <v>8.0</v>
      </c>
      <c r="I345" s="1">
        <v>11.0</v>
      </c>
      <c r="J345" s="1">
        <v>19.0</v>
      </c>
      <c r="K345" s="1">
        <v>63.0</v>
      </c>
      <c r="L345" s="1">
        <v>0.0</v>
      </c>
      <c r="M345" s="1">
        <v>0.0</v>
      </c>
      <c r="N345" s="1">
        <v>2.0</v>
      </c>
      <c r="O345" s="1">
        <v>2.0</v>
      </c>
      <c r="P345" s="1">
        <v>189.0</v>
      </c>
      <c r="Q345" s="1">
        <v>42.0</v>
      </c>
    </row>
    <row r="346">
      <c r="A346" s="1">
        <f t="shared" si="1"/>
        <v>344</v>
      </c>
      <c r="B346" s="1" t="s">
        <v>2204</v>
      </c>
      <c r="C346" s="1" t="s">
        <v>1048</v>
      </c>
      <c r="D346" s="1" t="s">
        <v>66</v>
      </c>
      <c r="E346" s="1">
        <f t="shared" si="2"/>
        <v>176</v>
      </c>
      <c r="F346" s="1">
        <f t="shared" si="3"/>
        <v>2.55</v>
      </c>
      <c r="G346" s="1">
        <v>69.0</v>
      </c>
      <c r="H346" s="1">
        <v>5.0</v>
      </c>
      <c r="I346" s="1">
        <v>14.0</v>
      </c>
      <c r="J346" s="1">
        <v>19.0</v>
      </c>
      <c r="K346" s="1">
        <v>89.0</v>
      </c>
      <c r="L346" s="1">
        <v>0.0</v>
      </c>
      <c r="M346" s="1">
        <v>0.0</v>
      </c>
      <c r="N346" s="1">
        <v>0.0</v>
      </c>
      <c r="O346" s="1">
        <v>1.0</v>
      </c>
      <c r="P346" s="1">
        <v>68.0</v>
      </c>
      <c r="Q346" s="1">
        <v>96.0</v>
      </c>
    </row>
    <row r="347">
      <c r="A347" s="1">
        <f t="shared" si="1"/>
        <v>345</v>
      </c>
      <c r="B347" s="1" t="s">
        <v>1689</v>
      </c>
      <c r="C347" s="1" t="s">
        <v>1080</v>
      </c>
      <c r="D347" s="1" t="s">
        <v>28</v>
      </c>
      <c r="E347" s="1">
        <f t="shared" si="2"/>
        <v>175.75</v>
      </c>
      <c r="F347" s="1">
        <f t="shared" si="3"/>
        <v>2.48</v>
      </c>
      <c r="G347" s="1">
        <v>71.0</v>
      </c>
      <c r="H347" s="1">
        <v>7.0</v>
      </c>
      <c r="I347" s="1">
        <v>12.0</v>
      </c>
      <c r="J347" s="1">
        <v>19.0</v>
      </c>
      <c r="K347" s="1">
        <v>99.0</v>
      </c>
      <c r="L347" s="1">
        <v>0.0</v>
      </c>
      <c r="M347" s="1">
        <v>0.0</v>
      </c>
      <c r="N347" s="1">
        <v>0.0</v>
      </c>
      <c r="O347" s="1">
        <v>0.0</v>
      </c>
      <c r="P347" s="1">
        <v>213.0</v>
      </c>
      <c r="Q347" s="1">
        <v>11.0</v>
      </c>
    </row>
    <row r="348">
      <c r="A348" s="1">
        <f t="shared" si="1"/>
        <v>345</v>
      </c>
      <c r="B348" s="1" t="s">
        <v>2347</v>
      </c>
      <c r="C348" s="1" t="s">
        <v>1034</v>
      </c>
      <c r="D348" s="1" t="s">
        <v>31</v>
      </c>
      <c r="E348" s="1">
        <f t="shared" si="2"/>
        <v>175.75</v>
      </c>
      <c r="F348" s="1">
        <f t="shared" si="3"/>
        <v>2.88</v>
      </c>
      <c r="G348" s="1">
        <v>61.0</v>
      </c>
      <c r="H348" s="1">
        <v>7.0</v>
      </c>
      <c r="I348" s="1">
        <v>11.0</v>
      </c>
      <c r="J348" s="1">
        <v>18.0</v>
      </c>
      <c r="K348" s="1">
        <v>78.0</v>
      </c>
      <c r="L348" s="1">
        <v>0.0</v>
      </c>
      <c r="M348" s="1">
        <v>0.0</v>
      </c>
      <c r="N348" s="1">
        <v>1.0</v>
      </c>
      <c r="O348" s="1">
        <v>1.0</v>
      </c>
      <c r="P348" s="1">
        <v>175.0</v>
      </c>
      <c r="Q348" s="1">
        <v>49.0</v>
      </c>
    </row>
    <row r="349">
      <c r="A349" s="1">
        <f t="shared" si="1"/>
        <v>347</v>
      </c>
      <c r="B349" s="1" t="s">
        <v>2470</v>
      </c>
      <c r="C349" s="1" t="s">
        <v>1042</v>
      </c>
      <c r="D349" s="1" t="s">
        <v>5</v>
      </c>
      <c r="E349" s="1">
        <f t="shared" si="2"/>
        <v>175.2</v>
      </c>
      <c r="F349" s="1">
        <f t="shared" si="3"/>
        <v>4.87</v>
      </c>
      <c r="G349" s="1">
        <v>36.0</v>
      </c>
      <c r="R349" s="1">
        <v>18.0</v>
      </c>
      <c r="S349" s="1">
        <v>105.0</v>
      </c>
      <c r="T349" s="1">
        <v>899.0</v>
      </c>
      <c r="U349" s="1">
        <v>3.0</v>
      </c>
    </row>
    <row r="350">
      <c r="A350" s="1">
        <f t="shared" si="1"/>
        <v>348</v>
      </c>
      <c r="B350" s="1" t="s">
        <v>2588</v>
      </c>
      <c r="C350" s="1" t="s">
        <v>1570</v>
      </c>
      <c r="D350" s="1" t="s">
        <v>36</v>
      </c>
      <c r="E350" s="1">
        <f t="shared" si="2"/>
        <v>175</v>
      </c>
      <c r="F350" s="1">
        <f t="shared" si="3"/>
        <v>3.8</v>
      </c>
      <c r="G350" s="1">
        <v>46.0</v>
      </c>
      <c r="H350" s="1">
        <v>10.0</v>
      </c>
      <c r="I350" s="1">
        <v>16.0</v>
      </c>
      <c r="J350" s="1">
        <v>26.0</v>
      </c>
      <c r="K350" s="1">
        <v>115.0</v>
      </c>
      <c r="L350" s="1">
        <v>2.0</v>
      </c>
      <c r="M350" s="1">
        <v>3.0</v>
      </c>
      <c r="N350" s="1">
        <v>0.0</v>
      </c>
      <c r="O350" s="1">
        <v>0.0</v>
      </c>
      <c r="P350" s="1">
        <v>52.0</v>
      </c>
      <c r="Q350" s="1">
        <v>23.0</v>
      </c>
    </row>
    <row r="351">
      <c r="A351" s="1">
        <f t="shared" si="1"/>
        <v>348</v>
      </c>
      <c r="B351" s="1" t="s">
        <v>1224</v>
      </c>
      <c r="C351" s="1" t="s">
        <v>1044</v>
      </c>
      <c r="D351" s="1" t="s">
        <v>28</v>
      </c>
      <c r="E351" s="1">
        <f t="shared" si="2"/>
        <v>175</v>
      </c>
      <c r="F351" s="1">
        <f t="shared" si="3"/>
        <v>3.13</v>
      </c>
      <c r="G351" s="1">
        <v>56.0</v>
      </c>
      <c r="H351" s="1">
        <v>9.0</v>
      </c>
      <c r="I351" s="1">
        <v>11.0</v>
      </c>
      <c r="J351" s="1">
        <v>20.0</v>
      </c>
      <c r="K351" s="1">
        <v>103.0</v>
      </c>
      <c r="L351" s="1">
        <v>0.0</v>
      </c>
      <c r="M351" s="1">
        <v>1.0</v>
      </c>
      <c r="N351" s="1">
        <v>0.0</v>
      </c>
      <c r="O351" s="1">
        <v>0.0</v>
      </c>
      <c r="P351" s="1">
        <v>122.0</v>
      </c>
      <c r="Q351" s="1">
        <v>39.0</v>
      </c>
    </row>
    <row r="352">
      <c r="A352" s="1">
        <f t="shared" si="1"/>
        <v>348</v>
      </c>
      <c r="B352" s="1" t="s">
        <v>1431</v>
      </c>
      <c r="C352" s="1" t="s">
        <v>1069</v>
      </c>
      <c r="D352" s="1" t="s">
        <v>66</v>
      </c>
      <c r="E352" s="1">
        <f t="shared" si="2"/>
        <v>175</v>
      </c>
      <c r="F352" s="1">
        <f t="shared" si="3"/>
        <v>2.54</v>
      </c>
      <c r="G352" s="1">
        <v>69.0</v>
      </c>
      <c r="H352" s="1">
        <v>2.0</v>
      </c>
      <c r="I352" s="1">
        <v>18.0</v>
      </c>
      <c r="J352" s="1">
        <v>20.0</v>
      </c>
      <c r="K352" s="1">
        <v>45.0</v>
      </c>
      <c r="L352" s="1">
        <v>0.0</v>
      </c>
      <c r="M352" s="1">
        <v>1.0</v>
      </c>
      <c r="N352" s="1">
        <v>0.0</v>
      </c>
      <c r="O352" s="1">
        <v>1.0</v>
      </c>
      <c r="P352" s="1">
        <v>32.0</v>
      </c>
      <c r="Q352" s="1">
        <v>159.0</v>
      </c>
    </row>
    <row r="353">
      <c r="A353" s="1">
        <f t="shared" si="1"/>
        <v>351</v>
      </c>
      <c r="B353" s="1" t="s">
        <v>1650</v>
      </c>
      <c r="C353" s="1" t="s">
        <v>1038</v>
      </c>
      <c r="D353" s="1" t="s">
        <v>66</v>
      </c>
      <c r="E353" s="1">
        <f t="shared" si="2"/>
        <v>174.5</v>
      </c>
      <c r="F353" s="1">
        <f t="shared" si="3"/>
        <v>2.57</v>
      </c>
      <c r="G353" s="1">
        <v>68.0</v>
      </c>
      <c r="H353" s="1">
        <v>4.0</v>
      </c>
      <c r="I353" s="1">
        <v>17.0</v>
      </c>
      <c r="J353" s="1">
        <v>21.0</v>
      </c>
      <c r="K353" s="1">
        <v>112.0</v>
      </c>
      <c r="L353" s="1">
        <v>1.0</v>
      </c>
      <c r="M353" s="1">
        <v>6.0</v>
      </c>
      <c r="N353" s="1">
        <v>0.0</v>
      </c>
      <c r="O353" s="1">
        <v>1.0</v>
      </c>
      <c r="P353" s="1">
        <v>56.0</v>
      </c>
      <c r="Q353" s="1">
        <v>67.0</v>
      </c>
    </row>
    <row r="354">
      <c r="A354" s="1">
        <f t="shared" si="1"/>
        <v>351</v>
      </c>
      <c r="B354" s="1" t="s">
        <v>1454</v>
      </c>
      <c r="C354" s="1" t="s">
        <v>1065</v>
      </c>
      <c r="D354" s="1" t="s">
        <v>66</v>
      </c>
      <c r="E354" s="1">
        <f t="shared" si="2"/>
        <v>174.5</v>
      </c>
      <c r="F354" s="1">
        <f t="shared" si="3"/>
        <v>3.12</v>
      </c>
      <c r="G354" s="1">
        <v>56.0</v>
      </c>
      <c r="H354" s="1">
        <v>2.0</v>
      </c>
      <c r="I354" s="1">
        <v>21.0</v>
      </c>
      <c r="J354" s="1">
        <v>23.0</v>
      </c>
      <c r="K354" s="1">
        <v>109.0</v>
      </c>
      <c r="L354" s="1">
        <v>1.0</v>
      </c>
      <c r="M354" s="1">
        <v>7.0</v>
      </c>
      <c r="N354" s="1">
        <v>0.0</v>
      </c>
      <c r="O354" s="1">
        <v>2.0</v>
      </c>
      <c r="P354" s="1">
        <v>34.0</v>
      </c>
      <c r="Q354" s="1">
        <v>71.0</v>
      </c>
    </row>
    <row r="355">
      <c r="A355" s="1">
        <f t="shared" si="1"/>
        <v>353</v>
      </c>
      <c r="B355" s="1" t="s">
        <v>1535</v>
      </c>
      <c r="C355" s="1" t="s">
        <v>1052</v>
      </c>
      <c r="D355" s="1" t="s">
        <v>66</v>
      </c>
      <c r="E355" s="1">
        <f t="shared" si="2"/>
        <v>174</v>
      </c>
      <c r="F355" s="1">
        <f t="shared" si="3"/>
        <v>3.11</v>
      </c>
      <c r="G355" s="1">
        <v>56.0</v>
      </c>
      <c r="H355" s="1">
        <v>6.0</v>
      </c>
      <c r="I355" s="1">
        <v>20.0</v>
      </c>
      <c r="J355" s="1">
        <v>26.0</v>
      </c>
      <c r="K355" s="1">
        <v>61.0</v>
      </c>
      <c r="L355" s="1">
        <v>1.0</v>
      </c>
      <c r="M355" s="1">
        <v>3.0</v>
      </c>
      <c r="N355" s="1">
        <v>0.0</v>
      </c>
      <c r="O355" s="1">
        <v>0.0</v>
      </c>
      <c r="P355" s="1">
        <v>72.0</v>
      </c>
      <c r="Q355" s="1">
        <v>77.0</v>
      </c>
    </row>
    <row r="356">
      <c r="A356" s="1">
        <f t="shared" si="1"/>
        <v>353</v>
      </c>
      <c r="B356" s="1" t="s">
        <v>1282</v>
      </c>
      <c r="C356" s="1" t="s">
        <v>1032</v>
      </c>
      <c r="D356" s="1" t="s">
        <v>31</v>
      </c>
      <c r="E356" s="1">
        <f t="shared" si="2"/>
        <v>174</v>
      </c>
      <c r="F356" s="1">
        <f t="shared" si="3"/>
        <v>2.68</v>
      </c>
      <c r="G356" s="1">
        <v>65.0</v>
      </c>
      <c r="H356" s="1">
        <v>9.0</v>
      </c>
      <c r="I356" s="1">
        <v>19.0</v>
      </c>
      <c r="J356" s="1">
        <v>28.0</v>
      </c>
      <c r="K356" s="1">
        <v>88.0</v>
      </c>
      <c r="L356" s="1">
        <v>1.0</v>
      </c>
      <c r="M356" s="1">
        <v>2.0</v>
      </c>
      <c r="N356" s="1">
        <v>0.0</v>
      </c>
      <c r="O356" s="1">
        <v>0.0</v>
      </c>
      <c r="P356" s="1">
        <v>48.0</v>
      </c>
      <c r="Q356" s="1">
        <v>41.0</v>
      </c>
    </row>
    <row r="357">
      <c r="A357" s="1">
        <f t="shared" si="1"/>
        <v>353</v>
      </c>
      <c r="B357" s="1" t="s">
        <v>1543</v>
      </c>
      <c r="C357" s="1" t="s">
        <v>1085</v>
      </c>
      <c r="D357" s="1" t="s">
        <v>31</v>
      </c>
      <c r="E357" s="1">
        <f t="shared" si="2"/>
        <v>174</v>
      </c>
      <c r="F357" s="1">
        <f t="shared" si="3"/>
        <v>2.64</v>
      </c>
      <c r="G357" s="1">
        <v>66.0</v>
      </c>
      <c r="H357" s="1">
        <v>11.0</v>
      </c>
      <c r="I357" s="1">
        <v>9.0</v>
      </c>
      <c r="J357" s="1">
        <v>20.0</v>
      </c>
      <c r="K357" s="1">
        <v>109.0</v>
      </c>
      <c r="L357" s="1">
        <v>3.0</v>
      </c>
      <c r="M357" s="1">
        <v>0.0</v>
      </c>
      <c r="N357" s="1">
        <v>0.0</v>
      </c>
      <c r="O357" s="1">
        <v>0.0</v>
      </c>
      <c r="P357" s="1">
        <v>84.0</v>
      </c>
      <c r="Q357" s="1">
        <v>44.0</v>
      </c>
    </row>
    <row r="358">
      <c r="A358" s="1">
        <f t="shared" si="1"/>
        <v>356</v>
      </c>
      <c r="B358" s="1" t="s">
        <v>1297</v>
      </c>
      <c r="C358" s="1" t="s">
        <v>1082</v>
      </c>
      <c r="D358" s="1" t="s">
        <v>36</v>
      </c>
      <c r="E358" s="1">
        <f t="shared" si="2"/>
        <v>173.75</v>
      </c>
      <c r="F358" s="1">
        <f t="shared" si="3"/>
        <v>2.63</v>
      </c>
      <c r="G358" s="1">
        <v>66.0</v>
      </c>
      <c r="H358" s="1">
        <v>9.0</v>
      </c>
      <c r="I358" s="1">
        <v>7.0</v>
      </c>
      <c r="J358" s="1">
        <v>16.0</v>
      </c>
      <c r="K358" s="1">
        <v>80.0</v>
      </c>
      <c r="L358" s="1">
        <v>0.0</v>
      </c>
      <c r="M358" s="1">
        <v>0.0</v>
      </c>
      <c r="N358" s="1">
        <v>0.0</v>
      </c>
      <c r="O358" s="1">
        <v>1.0</v>
      </c>
      <c r="P358" s="1">
        <v>189.0</v>
      </c>
      <c r="Q358" s="1">
        <v>46.0</v>
      </c>
    </row>
    <row r="359">
      <c r="A359" s="1">
        <f t="shared" si="1"/>
        <v>357</v>
      </c>
      <c r="B359" s="1" t="s">
        <v>1345</v>
      </c>
      <c r="C359" s="1" t="s">
        <v>1065</v>
      </c>
      <c r="D359" s="1" t="s">
        <v>31</v>
      </c>
      <c r="E359" s="1">
        <f t="shared" si="2"/>
        <v>173.25</v>
      </c>
      <c r="F359" s="1">
        <f t="shared" si="3"/>
        <v>2.59</v>
      </c>
      <c r="G359" s="1">
        <v>67.0</v>
      </c>
      <c r="H359" s="1">
        <v>10.0</v>
      </c>
      <c r="I359" s="1">
        <v>16.0</v>
      </c>
      <c r="J359" s="1">
        <v>26.0</v>
      </c>
      <c r="K359" s="1">
        <v>109.0</v>
      </c>
      <c r="L359" s="1">
        <v>3.0</v>
      </c>
      <c r="M359" s="1">
        <v>3.0</v>
      </c>
      <c r="N359" s="1">
        <v>0.0</v>
      </c>
      <c r="O359" s="1">
        <v>0.0</v>
      </c>
      <c r="P359" s="1">
        <v>35.0</v>
      </c>
      <c r="Q359" s="1">
        <v>34.0</v>
      </c>
    </row>
    <row r="360">
      <c r="A360" s="1">
        <f t="shared" si="1"/>
        <v>358</v>
      </c>
      <c r="B360" s="1" t="s">
        <v>1946</v>
      </c>
      <c r="C360" s="1" t="s">
        <v>1069</v>
      </c>
      <c r="D360" s="1" t="s">
        <v>28</v>
      </c>
      <c r="E360" s="1">
        <f t="shared" si="2"/>
        <v>173</v>
      </c>
      <c r="F360" s="1">
        <f t="shared" si="3"/>
        <v>2.54</v>
      </c>
      <c r="G360" s="1">
        <v>68.0</v>
      </c>
      <c r="H360" s="1">
        <v>8.0</v>
      </c>
      <c r="I360" s="1">
        <v>12.0</v>
      </c>
      <c r="J360" s="1">
        <v>20.0</v>
      </c>
      <c r="K360" s="1">
        <v>83.0</v>
      </c>
      <c r="L360" s="1">
        <v>5.0</v>
      </c>
      <c r="M360" s="1">
        <v>3.0</v>
      </c>
      <c r="N360" s="1">
        <v>0.0</v>
      </c>
      <c r="O360" s="1">
        <v>0.0</v>
      </c>
      <c r="P360" s="1">
        <v>198.0</v>
      </c>
      <c r="Q360" s="1">
        <v>20.0</v>
      </c>
    </row>
    <row r="361">
      <c r="A361" s="1">
        <f t="shared" si="1"/>
        <v>359</v>
      </c>
      <c r="B361" s="1" t="s">
        <v>2330</v>
      </c>
      <c r="C361" s="1" t="s">
        <v>1052</v>
      </c>
      <c r="D361" s="1" t="s">
        <v>36</v>
      </c>
      <c r="E361" s="1">
        <f t="shared" si="2"/>
        <v>172.75</v>
      </c>
      <c r="F361" s="1">
        <f t="shared" si="3"/>
        <v>2.5</v>
      </c>
      <c r="G361" s="1">
        <v>69.0</v>
      </c>
      <c r="H361" s="1">
        <v>6.0</v>
      </c>
      <c r="I361" s="1">
        <v>10.0</v>
      </c>
      <c r="J361" s="1">
        <v>16.0</v>
      </c>
      <c r="K361" s="1">
        <v>114.0</v>
      </c>
      <c r="L361" s="1">
        <v>0.0</v>
      </c>
      <c r="M361" s="1">
        <v>0.0</v>
      </c>
      <c r="N361" s="1">
        <v>0.0</v>
      </c>
      <c r="O361" s="1">
        <v>0.0</v>
      </c>
      <c r="P361" s="1">
        <v>91.0</v>
      </c>
      <c r="Q361" s="1">
        <v>72.0</v>
      </c>
    </row>
    <row r="362">
      <c r="A362" s="1">
        <f t="shared" si="1"/>
        <v>359</v>
      </c>
      <c r="B362" s="1" t="s">
        <v>2098</v>
      </c>
      <c r="C362" s="1" t="s">
        <v>1080</v>
      </c>
      <c r="D362" s="1" t="s">
        <v>66</v>
      </c>
      <c r="E362" s="1">
        <f t="shared" si="2"/>
        <v>172.75</v>
      </c>
      <c r="F362" s="1">
        <f t="shared" si="3"/>
        <v>2.83</v>
      </c>
      <c r="G362" s="1">
        <v>61.0</v>
      </c>
      <c r="H362" s="1">
        <v>6.0</v>
      </c>
      <c r="I362" s="1">
        <v>8.0</v>
      </c>
      <c r="J362" s="1">
        <v>14.0</v>
      </c>
      <c r="K362" s="1">
        <v>101.0</v>
      </c>
      <c r="L362" s="1">
        <v>1.0</v>
      </c>
      <c r="M362" s="1">
        <v>0.0</v>
      </c>
      <c r="N362" s="1">
        <v>0.0</v>
      </c>
      <c r="O362" s="1">
        <v>1.0</v>
      </c>
      <c r="P362" s="1">
        <v>129.0</v>
      </c>
      <c r="Q362" s="1">
        <v>74.0</v>
      </c>
    </row>
    <row r="363">
      <c r="A363" s="1">
        <f t="shared" si="1"/>
        <v>359</v>
      </c>
      <c r="B363" s="1" t="s">
        <v>1439</v>
      </c>
      <c r="C363" s="1" t="s">
        <v>1052</v>
      </c>
      <c r="D363" s="1" t="s">
        <v>31</v>
      </c>
      <c r="E363" s="1">
        <f t="shared" si="2"/>
        <v>172.75</v>
      </c>
      <c r="F363" s="1">
        <f t="shared" si="3"/>
        <v>2.5</v>
      </c>
      <c r="G363" s="1">
        <v>69.0</v>
      </c>
      <c r="H363" s="1">
        <v>9.0</v>
      </c>
      <c r="I363" s="1">
        <v>13.0</v>
      </c>
      <c r="J363" s="1">
        <v>22.0</v>
      </c>
      <c r="K363" s="1">
        <v>102.0</v>
      </c>
      <c r="L363" s="1">
        <v>0.0</v>
      </c>
      <c r="M363" s="1">
        <v>0.0</v>
      </c>
      <c r="N363" s="1">
        <v>0.0</v>
      </c>
      <c r="O363" s="1">
        <v>2.0</v>
      </c>
      <c r="P363" s="1">
        <v>83.0</v>
      </c>
      <c r="Q363" s="1">
        <v>35.0</v>
      </c>
    </row>
    <row r="364">
      <c r="A364" s="1">
        <f t="shared" si="1"/>
        <v>362</v>
      </c>
      <c r="B364" s="1" t="s">
        <v>2041</v>
      </c>
      <c r="C364" s="1" t="s">
        <v>1046</v>
      </c>
      <c r="D364" s="1" t="s">
        <v>31</v>
      </c>
      <c r="E364" s="1">
        <f t="shared" si="2"/>
        <v>171.75</v>
      </c>
      <c r="F364" s="1">
        <f t="shared" si="3"/>
        <v>2.91</v>
      </c>
      <c r="G364" s="1">
        <v>59.0</v>
      </c>
      <c r="H364" s="1">
        <v>12.0</v>
      </c>
      <c r="I364" s="1">
        <v>21.0</v>
      </c>
      <c r="J364" s="1">
        <v>33.0</v>
      </c>
      <c r="K364" s="1">
        <v>75.0</v>
      </c>
      <c r="L364" s="1">
        <v>4.0</v>
      </c>
      <c r="M364" s="1">
        <v>8.0</v>
      </c>
      <c r="N364" s="1">
        <v>0.0</v>
      </c>
      <c r="O364" s="1">
        <v>0.0</v>
      </c>
      <c r="P364" s="1">
        <v>29.0</v>
      </c>
      <c r="Q364" s="1">
        <v>20.0</v>
      </c>
    </row>
    <row r="365">
      <c r="A365" s="1">
        <f t="shared" si="1"/>
        <v>363</v>
      </c>
      <c r="B365" s="1" t="s">
        <v>1300</v>
      </c>
      <c r="C365" s="1" t="s">
        <v>1048</v>
      </c>
      <c r="D365" s="1" t="s">
        <v>66</v>
      </c>
      <c r="E365" s="1">
        <f t="shared" si="2"/>
        <v>171.5</v>
      </c>
      <c r="F365" s="1">
        <f t="shared" si="3"/>
        <v>2.72</v>
      </c>
      <c r="G365" s="1">
        <v>63.0</v>
      </c>
      <c r="H365" s="1">
        <v>2.0</v>
      </c>
      <c r="I365" s="1">
        <v>13.0</v>
      </c>
      <c r="J365" s="1">
        <v>15.0</v>
      </c>
      <c r="K365" s="1">
        <v>90.0</v>
      </c>
      <c r="L365" s="1">
        <v>0.0</v>
      </c>
      <c r="M365" s="1">
        <v>0.0</v>
      </c>
      <c r="N365" s="1">
        <v>0.0</v>
      </c>
      <c r="O365" s="1">
        <v>0.0</v>
      </c>
      <c r="P365" s="1">
        <v>164.0</v>
      </c>
      <c r="Q365" s="1">
        <v>75.0</v>
      </c>
    </row>
    <row r="366">
      <c r="A366" s="1">
        <f t="shared" si="1"/>
        <v>364</v>
      </c>
      <c r="B366" s="1" t="s">
        <v>2506</v>
      </c>
      <c r="C366" s="1" t="s">
        <v>1030</v>
      </c>
      <c r="D366" s="1" t="s">
        <v>28</v>
      </c>
      <c r="E366" s="1">
        <f t="shared" si="2"/>
        <v>171</v>
      </c>
      <c r="F366" s="1">
        <f t="shared" si="3"/>
        <v>3.42</v>
      </c>
      <c r="G366" s="1">
        <v>50.0</v>
      </c>
      <c r="H366" s="1">
        <v>12.0</v>
      </c>
      <c r="I366" s="1">
        <v>13.0</v>
      </c>
      <c r="J366" s="1">
        <v>25.0</v>
      </c>
      <c r="K366" s="1">
        <v>89.0</v>
      </c>
      <c r="L366" s="1">
        <v>0.0</v>
      </c>
      <c r="M366" s="1">
        <v>0.0</v>
      </c>
      <c r="N366" s="1">
        <v>3.0</v>
      </c>
      <c r="O366" s="1">
        <v>1.0</v>
      </c>
      <c r="P366" s="1">
        <v>58.0</v>
      </c>
      <c r="Q366" s="1">
        <v>22.0</v>
      </c>
    </row>
    <row r="367">
      <c r="A367" s="1">
        <f t="shared" si="1"/>
        <v>365</v>
      </c>
      <c r="B367" s="1" t="s">
        <v>1261</v>
      </c>
      <c r="C367" s="1" t="s">
        <v>1085</v>
      </c>
      <c r="D367" s="1" t="s">
        <v>31</v>
      </c>
      <c r="E367" s="1">
        <f t="shared" si="2"/>
        <v>170.75</v>
      </c>
      <c r="F367" s="1">
        <f t="shared" si="3"/>
        <v>2.63</v>
      </c>
      <c r="G367" s="1">
        <v>65.0</v>
      </c>
      <c r="H367" s="1">
        <v>9.0</v>
      </c>
      <c r="I367" s="1">
        <v>12.0</v>
      </c>
      <c r="J367" s="1">
        <v>21.0</v>
      </c>
      <c r="K367" s="1">
        <v>85.0</v>
      </c>
      <c r="L367" s="1">
        <v>0.0</v>
      </c>
      <c r="M367" s="1">
        <v>0.0</v>
      </c>
      <c r="N367" s="1">
        <v>0.0</v>
      </c>
      <c r="O367" s="1">
        <v>1.0</v>
      </c>
      <c r="P367" s="1">
        <v>89.0</v>
      </c>
      <c r="Q367" s="1">
        <v>55.0</v>
      </c>
    </row>
    <row r="368">
      <c r="A368" s="1">
        <f t="shared" si="1"/>
        <v>366</v>
      </c>
      <c r="B368" s="1" t="s">
        <v>2333</v>
      </c>
      <c r="C368" s="1" t="s">
        <v>1073</v>
      </c>
      <c r="D368" s="1" t="s">
        <v>31</v>
      </c>
      <c r="E368" s="1">
        <f t="shared" si="2"/>
        <v>169.5</v>
      </c>
      <c r="F368" s="1">
        <f t="shared" si="3"/>
        <v>2.65</v>
      </c>
      <c r="G368" s="1">
        <v>64.0</v>
      </c>
      <c r="H368" s="1">
        <v>8.0</v>
      </c>
      <c r="I368" s="1">
        <v>21.0</v>
      </c>
      <c r="J368" s="1">
        <v>29.0</v>
      </c>
      <c r="K368" s="1">
        <v>98.0</v>
      </c>
      <c r="L368" s="1">
        <v>4.0</v>
      </c>
      <c r="M368" s="1">
        <v>5.0</v>
      </c>
      <c r="N368" s="1">
        <v>0.0</v>
      </c>
      <c r="O368" s="1">
        <v>0.0</v>
      </c>
      <c r="P368" s="1">
        <v>36.0</v>
      </c>
      <c r="Q368" s="1">
        <v>25.0</v>
      </c>
    </row>
    <row r="369">
      <c r="A369" s="1">
        <f t="shared" si="1"/>
        <v>367</v>
      </c>
      <c r="B369" s="1" t="s">
        <v>1219</v>
      </c>
      <c r="C369" s="1" t="s">
        <v>1054</v>
      </c>
      <c r="D369" s="1" t="s">
        <v>36</v>
      </c>
      <c r="E369" s="1">
        <f t="shared" si="2"/>
        <v>168.5</v>
      </c>
      <c r="F369" s="1">
        <f t="shared" si="3"/>
        <v>2.44</v>
      </c>
      <c r="G369" s="1">
        <v>69.0</v>
      </c>
      <c r="H369" s="1">
        <v>9.0</v>
      </c>
      <c r="I369" s="1">
        <v>11.0</v>
      </c>
      <c r="J369" s="1">
        <v>20.0</v>
      </c>
      <c r="K369" s="1">
        <v>114.0</v>
      </c>
      <c r="L369" s="1">
        <v>1.0</v>
      </c>
      <c r="M369" s="1">
        <v>0.0</v>
      </c>
      <c r="N369" s="1">
        <v>0.0</v>
      </c>
      <c r="O369" s="1">
        <v>0.0</v>
      </c>
      <c r="P369" s="1">
        <v>44.0</v>
      </c>
      <c r="Q369" s="1">
        <v>54.0</v>
      </c>
    </row>
    <row r="370">
      <c r="A370" s="1">
        <f t="shared" si="1"/>
        <v>368</v>
      </c>
      <c r="B370" s="1" t="s">
        <v>2272</v>
      </c>
      <c r="C370" s="1" t="s">
        <v>1038</v>
      </c>
      <c r="D370" s="1" t="s">
        <v>36</v>
      </c>
      <c r="E370" s="1">
        <f t="shared" si="2"/>
        <v>168.25</v>
      </c>
      <c r="F370" s="1">
        <f t="shared" si="3"/>
        <v>3.06</v>
      </c>
      <c r="G370" s="1">
        <v>55.0</v>
      </c>
      <c r="H370" s="1">
        <v>7.0</v>
      </c>
      <c r="I370" s="1">
        <v>17.0</v>
      </c>
      <c r="J370" s="1">
        <v>24.0</v>
      </c>
      <c r="K370" s="1">
        <v>144.0</v>
      </c>
      <c r="L370" s="1">
        <v>0.0</v>
      </c>
      <c r="M370" s="1">
        <v>2.0</v>
      </c>
      <c r="N370" s="1">
        <v>1.0</v>
      </c>
      <c r="O370" s="1">
        <v>0.0</v>
      </c>
      <c r="P370" s="1">
        <v>13.0</v>
      </c>
      <c r="Q370" s="1">
        <v>17.0</v>
      </c>
    </row>
    <row r="371">
      <c r="A371" s="1">
        <f t="shared" si="1"/>
        <v>369</v>
      </c>
      <c r="B371" s="1" t="s">
        <v>2122</v>
      </c>
      <c r="C371" s="1" t="s">
        <v>1120</v>
      </c>
      <c r="D371" s="1" t="s">
        <v>5</v>
      </c>
      <c r="E371" s="1">
        <f t="shared" si="2"/>
        <v>168</v>
      </c>
      <c r="F371" s="1">
        <f t="shared" si="3"/>
        <v>5.42</v>
      </c>
      <c r="G371" s="1">
        <v>31.0</v>
      </c>
      <c r="R371" s="1">
        <v>16.0</v>
      </c>
      <c r="S371" s="1">
        <v>73.0</v>
      </c>
      <c r="T371" s="1">
        <v>765.0</v>
      </c>
      <c r="U371" s="1">
        <v>0.0</v>
      </c>
    </row>
    <row r="372">
      <c r="A372" s="1">
        <f t="shared" si="1"/>
        <v>370</v>
      </c>
      <c r="B372" s="1" t="s">
        <v>1475</v>
      </c>
      <c r="C372" s="1" t="s">
        <v>1054</v>
      </c>
      <c r="D372" s="1" t="s">
        <v>28</v>
      </c>
      <c r="E372" s="1">
        <f t="shared" si="2"/>
        <v>167.75</v>
      </c>
      <c r="F372" s="1">
        <f t="shared" si="3"/>
        <v>2.8</v>
      </c>
      <c r="G372" s="1">
        <v>60.0</v>
      </c>
      <c r="H372" s="1">
        <v>9.0</v>
      </c>
      <c r="I372" s="1">
        <v>21.0</v>
      </c>
      <c r="J372" s="1">
        <v>30.0</v>
      </c>
      <c r="K372" s="1">
        <v>87.0</v>
      </c>
      <c r="L372" s="1">
        <v>1.0</v>
      </c>
      <c r="M372" s="1">
        <v>5.0</v>
      </c>
      <c r="N372" s="1">
        <v>0.0</v>
      </c>
      <c r="O372" s="1">
        <v>0.0</v>
      </c>
      <c r="P372" s="1">
        <v>39.0</v>
      </c>
      <c r="Q372" s="1">
        <v>22.0</v>
      </c>
    </row>
    <row r="373">
      <c r="A373" s="1">
        <f t="shared" si="1"/>
        <v>370</v>
      </c>
      <c r="B373" s="1" t="s">
        <v>1417</v>
      </c>
      <c r="C373" s="1" t="s">
        <v>1156</v>
      </c>
      <c r="D373" s="1" t="s">
        <v>66</v>
      </c>
      <c r="E373" s="1">
        <f t="shared" si="2"/>
        <v>167.75</v>
      </c>
      <c r="F373" s="1">
        <f t="shared" si="3"/>
        <v>2.43</v>
      </c>
      <c r="G373" s="1">
        <v>69.0</v>
      </c>
      <c r="H373" s="1">
        <v>5.0</v>
      </c>
      <c r="I373" s="1">
        <v>13.0</v>
      </c>
      <c r="J373" s="1">
        <v>18.0</v>
      </c>
      <c r="K373" s="1">
        <v>81.0</v>
      </c>
      <c r="L373" s="1">
        <v>0.0</v>
      </c>
      <c r="M373" s="1">
        <v>0.0</v>
      </c>
      <c r="N373" s="1">
        <v>0.0</v>
      </c>
      <c r="O373" s="1">
        <v>0.0</v>
      </c>
      <c r="P373" s="1">
        <v>79.0</v>
      </c>
      <c r="Q373" s="1">
        <v>92.0</v>
      </c>
    </row>
    <row r="374">
      <c r="A374" s="1">
        <f t="shared" si="1"/>
        <v>372</v>
      </c>
      <c r="B374" s="1" t="s">
        <v>2353</v>
      </c>
      <c r="C374" s="1" t="s">
        <v>1036</v>
      </c>
      <c r="D374" s="1" t="s">
        <v>31</v>
      </c>
      <c r="E374" s="1">
        <f t="shared" si="2"/>
        <v>167.5</v>
      </c>
      <c r="F374" s="1">
        <f t="shared" si="3"/>
        <v>2.7</v>
      </c>
      <c r="G374" s="1">
        <v>62.0</v>
      </c>
      <c r="H374" s="1">
        <v>9.0</v>
      </c>
      <c r="I374" s="1">
        <v>22.0</v>
      </c>
      <c r="J374" s="1">
        <v>31.0</v>
      </c>
      <c r="K374" s="1">
        <v>88.0</v>
      </c>
      <c r="L374" s="1">
        <v>2.0</v>
      </c>
      <c r="M374" s="1">
        <v>8.0</v>
      </c>
      <c r="N374" s="1">
        <v>0.0</v>
      </c>
      <c r="O374" s="1">
        <v>0.0</v>
      </c>
      <c r="P374" s="1">
        <v>18.0</v>
      </c>
      <c r="Q374" s="1">
        <v>25.0</v>
      </c>
    </row>
    <row r="375">
      <c r="A375" s="1">
        <f t="shared" si="1"/>
        <v>372</v>
      </c>
      <c r="B375" s="1" t="s">
        <v>1547</v>
      </c>
      <c r="C375" s="1" t="s">
        <v>1106</v>
      </c>
      <c r="D375" s="1" t="s">
        <v>31</v>
      </c>
      <c r="E375" s="1">
        <f t="shared" si="2"/>
        <v>167.5</v>
      </c>
      <c r="F375" s="1">
        <f t="shared" si="3"/>
        <v>2.94</v>
      </c>
      <c r="G375" s="1">
        <v>57.0</v>
      </c>
      <c r="H375" s="1">
        <v>12.0</v>
      </c>
      <c r="I375" s="1">
        <v>11.0</v>
      </c>
      <c r="J375" s="1">
        <v>23.0</v>
      </c>
      <c r="K375" s="1">
        <v>97.0</v>
      </c>
      <c r="L375" s="1">
        <v>0.0</v>
      </c>
      <c r="M375" s="1">
        <v>0.0</v>
      </c>
      <c r="N375" s="1">
        <v>1.0</v>
      </c>
      <c r="O375" s="1">
        <v>1.0</v>
      </c>
      <c r="P375" s="1">
        <v>60.0</v>
      </c>
      <c r="Q375" s="1">
        <v>26.0</v>
      </c>
    </row>
    <row r="376">
      <c r="A376" s="1">
        <f t="shared" si="1"/>
        <v>374</v>
      </c>
      <c r="B376" s="1" t="s">
        <v>2480</v>
      </c>
      <c r="C376" s="1" t="s">
        <v>1175</v>
      </c>
      <c r="D376" s="1" t="s">
        <v>28</v>
      </c>
      <c r="E376" s="1">
        <f t="shared" si="2"/>
        <v>167.25</v>
      </c>
      <c r="F376" s="1">
        <f t="shared" si="3"/>
        <v>2.53</v>
      </c>
      <c r="G376" s="1">
        <v>66.0</v>
      </c>
      <c r="H376" s="1">
        <v>11.0</v>
      </c>
      <c r="I376" s="1">
        <v>11.0</v>
      </c>
      <c r="J376" s="1">
        <v>22.0</v>
      </c>
      <c r="K376" s="1">
        <v>117.0</v>
      </c>
      <c r="L376" s="1">
        <v>1.0</v>
      </c>
      <c r="M376" s="1">
        <v>0.0</v>
      </c>
      <c r="N376" s="1">
        <v>0.0</v>
      </c>
      <c r="O376" s="1">
        <v>0.0</v>
      </c>
      <c r="P376" s="1">
        <v>57.0</v>
      </c>
      <c r="Q376" s="1">
        <v>24.0</v>
      </c>
    </row>
    <row r="377">
      <c r="A377" s="1">
        <f t="shared" si="1"/>
        <v>374</v>
      </c>
      <c r="B377" s="1" t="s">
        <v>1865</v>
      </c>
      <c r="C377" s="1" t="s">
        <v>1048</v>
      </c>
      <c r="D377" s="1" t="s">
        <v>31</v>
      </c>
      <c r="E377" s="1">
        <f t="shared" si="2"/>
        <v>167.25</v>
      </c>
      <c r="F377" s="1">
        <f t="shared" si="3"/>
        <v>2.46</v>
      </c>
      <c r="G377" s="1">
        <v>68.0</v>
      </c>
      <c r="H377" s="1">
        <v>5.0</v>
      </c>
      <c r="I377" s="1">
        <v>17.0</v>
      </c>
      <c r="J377" s="1">
        <v>22.0</v>
      </c>
      <c r="K377" s="1">
        <v>132.0</v>
      </c>
      <c r="L377" s="1">
        <v>0.0</v>
      </c>
      <c r="M377" s="1">
        <v>1.0</v>
      </c>
      <c r="N377" s="1">
        <v>0.0</v>
      </c>
      <c r="O377" s="1">
        <v>1.0</v>
      </c>
      <c r="P377" s="1">
        <v>51.0</v>
      </c>
      <c r="Q377" s="1">
        <v>26.0</v>
      </c>
    </row>
    <row r="378">
      <c r="A378" s="1">
        <f t="shared" si="1"/>
        <v>376</v>
      </c>
      <c r="B378" s="1" t="s">
        <v>1553</v>
      </c>
      <c r="C378" s="1" t="s">
        <v>1073</v>
      </c>
      <c r="D378" s="1" t="s">
        <v>66</v>
      </c>
      <c r="E378" s="1">
        <f t="shared" si="2"/>
        <v>167</v>
      </c>
      <c r="F378" s="1">
        <f t="shared" si="3"/>
        <v>2.74</v>
      </c>
      <c r="G378" s="1">
        <v>61.0</v>
      </c>
      <c r="H378" s="1">
        <v>4.0</v>
      </c>
      <c r="I378" s="1">
        <v>14.0</v>
      </c>
      <c r="J378" s="1">
        <v>18.0</v>
      </c>
      <c r="K378" s="1">
        <v>104.0</v>
      </c>
      <c r="L378" s="1">
        <v>0.0</v>
      </c>
      <c r="M378" s="1">
        <v>0.0</v>
      </c>
      <c r="N378" s="1">
        <v>0.0</v>
      </c>
      <c r="O378" s="1">
        <v>2.0</v>
      </c>
      <c r="P378" s="1">
        <v>22.0</v>
      </c>
      <c r="Q378" s="1">
        <v>91.0</v>
      </c>
    </row>
    <row r="379">
      <c r="A379" s="1">
        <f t="shared" si="1"/>
        <v>377</v>
      </c>
      <c r="B379" s="1" t="s">
        <v>2474</v>
      </c>
      <c r="C379" s="1" t="s">
        <v>1036</v>
      </c>
      <c r="D379" s="1" t="s">
        <v>31</v>
      </c>
      <c r="E379" s="1">
        <f t="shared" si="2"/>
        <v>166.75</v>
      </c>
      <c r="F379" s="1">
        <f t="shared" si="3"/>
        <v>2.98</v>
      </c>
      <c r="G379" s="1">
        <v>56.0</v>
      </c>
      <c r="H379" s="1">
        <v>12.0</v>
      </c>
      <c r="I379" s="1">
        <v>19.0</v>
      </c>
      <c r="J379" s="1">
        <v>31.0</v>
      </c>
      <c r="K379" s="1">
        <v>87.0</v>
      </c>
      <c r="L379" s="1">
        <v>1.0</v>
      </c>
      <c r="M379" s="1">
        <v>1.0</v>
      </c>
      <c r="N379" s="1">
        <v>0.0</v>
      </c>
      <c r="O379" s="1">
        <v>0.0</v>
      </c>
      <c r="P379" s="1">
        <v>5.0</v>
      </c>
      <c r="Q379" s="1">
        <v>22.0</v>
      </c>
    </row>
    <row r="380">
      <c r="A380" s="1">
        <f t="shared" si="1"/>
        <v>378</v>
      </c>
      <c r="B380" s="1" t="s">
        <v>2187</v>
      </c>
      <c r="C380" s="1" t="s">
        <v>1032</v>
      </c>
      <c r="D380" s="1" t="s">
        <v>5</v>
      </c>
      <c r="E380" s="1">
        <f t="shared" si="2"/>
        <v>166.2</v>
      </c>
      <c r="F380" s="1">
        <f t="shared" si="3"/>
        <v>5.04</v>
      </c>
      <c r="G380" s="1">
        <v>33.0</v>
      </c>
      <c r="R380" s="1">
        <v>12.0</v>
      </c>
      <c r="S380" s="1">
        <v>92.0</v>
      </c>
      <c r="T380" s="1">
        <v>894.0</v>
      </c>
      <c r="U380" s="1">
        <v>0.0</v>
      </c>
    </row>
    <row r="381">
      <c r="A381" s="1">
        <f t="shared" si="1"/>
        <v>379</v>
      </c>
      <c r="B381" s="1" t="s">
        <v>1302</v>
      </c>
      <c r="C381" s="1" t="s">
        <v>1080</v>
      </c>
      <c r="D381" s="1" t="s">
        <v>36</v>
      </c>
      <c r="E381" s="1">
        <f t="shared" si="2"/>
        <v>166</v>
      </c>
      <c r="F381" s="1">
        <f t="shared" si="3"/>
        <v>2.55</v>
      </c>
      <c r="G381" s="1">
        <v>65.0</v>
      </c>
      <c r="H381" s="1">
        <v>11.0</v>
      </c>
      <c r="I381" s="1">
        <v>15.0</v>
      </c>
      <c r="J381" s="1">
        <v>26.0</v>
      </c>
      <c r="K381" s="1">
        <v>73.0</v>
      </c>
      <c r="L381" s="1">
        <v>1.0</v>
      </c>
      <c r="M381" s="1">
        <v>1.0</v>
      </c>
      <c r="N381" s="1">
        <v>2.0</v>
      </c>
      <c r="O381" s="1">
        <v>1.0</v>
      </c>
      <c r="P381" s="1">
        <v>52.0</v>
      </c>
      <c r="Q381" s="1">
        <v>32.0</v>
      </c>
    </row>
    <row r="382">
      <c r="A382" s="1">
        <f t="shared" si="1"/>
        <v>380</v>
      </c>
      <c r="B382" s="1" t="s">
        <v>1863</v>
      </c>
      <c r="C382" s="1" t="s">
        <v>1040</v>
      </c>
      <c r="D382" s="1" t="s">
        <v>31</v>
      </c>
      <c r="E382" s="1">
        <f t="shared" si="2"/>
        <v>165.75</v>
      </c>
      <c r="F382" s="1">
        <f t="shared" si="3"/>
        <v>2.76</v>
      </c>
      <c r="G382" s="1">
        <v>60.0</v>
      </c>
      <c r="H382" s="1">
        <v>14.0</v>
      </c>
      <c r="I382" s="1">
        <v>9.0</v>
      </c>
      <c r="J382" s="1">
        <v>23.0</v>
      </c>
      <c r="K382" s="1">
        <v>114.0</v>
      </c>
      <c r="L382" s="1">
        <v>1.0</v>
      </c>
      <c r="M382" s="1">
        <v>2.0</v>
      </c>
      <c r="N382" s="1">
        <v>0.0</v>
      </c>
      <c r="O382" s="1">
        <v>0.0</v>
      </c>
      <c r="P382" s="1">
        <v>13.0</v>
      </c>
      <c r="Q382" s="1">
        <v>31.0</v>
      </c>
    </row>
    <row r="383">
      <c r="A383" s="1">
        <f t="shared" si="1"/>
        <v>381</v>
      </c>
      <c r="B383" s="1" t="s">
        <v>1801</v>
      </c>
      <c r="C383" s="1" t="s">
        <v>1032</v>
      </c>
      <c r="D383" s="1" t="s">
        <v>66</v>
      </c>
      <c r="E383" s="1">
        <f t="shared" si="2"/>
        <v>165.25</v>
      </c>
      <c r="F383" s="1">
        <f t="shared" si="3"/>
        <v>2.43</v>
      </c>
      <c r="G383" s="1">
        <v>68.0</v>
      </c>
      <c r="H383" s="1">
        <v>2.0</v>
      </c>
      <c r="I383" s="1">
        <v>16.0</v>
      </c>
      <c r="J383" s="1">
        <v>18.0</v>
      </c>
      <c r="K383" s="1">
        <v>89.0</v>
      </c>
      <c r="L383" s="1">
        <v>0.0</v>
      </c>
      <c r="M383" s="1">
        <v>0.0</v>
      </c>
      <c r="N383" s="1">
        <v>0.0</v>
      </c>
      <c r="O383" s="1">
        <v>0.0</v>
      </c>
      <c r="P383" s="1">
        <v>89.0</v>
      </c>
      <c r="Q383" s="1">
        <v>83.0</v>
      </c>
      <c r="T383" s="12"/>
    </row>
    <row r="384">
      <c r="A384" s="1">
        <f t="shared" si="1"/>
        <v>381</v>
      </c>
      <c r="B384" s="1" t="s">
        <v>1552</v>
      </c>
      <c r="C384" s="1" t="s">
        <v>1040</v>
      </c>
      <c r="D384" s="1" t="s">
        <v>66</v>
      </c>
      <c r="E384" s="1">
        <f t="shared" si="2"/>
        <v>165.25</v>
      </c>
      <c r="F384" s="1">
        <f t="shared" si="3"/>
        <v>2.47</v>
      </c>
      <c r="G384" s="1">
        <v>67.0</v>
      </c>
      <c r="H384" s="1">
        <v>3.0</v>
      </c>
      <c r="I384" s="1">
        <v>8.0</v>
      </c>
      <c r="J384" s="1">
        <v>11.0</v>
      </c>
      <c r="K384" s="1">
        <v>63.0</v>
      </c>
      <c r="L384" s="1">
        <v>0.0</v>
      </c>
      <c r="M384" s="1">
        <v>0.0</v>
      </c>
      <c r="N384" s="1">
        <v>1.0</v>
      </c>
      <c r="O384" s="1">
        <v>0.0</v>
      </c>
      <c r="P384" s="1">
        <v>183.0</v>
      </c>
      <c r="Q384" s="1">
        <v>97.0</v>
      </c>
    </row>
    <row r="385">
      <c r="A385" s="1">
        <f t="shared" si="1"/>
        <v>383</v>
      </c>
      <c r="B385" s="1" t="s">
        <v>2471</v>
      </c>
      <c r="C385" s="1" t="s">
        <v>1076</v>
      </c>
      <c r="D385" s="1" t="s">
        <v>31</v>
      </c>
      <c r="E385" s="1">
        <f t="shared" si="2"/>
        <v>164.5</v>
      </c>
      <c r="F385" s="1">
        <f t="shared" si="3"/>
        <v>2.38</v>
      </c>
      <c r="G385" s="1">
        <v>69.0</v>
      </c>
      <c r="H385" s="1">
        <v>9.0</v>
      </c>
      <c r="I385" s="1">
        <v>16.0</v>
      </c>
      <c r="J385" s="1">
        <v>25.0</v>
      </c>
      <c r="K385" s="1">
        <v>72.0</v>
      </c>
      <c r="L385" s="1">
        <v>1.0</v>
      </c>
      <c r="M385" s="1">
        <v>0.0</v>
      </c>
      <c r="N385" s="1">
        <v>1.0</v>
      </c>
      <c r="O385" s="1">
        <v>2.0</v>
      </c>
      <c r="P385" s="1">
        <v>58.0</v>
      </c>
      <c r="Q385" s="1">
        <v>39.0</v>
      </c>
    </row>
    <row r="386">
      <c r="A386" s="1">
        <f t="shared" si="1"/>
        <v>384</v>
      </c>
      <c r="B386" s="1" t="s">
        <v>2509</v>
      </c>
      <c r="C386" s="1" t="s">
        <v>1172</v>
      </c>
      <c r="D386" s="1" t="s">
        <v>31</v>
      </c>
      <c r="E386" s="1">
        <f t="shared" si="2"/>
        <v>164.25</v>
      </c>
      <c r="F386" s="1">
        <f t="shared" si="3"/>
        <v>2.45</v>
      </c>
      <c r="G386" s="1">
        <v>67.0</v>
      </c>
      <c r="H386" s="1">
        <v>12.0</v>
      </c>
      <c r="I386" s="1">
        <v>13.0</v>
      </c>
      <c r="J386" s="1">
        <v>25.0</v>
      </c>
      <c r="K386" s="1">
        <v>84.0</v>
      </c>
      <c r="L386" s="1">
        <v>3.0</v>
      </c>
      <c r="M386" s="1">
        <v>3.0</v>
      </c>
      <c r="N386" s="1">
        <v>0.0</v>
      </c>
      <c r="O386" s="1">
        <v>1.0</v>
      </c>
      <c r="P386" s="1">
        <v>57.0</v>
      </c>
      <c r="Q386" s="1">
        <v>26.0</v>
      </c>
    </row>
    <row r="387">
      <c r="A387" s="1">
        <f t="shared" si="1"/>
        <v>385</v>
      </c>
      <c r="B387" s="1" t="s">
        <v>1784</v>
      </c>
      <c r="C387" s="1" t="s">
        <v>1111</v>
      </c>
      <c r="D387" s="1" t="s">
        <v>31</v>
      </c>
      <c r="E387" s="1">
        <f t="shared" si="2"/>
        <v>164</v>
      </c>
      <c r="F387" s="1">
        <f t="shared" si="3"/>
        <v>2.6</v>
      </c>
      <c r="G387" s="1">
        <v>63.0</v>
      </c>
      <c r="H387" s="1">
        <v>8.0</v>
      </c>
      <c r="I387" s="1">
        <v>12.0</v>
      </c>
      <c r="J387" s="1">
        <v>20.0</v>
      </c>
      <c r="K387" s="1">
        <v>76.0</v>
      </c>
      <c r="L387" s="1">
        <v>0.0</v>
      </c>
      <c r="M387" s="1">
        <v>0.0</v>
      </c>
      <c r="N387" s="1">
        <v>0.0</v>
      </c>
      <c r="O387" s="1">
        <v>0.0</v>
      </c>
      <c r="P387" s="1">
        <v>132.0</v>
      </c>
      <c r="Q387" s="1">
        <v>42.0</v>
      </c>
    </row>
    <row r="388">
      <c r="A388" s="1">
        <f t="shared" si="1"/>
        <v>385</v>
      </c>
      <c r="B388" s="1" t="s">
        <v>2301</v>
      </c>
      <c r="C388" s="1" t="s">
        <v>1570</v>
      </c>
      <c r="D388" s="1" t="s">
        <v>66</v>
      </c>
      <c r="E388" s="1">
        <f t="shared" si="2"/>
        <v>164</v>
      </c>
      <c r="F388" s="1">
        <f t="shared" si="3"/>
        <v>2.6</v>
      </c>
      <c r="G388" s="1">
        <v>63.0</v>
      </c>
      <c r="H388" s="1">
        <v>2.0</v>
      </c>
      <c r="I388" s="1">
        <v>12.0</v>
      </c>
      <c r="J388" s="1">
        <v>14.0</v>
      </c>
      <c r="K388" s="1">
        <v>60.0</v>
      </c>
      <c r="L388" s="1">
        <v>0.0</v>
      </c>
      <c r="M388" s="1">
        <v>1.0</v>
      </c>
      <c r="N388" s="1">
        <v>0.0</v>
      </c>
      <c r="O388" s="1">
        <v>2.0</v>
      </c>
      <c r="P388" s="1">
        <v>30.0</v>
      </c>
      <c r="Q388" s="1">
        <v>155.0</v>
      </c>
    </row>
    <row r="389">
      <c r="A389" s="1">
        <f t="shared" si="1"/>
        <v>387</v>
      </c>
      <c r="B389" s="1" t="s">
        <v>1794</v>
      </c>
      <c r="C389" s="1" t="s">
        <v>1030</v>
      </c>
      <c r="D389" s="1" t="s">
        <v>31</v>
      </c>
      <c r="E389" s="1">
        <f t="shared" si="2"/>
        <v>163.75</v>
      </c>
      <c r="F389" s="1">
        <f t="shared" si="3"/>
        <v>2.37</v>
      </c>
      <c r="G389" s="1">
        <v>69.0</v>
      </c>
      <c r="H389" s="1">
        <v>9.0</v>
      </c>
      <c r="I389" s="1">
        <v>13.0</v>
      </c>
      <c r="J389" s="1">
        <v>22.0</v>
      </c>
      <c r="K389" s="1">
        <v>85.0</v>
      </c>
      <c r="L389" s="1">
        <v>0.0</v>
      </c>
      <c r="M389" s="1">
        <v>0.0</v>
      </c>
      <c r="N389" s="1">
        <v>2.0</v>
      </c>
      <c r="O389" s="1">
        <v>2.0</v>
      </c>
      <c r="P389" s="1">
        <v>43.0</v>
      </c>
      <c r="Q389" s="1">
        <v>46.0</v>
      </c>
    </row>
    <row r="390">
      <c r="A390" s="1">
        <f t="shared" si="1"/>
        <v>388</v>
      </c>
      <c r="B390" s="1" t="s">
        <v>1234</v>
      </c>
      <c r="C390" s="1" t="s">
        <v>1054</v>
      </c>
      <c r="D390" s="1" t="s">
        <v>5</v>
      </c>
      <c r="E390" s="1">
        <f t="shared" si="2"/>
        <v>162.6</v>
      </c>
      <c r="F390" s="1">
        <f t="shared" si="3"/>
        <v>6.25</v>
      </c>
      <c r="G390" s="1">
        <v>26.0</v>
      </c>
      <c r="R390" s="1">
        <v>12.0</v>
      </c>
      <c r="S390" s="1">
        <v>63.0</v>
      </c>
      <c r="T390" s="1">
        <v>717.0</v>
      </c>
      <c r="U390" s="1">
        <v>2.0</v>
      </c>
    </row>
    <row r="391">
      <c r="A391" s="1">
        <f t="shared" si="1"/>
        <v>389</v>
      </c>
      <c r="B391" s="1" t="s">
        <v>2293</v>
      </c>
      <c r="C391" s="1" t="s">
        <v>1570</v>
      </c>
      <c r="D391" s="1" t="s">
        <v>66</v>
      </c>
      <c r="E391" s="1">
        <f t="shared" si="2"/>
        <v>162.5</v>
      </c>
      <c r="F391" s="1">
        <f t="shared" si="3"/>
        <v>2.39</v>
      </c>
      <c r="G391" s="1">
        <v>68.0</v>
      </c>
      <c r="H391" s="1">
        <v>5.0</v>
      </c>
      <c r="I391" s="1">
        <v>9.0</v>
      </c>
      <c r="J391" s="1">
        <v>14.0</v>
      </c>
      <c r="K391" s="1">
        <v>86.0</v>
      </c>
      <c r="L391" s="1">
        <v>0.0</v>
      </c>
      <c r="M391" s="1">
        <v>0.0</v>
      </c>
      <c r="N391" s="1">
        <v>0.0</v>
      </c>
      <c r="O391" s="1">
        <v>0.0</v>
      </c>
      <c r="P391" s="1">
        <v>78.0</v>
      </c>
      <c r="Q391" s="1">
        <v>101.0</v>
      </c>
    </row>
    <row r="392">
      <c r="A392" s="1">
        <f t="shared" si="1"/>
        <v>390</v>
      </c>
      <c r="B392" s="1" t="s">
        <v>1764</v>
      </c>
      <c r="C392" s="1" t="s">
        <v>1030</v>
      </c>
      <c r="D392" s="1" t="s">
        <v>31</v>
      </c>
      <c r="E392" s="1">
        <f t="shared" si="2"/>
        <v>162</v>
      </c>
      <c r="F392" s="1">
        <f t="shared" si="3"/>
        <v>2.42</v>
      </c>
      <c r="G392" s="1">
        <v>67.0</v>
      </c>
      <c r="H392" s="1">
        <v>8.0</v>
      </c>
      <c r="I392" s="1">
        <v>15.0</v>
      </c>
      <c r="J392" s="1">
        <v>23.0</v>
      </c>
      <c r="K392" s="1">
        <v>115.0</v>
      </c>
      <c r="L392" s="1">
        <v>1.0</v>
      </c>
      <c r="M392" s="1">
        <v>4.0</v>
      </c>
      <c r="N392" s="1">
        <v>0.0</v>
      </c>
      <c r="O392" s="1">
        <v>0.0</v>
      </c>
      <c r="P392" s="1">
        <v>58.0</v>
      </c>
      <c r="Q392" s="1">
        <v>18.0</v>
      </c>
    </row>
    <row r="393">
      <c r="A393" s="1">
        <f t="shared" si="1"/>
        <v>390</v>
      </c>
      <c r="B393" s="1" t="s">
        <v>2315</v>
      </c>
      <c r="C393" s="1" t="s">
        <v>1082</v>
      </c>
      <c r="D393" s="1" t="s">
        <v>28</v>
      </c>
      <c r="E393" s="1">
        <f t="shared" si="2"/>
        <v>162</v>
      </c>
      <c r="F393" s="1">
        <f t="shared" si="3"/>
        <v>2.79</v>
      </c>
      <c r="G393" s="1">
        <v>58.0</v>
      </c>
      <c r="H393" s="1">
        <v>8.0</v>
      </c>
      <c r="I393" s="1">
        <v>17.0</v>
      </c>
      <c r="J393" s="1">
        <v>25.0</v>
      </c>
      <c r="K393" s="1">
        <v>107.0</v>
      </c>
      <c r="L393" s="1">
        <v>0.0</v>
      </c>
      <c r="M393" s="1">
        <v>0.0</v>
      </c>
      <c r="N393" s="1">
        <v>1.0</v>
      </c>
      <c r="O393" s="1">
        <v>2.0</v>
      </c>
      <c r="P393" s="1">
        <v>24.0</v>
      </c>
      <c r="Q393" s="1">
        <v>19.0</v>
      </c>
    </row>
    <row r="394">
      <c r="A394" s="1">
        <f t="shared" si="1"/>
        <v>392</v>
      </c>
      <c r="B394" s="1" t="s">
        <v>1708</v>
      </c>
      <c r="C394" s="1" t="s">
        <v>1570</v>
      </c>
      <c r="D394" s="1" t="s">
        <v>66</v>
      </c>
      <c r="E394" s="1">
        <f t="shared" si="2"/>
        <v>161.75</v>
      </c>
      <c r="F394" s="1">
        <f t="shared" si="3"/>
        <v>2.49</v>
      </c>
      <c r="G394" s="1">
        <v>65.0</v>
      </c>
      <c r="H394" s="1">
        <v>4.0</v>
      </c>
      <c r="I394" s="1">
        <v>12.0</v>
      </c>
      <c r="J394" s="1">
        <v>16.0</v>
      </c>
      <c r="K394" s="1">
        <v>114.0</v>
      </c>
      <c r="L394" s="1">
        <v>0.0</v>
      </c>
      <c r="M394" s="1">
        <v>0.0</v>
      </c>
      <c r="N394" s="1">
        <v>0.0</v>
      </c>
      <c r="O394" s="1">
        <v>0.0</v>
      </c>
      <c r="P394" s="1">
        <v>51.0</v>
      </c>
      <c r="Q394" s="1">
        <v>76.0</v>
      </c>
    </row>
    <row r="395">
      <c r="A395" s="1">
        <f t="shared" si="1"/>
        <v>393</v>
      </c>
      <c r="B395" s="1" t="s">
        <v>1109</v>
      </c>
      <c r="C395" s="1" t="s">
        <v>1052</v>
      </c>
      <c r="D395" s="1" t="s">
        <v>66</v>
      </c>
      <c r="E395" s="1">
        <f t="shared" si="2"/>
        <v>161.5</v>
      </c>
      <c r="F395" s="1">
        <f t="shared" si="3"/>
        <v>2.74</v>
      </c>
      <c r="G395" s="1">
        <v>59.0</v>
      </c>
      <c r="H395" s="1">
        <v>8.0</v>
      </c>
      <c r="I395" s="1">
        <v>12.0</v>
      </c>
      <c r="J395" s="1">
        <v>20.0</v>
      </c>
      <c r="K395" s="1">
        <v>104.0</v>
      </c>
      <c r="L395" s="1">
        <v>1.0</v>
      </c>
      <c r="M395" s="1">
        <v>1.0</v>
      </c>
      <c r="N395" s="1">
        <v>0.0</v>
      </c>
      <c r="O395" s="1">
        <v>0.0</v>
      </c>
      <c r="P395" s="1">
        <v>44.0</v>
      </c>
      <c r="Q395" s="1">
        <v>53.0</v>
      </c>
    </row>
    <row r="396">
      <c r="A396" s="1">
        <f t="shared" si="1"/>
        <v>394</v>
      </c>
      <c r="B396" s="1" t="s">
        <v>2136</v>
      </c>
      <c r="C396" s="1" t="s">
        <v>1091</v>
      </c>
      <c r="D396" s="1" t="s">
        <v>66</v>
      </c>
      <c r="E396" s="1">
        <f t="shared" si="2"/>
        <v>161.25</v>
      </c>
      <c r="F396" s="1">
        <f t="shared" si="3"/>
        <v>2.6</v>
      </c>
      <c r="G396" s="1">
        <v>62.0</v>
      </c>
      <c r="H396" s="1">
        <v>3.0</v>
      </c>
      <c r="I396" s="1">
        <v>16.0</v>
      </c>
      <c r="J396" s="1">
        <v>19.0</v>
      </c>
      <c r="K396" s="1">
        <v>70.0</v>
      </c>
      <c r="L396" s="1">
        <v>0.0</v>
      </c>
      <c r="M396" s="1">
        <v>1.0</v>
      </c>
      <c r="N396" s="1">
        <v>0.0</v>
      </c>
      <c r="O396" s="1">
        <v>0.0</v>
      </c>
      <c r="P396" s="1">
        <v>91.0</v>
      </c>
      <c r="Q396" s="1">
        <v>84.0</v>
      </c>
    </row>
    <row r="397">
      <c r="A397" s="1">
        <f t="shared" si="1"/>
        <v>395</v>
      </c>
      <c r="B397" s="1" t="s">
        <v>2328</v>
      </c>
      <c r="C397" s="1" t="s">
        <v>1032</v>
      </c>
      <c r="D397" s="1" t="s">
        <v>31</v>
      </c>
      <c r="E397" s="1">
        <f t="shared" si="2"/>
        <v>161</v>
      </c>
      <c r="F397" s="1">
        <f t="shared" si="3"/>
        <v>2.3</v>
      </c>
      <c r="G397" s="1">
        <v>70.0</v>
      </c>
      <c r="H397" s="1">
        <v>7.0</v>
      </c>
      <c r="I397" s="1">
        <v>24.0</v>
      </c>
      <c r="J397" s="1">
        <v>31.0</v>
      </c>
      <c r="K397" s="1">
        <v>76.0</v>
      </c>
      <c r="L397" s="1">
        <v>3.0</v>
      </c>
      <c r="M397" s="1">
        <v>5.0</v>
      </c>
      <c r="N397" s="1">
        <v>0.0</v>
      </c>
      <c r="O397" s="1">
        <v>0.0</v>
      </c>
      <c r="P397" s="1">
        <v>20.0</v>
      </c>
      <c r="Q397" s="1">
        <v>29.0</v>
      </c>
    </row>
    <row r="398">
      <c r="A398" s="1">
        <f t="shared" si="1"/>
        <v>396</v>
      </c>
      <c r="B398" s="1" t="s">
        <v>1335</v>
      </c>
      <c r="C398" s="1" t="s">
        <v>1082</v>
      </c>
      <c r="D398" s="1" t="s">
        <v>66</v>
      </c>
      <c r="E398" s="1">
        <f t="shared" si="2"/>
        <v>160</v>
      </c>
      <c r="F398" s="1">
        <f t="shared" si="3"/>
        <v>2.32</v>
      </c>
      <c r="G398" s="1">
        <v>69.0</v>
      </c>
      <c r="H398" s="1">
        <v>1.0</v>
      </c>
      <c r="I398" s="1">
        <v>13.0</v>
      </c>
      <c r="J398" s="1">
        <v>14.0</v>
      </c>
      <c r="K398" s="1">
        <v>58.0</v>
      </c>
      <c r="L398" s="1">
        <v>0.0</v>
      </c>
      <c r="M398" s="1">
        <v>0.0</v>
      </c>
      <c r="N398" s="1">
        <v>0.0</v>
      </c>
      <c r="O398" s="1">
        <v>1.0</v>
      </c>
      <c r="P398" s="1">
        <v>194.0</v>
      </c>
      <c r="Q398" s="1">
        <v>74.0</v>
      </c>
    </row>
    <row r="399">
      <c r="A399" s="1">
        <f t="shared" si="1"/>
        <v>397</v>
      </c>
      <c r="B399" s="1" t="s">
        <v>1492</v>
      </c>
      <c r="C399" s="1" t="s">
        <v>1080</v>
      </c>
      <c r="D399" s="1" t="s">
        <v>66</v>
      </c>
      <c r="E399" s="1">
        <f t="shared" si="2"/>
        <v>159.25</v>
      </c>
      <c r="F399" s="1">
        <f t="shared" si="3"/>
        <v>3.12</v>
      </c>
      <c r="G399" s="1">
        <v>51.0</v>
      </c>
      <c r="H399" s="1">
        <v>3.0</v>
      </c>
      <c r="I399" s="1">
        <v>13.0</v>
      </c>
      <c r="J399" s="1">
        <v>16.0</v>
      </c>
      <c r="K399" s="1">
        <v>75.0</v>
      </c>
      <c r="L399" s="1">
        <v>0.0</v>
      </c>
      <c r="M399" s="1">
        <v>4.0</v>
      </c>
      <c r="N399" s="1">
        <v>0.0</v>
      </c>
      <c r="O399" s="1">
        <v>0.0</v>
      </c>
      <c r="P399" s="1">
        <v>43.0</v>
      </c>
      <c r="Q399" s="1">
        <v>117.0</v>
      </c>
    </row>
    <row r="400">
      <c r="A400" s="1">
        <f t="shared" si="1"/>
        <v>398</v>
      </c>
      <c r="B400" s="1" t="s">
        <v>2141</v>
      </c>
      <c r="C400" s="1" t="s">
        <v>1036</v>
      </c>
      <c r="D400" s="1" t="s">
        <v>36</v>
      </c>
      <c r="E400" s="1">
        <f t="shared" si="2"/>
        <v>158.5</v>
      </c>
      <c r="F400" s="1">
        <f t="shared" si="3"/>
        <v>2.44</v>
      </c>
      <c r="G400" s="1">
        <v>65.0</v>
      </c>
      <c r="H400" s="1">
        <v>11.0</v>
      </c>
      <c r="I400" s="1">
        <v>13.0</v>
      </c>
      <c r="J400" s="1">
        <v>24.0</v>
      </c>
      <c r="K400" s="1">
        <v>97.0</v>
      </c>
      <c r="L400" s="1">
        <v>6.0</v>
      </c>
      <c r="M400" s="1">
        <v>7.0</v>
      </c>
      <c r="N400" s="1">
        <v>0.0</v>
      </c>
      <c r="O400" s="1">
        <v>0.0</v>
      </c>
      <c r="P400" s="1">
        <v>56.0</v>
      </c>
      <c r="Q400" s="1">
        <v>15.0</v>
      </c>
    </row>
    <row r="401">
      <c r="A401" s="1">
        <f t="shared" si="1"/>
        <v>399</v>
      </c>
      <c r="B401" s="1" t="s">
        <v>2097</v>
      </c>
      <c r="C401" s="1" t="s">
        <v>1570</v>
      </c>
      <c r="D401" s="1" t="s">
        <v>5</v>
      </c>
      <c r="E401" s="1">
        <f t="shared" si="2"/>
        <v>158.4</v>
      </c>
      <c r="F401" s="1">
        <f t="shared" si="3"/>
        <v>4.66</v>
      </c>
      <c r="G401" s="1">
        <v>34.0</v>
      </c>
      <c r="R401" s="1">
        <v>11.0</v>
      </c>
      <c r="S401" s="1">
        <v>100.0</v>
      </c>
      <c r="T401" s="1">
        <v>918.0</v>
      </c>
      <c r="U401" s="1">
        <v>0.0</v>
      </c>
    </row>
    <row r="402">
      <c r="A402" s="1">
        <f t="shared" si="1"/>
        <v>400</v>
      </c>
      <c r="B402" s="1" t="s">
        <v>1381</v>
      </c>
      <c r="C402" s="1" t="s">
        <v>1175</v>
      </c>
      <c r="D402" s="1" t="s">
        <v>31</v>
      </c>
      <c r="E402" s="1">
        <f t="shared" si="2"/>
        <v>157.75</v>
      </c>
      <c r="F402" s="1">
        <f t="shared" si="3"/>
        <v>2.54</v>
      </c>
      <c r="G402" s="1">
        <v>62.0</v>
      </c>
      <c r="H402" s="1">
        <v>14.0</v>
      </c>
      <c r="I402" s="1">
        <v>9.0</v>
      </c>
      <c r="J402" s="1">
        <v>23.0</v>
      </c>
      <c r="K402" s="1">
        <v>95.0</v>
      </c>
      <c r="L402" s="1">
        <v>0.0</v>
      </c>
      <c r="M402" s="1">
        <v>2.0</v>
      </c>
      <c r="N402" s="1">
        <v>0.0</v>
      </c>
      <c r="O402" s="1">
        <v>0.0</v>
      </c>
      <c r="P402" s="1">
        <v>53.0</v>
      </c>
      <c r="Q402" s="1">
        <v>14.0</v>
      </c>
    </row>
    <row r="403">
      <c r="A403" s="1">
        <f t="shared" si="1"/>
        <v>401</v>
      </c>
      <c r="B403" s="1" t="s">
        <v>1068</v>
      </c>
      <c r="C403" s="1" t="s">
        <v>1048</v>
      </c>
      <c r="D403" s="1" t="s">
        <v>66</v>
      </c>
      <c r="E403" s="1">
        <f t="shared" si="2"/>
        <v>157.5</v>
      </c>
      <c r="F403" s="1">
        <f t="shared" si="3"/>
        <v>3.5</v>
      </c>
      <c r="G403" s="1">
        <v>45.0</v>
      </c>
      <c r="H403" s="1">
        <v>7.0</v>
      </c>
      <c r="I403" s="1">
        <v>11.0</v>
      </c>
      <c r="J403" s="1">
        <v>18.0</v>
      </c>
      <c r="K403" s="1">
        <v>77.0</v>
      </c>
      <c r="L403" s="1">
        <v>0.0</v>
      </c>
      <c r="M403" s="1">
        <v>0.0</v>
      </c>
      <c r="N403" s="1">
        <v>0.0</v>
      </c>
      <c r="O403" s="1">
        <v>0.0</v>
      </c>
      <c r="P403" s="1">
        <v>76.0</v>
      </c>
      <c r="Q403" s="1">
        <v>71.0</v>
      </c>
    </row>
    <row r="404">
      <c r="A404" s="1">
        <f t="shared" si="1"/>
        <v>402</v>
      </c>
      <c r="B404" s="1" t="s">
        <v>2224</v>
      </c>
      <c r="C404" s="1" t="s">
        <v>1106</v>
      </c>
      <c r="D404" s="1" t="s">
        <v>28</v>
      </c>
      <c r="E404" s="1">
        <f t="shared" si="2"/>
        <v>157.25</v>
      </c>
      <c r="F404" s="1">
        <f t="shared" si="3"/>
        <v>2.28</v>
      </c>
      <c r="G404" s="1">
        <v>69.0</v>
      </c>
      <c r="H404" s="1">
        <v>7.0</v>
      </c>
      <c r="I404" s="1">
        <v>10.0</v>
      </c>
      <c r="J404" s="1">
        <v>17.0</v>
      </c>
      <c r="K404" s="1">
        <v>110.0</v>
      </c>
      <c r="L404" s="1">
        <v>0.0</v>
      </c>
      <c r="M404" s="1">
        <v>0.0</v>
      </c>
      <c r="N404" s="1">
        <v>0.0</v>
      </c>
      <c r="O404" s="1">
        <v>0.0</v>
      </c>
      <c r="P404" s="1">
        <v>133.0</v>
      </c>
      <c r="Q404" s="1">
        <v>15.0</v>
      </c>
    </row>
    <row r="405">
      <c r="A405" s="1">
        <f t="shared" si="1"/>
        <v>402</v>
      </c>
      <c r="B405" s="1" t="s">
        <v>1540</v>
      </c>
      <c r="C405" s="1" t="s">
        <v>1040</v>
      </c>
      <c r="D405" s="1" t="s">
        <v>31</v>
      </c>
      <c r="E405" s="1">
        <f t="shared" si="2"/>
        <v>157.25</v>
      </c>
      <c r="F405" s="1">
        <f t="shared" si="3"/>
        <v>2.25</v>
      </c>
      <c r="G405" s="1">
        <v>70.0</v>
      </c>
      <c r="H405" s="1">
        <v>9.0</v>
      </c>
      <c r="I405" s="1">
        <v>10.0</v>
      </c>
      <c r="J405" s="1">
        <v>19.0</v>
      </c>
      <c r="K405" s="1">
        <v>64.0</v>
      </c>
      <c r="L405" s="1">
        <v>1.0</v>
      </c>
      <c r="M405" s="1">
        <v>1.0</v>
      </c>
      <c r="N405" s="1">
        <v>0.0</v>
      </c>
      <c r="O405" s="1">
        <v>2.0</v>
      </c>
      <c r="P405" s="1">
        <v>69.0</v>
      </c>
      <c r="Q405" s="1">
        <v>67.0</v>
      </c>
    </row>
    <row r="406">
      <c r="A406" s="1">
        <f t="shared" si="1"/>
        <v>404</v>
      </c>
      <c r="B406" s="1" t="s">
        <v>1710</v>
      </c>
      <c r="C406" s="1" t="s">
        <v>1044</v>
      </c>
      <c r="D406" s="1" t="s">
        <v>66</v>
      </c>
      <c r="E406" s="1">
        <f t="shared" si="2"/>
        <v>157</v>
      </c>
      <c r="F406" s="1">
        <f t="shared" si="3"/>
        <v>2.71</v>
      </c>
      <c r="G406" s="1">
        <v>58.0</v>
      </c>
      <c r="H406" s="1">
        <v>1.0</v>
      </c>
      <c r="I406" s="1">
        <v>11.0</v>
      </c>
      <c r="J406" s="1">
        <v>12.0</v>
      </c>
      <c r="K406" s="1">
        <v>64.0</v>
      </c>
      <c r="L406" s="1">
        <v>0.0</v>
      </c>
      <c r="M406" s="1">
        <v>0.0</v>
      </c>
      <c r="N406" s="1">
        <v>0.0</v>
      </c>
      <c r="O406" s="1">
        <v>0.0</v>
      </c>
      <c r="P406" s="1">
        <v>108.0</v>
      </c>
      <c r="Q406" s="1">
        <v>121.0</v>
      </c>
    </row>
    <row r="407">
      <c r="A407" s="1">
        <f t="shared" si="1"/>
        <v>404</v>
      </c>
      <c r="B407" s="1" t="s">
        <v>1562</v>
      </c>
      <c r="C407" s="1" t="s">
        <v>1067</v>
      </c>
      <c r="D407" s="1" t="s">
        <v>31</v>
      </c>
      <c r="E407" s="1">
        <f t="shared" si="2"/>
        <v>157</v>
      </c>
      <c r="F407" s="1">
        <f t="shared" si="3"/>
        <v>2.28</v>
      </c>
      <c r="G407" s="1">
        <v>69.0</v>
      </c>
      <c r="H407" s="1">
        <v>12.0</v>
      </c>
      <c r="I407" s="1">
        <v>7.0</v>
      </c>
      <c r="J407" s="1">
        <v>19.0</v>
      </c>
      <c r="K407" s="1">
        <v>85.0</v>
      </c>
      <c r="L407" s="1">
        <v>0.0</v>
      </c>
      <c r="M407" s="1">
        <v>0.0</v>
      </c>
      <c r="N407" s="1">
        <v>1.0</v>
      </c>
      <c r="O407" s="1">
        <v>0.0</v>
      </c>
      <c r="P407" s="1">
        <v>110.0</v>
      </c>
      <c r="Q407" s="1">
        <v>20.0</v>
      </c>
    </row>
    <row r="408">
      <c r="A408" s="1">
        <f t="shared" si="1"/>
        <v>406</v>
      </c>
      <c r="B408" s="1" t="s">
        <v>1413</v>
      </c>
      <c r="C408" s="1" t="s">
        <v>1087</v>
      </c>
      <c r="D408" s="1" t="s">
        <v>66</v>
      </c>
      <c r="E408" s="1">
        <f t="shared" si="2"/>
        <v>155</v>
      </c>
      <c r="F408" s="1">
        <f t="shared" si="3"/>
        <v>2.58</v>
      </c>
      <c r="G408" s="1">
        <v>60.0</v>
      </c>
      <c r="H408" s="1">
        <v>3.0</v>
      </c>
      <c r="I408" s="1">
        <v>18.0</v>
      </c>
      <c r="J408" s="1">
        <v>21.0</v>
      </c>
      <c r="K408" s="1">
        <v>72.0</v>
      </c>
      <c r="L408" s="1">
        <v>1.0</v>
      </c>
      <c r="M408" s="1">
        <v>3.0</v>
      </c>
      <c r="N408" s="1">
        <v>0.0</v>
      </c>
      <c r="O408" s="1">
        <v>0.0</v>
      </c>
      <c r="P408" s="1">
        <v>62.0</v>
      </c>
      <c r="Q408" s="1">
        <v>72.0</v>
      </c>
    </row>
    <row r="409">
      <c r="A409" s="1">
        <f t="shared" si="1"/>
        <v>406</v>
      </c>
      <c r="B409" s="1" t="s">
        <v>1706</v>
      </c>
      <c r="C409" s="1" t="s">
        <v>1570</v>
      </c>
      <c r="D409" s="1" t="s">
        <v>28</v>
      </c>
      <c r="E409" s="1">
        <f t="shared" si="2"/>
        <v>155</v>
      </c>
      <c r="F409" s="1">
        <f t="shared" si="3"/>
        <v>2.46</v>
      </c>
      <c r="G409" s="1">
        <v>63.0</v>
      </c>
      <c r="H409" s="1">
        <v>10.0</v>
      </c>
      <c r="I409" s="1">
        <v>13.0</v>
      </c>
      <c r="J409" s="1">
        <v>23.0</v>
      </c>
      <c r="K409" s="1">
        <v>102.0</v>
      </c>
      <c r="L409" s="1">
        <v>1.0</v>
      </c>
      <c r="M409" s="1">
        <v>2.0</v>
      </c>
      <c r="N409" s="1">
        <v>0.0</v>
      </c>
      <c r="O409" s="1">
        <v>0.0</v>
      </c>
      <c r="P409" s="1">
        <v>28.0</v>
      </c>
      <c r="Q409" s="1">
        <v>26.0</v>
      </c>
    </row>
    <row r="410">
      <c r="A410" s="1">
        <f t="shared" si="1"/>
        <v>406</v>
      </c>
      <c r="B410" s="1" t="s">
        <v>1663</v>
      </c>
      <c r="C410" s="1" t="s">
        <v>1034</v>
      </c>
      <c r="D410" s="1" t="s">
        <v>28</v>
      </c>
      <c r="E410" s="1">
        <f t="shared" si="2"/>
        <v>155</v>
      </c>
      <c r="F410" s="1">
        <f t="shared" si="3"/>
        <v>2.42</v>
      </c>
      <c r="G410" s="1">
        <v>64.0</v>
      </c>
      <c r="H410" s="1">
        <v>9.0</v>
      </c>
      <c r="I410" s="1">
        <v>14.0</v>
      </c>
      <c r="J410" s="1">
        <v>23.0</v>
      </c>
      <c r="K410" s="1">
        <v>80.0</v>
      </c>
      <c r="L410" s="1">
        <v>1.0</v>
      </c>
      <c r="M410" s="1">
        <v>2.0</v>
      </c>
      <c r="N410" s="1">
        <v>0.0</v>
      </c>
      <c r="O410" s="1">
        <v>0.0</v>
      </c>
      <c r="P410" s="1">
        <v>104.0</v>
      </c>
      <c r="Q410" s="1">
        <v>13.0</v>
      </c>
    </row>
    <row r="411">
      <c r="A411" s="1">
        <f t="shared" si="1"/>
        <v>409</v>
      </c>
      <c r="B411" s="1" t="s">
        <v>1633</v>
      </c>
      <c r="C411" s="1" t="s">
        <v>1073</v>
      </c>
      <c r="D411" s="1" t="s">
        <v>5</v>
      </c>
      <c r="E411" s="1">
        <f t="shared" si="2"/>
        <v>154.8</v>
      </c>
      <c r="F411" s="1">
        <f t="shared" si="3"/>
        <v>6.19</v>
      </c>
      <c r="G411" s="1">
        <v>25.0</v>
      </c>
      <c r="R411" s="1">
        <v>14.0</v>
      </c>
      <c r="S411" s="1">
        <v>61.0</v>
      </c>
      <c r="T411" s="1">
        <v>651.0</v>
      </c>
      <c r="U411" s="1">
        <v>3.0</v>
      </c>
    </row>
    <row r="412">
      <c r="A412" s="1">
        <f t="shared" si="1"/>
        <v>410</v>
      </c>
      <c r="B412" s="1" t="s">
        <v>1421</v>
      </c>
      <c r="C412" s="1" t="s">
        <v>1172</v>
      </c>
      <c r="D412" s="1" t="s">
        <v>66</v>
      </c>
      <c r="E412" s="1">
        <f t="shared" si="2"/>
        <v>154.25</v>
      </c>
      <c r="F412" s="1">
        <f t="shared" si="3"/>
        <v>2.41</v>
      </c>
      <c r="G412" s="1">
        <v>64.0</v>
      </c>
      <c r="H412" s="1">
        <v>4.0</v>
      </c>
      <c r="I412" s="1">
        <v>9.0</v>
      </c>
      <c r="J412" s="1">
        <v>13.0</v>
      </c>
      <c r="K412" s="1">
        <v>65.0</v>
      </c>
      <c r="L412" s="1">
        <v>0.0</v>
      </c>
      <c r="M412" s="1">
        <v>0.0</v>
      </c>
      <c r="N412" s="1">
        <v>0.0</v>
      </c>
      <c r="O412" s="1">
        <v>0.0</v>
      </c>
      <c r="P412" s="1">
        <v>175.0</v>
      </c>
      <c r="Q412" s="1">
        <v>66.0</v>
      </c>
    </row>
    <row r="413">
      <c r="A413" s="1">
        <f t="shared" si="1"/>
        <v>410</v>
      </c>
      <c r="B413" s="1" t="s">
        <v>1684</v>
      </c>
      <c r="C413" s="1" t="s">
        <v>1172</v>
      </c>
      <c r="D413" s="1" t="s">
        <v>36</v>
      </c>
      <c r="E413" s="1">
        <f t="shared" si="2"/>
        <v>154.25</v>
      </c>
      <c r="F413" s="1">
        <f t="shared" si="3"/>
        <v>2.37</v>
      </c>
      <c r="G413" s="1">
        <v>65.0</v>
      </c>
      <c r="H413" s="1">
        <v>10.0</v>
      </c>
      <c r="I413" s="1">
        <v>16.0</v>
      </c>
      <c r="J413" s="1">
        <v>26.0</v>
      </c>
      <c r="K413" s="1">
        <v>94.0</v>
      </c>
      <c r="L413" s="1">
        <v>0.0</v>
      </c>
      <c r="M413" s="1">
        <v>2.0</v>
      </c>
      <c r="N413" s="1">
        <v>0.0</v>
      </c>
      <c r="O413" s="1">
        <v>0.0</v>
      </c>
      <c r="P413" s="1">
        <v>29.0</v>
      </c>
      <c r="Q413" s="1">
        <v>14.0</v>
      </c>
    </row>
    <row r="414">
      <c r="A414" s="1">
        <f t="shared" si="1"/>
        <v>412</v>
      </c>
      <c r="B414" s="1" t="s">
        <v>1680</v>
      </c>
      <c r="C414" s="1" t="s">
        <v>1120</v>
      </c>
      <c r="D414" s="1" t="s">
        <v>66</v>
      </c>
      <c r="E414" s="1">
        <f t="shared" si="2"/>
        <v>153.75</v>
      </c>
      <c r="F414" s="1">
        <f t="shared" si="3"/>
        <v>2.23</v>
      </c>
      <c r="G414" s="1">
        <v>69.0</v>
      </c>
      <c r="H414" s="1">
        <v>5.0</v>
      </c>
      <c r="I414" s="1">
        <v>12.0</v>
      </c>
      <c r="J414" s="1">
        <v>17.0</v>
      </c>
      <c r="K414" s="1">
        <v>86.0</v>
      </c>
      <c r="L414" s="1">
        <v>0.0</v>
      </c>
      <c r="M414" s="1">
        <v>0.0</v>
      </c>
      <c r="N414" s="1">
        <v>0.0</v>
      </c>
      <c r="O414" s="1">
        <v>0.0</v>
      </c>
      <c r="P414" s="1">
        <v>69.0</v>
      </c>
      <c r="Q414" s="1">
        <v>70.0</v>
      </c>
    </row>
    <row r="415">
      <c r="A415" s="1">
        <f t="shared" si="1"/>
        <v>413</v>
      </c>
      <c r="B415" s="1" t="s">
        <v>2494</v>
      </c>
      <c r="C415" s="1" t="s">
        <v>1073</v>
      </c>
      <c r="D415" s="1" t="s">
        <v>66</v>
      </c>
      <c r="E415" s="1">
        <f t="shared" si="2"/>
        <v>153.25</v>
      </c>
      <c r="F415" s="1">
        <f t="shared" si="3"/>
        <v>2.25</v>
      </c>
      <c r="G415" s="1">
        <v>68.0</v>
      </c>
      <c r="H415" s="1">
        <v>4.0</v>
      </c>
      <c r="I415" s="1">
        <v>20.0</v>
      </c>
      <c r="J415" s="1">
        <v>24.0</v>
      </c>
      <c r="K415" s="1">
        <v>87.0</v>
      </c>
      <c r="L415" s="1">
        <v>1.0</v>
      </c>
      <c r="M415" s="1">
        <v>10.0</v>
      </c>
      <c r="N415" s="1">
        <v>0.0</v>
      </c>
      <c r="O415" s="1">
        <v>0.0</v>
      </c>
      <c r="P415" s="1">
        <v>43.0</v>
      </c>
      <c r="Q415" s="1">
        <v>42.0</v>
      </c>
    </row>
    <row r="416">
      <c r="A416" s="1">
        <f t="shared" si="1"/>
        <v>413</v>
      </c>
      <c r="B416" s="1" t="s">
        <v>1426</v>
      </c>
      <c r="C416" s="1" t="s">
        <v>1087</v>
      </c>
      <c r="D416" s="1" t="s">
        <v>31</v>
      </c>
      <c r="E416" s="1">
        <f t="shared" si="2"/>
        <v>153.25</v>
      </c>
      <c r="F416" s="1">
        <f t="shared" si="3"/>
        <v>3.19</v>
      </c>
      <c r="G416" s="1">
        <v>48.0</v>
      </c>
      <c r="H416" s="1">
        <v>10.0</v>
      </c>
      <c r="I416" s="1">
        <v>4.0</v>
      </c>
      <c r="J416" s="1">
        <v>14.0</v>
      </c>
      <c r="K416" s="1">
        <v>67.0</v>
      </c>
      <c r="L416" s="1">
        <v>0.0</v>
      </c>
      <c r="M416" s="1">
        <v>0.0</v>
      </c>
      <c r="N416" s="1">
        <v>3.0</v>
      </c>
      <c r="O416" s="1">
        <v>2.0</v>
      </c>
      <c r="P416" s="1">
        <v>133.0</v>
      </c>
      <c r="Q416" s="1">
        <v>39.0</v>
      </c>
      <c r="T416" s="12"/>
    </row>
    <row r="417">
      <c r="A417" s="1">
        <f t="shared" si="1"/>
        <v>415</v>
      </c>
      <c r="B417" s="1" t="s">
        <v>1566</v>
      </c>
      <c r="C417" s="1" t="s">
        <v>1097</v>
      </c>
      <c r="D417" s="1" t="s">
        <v>5</v>
      </c>
      <c r="E417" s="1">
        <f t="shared" si="2"/>
        <v>152.1</v>
      </c>
      <c r="F417" s="1">
        <f t="shared" si="3"/>
        <v>6.34</v>
      </c>
      <c r="G417" s="1">
        <v>24.0</v>
      </c>
      <c r="R417" s="1">
        <v>12.0</v>
      </c>
      <c r="S417" s="1">
        <v>48.0</v>
      </c>
      <c r="T417" s="1">
        <v>607.0</v>
      </c>
      <c r="U417" s="1">
        <v>2.0</v>
      </c>
    </row>
    <row r="418">
      <c r="A418" s="1">
        <f t="shared" si="1"/>
        <v>416</v>
      </c>
      <c r="B418" s="1" t="s">
        <v>2306</v>
      </c>
      <c r="C418" s="1" t="s">
        <v>1069</v>
      </c>
      <c r="D418" s="1" t="s">
        <v>31</v>
      </c>
      <c r="E418" s="1">
        <f t="shared" si="2"/>
        <v>151.75</v>
      </c>
      <c r="F418" s="1">
        <f t="shared" si="3"/>
        <v>2.37</v>
      </c>
      <c r="G418" s="1">
        <v>64.0</v>
      </c>
      <c r="H418" s="1">
        <v>7.0</v>
      </c>
      <c r="I418" s="1">
        <v>15.0</v>
      </c>
      <c r="J418" s="1">
        <v>22.0</v>
      </c>
      <c r="K418" s="1">
        <v>102.0</v>
      </c>
      <c r="L418" s="1">
        <v>0.0</v>
      </c>
      <c r="M418" s="1">
        <v>1.0</v>
      </c>
      <c r="N418" s="1">
        <v>0.0</v>
      </c>
      <c r="O418" s="1">
        <v>0.0</v>
      </c>
      <c r="P418" s="1">
        <v>57.0</v>
      </c>
      <c r="Q418" s="1">
        <v>20.0</v>
      </c>
    </row>
    <row r="419">
      <c r="A419" s="1">
        <f t="shared" si="1"/>
        <v>417</v>
      </c>
      <c r="B419" s="1" t="s">
        <v>2202</v>
      </c>
      <c r="C419" s="1" t="s">
        <v>1120</v>
      </c>
      <c r="D419" s="1" t="s">
        <v>31</v>
      </c>
      <c r="E419" s="1">
        <f t="shared" si="2"/>
        <v>151.5</v>
      </c>
      <c r="F419" s="1">
        <f t="shared" si="3"/>
        <v>2.23</v>
      </c>
      <c r="G419" s="1">
        <v>68.0</v>
      </c>
      <c r="H419" s="1">
        <v>9.0</v>
      </c>
      <c r="I419" s="1">
        <v>7.0</v>
      </c>
      <c r="J419" s="1">
        <v>16.0</v>
      </c>
      <c r="K419" s="1">
        <v>102.0</v>
      </c>
      <c r="L419" s="1">
        <v>0.0</v>
      </c>
      <c r="M419" s="1">
        <v>0.0</v>
      </c>
      <c r="N419" s="1">
        <v>1.0</v>
      </c>
      <c r="O419" s="1">
        <v>1.0</v>
      </c>
      <c r="P419" s="1">
        <v>88.0</v>
      </c>
      <c r="Q419" s="1">
        <v>26.0</v>
      </c>
    </row>
    <row r="420">
      <c r="A420" s="1">
        <f t="shared" si="1"/>
        <v>418</v>
      </c>
      <c r="B420" s="1" t="s">
        <v>1969</v>
      </c>
      <c r="C420" s="1" t="s">
        <v>1172</v>
      </c>
      <c r="D420" s="1" t="s">
        <v>31</v>
      </c>
      <c r="E420" s="1">
        <f t="shared" si="2"/>
        <v>151.25</v>
      </c>
      <c r="F420" s="1">
        <f t="shared" si="3"/>
        <v>2.36</v>
      </c>
      <c r="G420" s="1">
        <v>64.0</v>
      </c>
      <c r="H420" s="1">
        <v>8.0</v>
      </c>
      <c r="I420" s="1">
        <v>15.0</v>
      </c>
      <c r="J420" s="1">
        <v>23.0</v>
      </c>
      <c r="K420" s="1">
        <v>101.0</v>
      </c>
      <c r="L420" s="1">
        <v>0.0</v>
      </c>
      <c r="M420" s="1">
        <v>3.0</v>
      </c>
      <c r="N420" s="1">
        <v>0.0</v>
      </c>
      <c r="O420" s="1">
        <v>0.0</v>
      </c>
      <c r="P420" s="1">
        <v>33.0</v>
      </c>
      <c r="Q420" s="1">
        <v>23.0</v>
      </c>
    </row>
    <row r="421">
      <c r="A421" s="1">
        <f t="shared" si="1"/>
        <v>419</v>
      </c>
      <c r="B421" s="1" t="s">
        <v>1281</v>
      </c>
      <c r="C421" s="1" t="s">
        <v>1067</v>
      </c>
      <c r="D421" s="1" t="s">
        <v>66</v>
      </c>
      <c r="E421" s="1">
        <f t="shared" si="2"/>
        <v>150.75</v>
      </c>
      <c r="F421" s="1">
        <f t="shared" si="3"/>
        <v>2.28</v>
      </c>
      <c r="G421" s="1">
        <v>66.0</v>
      </c>
      <c r="H421" s="1">
        <v>3.0</v>
      </c>
      <c r="I421" s="1">
        <v>10.0</v>
      </c>
      <c r="J421" s="1">
        <v>13.0</v>
      </c>
      <c r="K421" s="1">
        <v>75.0</v>
      </c>
      <c r="L421" s="1">
        <v>0.0</v>
      </c>
      <c r="M421" s="1">
        <v>0.0</v>
      </c>
      <c r="N421" s="1">
        <v>1.0</v>
      </c>
      <c r="O421" s="1">
        <v>0.0</v>
      </c>
      <c r="P421" s="1">
        <v>91.0</v>
      </c>
      <c r="Q421" s="1">
        <v>90.0</v>
      </c>
    </row>
    <row r="422">
      <c r="A422" s="1">
        <f t="shared" si="1"/>
        <v>420</v>
      </c>
      <c r="B422" s="1" t="s">
        <v>1299</v>
      </c>
      <c r="C422" s="1" t="s">
        <v>1570</v>
      </c>
      <c r="D422" s="1" t="s">
        <v>31</v>
      </c>
      <c r="E422" s="1">
        <f t="shared" si="2"/>
        <v>150.25</v>
      </c>
      <c r="F422" s="1">
        <f t="shared" si="3"/>
        <v>3.13</v>
      </c>
      <c r="G422" s="1">
        <v>48.0</v>
      </c>
      <c r="H422" s="1">
        <v>12.0</v>
      </c>
      <c r="I422" s="1">
        <v>12.0</v>
      </c>
      <c r="J422" s="1">
        <v>24.0</v>
      </c>
      <c r="K422" s="1">
        <v>92.0</v>
      </c>
      <c r="L422" s="1">
        <v>4.0</v>
      </c>
      <c r="M422" s="1">
        <v>4.0</v>
      </c>
      <c r="N422" s="1">
        <v>0.0</v>
      </c>
      <c r="O422" s="1">
        <v>0.0</v>
      </c>
      <c r="P422" s="1">
        <v>27.0</v>
      </c>
      <c r="Q422" s="1">
        <v>15.0</v>
      </c>
    </row>
    <row r="423">
      <c r="A423" s="1">
        <f t="shared" si="1"/>
        <v>421</v>
      </c>
      <c r="B423" s="1" t="s">
        <v>2181</v>
      </c>
      <c r="C423" s="1" t="s">
        <v>1078</v>
      </c>
      <c r="D423" s="1" t="s">
        <v>28</v>
      </c>
      <c r="E423" s="1">
        <f t="shared" si="2"/>
        <v>149.75</v>
      </c>
      <c r="F423" s="1">
        <f t="shared" si="3"/>
        <v>2.3</v>
      </c>
      <c r="G423" s="1">
        <v>65.0</v>
      </c>
      <c r="H423" s="1">
        <v>6.0</v>
      </c>
      <c r="I423" s="1">
        <v>5.0</v>
      </c>
      <c r="J423" s="1">
        <v>11.0</v>
      </c>
      <c r="K423" s="1">
        <v>124.0</v>
      </c>
      <c r="L423" s="1">
        <v>0.0</v>
      </c>
      <c r="M423" s="1">
        <v>0.0</v>
      </c>
      <c r="N423" s="1">
        <v>0.0</v>
      </c>
      <c r="O423" s="1">
        <v>0.0</v>
      </c>
      <c r="P423" s="1">
        <v>145.0</v>
      </c>
      <c r="Q423" s="1">
        <v>19.0</v>
      </c>
    </row>
    <row r="424">
      <c r="A424" s="1">
        <f t="shared" si="1"/>
        <v>422</v>
      </c>
      <c r="B424" s="1" t="s">
        <v>1488</v>
      </c>
      <c r="C424" s="1" t="s">
        <v>1082</v>
      </c>
      <c r="D424" s="1" t="s">
        <v>5</v>
      </c>
      <c r="E424" s="1">
        <f t="shared" si="2"/>
        <v>149.7</v>
      </c>
      <c r="F424" s="1">
        <f t="shared" si="3"/>
        <v>5.76</v>
      </c>
      <c r="G424" s="1">
        <v>26.0</v>
      </c>
      <c r="R424" s="1">
        <v>16.0</v>
      </c>
      <c r="S424" s="1">
        <v>60.0</v>
      </c>
      <c r="T424" s="1">
        <v>629.0</v>
      </c>
      <c r="U424" s="1">
        <v>1.0</v>
      </c>
    </row>
    <row r="425">
      <c r="A425" s="1">
        <f t="shared" si="1"/>
        <v>423</v>
      </c>
      <c r="B425" s="1" t="s">
        <v>2088</v>
      </c>
      <c r="C425" s="1" t="s">
        <v>1038</v>
      </c>
      <c r="D425" s="1" t="s">
        <v>28</v>
      </c>
      <c r="E425" s="1">
        <f t="shared" si="2"/>
        <v>149.5</v>
      </c>
      <c r="F425" s="1">
        <f t="shared" si="3"/>
        <v>3.11</v>
      </c>
      <c r="G425" s="1">
        <v>48.0</v>
      </c>
      <c r="H425" s="1">
        <v>9.0</v>
      </c>
      <c r="I425" s="1">
        <v>12.0</v>
      </c>
      <c r="J425" s="1">
        <v>21.0</v>
      </c>
      <c r="K425" s="1">
        <v>78.0</v>
      </c>
      <c r="L425" s="1">
        <v>2.0</v>
      </c>
      <c r="M425" s="1">
        <v>1.0</v>
      </c>
      <c r="N425" s="1">
        <v>0.0</v>
      </c>
      <c r="O425" s="1">
        <v>0.0</v>
      </c>
      <c r="P425" s="1">
        <v>102.0</v>
      </c>
      <c r="Q425" s="1">
        <v>17.0</v>
      </c>
    </row>
    <row r="426">
      <c r="A426" s="1">
        <f t="shared" si="1"/>
        <v>424</v>
      </c>
      <c r="B426" s="1" t="s">
        <v>1590</v>
      </c>
      <c r="C426" s="1" t="s">
        <v>1175</v>
      </c>
      <c r="D426" s="1" t="s">
        <v>66</v>
      </c>
      <c r="E426" s="1">
        <f t="shared" si="2"/>
        <v>149.25</v>
      </c>
      <c r="F426" s="1">
        <f t="shared" si="3"/>
        <v>2.13</v>
      </c>
      <c r="G426" s="1">
        <v>70.0</v>
      </c>
      <c r="H426" s="1">
        <v>5.0</v>
      </c>
      <c r="I426" s="1">
        <v>10.0</v>
      </c>
      <c r="J426" s="1">
        <v>15.0</v>
      </c>
      <c r="K426" s="1">
        <v>74.0</v>
      </c>
      <c r="L426" s="1">
        <v>0.0</v>
      </c>
      <c r="M426" s="1">
        <v>0.0</v>
      </c>
      <c r="N426" s="1">
        <v>1.0</v>
      </c>
      <c r="O426" s="1">
        <v>0.0</v>
      </c>
      <c r="P426" s="1">
        <v>37.0</v>
      </c>
      <c r="Q426" s="1">
        <v>97.0</v>
      </c>
    </row>
    <row r="427">
      <c r="A427" s="1">
        <f t="shared" si="1"/>
        <v>425</v>
      </c>
      <c r="B427" s="1" t="s">
        <v>1606</v>
      </c>
      <c r="C427" s="1" t="s">
        <v>1040</v>
      </c>
      <c r="D427" s="1" t="s">
        <v>36</v>
      </c>
      <c r="E427" s="1">
        <f t="shared" si="2"/>
        <v>149</v>
      </c>
      <c r="F427" s="1">
        <f t="shared" si="3"/>
        <v>2.26</v>
      </c>
      <c r="G427" s="1">
        <v>66.0</v>
      </c>
      <c r="H427" s="1">
        <v>10.0</v>
      </c>
      <c r="I427" s="1">
        <v>13.0</v>
      </c>
      <c r="J427" s="1">
        <v>23.0</v>
      </c>
      <c r="K427" s="1">
        <v>109.0</v>
      </c>
      <c r="L427" s="1">
        <v>2.0</v>
      </c>
      <c r="M427" s="1">
        <v>11.0</v>
      </c>
      <c r="N427" s="1">
        <v>0.0</v>
      </c>
      <c r="O427" s="1">
        <v>0.0</v>
      </c>
      <c r="P427" s="1">
        <v>20.0</v>
      </c>
      <c r="Q427" s="1">
        <v>11.0</v>
      </c>
    </row>
    <row r="428">
      <c r="A428" s="1">
        <f t="shared" si="1"/>
        <v>425</v>
      </c>
      <c r="B428" s="1" t="s">
        <v>1621</v>
      </c>
      <c r="C428" s="1" t="s">
        <v>1078</v>
      </c>
      <c r="D428" s="1" t="s">
        <v>28</v>
      </c>
      <c r="E428" s="1">
        <f t="shared" si="2"/>
        <v>149</v>
      </c>
      <c r="F428" s="1">
        <f t="shared" si="3"/>
        <v>2.29</v>
      </c>
      <c r="G428" s="1">
        <v>65.0</v>
      </c>
      <c r="H428" s="1">
        <v>6.0</v>
      </c>
      <c r="I428" s="1">
        <v>17.0</v>
      </c>
      <c r="J428" s="1">
        <v>23.0</v>
      </c>
      <c r="K428" s="1">
        <v>87.0</v>
      </c>
      <c r="L428" s="1">
        <v>2.0</v>
      </c>
      <c r="M428" s="1">
        <v>1.0</v>
      </c>
      <c r="N428" s="1">
        <v>2.0</v>
      </c>
      <c r="O428" s="1">
        <v>1.0</v>
      </c>
      <c r="P428" s="1">
        <v>42.0</v>
      </c>
      <c r="Q428" s="1">
        <v>22.0</v>
      </c>
    </row>
    <row r="429">
      <c r="A429" s="1">
        <f t="shared" si="1"/>
        <v>427</v>
      </c>
      <c r="B429" s="1" t="s">
        <v>2112</v>
      </c>
      <c r="C429" s="1" t="s">
        <v>1091</v>
      </c>
      <c r="D429" s="1" t="s">
        <v>5</v>
      </c>
      <c r="E429" s="1">
        <f t="shared" si="2"/>
        <v>148.8</v>
      </c>
      <c r="F429" s="1">
        <f t="shared" si="3"/>
        <v>4.8</v>
      </c>
      <c r="G429" s="1">
        <v>31.0</v>
      </c>
      <c r="R429" s="1">
        <v>16.0</v>
      </c>
      <c r="S429" s="1">
        <v>80.0</v>
      </c>
      <c r="T429" s="1">
        <v>716.0</v>
      </c>
      <c r="U429" s="1">
        <v>2.0</v>
      </c>
    </row>
    <row r="430">
      <c r="A430" s="1">
        <f t="shared" si="1"/>
        <v>428</v>
      </c>
      <c r="B430" s="1" t="s">
        <v>1690</v>
      </c>
      <c r="C430" s="1" t="s">
        <v>1172</v>
      </c>
      <c r="D430" s="1" t="s">
        <v>31</v>
      </c>
      <c r="E430" s="1">
        <f t="shared" si="2"/>
        <v>148.75</v>
      </c>
      <c r="F430" s="1">
        <f t="shared" si="3"/>
        <v>2.16</v>
      </c>
      <c r="G430" s="1">
        <v>69.0</v>
      </c>
      <c r="H430" s="1">
        <v>3.0</v>
      </c>
      <c r="I430" s="1">
        <v>12.0</v>
      </c>
      <c r="J430" s="1">
        <v>15.0</v>
      </c>
      <c r="K430" s="1">
        <v>80.0</v>
      </c>
      <c r="L430" s="1">
        <v>0.0</v>
      </c>
      <c r="M430" s="1">
        <v>0.0</v>
      </c>
      <c r="N430" s="1">
        <v>1.0</v>
      </c>
      <c r="O430" s="1">
        <v>2.0</v>
      </c>
      <c r="P430" s="1">
        <v>117.0</v>
      </c>
      <c r="Q430" s="1">
        <v>48.0</v>
      </c>
    </row>
    <row r="431">
      <c r="A431" s="1">
        <f t="shared" si="1"/>
        <v>429</v>
      </c>
      <c r="B431" s="1" t="s">
        <v>2210</v>
      </c>
      <c r="C431" s="1" t="s">
        <v>1044</v>
      </c>
      <c r="D431" s="1" t="s">
        <v>36</v>
      </c>
      <c r="E431" s="1">
        <f t="shared" si="2"/>
        <v>148.5</v>
      </c>
      <c r="F431" s="1">
        <f t="shared" si="3"/>
        <v>2.52</v>
      </c>
      <c r="G431" s="1">
        <v>59.0</v>
      </c>
      <c r="H431" s="1">
        <v>8.0</v>
      </c>
      <c r="I431" s="1">
        <v>16.0</v>
      </c>
      <c r="J431" s="1">
        <v>24.0</v>
      </c>
      <c r="K431" s="1">
        <v>86.0</v>
      </c>
      <c r="L431" s="1">
        <v>2.0</v>
      </c>
      <c r="M431" s="1">
        <v>5.0</v>
      </c>
      <c r="N431" s="1">
        <v>0.0</v>
      </c>
      <c r="O431" s="1">
        <v>0.0</v>
      </c>
      <c r="P431" s="1">
        <v>52.0</v>
      </c>
      <c r="Q431" s="1">
        <v>17.0</v>
      </c>
    </row>
    <row r="432">
      <c r="A432" s="1">
        <f t="shared" si="1"/>
        <v>429</v>
      </c>
      <c r="B432" s="1" t="s">
        <v>1108</v>
      </c>
      <c r="C432" s="1" t="s">
        <v>1076</v>
      </c>
      <c r="D432" s="1" t="s">
        <v>31</v>
      </c>
      <c r="E432" s="1">
        <f t="shared" si="2"/>
        <v>148.5</v>
      </c>
      <c r="F432" s="1">
        <f t="shared" si="3"/>
        <v>2.43</v>
      </c>
      <c r="G432" s="1">
        <v>61.0</v>
      </c>
      <c r="H432" s="1">
        <v>7.0</v>
      </c>
      <c r="I432" s="1">
        <v>14.0</v>
      </c>
      <c r="J432" s="1">
        <v>21.0</v>
      </c>
      <c r="K432" s="1">
        <v>123.0</v>
      </c>
      <c r="L432" s="1">
        <v>4.0</v>
      </c>
      <c r="M432" s="1">
        <v>5.0</v>
      </c>
      <c r="N432" s="1">
        <v>0.0</v>
      </c>
      <c r="O432" s="1">
        <v>0.0</v>
      </c>
      <c r="P432" s="1">
        <v>12.0</v>
      </c>
      <c r="Q432" s="1">
        <v>21.0</v>
      </c>
    </row>
    <row r="433">
      <c r="A433" s="1">
        <f t="shared" si="1"/>
        <v>431</v>
      </c>
      <c r="B433" s="1" t="s">
        <v>2466</v>
      </c>
      <c r="C433" s="1" t="s">
        <v>1067</v>
      </c>
      <c r="D433" s="1" t="s">
        <v>5</v>
      </c>
      <c r="E433" s="1">
        <f t="shared" si="2"/>
        <v>148.2</v>
      </c>
      <c r="F433" s="1">
        <f t="shared" si="3"/>
        <v>4.78</v>
      </c>
      <c r="G433" s="1">
        <v>31.0</v>
      </c>
      <c r="R433" s="1">
        <v>12.0</v>
      </c>
      <c r="S433" s="1">
        <v>94.0</v>
      </c>
      <c r="T433" s="1">
        <v>824.0</v>
      </c>
      <c r="U433" s="1">
        <v>2.0</v>
      </c>
    </row>
    <row r="434">
      <c r="A434" s="1">
        <f t="shared" si="1"/>
        <v>432</v>
      </c>
      <c r="B434" s="1" t="s">
        <v>2048</v>
      </c>
      <c r="C434" s="1" t="s">
        <v>1052</v>
      </c>
      <c r="D434" s="1" t="s">
        <v>31</v>
      </c>
      <c r="E434" s="1">
        <f t="shared" si="2"/>
        <v>148</v>
      </c>
      <c r="F434" s="1">
        <f t="shared" si="3"/>
        <v>2.6</v>
      </c>
      <c r="G434" s="1">
        <v>57.0</v>
      </c>
      <c r="H434" s="1">
        <v>6.0</v>
      </c>
      <c r="I434" s="1">
        <v>7.0</v>
      </c>
      <c r="J434" s="1">
        <v>13.0</v>
      </c>
      <c r="K434" s="1">
        <v>98.0</v>
      </c>
      <c r="L434" s="1">
        <v>0.0</v>
      </c>
      <c r="M434" s="1">
        <v>0.0</v>
      </c>
      <c r="N434" s="1">
        <v>1.0</v>
      </c>
      <c r="O434" s="1">
        <v>0.0</v>
      </c>
      <c r="P434" s="1">
        <v>136.0</v>
      </c>
      <c r="Q434" s="1">
        <v>30.0</v>
      </c>
    </row>
    <row r="435">
      <c r="A435" s="1">
        <f t="shared" si="1"/>
        <v>433</v>
      </c>
      <c r="B435" s="1" t="s">
        <v>1903</v>
      </c>
      <c r="C435" s="1" t="s">
        <v>1044</v>
      </c>
      <c r="D435" s="1" t="s">
        <v>31</v>
      </c>
      <c r="E435" s="1">
        <f t="shared" si="2"/>
        <v>147.75</v>
      </c>
      <c r="F435" s="1">
        <f t="shared" si="3"/>
        <v>2.42</v>
      </c>
      <c r="G435" s="1">
        <v>61.0</v>
      </c>
      <c r="H435" s="1">
        <v>7.0</v>
      </c>
      <c r="I435" s="1">
        <v>16.0</v>
      </c>
      <c r="J435" s="1">
        <v>23.0</v>
      </c>
      <c r="K435" s="1">
        <v>83.0</v>
      </c>
      <c r="L435" s="1">
        <v>1.0</v>
      </c>
      <c r="M435" s="1">
        <v>3.0</v>
      </c>
      <c r="N435" s="1">
        <v>0.0</v>
      </c>
      <c r="O435" s="1">
        <v>0.0</v>
      </c>
      <c r="P435" s="1">
        <v>47.0</v>
      </c>
      <c r="Q435" s="1">
        <v>30.0</v>
      </c>
      <c r="T435" s="12"/>
    </row>
    <row r="436">
      <c r="A436" s="1">
        <f t="shared" si="1"/>
        <v>434</v>
      </c>
      <c r="B436" s="1" t="s">
        <v>1804</v>
      </c>
      <c r="C436" s="1" t="s">
        <v>1080</v>
      </c>
      <c r="D436" s="1" t="s">
        <v>28</v>
      </c>
      <c r="E436" s="1">
        <f t="shared" si="2"/>
        <v>147.25</v>
      </c>
      <c r="F436" s="1">
        <f t="shared" si="3"/>
        <v>2.2</v>
      </c>
      <c r="G436" s="1">
        <v>67.0</v>
      </c>
      <c r="H436" s="1">
        <v>8.0</v>
      </c>
      <c r="I436" s="1">
        <v>7.0</v>
      </c>
      <c r="J436" s="1">
        <v>15.0</v>
      </c>
      <c r="K436" s="1">
        <v>93.0</v>
      </c>
      <c r="L436" s="1">
        <v>0.0</v>
      </c>
      <c r="M436" s="1">
        <v>0.0</v>
      </c>
      <c r="N436" s="1">
        <v>1.0</v>
      </c>
      <c r="O436" s="1">
        <v>0.0</v>
      </c>
      <c r="P436" s="1">
        <v>91.0</v>
      </c>
      <c r="Q436" s="1">
        <v>38.0</v>
      </c>
    </row>
    <row r="437">
      <c r="A437" s="1">
        <f t="shared" si="1"/>
        <v>435</v>
      </c>
      <c r="B437" s="1" t="s">
        <v>1702</v>
      </c>
      <c r="C437" s="1" t="s">
        <v>1570</v>
      </c>
      <c r="D437" s="1" t="s">
        <v>66</v>
      </c>
      <c r="E437" s="1">
        <f t="shared" si="2"/>
        <v>146.75</v>
      </c>
      <c r="F437" s="1">
        <f t="shared" si="3"/>
        <v>2.94</v>
      </c>
      <c r="G437" s="1">
        <v>50.0</v>
      </c>
      <c r="H437" s="1">
        <v>3.0</v>
      </c>
      <c r="I437" s="1">
        <v>9.0</v>
      </c>
      <c r="J437" s="1">
        <v>12.0</v>
      </c>
      <c r="K437" s="1">
        <v>83.0</v>
      </c>
      <c r="L437" s="1">
        <v>0.0</v>
      </c>
      <c r="M437" s="1">
        <v>0.0</v>
      </c>
      <c r="N437" s="1">
        <v>0.0</v>
      </c>
      <c r="O437" s="1">
        <v>0.0</v>
      </c>
      <c r="P437" s="1">
        <v>39.0</v>
      </c>
      <c r="Q437" s="1">
        <v>110.0</v>
      </c>
    </row>
    <row r="438">
      <c r="A438" s="1">
        <f t="shared" si="1"/>
        <v>435</v>
      </c>
      <c r="B438" s="1" t="s">
        <v>1589</v>
      </c>
      <c r="C438" s="1" t="s">
        <v>1120</v>
      </c>
      <c r="D438" s="1" t="s">
        <v>36</v>
      </c>
      <c r="E438" s="1">
        <f t="shared" si="2"/>
        <v>146.75</v>
      </c>
      <c r="F438" s="1">
        <f t="shared" si="3"/>
        <v>2.45</v>
      </c>
      <c r="G438" s="1">
        <v>60.0</v>
      </c>
      <c r="H438" s="1">
        <v>6.0</v>
      </c>
      <c r="I438" s="1">
        <v>3.0</v>
      </c>
      <c r="J438" s="1">
        <v>9.0</v>
      </c>
      <c r="K438" s="1">
        <v>76.0</v>
      </c>
      <c r="L438" s="1">
        <v>0.0</v>
      </c>
      <c r="M438" s="1">
        <v>0.0</v>
      </c>
      <c r="N438" s="1">
        <v>1.0</v>
      </c>
      <c r="O438" s="1">
        <v>0.0</v>
      </c>
      <c r="P438" s="1">
        <v>147.0</v>
      </c>
      <c r="Q438" s="1">
        <v>68.0</v>
      </c>
    </row>
    <row r="439">
      <c r="A439" s="1">
        <f t="shared" si="1"/>
        <v>437</v>
      </c>
      <c r="B439" s="1" t="s">
        <v>2589</v>
      </c>
      <c r="C439" s="1" t="s">
        <v>1082</v>
      </c>
      <c r="D439" s="1" t="s">
        <v>5</v>
      </c>
      <c r="E439" s="1">
        <f t="shared" si="2"/>
        <v>146.7</v>
      </c>
      <c r="F439" s="1">
        <f t="shared" si="3"/>
        <v>4.89</v>
      </c>
      <c r="G439" s="1">
        <v>30.0</v>
      </c>
      <c r="R439" s="1">
        <v>10.0</v>
      </c>
      <c r="S439" s="1">
        <v>84.0</v>
      </c>
      <c r="T439" s="1">
        <v>799.0</v>
      </c>
      <c r="U439" s="1">
        <v>1.0</v>
      </c>
    </row>
    <row r="440">
      <c r="A440" s="1">
        <f t="shared" si="1"/>
        <v>438</v>
      </c>
      <c r="B440" s="1" t="s">
        <v>1304</v>
      </c>
      <c r="C440" s="1" t="s">
        <v>1067</v>
      </c>
      <c r="D440" s="1" t="s">
        <v>66</v>
      </c>
      <c r="E440" s="1">
        <f t="shared" si="2"/>
        <v>146</v>
      </c>
      <c r="F440" s="1">
        <f t="shared" si="3"/>
        <v>2.7</v>
      </c>
      <c r="G440" s="1">
        <v>54.0</v>
      </c>
      <c r="H440" s="1">
        <v>5.0</v>
      </c>
      <c r="I440" s="1">
        <v>13.0</v>
      </c>
      <c r="J440" s="1">
        <v>18.0</v>
      </c>
      <c r="K440" s="1">
        <v>86.0</v>
      </c>
      <c r="L440" s="1">
        <v>0.0</v>
      </c>
      <c r="M440" s="1">
        <v>2.0</v>
      </c>
      <c r="N440" s="1">
        <v>0.0</v>
      </c>
      <c r="O440" s="1">
        <v>0.0</v>
      </c>
      <c r="P440" s="1">
        <v>60.0</v>
      </c>
      <c r="Q440" s="1">
        <v>53.0</v>
      </c>
    </row>
    <row r="441">
      <c r="A441" s="1">
        <f t="shared" si="1"/>
        <v>438</v>
      </c>
      <c r="B441" s="1" t="s">
        <v>1839</v>
      </c>
      <c r="C441" s="1" t="s">
        <v>1073</v>
      </c>
      <c r="D441" s="1" t="s">
        <v>28</v>
      </c>
      <c r="E441" s="1">
        <f t="shared" si="2"/>
        <v>146</v>
      </c>
      <c r="F441" s="1">
        <f t="shared" si="3"/>
        <v>2.15</v>
      </c>
      <c r="G441" s="1">
        <v>68.0</v>
      </c>
      <c r="H441" s="1">
        <v>7.0</v>
      </c>
      <c r="I441" s="1">
        <v>10.0</v>
      </c>
      <c r="J441" s="1">
        <v>17.0</v>
      </c>
      <c r="K441" s="1">
        <v>93.0</v>
      </c>
      <c r="L441" s="1">
        <v>0.0</v>
      </c>
      <c r="M441" s="1">
        <v>0.0</v>
      </c>
      <c r="N441" s="1">
        <v>2.0</v>
      </c>
      <c r="O441" s="1">
        <v>0.0</v>
      </c>
      <c r="P441" s="1">
        <v>80.0</v>
      </c>
      <c r="Q441" s="1">
        <v>28.0</v>
      </c>
    </row>
    <row r="442">
      <c r="A442" s="1">
        <f t="shared" si="1"/>
        <v>440</v>
      </c>
      <c r="B442" s="1" t="s">
        <v>2326</v>
      </c>
      <c r="C442" s="1" t="s">
        <v>1076</v>
      </c>
      <c r="D442" s="1" t="s">
        <v>66</v>
      </c>
      <c r="E442" s="1">
        <f t="shared" si="2"/>
        <v>145.25</v>
      </c>
      <c r="F442" s="1">
        <f t="shared" si="3"/>
        <v>2.59</v>
      </c>
      <c r="G442" s="1">
        <v>56.0</v>
      </c>
      <c r="H442" s="1">
        <v>4.0</v>
      </c>
      <c r="I442" s="1">
        <v>17.0</v>
      </c>
      <c r="J442" s="1">
        <v>21.0</v>
      </c>
      <c r="K442" s="1">
        <v>62.0</v>
      </c>
      <c r="L442" s="1">
        <v>0.0</v>
      </c>
      <c r="M442" s="1">
        <v>1.0</v>
      </c>
      <c r="N442" s="1">
        <v>0.0</v>
      </c>
      <c r="O442" s="1">
        <v>0.0</v>
      </c>
      <c r="P442" s="1">
        <v>31.0</v>
      </c>
      <c r="Q442" s="1">
        <v>75.0</v>
      </c>
    </row>
    <row r="443">
      <c r="A443" s="1">
        <f t="shared" si="1"/>
        <v>441</v>
      </c>
      <c r="B443" s="1" t="s">
        <v>1181</v>
      </c>
      <c r="C443" s="1" t="s">
        <v>1046</v>
      </c>
      <c r="D443" s="1" t="s">
        <v>5</v>
      </c>
      <c r="E443" s="1">
        <f t="shared" si="2"/>
        <v>145.2</v>
      </c>
      <c r="F443" s="1">
        <f t="shared" si="3"/>
        <v>5.38</v>
      </c>
      <c r="G443" s="1">
        <v>27.0</v>
      </c>
      <c r="R443" s="1">
        <v>13.0</v>
      </c>
      <c r="S443" s="1">
        <v>78.0</v>
      </c>
      <c r="T443" s="1">
        <v>744.0</v>
      </c>
      <c r="U443" s="1">
        <v>0.0</v>
      </c>
    </row>
    <row r="444">
      <c r="A444" s="1">
        <f t="shared" si="1"/>
        <v>442</v>
      </c>
      <c r="B444" s="1" t="s">
        <v>1634</v>
      </c>
      <c r="C444" s="1" t="s">
        <v>1156</v>
      </c>
      <c r="D444" s="1" t="s">
        <v>31</v>
      </c>
      <c r="E444" s="1">
        <f t="shared" si="2"/>
        <v>145</v>
      </c>
      <c r="F444" s="1">
        <f t="shared" si="3"/>
        <v>2.59</v>
      </c>
      <c r="G444" s="1">
        <v>56.0</v>
      </c>
      <c r="H444" s="1">
        <v>10.0</v>
      </c>
      <c r="I444" s="1">
        <v>10.0</v>
      </c>
      <c r="J444" s="1">
        <v>20.0</v>
      </c>
      <c r="K444" s="1">
        <v>97.0</v>
      </c>
      <c r="L444" s="1">
        <v>5.0</v>
      </c>
      <c r="M444" s="1">
        <v>3.0</v>
      </c>
      <c r="N444" s="1">
        <v>0.0</v>
      </c>
      <c r="O444" s="1">
        <v>0.0</v>
      </c>
      <c r="P444" s="1">
        <v>52.0</v>
      </c>
      <c r="Q444" s="1">
        <v>17.0</v>
      </c>
    </row>
    <row r="445">
      <c r="A445" s="1">
        <f t="shared" si="1"/>
        <v>442</v>
      </c>
      <c r="B445" s="1" t="s">
        <v>1424</v>
      </c>
      <c r="C445" s="1" t="s">
        <v>1032</v>
      </c>
      <c r="D445" s="1" t="s">
        <v>36</v>
      </c>
      <c r="E445" s="1">
        <f t="shared" si="2"/>
        <v>145</v>
      </c>
      <c r="F445" s="1">
        <f t="shared" si="3"/>
        <v>3.72</v>
      </c>
      <c r="G445" s="1">
        <v>39.0</v>
      </c>
      <c r="H445" s="1">
        <v>8.0</v>
      </c>
      <c r="I445" s="1">
        <v>15.0</v>
      </c>
      <c r="J445" s="1">
        <v>23.0</v>
      </c>
      <c r="K445" s="1">
        <v>98.0</v>
      </c>
      <c r="L445" s="1">
        <v>0.0</v>
      </c>
      <c r="M445" s="1">
        <v>0.0</v>
      </c>
      <c r="N445" s="1">
        <v>1.0</v>
      </c>
      <c r="O445" s="1">
        <v>0.0</v>
      </c>
      <c r="P445" s="1">
        <v>26.0</v>
      </c>
      <c r="Q445" s="1">
        <v>13.0</v>
      </c>
    </row>
    <row r="446">
      <c r="A446" s="1">
        <f t="shared" si="1"/>
        <v>444</v>
      </c>
      <c r="B446" s="1" t="s">
        <v>2132</v>
      </c>
      <c r="C446" s="1" t="s">
        <v>1054</v>
      </c>
      <c r="D446" s="1" t="s">
        <v>66</v>
      </c>
      <c r="E446" s="1">
        <f t="shared" si="2"/>
        <v>144.5</v>
      </c>
      <c r="F446" s="1">
        <f t="shared" si="3"/>
        <v>2.45</v>
      </c>
      <c r="G446" s="1">
        <v>59.0</v>
      </c>
      <c r="H446" s="1">
        <v>8.0</v>
      </c>
      <c r="I446" s="1">
        <v>11.0</v>
      </c>
      <c r="J446" s="1">
        <v>19.0</v>
      </c>
      <c r="K446" s="1">
        <v>106.0</v>
      </c>
      <c r="L446" s="1">
        <v>3.0</v>
      </c>
      <c r="M446" s="1">
        <v>7.0</v>
      </c>
      <c r="N446" s="1">
        <v>0.0</v>
      </c>
      <c r="O446" s="1">
        <v>0.0</v>
      </c>
      <c r="P446" s="1">
        <v>12.0</v>
      </c>
      <c r="Q446" s="1">
        <v>39.0</v>
      </c>
    </row>
    <row r="447">
      <c r="A447" s="1">
        <f t="shared" si="1"/>
        <v>445</v>
      </c>
      <c r="B447" s="1" t="s">
        <v>1453</v>
      </c>
      <c r="C447" s="1" t="s">
        <v>1032</v>
      </c>
      <c r="D447" s="1" t="s">
        <v>66</v>
      </c>
      <c r="E447" s="1">
        <f t="shared" si="2"/>
        <v>144</v>
      </c>
      <c r="F447" s="1">
        <f t="shared" si="3"/>
        <v>2.25</v>
      </c>
      <c r="G447" s="1">
        <v>64.0</v>
      </c>
      <c r="H447" s="1">
        <v>4.0</v>
      </c>
      <c r="I447" s="1">
        <v>15.0</v>
      </c>
      <c r="J447" s="1">
        <v>19.0</v>
      </c>
      <c r="K447" s="1">
        <v>65.0</v>
      </c>
      <c r="L447" s="1">
        <v>0.0</v>
      </c>
      <c r="M447" s="1">
        <v>1.0</v>
      </c>
      <c r="N447" s="1">
        <v>0.0</v>
      </c>
      <c r="O447" s="1">
        <v>0.0</v>
      </c>
      <c r="P447" s="1">
        <v>20.0</v>
      </c>
      <c r="Q447" s="1">
        <v>87.0</v>
      </c>
    </row>
    <row r="448">
      <c r="A448" s="1">
        <f t="shared" si="1"/>
        <v>446</v>
      </c>
      <c r="B448" s="1" t="s">
        <v>1879</v>
      </c>
      <c r="C448" s="1" t="s">
        <v>1038</v>
      </c>
      <c r="D448" s="1" t="s">
        <v>36</v>
      </c>
      <c r="E448" s="1">
        <f t="shared" si="2"/>
        <v>143.5</v>
      </c>
      <c r="F448" s="1">
        <f t="shared" si="3"/>
        <v>2.14</v>
      </c>
      <c r="G448" s="1">
        <v>67.0</v>
      </c>
      <c r="H448" s="1">
        <v>6.0</v>
      </c>
      <c r="I448" s="1">
        <v>4.0</v>
      </c>
      <c r="J448" s="1">
        <v>10.0</v>
      </c>
      <c r="K448" s="1">
        <v>78.0</v>
      </c>
      <c r="L448" s="1">
        <v>0.0</v>
      </c>
      <c r="M448" s="1">
        <v>0.0</v>
      </c>
      <c r="N448" s="1">
        <v>1.0</v>
      </c>
      <c r="O448" s="1">
        <v>0.0</v>
      </c>
      <c r="P448" s="1">
        <v>192.0</v>
      </c>
      <c r="Q448" s="1">
        <v>31.0</v>
      </c>
    </row>
    <row r="449">
      <c r="A449" s="1">
        <f t="shared" si="1"/>
        <v>447</v>
      </c>
      <c r="B449" s="1" t="s">
        <v>1692</v>
      </c>
      <c r="C449" s="1" t="s">
        <v>1172</v>
      </c>
      <c r="D449" s="1" t="s">
        <v>31</v>
      </c>
      <c r="E449" s="1">
        <f t="shared" si="2"/>
        <v>143</v>
      </c>
      <c r="F449" s="1">
        <f t="shared" si="3"/>
        <v>2.31</v>
      </c>
      <c r="G449" s="1">
        <v>62.0</v>
      </c>
      <c r="H449" s="1">
        <v>6.0</v>
      </c>
      <c r="I449" s="1">
        <v>15.0</v>
      </c>
      <c r="J449" s="1">
        <v>21.0</v>
      </c>
      <c r="K449" s="1">
        <v>86.0</v>
      </c>
      <c r="L449" s="1">
        <v>1.0</v>
      </c>
      <c r="M449" s="1">
        <v>4.0</v>
      </c>
      <c r="N449" s="1">
        <v>1.0</v>
      </c>
      <c r="O449" s="1">
        <v>1.0</v>
      </c>
      <c r="P449" s="1">
        <v>22.0</v>
      </c>
      <c r="Q449" s="1">
        <v>37.0</v>
      </c>
    </row>
    <row r="450">
      <c r="A450" s="1">
        <f t="shared" si="1"/>
        <v>448</v>
      </c>
      <c r="B450" s="1" t="s">
        <v>1450</v>
      </c>
      <c r="C450" s="1" t="s">
        <v>1032</v>
      </c>
      <c r="D450" s="1" t="s">
        <v>28</v>
      </c>
      <c r="E450" s="1">
        <f t="shared" si="2"/>
        <v>142.75</v>
      </c>
      <c r="F450" s="1">
        <f t="shared" si="3"/>
        <v>2.23</v>
      </c>
      <c r="G450" s="1">
        <v>64.0</v>
      </c>
      <c r="H450" s="1">
        <v>9.0</v>
      </c>
      <c r="I450" s="1">
        <v>11.0</v>
      </c>
      <c r="J450" s="1">
        <v>20.0</v>
      </c>
      <c r="K450" s="1">
        <v>93.0</v>
      </c>
      <c r="L450" s="1">
        <v>0.0</v>
      </c>
      <c r="M450" s="1">
        <v>1.0</v>
      </c>
      <c r="N450" s="1">
        <v>1.0</v>
      </c>
      <c r="O450" s="1">
        <v>0.0</v>
      </c>
      <c r="P450" s="1">
        <v>43.0</v>
      </c>
      <c r="Q450" s="1">
        <v>20.0</v>
      </c>
    </row>
    <row r="451">
      <c r="A451" s="1">
        <f t="shared" si="1"/>
        <v>449</v>
      </c>
      <c r="B451" s="1" t="s">
        <v>1622</v>
      </c>
      <c r="C451" s="1" t="s">
        <v>1042</v>
      </c>
      <c r="D451" s="1" t="s">
        <v>66</v>
      </c>
      <c r="E451" s="1">
        <f t="shared" si="2"/>
        <v>142.5</v>
      </c>
      <c r="F451" s="1">
        <f t="shared" si="3"/>
        <v>2.23</v>
      </c>
      <c r="G451" s="1">
        <v>64.0</v>
      </c>
      <c r="H451" s="1">
        <v>5.0</v>
      </c>
      <c r="I451" s="1">
        <v>6.0</v>
      </c>
      <c r="J451" s="1">
        <v>11.0</v>
      </c>
      <c r="K451" s="1">
        <v>92.0</v>
      </c>
      <c r="L451" s="1">
        <v>1.0</v>
      </c>
      <c r="M451" s="1">
        <v>0.0</v>
      </c>
      <c r="N451" s="1">
        <v>0.0</v>
      </c>
      <c r="O451" s="1">
        <v>0.0</v>
      </c>
      <c r="P451" s="1">
        <v>54.0</v>
      </c>
      <c r="Q451" s="1">
        <v>85.0</v>
      </c>
    </row>
    <row r="452">
      <c r="A452" s="1">
        <f t="shared" si="1"/>
        <v>450</v>
      </c>
      <c r="B452" s="1" t="s">
        <v>1875</v>
      </c>
      <c r="C452" s="1" t="s">
        <v>1175</v>
      </c>
      <c r="D452" s="1" t="s">
        <v>28</v>
      </c>
      <c r="E452" s="1">
        <f t="shared" si="2"/>
        <v>142.25</v>
      </c>
      <c r="F452" s="1">
        <f t="shared" si="3"/>
        <v>2.03</v>
      </c>
      <c r="G452" s="1">
        <v>70.0</v>
      </c>
      <c r="H452" s="1">
        <v>8.0</v>
      </c>
      <c r="I452" s="1">
        <v>13.0</v>
      </c>
      <c r="J452" s="1">
        <v>21.0</v>
      </c>
      <c r="K452" s="1">
        <v>85.0</v>
      </c>
      <c r="L452" s="1">
        <v>0.0</v>
      </c>
      <c r="M452" s="1">
        <v>0.0</v>
      </c>
      <c r="N452" s="1">
        <v>2.0</v>
      </c>
      <c r="O452" s="1">
        <v>0.0</v>
      </c>
      <c r="P452" s="1">
        <v>37.0</v>
      </c>
      <c r="Q452" s="1">
        <v>23.0</v>
      </c>
      <c r="T452" s="12"/>
    </row>
    <row r="453">
      <c r="A453" s="1">
        <f t="shared" si="1"/>
        <v>451</v>
      </c>
      <c r="B453" s="1" t="s">
        <v>2355</v>
      </c>
      <c r="C453" s="1" t="s">
        <v>1082</v>
      </c>
      <c r="D453" s="1" t="s">
        <v>66</v>
      </c>
      <c r="E453" s="1">
        <f t="shared" si="2"/>
        <v>141.5</v>
      </c>
      <c r="F453" s="1">
        <f t="shared" si="3"/>
        <v>2.44</v>
      </c>
      <c r="G453" s="1">
        <v>58.0</v>
      </c>
      <c r="H453" s="1">
        <v>3.0</v>
      </c>
      <c r="I453" s="1">
        <v>15.0</v>
      </c>
      <c r="J453" s="1">
        <v>18.0</v>
      </c>
      <c r="K453" s="1">
        <v>73.0</v>
      </c>
      <c r="L453" s="1">
        <v>0.0</v>
      </c>
      <c r="M453" s="1">
        <v>0.0</v>
      </c>
      <c r="N453" s="1">
        <v>0.0</v>
      </c>
      <c r="O453" s="1">
        <v>0.0</v>
      </c>
      <c r="P453" s="1">
        <v>42.0</v>
      </c>
      <c r="Q453" s="1">
        <v>72.0</v>
      </c>
    </row>
    <row r="454">
      <c r="A454" s="1">
        <f t="shared" si="1"/>
        <v>452</v>
      </c>
      <c r="B454" s="1" t="s">
        <v>2390</v>
      </c>
      <c r="C454" s="1" t="s">
        <v>1082</v>
      </c>
      <c r="D454" s="1" t="s">
        <v>36</v>
      </c>
      <c r="E454" s="1">
        <f t="shared" si="2"/>
        <v>141.25</v>
      </c>
      <c r="F454" s="1">
        <f t="shared" si="3"/>
        <v>2.39</v>
      </c>
      <c r="G454" s="1">
        <v>59.0</v>
      </c>
      <c r="H454" s="1">
        <v>9.0</v>
      </c>
      <c r="I454" s="1">
        <v>13.0</v>
      </c>
      <c r="J454" s="1">
        <v>22.0</v>
      </c>
      <c r="K454" s="1">
        <v>67.0</v>
      </c>
      <c r="L454" s="1">
        <v>0.0</v>
      </c>
      <c r="M454" s="1">
        <v>0.0</v>
      </c>
      <c r="N454" s="1">
        <v>0.0</v>
      </c>
      <c r="O454" s="1">
        <v>0.0</v>
      </c>
      <c r="P454" s="1">
        <v>75.0</v>
      </c>
      <c r="Q454" s="1">
        <v>19.0</v>
      </c>
    </row>
    <row r="455">
      <c r="A455" s="1">
        <f t="shared" si="1"/>
        <v>453</v>
      </c>
      <c r="B455" s="1" t="s">
        <v>2103</v>
      </c>
      <c r="C455" s="1" t="s">
        <v>1120</v>
      </c>
      <c r="D455" s="1" t="s">
        <v>66</v>
      </c>
      <c r="E455" s="1">
        <f t="shared" si="2"/>
        <v>141</v>
      </c>
      <c r="F455" s="1">
        <f t="shared" si="3"/>
        <v>2.2</v>
      </c>
      <c r="G455" s="1">
        <v>64.0</v>
      </c>
      <c r="H455" s="1">
        <v>1.0</v>
      </c>
      <c r="I455" s="1">
        <v>8.0</v>
      </c>
      <c r="J455" s="1">
        <v>9.0</v>
      </c>
      <c r="K455" s="1">
        <v>89.0</v>
      </c>
      <c r="L455" s="1">
        <v>0.0</v>
      </c>
      <c r="M455" s="1">
        <v>0.0</v>
      </c>
      <c r="N455" s="1">
        <v>0.0</v>
      </c>
      <c r="O455" s="1">
        <v>1.0</v>
      </c>
      <c r="P455" s="1">
        <v>80.0</v>
      </c>
      <c r="Q455" s="1">
        <v>92.0</v>
      </c>
    </row>
    <row r="456">
      <c r="A456" s="1">
        <f t="shared" si="1"/>
        <v>453</v>
      </c>
      <c r="B456" s="1" t="s">
        <v>2341</v>
      </c>
      <c r="C456" s="1" t="s">
        <v>1116</v>
      </c>
      <c r="D456" s="1" t="s">
        <v>31</v>
      </c>
      <c r="E456" s="1">
        <f t="shared" si="2"/>
        <v>141</v>
      </c>
      <c r="F456" s="1">
        <f t="shared" si="3"/>
        <v>2.01</v>
      </c>
      <c r="G456" s="1">
        <v>70.0</v>
      </c>
      <c r="H456" s="1">
        <v>4.0</v>
      </c>
      <c r="I456" s="1">
        <v>11.0</v>
      </c>
      <c r="J456" s="1">
        <v>15.0</v>
      </c>
      <c r="K456" s="1">
        <v>67.0</v>
      </c>
      <c r="L456" s="1">
        <v>0.0</v>
      </c>
      <c r="M456" s="1">
        <v>0.0</v>
      </c>
      <c r="N456" s="1">
        <v>0.0</v>
      </c>
      <c r="O456" s="1">
        <v>1.0</v>
      </c>
      <c r="P456" s="1">
        <v>118.0</v>
      </c>
      <c r="Q456" s="1">
        <v>50.0</v>
      </c>
    </row>
    <row r="457">
      <c r="A457" s="1">
        <f t="shared" si="1"/>
        <v>455</v>
      </c>
      <c r="B457" s="1" t="s">
        <v>1584</v>
      </c>
      <c r="C457" s="1" t="s">
        <v>1570</v>
      </c>
      <c r="D457" s="1" t="s">
        <v>36</v>
      </c>
      <c r="E457" s="1">
        <f t="shared" si="2"/>
        <v>140.5</v>
      </c>
      <c r="F457" s="1">
        <f t="shared" si="3"/>
        <v>2.46</v>
      </c>
      <c r="G457" s="1">
        <v>57.0</v>
      </c>
      <c r="H457" s="1">
        <v>5.0</v>
      </c>
      <c r="I457" s="1">
        <v>16.0</v>
      </c>
      <c r="J457" s="1">
        <v>21.0</v>
      </c>
      <c r="K457" s="1">
        <v>77.0</v>
      </c>
      <c r="L457" s="1">
        <v>1.0</v>
      </c>
      <c r="M457" s="1">
        <v>6.0</v>
      </c>
      <c r="N457" s="1">
        <v>0.0</v>
      </c>
      <c r="O457" s="1">
        <v>0.0</v>
      </c>
      <c r="P457" s="1">
        <v>60.0</v>
      </c>
      <c r="Q457" s="1">
        <v>33.0</v>
      </c>
    </row>
    <row r="458">
      <c r="A458" s="1">
        <f t="shared" si="1"/>
        <v>456</v>
      </c>
      <c r="B458" s="1" t="s">
        <v>1375</v>
      </c>
      <c r="C458" s="1" t="s">
        <v>1085</v>
      </c>
      <c r="D458" s="1" t="s">
        <v>66</v>
      </c>
      <c r="E458" s="1">
        <f t="shared" si="2"/>
        <v>140.25</v>
      </c>
      <c r="F458" s="1">
        <f t="shared" si="3"/>
        <v>2.03</v>
      </c>
      <c r="G458" s="1">
        <v>69.0</v>
      </c>
      <c r="H458" s="1">
        <v>3.0</v>
      </c>
      <c r="I458" s="1">
        <v>7.0</v>
      </c>
      <c r="J458" s="1">
        <v>10.0</v>
      </c>
      <c r="K458" s="1">
        <v>76.0</v>
      </c>
      <c r="L458" s="1">
        <v>0.0</v>
      </c>
      <c r="M458" s="1">
        <v>0.0</v>
      </c>
      <c r="N458" s="1">
        <v>0.0</v>
      </c>
      <c r="O458" s="1">
        <v>0.0</v>
      </c>
      <c r="P458" s="1">
        <v>153.0</v>
      </c>
      <c r="Q458" s="1">
        <v>59.0</v>
      </c>
    </row>
    <row r="459">
      <c r="A459" s="1">
        <f t="shared" si="1"/>
        <v>457</v>
      </c>
      <c r="B459" s="1" t="s">
        <v>2489</v>
      </c>
      <c r="C459" s="1" t="s">
        <v>1044</v>
      </c>
      <c r="D459" s="1" t="s">
        <v>31</v>
      </c>
      <c r="E459" s="1">
        <f t="shared" si="2"/>
        <v>140</v>
      </c>
      <c r="F459" s="1">
        <f t="shared" si="3"/>
        <v>2.86</v>
      </c>
      <c r="G459" s="1">
        <v>49.0</v>
      </c>
      <c r="H459" s="1">
        <v>15.0</v>
      </c>
      <c r="I459" s="1">
        <v>5.0</v>
      </c>
      <c r="J459" s="1">
        <v>20.0</v>
      </c>
      <c r="K459" s="1">
        <v>87.0</v>
      </c>
      <c r="L459" s="1">
        <v>5.0</v>
      </c>
      <c r="M459" s="1">
        <v>1.0</v>
      </c>
      <c r="N459" s="1">
        <v>0.0</v>
      </c>
      <c r="O459" s="1">
        <v>0.0</v>
      </c>
      <c r="P459" s="1">
        <v>6.0</v>
      </c>
      <c r="Q459" s="1">
        <v>25.0</v>
      </c>
    </row>
    <row r="460">
      <c r="A460" s="1">
        <f t="shared" si="1"/>
        <v>457</v>
      </c>
      <c r="B460" s="1" t="s">
        <v>1467</v>
      </c>
      <c r="C460" s="1" t="s">
        <v>1067</v>
      </c>
      <c r="D460" s="1" t="s">
        <v>66</v>
      </c>
      <c r="E460" s="1">
        <f t="shared" si="2"/>
        <v>140</v>
      </c>
      <c r="F460" s="1">
        <f t="shared" si="3"/>
        <v>2.03</v>
      </c>
      <c r="G460" s="1">
        <v>69.0</v>
      </c>
      <c r="H460" s="1">
        <v>4.0</v>
      </c>
      <c r="I460" s="1">
        <v>11.0</v>
      </c>
      <c r="J460" s="1">
        <v>15.0</v>
      </c>
      <c r="K460" s="1">
        <v>78.0</v>
      </c>
      <c r="L460" s="1">
        <v>1.0</v>
      </c>
      <c r="M460" s="1">
        <v>1.0</v>
      </c>
      <c r="N460" s="1">
        <v>0.0</v>
      </c>
      <c r="O460" s="1">
        <v>0.0</v>
      </c>
      <c r="P460" s="1">
        <v>74.0</v>
      </c>
      <c r="Q460" s="1">
        <v>63.0</v>
      </c>
    </row>
    <row r="461">
      <c r="A461" s="1">
        <f t="shared" si="1"/>
        <v>459</v>
      </c>
      <c r="B461" s="1" t="s">
        <v>2385</v>
      </c>
      <c r="C461" s="1" t="s">
        <v>1085</v>
      </c>
      <c r="D461" s="1" t="s">
        <v>28</v>
      </c>
      <c r="E461" s="1">
        <f t="shared" si="2"/>
        <v>139.75</v>
      </c>
      <c r="F461" s="1">
        <f t="shared" si="3"/>
        <v>2.54</v>
      </c>
      <c r="G461" s="1">
        <v>55.0</v>
      </c>
      <c r="H461" s="1">
        <v>8.0</v>
      </c>
      <c r="I461" s="1">
        <v>8.0</v>
      </c>
      <c r="J461" s="1">
        <v>16.0</v>
      </c>
      <c r="K461" s="1">
        <v>74.0</v>
      </c>
      <c r="L461" s="1">
        <v>0.0</v>
      </c>
      <c r="M461" s="1">
        <v>0.0</v>
      </c>
      <c r="N461" s="1">
        <v>1.0</v>
      </c>
      <c r="O461" s="1">
        <v>1.0</v>
      </c>
      <c r="P461" s="1">
        <v>107.0</v>
      </c>
      <c r="Q461" s="1">
        <v>24.0</v>
      </c>
    </row>
    <row r="462">
      <c r="A462" s="1">
        <f t="shared" si="1"/>
        <v>460</v>
      </c>
      <c r="B462" s="1" t="s">
        <v>2294</v>
      </c>
      <c r="C462" s="1" t="s">
        <v>1032</v>
      </c>
      <c r="D462" s="1" t="s">
        <v>31</v>
      </c>
      <c r="E462" s="1">
        <f t="shared" si="2"/>
        <v>137.75</v>
      </c>
      <c r="F462" s="1">
        <f t="shared" si="3"/>
        <v>2.38</v>
      </c>
      <c r="G462" s="1">
        <v>58.0</v>
      </c>
      <c r="H462" s="1">
        <v>9.0</v>
      </c>
      <c r="I462" s="1">
        <v>16.0</v>
      </c>
      <c r="J462" s="1">
        <v>25.0</v>
      </c>
      <c r="K462" s="1">
        <v>73.0</v>
      </c>
      <c r="L462" s="1">
        <v>2.0</v>
      </c>
      <c r="M462" s="1">
        <v>5.0</v>
      </c>
      <c r="N462" s="1">
        <v>0.0</v>
      </c>
      <c r="O462" s="1">
        <v>0.0</v>
      </c>
      <c r="P462" s="1">
        <v>13.0</v>
      </c>
      <c r="Q462" s="1">
        <v>19.0</v>
      </c>
    </row>
    <row r="463">
      <c r="A463" s="1">
        <f t="shared" si="1"/>
        <v>460</v>
      </c>
      <c r="B463" s="1" t="s">
        <v>2292</v>
      </c>
      <c r="C463" s="1" t="s">
        <v>1091</v>
      </c>
      <c r="D463" s="1" t="s">
        <v>28</v>
      </c>
      <c r="E463" s="1">
        <f t="shared" si="2"/>
        <v>137.75</v>
      </c>
      <c r="F463" s="1">
        <f t="shared" si="3"/>
        <v>2.38</v>
      </c>
      <c r="G463" s="1">
        <v>58.0</v>
      </c>
      <c r="H463" s="1">
        <v>8.0</v>
      </c>
      <c r="I463" s="1">
        <v>12.0</v>
      </c>
      <c r="J463" s="1">
        <v>20.0</v>
      </c>
      <c r="K463" s="1">
        <v>66.0</v>
      </c>
      <c r="L463" s="1">
        <v>0.0</v>
      </c>
      <c r="M463" s="1">
        <v>1.0</v>
      </c>
      <c r="N463" s="1">
        <v>1.0</v>
      </c>
      <c r="O463" s="1">
        <v>0.0</v>
      </c>
      <c r="P463" s="1">
        <v>73.0</v>
      </c>
      <c r="Q463" s="1">
        <v>25.0</v>
      </c>
    </row>
    <row r="464">
      <c r="A464" s="1">
        <f t="shared" si="1"/>
        <v>462</v>
      </c>
      <c r="B464" s="1" t="s">
        <v>1799</v>
      </c>
      <c r="C464" s="1" t="s">
        <v>1044</v>
      </c>
      <c r="D464" s="1" t="s">
        <v>28</v>
      </c>
      <c r="E464" s="1">
        <f t="shared" si="2"/>
        <v>136.75</v>
      </c>
      <c r="F464" s="1">
        <f t="shared" si="3"/>
        <v>2.58</v>
      </c>
      <c r="G464" s="1">
        <v>53.0</v>
      </c>
      <c r="H464" s="1">
        <v>6.0</v>
      </c>
      <c r="I464" s="1">
        <v>8.0</v>
      </c>
      <c r="J464" s="1">
        <v>14.0</v>
      </c>
      <c r="K464" s="1">
        <v>50.0</v>
      </c>
      <c r="L464" s="1">
        <v>0.0</v>
      </c>
      <c r="M464" s="1">
        <v>0.0</v>
      </c>
      <c r="N464" s="1">
        <v>0.0</v>
      </c>
      <c r="O464" s="1">
        <v>2.0</v>
      </c>
      <c r="P464" s="1">
        <v>131.0</v>
      </c>
      <c r="Q464" s="1">
        <v>48.0</v>
      </c>
    </row>
    <row r="465">
      <c r="A465" s="1">
        <f t="shared" si="1"/>
        <v>463</v>
      </c>
      <c r="B465" s="1" t="s">
        <v>1138</v>
      </c>
      <c r="C465" s="1" t="s">
        <v>1080</v>
      </c>
      <c r="D465" s="1" t="s">
        <v>36</v>
      </c>
      <c r="E465" s="1">
        <f t="shared" si="2"/>
        <v>136.5</v>
      </c>
      <c r="F465" s="1">
        <f t="shared" si="3"/>
        <v>3.25</v>
      </c>
      <c r="G465" s="1">
        <v>42.0</v>
      </c>
      <c r="H465" s="1">
        <v>8.0</v>
      </c>
      <c r="I465" s="1">
        <v>9.0</v>
      </c>
      <c r="J465" s="1">
        <v>17.0</v>
      </c>
      <c r="K465" s="1">
        <v>98.0</v>
      </c>
      <c r="L465" s="1">
        <v>3.0</v>
      </c>
      <c r="M465" s="1">
        <v>4.0</v>
      </c>
      <c r="N465" s="1">
        <v>0.0</v>
      </c>
      <c r="O465" s="1">
        <v>0.0</v>
      </c>
      <c r="P465" s="1">
        <v>58.0</v>
      </c>
      <c r="Q465" s="1">
        <v>20.0</v>
      </c>
    </row>
    <row r="466">
      <c r="A466" s="1">
        <f t="shared" si="1"/>
        <v>464</v>
      </c>
      <c r="B466" s="1" t="s">
        <v>1922</v>
      </c>
      <c r="C466" s="1" t="s">
        <v>1091</v>
      </c>
      <c r="D466" s="1" t="s">
        <v>66</v>
      </c>
      <c r="E466" s="1">
        <f t="shared" si="2"/>
        <v>136</v>
      </c>
      <c r="F466" s="1">
        <f t="shared" si="3"/>
        <v>2.78</v>
      </c>
      <c r="G466" s="1">
        <v>49.0</v>
      </c>
      <c r="H466" s="1">
        <v>3.0</v>
      </c>
      <c r="I466" s="1">
        <v>10.0</v>
      </c>
      <c r="J466" s="1">
        <v>13.0</v>
      </c>
      <c r="K466" s="1">
        <v>38.0</v>
      </c>
      <c r="L466" s="1">
        <v>1.0</v>
      </c>
      <c r="M466" s="1">
        <v>0.0</v>
      </c>
      <c r="N466" s="1">
        <v>0.0</v>
      </c>
      <c r="O466" s="1">
        <v>0.0</v>
      </c>
      <c r="P466" s="1">
        <v>136.0</v>
      </c>
      <c r="Q466" s="1">
        <v>79.0</v>
      </c>
    </row>
    <row r="467">
      <c r="A467" s="1">
        <f t="shared" si="1"/>
        <v>464</v>
      </c>
      <c r="B467" s="1" t="s">
        <v>1528</v>
      </c>
      <c r="C467" s="1" t="s">
        <v>1065</v>
      </c>
      <c r="D467" s="1" t="s">
        <v>31</v>
      </c>
      <c r="E467" s="1">
        <f t="shared" si="2"/>
        <v>136</v>
      </c>
      <c r="F467" s="1">
        <f t="shared" si="3"/>
        <v>2.09</v>
      </c>
      <c r="G467" s="1">
        <v>65.0</v>
      </c>
      <c r="H467" s="1">
        <v>6.0</v>
      </c>
      <c r="I467" s="1">
        <v>16.0</v>
      </c>
      <c r="J467" s="1">
        <v>22.0</v>
      </c>
      <c r="K467" s="1">
        <v>85.0</v>
      </c>
      <c r="L467" s="1">
        <v>1.0</v>
      </c>
      <c r="M467" s="1">
        <v>7.0</v>
      </c>
      <c r="N467" s="1">
        <v>0.0</v>
      </c>
      <c r="O467" s="1">
        <v>0.0</v>
      </c>
      <c r="P467" s="1">
        <v>24.0</v>
      </c>
      <c r="Q467" s="1">
        <v>25.0</v>
      </c>
    </row>
    <row r="468">
      <c r="A468" s="1">
        <f t="shared" si="1"/>
        <v>466</v>
      </c>
      <c r="B468" s="1" t="s">
        <v>1301</v>
      </c>
      <c r="C468" s="1" t="s">
        <v>1116</v>
      </c>
      <c r="D468" s="1" t="s">
        <v>66</v>
      </c>
      <c r="E468" s="1">
        <f t="shared" si="2"/>
        <v>135.75</v>
      </c>
      <c r="F468" s="1">
        <f t="shared" si="3"/>
        <v>2.3</v>
      </c>
      <c r="G468" s="1">
        <v>59.0</v>
      </c>
      <c r="H468" s="1">
        <v>0.0</v>
      </c>
      <c r="I468" s="1">
        <v>10.0</v>
      </c>
      <c r="J468" s="1">
        <v>10.0</v>
      </c>
      <c r="K468" s="1">
        <v>74.0</v>
      </c>
      <c r="L468" s="1">
        <v>0.0</v>
      </c>
      <c r="M468" s="1">
        <v>0.0</v>
      </c>
      <c r="N468" s="1">
        <v>0.0</v>
      </c>
      <c r="O468" s="1">
        <v>2.0</v>
      </c>
      <c r="P468" s="1">
        <v>105.0</v>
      </c>
      <c r="Q468" s="1">
        <v>77.0</v>
      </c>
    </row>
    <row r="469">
      <c r="A469" s="1">
        <f t="shared" si="1"/>
        <v>467</v>
      </c>
      <c r="B469" s="1" t="s">
        <v>2175</v>
      </c>
      <c r="C469" s="1" t="s">
        <v>1076</v>
      </c>
      <c r="D469" s="1" t="s">
        <v>28</v>
      </c>
      <c r="E469" s="1">
        <f t="shared" si="2"/>
        <v>135.25</v>
      </c>
      <c r="F469" s="1">
        <f t="shared" si="3"/>
        <v>3.15</v>
      </c>
      <c r="G469" s="1">
        <v>43.0</v>
      </c>
      <c r="H469" s="1">
        <v>8.0</v>
      </c>
      <c r="I469" s="1">
        <v>13.0</v>
      </c>
      <c r="J469" s="1">
        <v>21.0</v>
      </c>
      <c r="K469" s="1">
        <v>78.0</v>
      </c>
      <c r="L469" s="1">
        <v>4.0</v>
      </c>
      <c r="M469" s="1">
        <v>1.0</v>
      </c>
      <c r="N469" s="1">
        <v>0.0</v>
      </c>
      <c r="O469" s="1">
        <v>0.0</v>
      </c>
      <c r="P469" s="1">
        <v>43.0</v>
      </c>
      <c r="Q469" s="1">
        <v>21.0</v>
      </c>
    </row>
    <row r="470">
      <c r="A470" s="1">
        <f t="shared" si="1"/>
        <v>468</v>
      </c>
      <c r="B470" s="1" t="s">
        <v>1966</v>
      </c>
      <c r="C470" s="1" t="s">
        <v>1091</v>
      </c>
      <c r="D470" s="1" t="s">
        <v>66</v>
      </c>
      <c r="E470" s="1">
        <f t="shared" si="2"/>
        <v>135</v>
      </c>
      <c r="F470" s="1">
        <f t="shared" si="3"/>
        <v>2.7</v>
      </c>
      <c r="G470" s="1">
        <v>50.0</v>
      </c>
      <c r="H470" s="1">
        <v>4.0</v>
      </c>
      <c r="I470" s="1">
        <v>12.0</v>
      </c>
      <c r="J470" s="1">
        <v>16.0</v>
      </c>
      <c r="K470" s="1">
        <v>78.0</v>
      </c>
      <c r="L470" s="1">
        <v>0.0</v>
      </c>
      <c r="M470" s="1">
        <v>0.0</v>
      </c>
      <c r="N470" s="1">
        <v>0.0</v>
      </c>
      <c r="O470" s="1">
        <v>0.0</v>
      </c>
      <c r="P470" s="1">
        <v>80.0</v>
      </c>
      <c r="Q470" s="1">
        <v>44.0</v>
      </c>
    </row>
    <row r="471">
      <c r="A471" s="1">
        <f t="shared" si="1"/>
        <v>469</v>
      </c>
      <c r="B471" s="1" t="s">
        <v>1677</v>
      </c>
      <c r="C471" s="1" t="s">
        <v>1036</v>
      </c>
      <c r="D471" s="1" t="s">
        <v>28</v>
      </c>
      <c r="E471" s="1">
        <f t="shared" si="2"/>
        <v>134.25</v>
      </c>
      <c r="F471" s="1">
        <f t="shared" si="3"/>
        <v>4.97</v>
      </c>
      <c r="G471" s="1">
        <v>27.0</v>
      </c>
      <c r="H471" s="1">
        <v>11.0</v>
      </c>
      <c r="I471" s="1">
        <v>15.0</v>
      </c>
      <c r="J471" s="1">
        <v>26.0</v>
      </c>
      <c r="K471" s="1">
        <v>44.0</v>
      </c>
      <c r="L471" s="1">
        <v>2.0</v>
      </c>
      <c r="M471" s="1">
        <v>0.0</v>
      </c>
      <c r="N471" s="1">
        <v>0.0</v>
      </c>
      <c r="O471" s="1">
        <v>0.0</v>
      </c>
      <c r="P471" s="1">
        <v>45.0</v>
      </c>
      <c r="Q471" s="1">
        <v>13.0</v>
      </c>
    </row>
    <row r="472">
      <c r="A472" s="1">
        <f t="shared" si="1"/>
        <v>470</v>
      </c>
      <c r="B472" s="1" t="s">
        <v>1844</v>
      </c>
      <c r="C472" s="1" t="s">
        <v>1111</v>
      </c>
      <c r="D472" s="1" t="s">
        <v>66</v>
      </c>
      <c r="E472" s="1">
        <f t="shared" si="2"/>
        <v>134</v>
      </c>
      <c r="F472" s="1">
        <f t="shared" si="3"/>
        <v>2.31</v>
      </c>
      <c r="G472" s="1">
        <v>58.0</v>
      </c>
      <c r="H472" s="1">
        <v>3.0</v>
      </c>
      <c r="I472" s="1">
        <v>10.0</v>
      </c>
      <c r="J472" s="1">
        <v>13.0</v>
      </c>
      <c r="K472" s="1">
        <v>69.0</v>
      </c>
      <c r="L472" s="1">
        <v>0.0</v>
      </c>
      <c r="M472" s="1">
        <v>2.0</v>
      </c>
      <c r="N472" s="1">
        <v>0.0</v>
      </c>
      <c r="O472" s="1">
        <v>0.0</v>
      </c>
      <c r="P472" s="1">
        <v>48.0</v>
      </c>
      <c r="Q472" s="1">
        <v>88.0</v>
      </c>
    </row>
    <row r="473">
      <c r="A473" s="1">
        <f t="shared" si="1"/>
        <v>471</v>
      </c>
      <c r="B473" s="1" t="s">
        <v>1709</v>
      </c>
      <c r="C473" s="1" t="s">
        <v>1106</v>
      </c>
      <c r="D473" s="1" t="s">
        <v>66</v>
      </c>
      <c r="E473" s="1">
        <f t="shared" si="2"/>
        <v>133</v>
      </c>
      <c r="F473" s="1">
        <f t="shared" si="3"/>
        <v>2.15</v>
      </c>
      <c r="G473" s="1">
        <v>62.0</v>
      </c>
      <c r="H473" s="1">
        <v>4.0</v>
      </c>
      <c r="I473" s="1">
        <v>9.0</v>
      </c>
      <c r="J473" s="1">
        <v>13.0</v>
      </c>
      <c r="K473" s="1">
        <v>77.0</v>
      </c>
      <c r="L473" s="1">
        <v>0.0</v>
      </c>
      <c r="M473" s="1">
        <v>0.0</v>
      </c>
      <c r="N473" s="1">
        <v>0.0</v>
      </c>
      <c r="O473" s="1">
        <v>0.0</v>
      </c>
      <c r="P473" s="1">
        <v>78.0</v>
      </c>
      <c r="Q473" s="1">
        <v>60.0</v>
      </c>
    </row>
    <row r="474">
      <c r="A474" s="1">
        <f t="shared" si="1"/>
        <v>471</v>
      </c>
      <c r="B474" s="1" t="s">
        <v>1577</v>
      </c>
      <c r="C474" s="1" t="s">
        <v>1172</v>
      </c>
      <c r="D474" s="1" t="s">
        <v>36</v>
      </c>
      <c r="E474" s="1">
        <f t="shared" si="2"/>
        <v>133</v>
      </c>
      <c r="F474" s="1">
        <f t="shared" si="3"/>
        <v>1.9</v>
      </c>
      <c r="G474" s="1">
        <v>70.0</v>
      </c>
      <c r="H474" s="1">
        <v>8.0</v>
      </c>
      <c r="I474" s="1">
        <v>8.0</v>
      </c>
      <c r="J474" s="1">
        <v>16.0</v>
      </c>
      <c r="K474" s="1">
        <v>90.0</v>
      </c>
      <c r="L474" s="1">
        <v>0.0</v>
      </c>
      <c r="M474" s="1">
        <v>0.0</v>
      </c>
      <c r="N474" s="1">
        <v>1.0</v>
      </c>
      <c r="O474" s="1">
        <v>0.0</v>
      </c>
      <c r="P474" s="1">
        <v>52.0</v>
      </c>
      <c r="Q474" s="1">
        <v>26.0</v>
      </c>
    </row>
    <row r="475">
      <c r="A475" s="1">
        <f t="shared" si="1"/>
        <v>473</v>
      </c>
      <c r="B475" s="1" t="s">
        <v>1491</v>
      </c>
      <c r="C475" s="1" t="s">
        <v>1067</v>
      </c>
      <c r="D475" s="1" t="s">
        <v>36</v>
      </c>
      <c r="E475" s="1">
        <f t="shared" si="2"/>
        <v>132.75</v>
      </c>
      <c r="F475" s="1">
        <f t="shared" si="3"/>
        <v>2.55</v>
      </c>
      <c r="G475" s="1">
        <v>52.0</v>
      </c>
      <c r="H475" s="1">
        <v>9.0</v>
      </c>
      <c r="I475" s="1">
        <v>10.0</v>
      </c>
      <c r="J475" s="1">
        <v>19.0</v>
      </c>
      <c r="K475" s="1">
        <v>82.0</v>
      </c>
      <c r="L475" s="1">
        <v>1.0</v>
      </c>
      <c r="M475" s="1">
        <v>0.0</v>
      </c>
      <c r="N475" s="1">
        <v>0.0</v>
      </c>
      <c r="O475" s="1">
        <v>0.0</v>
      </c>
      <c r="P475" s="1">
        <v>55.0</v>
      </c>
      <c r="Q475" s="1">
        <v>15.0</v>
      </c>
    </row>
    <row r="476">
      <c r="A476" s="1">
        <f t="shared" si="1"/>
        <v>473</v>
      </c>
      <c r="B476" s="1" t="s">
        <v>2430</v>
      </c>
      <c r="C476" s="1" t="s">
        <v>1570</v>
      </c>
      <c r="D476" s="1" t="s">
        <v>66</v>
      </c>
      <c r="E476" s="1">
        <f t="shared" si="2"/>
        <v>132.75</v>
      </c>
      <c r="F476" s="1">
        <f t="shared" si="3"/>
        <v>2.5</v>
      </c>
      <c r="G476" s="1">
        <v>53.0</v>
      </c>
      <c r="H476" s="1">
        <v>3.0</v>
      </c>
      <c r="I476" s="1">
        <v>14.0</v>
      </c>
      <c r="J476" s="1">
        <v>17.0</v>
      </c>
      <c r="K476" s="1">
        <v>70.0</v>
      </c>
      <c r="L476" s="1">
        <v>0.0</v>
      </c>
      <c r="M476" s="1">
        <v>1.0</v>
      </c>
      <c r="N476" s="1">
        <v>0.0</v>
      </c>
      <c r="O476" s="1">
        <v>0.0</v>
      </c>
      <c r="P476" s="1">
        <v>53.0</v>
      </c>
      <c r="Q476" s="1">
        <v>58.0</v>
      </c>
    </row>
    <row r="477">
      <c r="A477" s="1">
        <f t="shared" si="1"/>
        <v>475</v>
      </c>
      <c r="B477" s="1" t="s">
        <v>1205</v>
      </c>
      <c r="C477" s="1" t="s">
        <v>1091</v>
      </c>
      <c r="D477" s="1" t="s">
        <v>28</v>
      </c>
      <c r="E477" s="1">
        <f t="shared" si="2"/>
        <v>132.25</v>
      </c>
      <c r="F477" s="1">
        <f t="shared" si="3"/>
        <v>2.54</v>
      </c>
      <c r="G477" s="1">
        <v>52.0</v>
      </c>
      <c r="H477" s="1">
        <v>8.0</v>
      </c>
      <c r="I477" s="1">
        <v>13.0</v>
      </c>
      <c r="J477" s="1">
        <v>21.0</v>
      </c>
      <c r="K477" s="1">
        <v>81.0</v>
      </c>
      <c r="L477" s="1">
        <v>1.0</v>
      </c>
      <c r="M477" s="1">
        <v>1.0</v>
      </c>
      <c r="N477" s="1">
        <v>0.0</v>
      </c>
      <c r="O477" s="1">
        <v>0.0</v>
      </c>
      <c r="P477" s="1">
        <v>31.0</v>
      </c>
      <c r="Q477" s="1">
        <v>18.0</v>
      </c>
    </row>
    <row r="478">
      <c r="A478" s="1">
        <f t="shared" si="1"/>
        <v>476</v>
      </c>
      <c r="B478" s="1" t="s">
        <v>2219</v>
      </c>
      <c r="C478" s="1" t="s">
        <v>1116</v>
      </c>
      <c r="D478" s="1" t="s">
        <v>66</v>
      </c>
      <c r="E478" s="1">
        <f t="shared" si="2"/>
        <v>132</v>
      </c>
      <c r="F478" s="1">
        <f t="shared" si="3"/>
        <v>2.32</v>
      </c>
      <c r="G478" s="1">
        <v>57.0</v>
      </c>
      <c r="H478" s="1">
        <v>4.0</v>
      </c>
      <c r="I478" s="1">
        <v>12.0</v>
      </c>
      <c r="J478" s="1">
        <v>16.0</v>
      </c>
      <c r="K478" s="1">
        <v>64.0</v>
      </c>
      <c r="L478" s="1">
        <v>0.0</v>
      </c>
      <c r="M478" s="1">
        <v>0.0</v>
      </c>
      <c r="N478" s="1">
        <v>1.0</v>
      </c>
      <c r="O478" s="1">
        <v>0.0</v>
      </c>
      <c r="P478" s="1">
        <v>58.0</v>
      </c>
      <c r="Q478" s="1">
        <v>59.0</v>
      </c>
    </row>
    <row r="479">
      <c r="A479" s="1">
        <f t="shared" si="1"/>
        <v>477</v>
      </c>
      <c r="B479" s="1" t="s">
        <v>1673</v>
      </c>
      <c r="C479" s="1" t="s">
        <v>1065</v>
      </c>
      <c r="D479" s="1" t="s">
        <v>28</v>
      </c>
      <c r="E479" s="1">
        <f t="shared" si="2"/>
        <v>131.75</v>
      </c>
      <c r="F479" s="1">
        <f t="shared" si="3"/>
        <v>2.23</v>
      </c>
      <c r="G479" s="1">
        <v>59.0</v>
      </c>
      <c r="H479" s="1">
        <v>7.0</v>
      </c>
      <c r="I479" s="1">
        <v>6.0</v>
      </c>
      <c r="J479" s="1">
        <v>13.0</v>
      </c>
      <c r="K479" s="1">
        <v>64.0</v>
      </c>
      <c r="L479" s="1">
        <v>0.0</v>
      </c>
      <c r="M479" s="1">
        <v>0.0</v>
      </c>
      <c r="N479" s="1">
        <v>0.0</v>
      </c>
      <c r="O479" s="1">
        <v>0.0</v>
      </c>
      <c r="P479" s="1">
        <v>137.0</v>
      </c>
      <c r="Q479" s="1">
        <v>32.0</v>
      </c>
    </row>
    <row r="480">
      <c r="A480" s="1">
        <f t="shared" si="1"/>
        <v>478</v>
      </c>
      <c r="B480" s="1" t="s">
        <v>2524</v>
      </c>
      <c r="C480" s="1" t="s">
        <v>1156</v>
      </c>
      <c r="D480" s="1" t="s">
        <v>31</v>
      </c>
      <c r="E480" s="1">
        <f t="shared" si="2"/>
        <v>130.75</v>
      </c>
      <c r="F480" s="1">
        <f t="shared" si="3"/>
        <v>2.38</v>
      </c>
      <c r="G480" s="1">
        <v>55.0</v>
      </c>
      <c r="H480" s="1">
        <v>4.0</v>
      </c>
      <c r="I480" s="1">
        <v>17.0</v>
      </c>
      <c r="J480" s="1">
        <v>21.0</v>
      </c>
      <c r="K480" s="1">
        <v>74.0</v>
      </c>
      <c r="L480" s="1">
        <v>1.0</v>
      </c>
      <c r="M480" s="1">
        <v>6.0</v>
      </c>
      <c r="N480" s="1">
        <v>0.0</v>
      </c>
      <c r="O480" s="1">
        <v>1.0</v>
      </c>
      <c r="P480" s="1">
        <v>25.0</v>
      </c>
      <c r="Q480" s="1">
        <v>33.0</v>
      </c>
    </row>
    <row r="481">
      <c r="A481" s="1">
        <f t="shared" si="1"/>
        <v>479</v>
      </c>
      <c r="B481" s="1" t="s">
        <v>1607</v>
      </c>
      <c r="C481" s="1" t="s">
        <v>1065</v>
      </c>
      <c r="D481" s="1" t="s">
        <v>28</v>
      </c>
      <c r="E481" s="1">
        <f t="shared" si="2"/>
        <v>130.5</v>
      </c>
      <c r="F481" s="1">
        <f t="shared" si="3"/>
        <v>2.21</v>
      </c>
      <c r="G481" s="1">
        <v>59.0</v>
      </c>
      <c r="H481" s="1">
        <v>8.0</v>
      </c>
      <c r="I481" s="1">
        <v>4.0</v>
      </c>
      <c r="J481" s="1">
        <v>12.0</v>
      </c>
      <c r="K481" s="1">
        <v>102.0</v>
      </c>
      <c r="L481" s="1">
        <v>0.0</v>
      </c>
      <c r="M481" s="1">
        <v>1.0</v>
      </c>
      <c r="N481" s="1">
        <v>1.0</v>
      </c>
      <c r="O481" s="1">
        <v>0.0</v>
      </c>
      <c r="P481" s="1">
        <v>82.0</v>
      </c>
      <c r="Q481" s="1">
        <v>18.0</v>
      </c>
    </row>
    <row r="482">
      <c r="A482" s="1">
        <f t="shared" si="1"/>
        <v>480</v>
      </c>
      <c r="B482" s="1" t="s">
        <v>1438</v>
      </c>
      <c r="C482" s="1" t="s">
        <v>1048</v>
      </c>
      <c r="D482" s="1" t="s">
        <v>31</v>
      </c>
      <c r="E482" s="1">
        <f t="shared" si="2"/>
        <v>130.25</v>
      </c>
      <c r="F482" s="1">
        <f t="shared" si="3"/>
        <v>2.29</v>
      </c>
      <c r="G482" s="1">
        <v>57.0</v>
      </c>
      <c r="H482" s="1">
        <v>5.0</v>
      </c>
      <c r="I482" s="1">
        <v>17.0</v>
      </c>
      <c r="J482" s="1">
        <v>22.0</v>
      </c>
      <c r="K482" s="1">
        <v>72.0</v>
      </c>
      <c r="L482" s="1">
        <v>1.0</v>
      </c>
      <c r="M482" s="1">
        <v>4.0</v>
      </c>
      <c r="N482" s="1">
        <v>0.0</v>
      </c>
      <c r="O482" s="1">
        <v>0.0</v>
      </c>
      <c r="P482" s="1">
        <v>21.0</v>
      </c>
      <c r="Q482" s="1">
        <v>31.0</v>
      </c>
    </row>
    <row r="483">
      <c r="A483" s="1">
        <f t="shared" si="1"/>
        <v>480</v>
      </c>
      <c r="B483" s="1" t="s">
        <v>2304</v>
      </c>
      <c r="C483" s="1" t="s">
        <v>1085</v>
      </c>
      <c r="D483" s="1" t="s">
        <v>66</v>
      </c>
      <c r="E483" s="1">
        <f t="shared" si="2"/>
        <v>130.25</v>
      </c>
      <c r="F483" s="1">
        <f t="shared" si="3"/>
        <v>2.25</v>
      </c>
      <c r="G483" s="1">
        <v>58.0</v>
      </c>
      <c r="H483" s="1">
        <v>9.0</v>
      </c>
      <c r="I483" s="1">
        <v>9.0</v>
      </c>
      <c r="J483" s="1">
        <v>18.0</v>
      </c>
      <c r="K483" s="1">
        <v>64.0</v>
      </c>
      <c r="L483" s="1">
        <v>0.0</v>
      </c>
      <c r="M483" s="1">
        <v>0.0</v>
      </c>
      <c r="N483" s="1">
        <v>0.0</v>
      </c>
      <c r="O483" s="1">
        <v>0.0</v>
      </c>
      <c r="P483" s="1">
        <v>47.0</v>
      </c>
      <c r="Q483" s="1">
        <v>38.0</v>
      </c>
    </row>
    <row r="484">
      <c r="A484" s="1">
        <f t="shared" si="1"/>
        <v>482</v>
      </c>
      <c r="B484" s="1" t="s">
        <v>1630</v>
      </c>
      <c r="C484" s="1" t="s">
        <v>1065</v>
      </c>
      <c r="D484" s="1" t="s">
        <v>28</v>
      </c>
      <c r="E484" s="1">
        <f t="shared" si="2"/>
        <v>130</v>
      </c>
      <c r="F484" s="1">
        <f t="shared" si="3"/>
        <v>2.36</v>
      </c>
      <c r="G484" s="1">
        <v>55.0</v>
      </c>
      <c r="H484" s="1">
        <v>7.0</v>
      </c>
      <c r="I484" s="1">
        <v>16.0</v>
      </c>
      <c r="J484" s="1">
        <v>23.0</v>
      </c>
      <c r="K484" s="1">
        <v>75.0</v>
      </c>
      <c r="L484" s="1">
        <v>1.0</v>
      </c>
      <c r="M484" s="1">
        <v>2.0</v>
      </c>
      <c r="N484" s="1">
        <v>0.0</v>
      </c>
      <c r="O484" s="1">
        <v>0.0</v>
      </c>
      <c r="P484" s="1">
        <v>26.0</v>
      </c>
      <c r="Q484" s="1">
        <v>13.0</v>
      </c>
    </row>
    <row r="485">
      <c r="A485" s="1">
        <f t="shared" si="1"/>
        <v>483</v>
      </c>
      <c r="B485" s="1" t="s">
        <v>1928</v>
      </c>
      <c r="C485" s="1" t="s">
        <v>1032</v>
      </c>
      <c r="D485" s="1" t="s">
        <v>5</v>
      </c>
      <c r="E485" s="1">
        <f t="shared" si="2"/>
        <v>129.9</v>
      </c>
      <c r="F485" s="1">
        <f t="shared" si="3"/>
        <v>5</v>
      </c>
      <c r="G485" s="1">
        <v>26.0</v>
      </c>
      <c r="R485" s="1">
        <v>11.0</v>
      </c>
      <c r="S485" s="1">
        <v>73.0</v>
      </c>
      <c r="T485" s="1">
        <v>688.0</v>
      </c>
      <c r="U485" s="1">
        <v>0.0</v>
      </c>
    </row>
    <row r="486">
      <c r="A486" s="1">
        <f t="shared" si="1"/>
        <v>484</v>
      </c>
      <c r="B486" s="1" t="s">
        <v>2303</v>
      </c>
      <c r="C486" s="1" t="s">
        <v>1111</v>
      </c>
      <c r="D486" s="1" t="s">
        <v>31</v>
      </c>
      <c r="E486" s="1">
        <f t="shared" si="2"/>
        <v>129.75</v>
      </c>
      <c r="F486" s="1">
        <f t="shared" si="3"/>
        <v>2.09</v>
      </c>
      <c r="G486" s="1">
        <v>62.0</v>
      </c>
      <c r="H486" s="1">
        <v>6.0</v>
      </c>
      <c r="I486" s="1">
        <v>12.0</v>
      </c>
      <c r="J486" s="1">
        <v>18.0</v>
      </c>
      <c r="K486" s="1">
        <v>60.0</v>
      </c>
      <c r="L486" s="1">
        <v>0.0</v>
      </c>
      <c r="M486" s="1">
        <v>0.0</v>
      </c>
      <c r="N486" s="1">
        <v>0.0</v>
      </c>
      <c r="O486" s="1">
        <v>0.0</v>
      </c>
      <c r="P486" s="1">
        <v>85.0</v>
      </c>
      <c r="Q486" s="1">
        <v>31.0</v>
      </c>
    </row>
    <row r="487">
      <c r="A487" s="1">
        <f t="shared" si="1"/>
        <v>484</v>
      </c>
      <c r="B487" s="1" t="s">
        <v>1479</v>
      </c>
      <c r="C487" s="1" t="s">
        <v>1082</v>
      </c>
      <c r="D487" s="1" t="s">
        <v>31</v>
      </c>
      <c r="E487" s="1">
        <f t="shared" si="2"/>
        <v>129.75</v>
      </c>
      <c r="F487" s="1">
        <f t="shared" si="3"/>
        <v>2.32</v>
      </c>
      <c r="G487" s="1">
        <v>56.0</v>
      </c>
      <c r="H487" s="1">
        <v>7.0</v>
      </c>
      <c r="I487" s="1">
        <v>8.0</v>
      </c>
      <c r="J487" s="1">
        <v>15.0</v>
      </c>
      <c r="K487" s="1">
        <v>52.0</v>
      </c>
      <c r="L487" s="1">
        <v>0.0</v>
      </c>
      <c r="M487" s="1">
        <v>0.0</v>
      </c>
      <c r="N487" s="1">
        <v>3.0</v>
      </c>
      <c r="O487" s="1">
        <v>0.0</v>
      </c>
      <c r="P487" s="1">
        <v>117.0</v>
      </c>
      <c r="Q487" s="1">
        <v>26.0</v>
      </c>
    </row>
    <row r="488">
      <c r="A488" s="1">
        <f t="shared" si="1"/>
        <v>486</v>
      </c>
      <c r="B488" s="1" t="s">
        <v>2318</v>
      </c>
      <c r="C488" s="1" t="s">
        <v>1570</v>
      </c>
      <c r="D488" s="1" t="s">
        <v>66</v>
      </c>
      <c r="E488" s="1">
        <f t="shared" si="2"/>
        <v>129.25</v>
      </c>
      <c r="F488" s="1">
        <f t="shared" si="3"/>
        <v>2.64</v>
      </c>
      <c r="G488" s="1">
        <v>49.0</v>
      </c>
      <c r="H488" s="1">
        <v>2.0</v>
      </c>
      <c r="I488" s="1">
        <v>13.0</v>
      </c>
      <c r="J488" s="1">
        <v>15.0</v>
      </c>
      <c r="K488" s="1">
        <v>57.0</v>
      </c>
      <c r="L488" s="1">
        <v>0.0</v>
      </c>
      <c r="M488" s="1">
        <v>1.0</v>
      </c>
      <c r="N488" s="1">
        <v>0.0</v>
      </c>
      <c r="O488" s="1">
        <v>0.0</v>
      </c>
      <c r="P488" s="1">
        <v>101.0</v>
      </c>
      <c r="Q488" s="1">
        <v>55.0</v>
      </c>
    </row>
    <row r="489">
      <c r="A489" s="1">
        <f t="shared" si="1"/>
        <v>487</v>
      </c>
      <c r="B489" s="1" t="s">
        <v>2590</v>
      </c>
      <c r="C489" s="1" t="s">
        <v>1570</v>
      </c>
      <c r="D489" s="1" t="s">
        <v>66</v>
      </c>
      <c r="E489" s="1">
        <f t="shared" si="2"/>
        <v>128.75</v>
      </c>
      <c r="F489" s="1">
        <f t="shared" si="3"/>
        <v>2.01</v>
      </c>
      <c r="G489" s="1">
        <v>64.0</v>
      </c>
      <c r="H489" s="1">
        <v>1.0</v>
      </c>
      <c r="I489" s="1">
        <v>11.0</v>
      </c>
      <c r="J489" s="1">
        <v>12.0</v>
      </c>
      <c r="K489" s="1">
        <v>43.0</v>
      </c>
      <c r="L489" s="1">
        <v>0.0</v>
      </c>
      <c r="M489" s="1">
        <v>0.0</v>
      </c>
      <c r="N489" s="1">
        <v>0.0</v>
      </c>
      <c r="O489" s="1">
        <v>3.0</v>
      </c>
      <c r="P489" s="1">
        <v>51.0</v>
      </c>
      <c r="Q489" s="1">
        <v>102.0</v>
      </c>
    </row>
    <row r="490">
      <c r="A490" s="1">
        <f t="shared" si="1"/>
        <v>488</v>
      </c>
      <c r="B490" s="1" t="s">
        <v>1654</v>
      </c>
      <c r="C490" s="1" t="s">
        <v>1570</v>
      </c>
      <c r="D490" s="1" t="s">
        <v>28</v>
      </c>
      <c r="E490" s="1">
        <f t="shared" si="2"/>
        <v>128.5</v>
      </c>
      <c r="F490" s="1">
        <f t="shared" si="3"/>
        <v>2.34</v>
      </c>
      <c r="G490" s="1">
        <v>55.0</v>
      </c>
      <c r="H490" s="1">
        <v>5.0</v>
      </c>
      <c r="I490" s="1">
        <v>3.0</v>
      </c>
      <c r="J490" s="1">
        <v>8.0</v>
      </c>
      <c r="K490" s="1">
        <v>49.0</v>
      </c>
      <c r="L490" s="1">
        <v>0.0</v>
      </c>
      <c r="M490" s="1">
        <v>0.0</v>
      </c>
      <c r="N490" s="1">
        <v>0.0</v>
      </c>
      <c r="O490" s="1">
        <v>0.0</v>
      </c>
      <c r="P490" s="1">
        <v>242.0</v>
      </c>
      <c r="Q490" s="1">
        <v>24.0</v>
      </c>
    </row>
    <row r="491">
      <c r="A491" s="1">
        <f t="shared" si="1"/>
        <v>488</v>
      </c>
      <c r="B491" s="1" t="s">
        <v>1293</v>
      </c>
      <c r="C491" s="1" t="s">
        <v>1175</v>
      </c>
      <c r="D491" s="1" t="s">
        <v>66</v>
      </c>
      <c r="E491" s="1">
        <f t="shared" si="2"/>
        <v>128.5</v>
      </c>
      <c r="F491" s="1">
        <f t="shared" si="3"/>
        <v>2.11</v>
      </c>
      <c r="G491" s="1">
        <v>61.0</v>
      </c>
      <c r="H491" s="1">
        <v>2.0</v>
      </c>
      <c r="I491" s="1">
        <v>9.0</v>
      </c>
      <c r="J491" s="1">
        <v>11.0</v>
      </c>
      <c r="K491" s="1">
        <v>63.0</v>
      </c>
      <c r="L491" s="1">
        <v>0.0</v>
      </c>
      <c r="M491" s="1">
        <v>0.0</v>
      </c>
      <c r="N491" s="1">
        <v>0.0</v>
      </c>
      <c r="O491" s="1">
        <v>1.0</v>
      </c>
      <c r="P491" s="1">
        <v>120.0</v>
      </c>
      <c r="Q491" s="1">
        <v>58.0</v>
      </c>
    </row>
    <row r="492">
      <c r="A492" s="1">
        <f t="shared" si="1"/>
        <v>488</v>
      </c>
      <c r="B492" s="1" t="s">
        <v>2498</v>
      </c>
      <c r="C492" s="1" t="s">
        <v>1175</v>
      </c>
      <c r="D492" s="1" t="s">
        <v>36</v>
      </c>
      <c r="E492" s="1">
        <f t="shared" si="2"/>
        <v>128.5</v>
      </c>
      <c r="F492" s="1">
        <f t="shared" si="3"/>
        <v>1.95</v>
      </c>
      <c r="G492" s="1">
        <v>66.0</v>
      </c>
      <c r="H492" s="1">
        <v>7.0</v>
      </c>
      <c r="I492" s="1">
        <v>11.0</v>
      </c>
      <c r="J492" s="1">
        <v>18.0</v>
      </c>
      <c r="K492" s="1">
        <v>78.0</v>
      </c>
      <c r="L492" s="1">
        <v>0.0</v>
      </c>
      <c r="M492" s="1">
        <v>0.0</v>
      </c>
      <c r="N492" s="1">
        <v>1.0</v>
      </c>
      <c r="O492" s="1">
        <v>0.0</v>
      </c>
      <c r="P492" s="1">
        <v>56.0</v>
      </c>
      <c r="Q492" s="1">
        <v>18.0</v>
      </c>
    </row>
    <row r="493">
      <c r="A493" s="1">
        <f t="shared" si="1"/>
        <v>491</v>
      </c>
      <c r="B493" s="1" t="s">
        <v>1279</v>
      </c>
      <c r="C493" s="1" t="s">
        <v>1042</v>
      </c>
      <c r="D493" s="1" t="s">
        <v>36</v>
      </c>
      <c r="E493" s="1">
        <f t="shared" si="2"/>
        <v>128</v>
      </c>
      <c r="F493" s="1">
        <f t="shared" si="3"/>
        <v>2.25</v>
      </c>
      <c r="G493" s="1">
        <v>57.0</v>
      </c>
      <c r="H493" s="1">
        <v>9.0</v>
      </c>
      <c r="I493" s="1">
        <v>6.0</v>
      </c>
      <c r="J493" s="1">
        <v>15.0</v>
      </c>
      <c r="K493" s="1">
        <v>52.0</v>
      </c>
      <c r="L493" s="1">
        <v>0.0</v>
      </c>
      <c r="M493" s="1">
        <v>0.0</v>
      </c>
      <c r="N493" s="1">
        <v>1.0</v>
      </c>
      <c r="O493" s="1">
        <v>0.0</v>
      </c>
      <c r="P493" s="1">
        <v>84.0</v>
      </c>
      <c r="Q493" s="1">
        <v>41.0</v>
      </c>
    </row>
    <row r="494">
      <c r="A494" s="1">
        <f t="shared" si="1"/>
        <v>491</v>
      </c>
      <c r="B494" s="1" t="s">
        <v>2481</v>
      </c>
      <c r="C494" s="1" t="s">
        <v>1120</v>
      </c>
      <c r="D494" s="1" t="s">
        <v>31</v>
      </c>
      <c r="E494" s="1">
        <f t="shared" si="2"/>
        <v>128</v>
      </c>
      <c r="F494" s="1">
        <f t="shared" si="3"/>
        <v>1.83</v>
      </c>
      <c r="G494" s="1">
        <v>70.0</v>
      </c>
      <c r="H494" s="1">
        <v>6.0</v>
      </c>
      <c r="I494" s="1">
        <v>15.0</v>
      </c>
      <c r="J494" s="1">
        <v>21.0</v>
      </c>
      <c r="K494" s="1">
        <v>63.0</v>
      </c>
      <c r="L494" s="1">
        <v>1.0</v>
      </c>
      <c r="M494" s="1">
        <v>4.0</v>
      </c>
      <c r="N494" s="1">
        <v>1.0</v>
      </c>
      <c r="O494" s="1">
        <v>0.0</v>
      </c>
      <c r="P494" s="1">
        <v>28.0</v>
      </c>
      <c r="Q494" s="1">
        <v>31.0</v>
      </c>
    </row>
    <row r="495">
      <c r="A495" s="1">
        <f t="shared" si="1"/>
        <v>493</v>
      </c>
      <c r="B495" s="1" t="s">
        <v>1724</v>
      </c>
      <c r="C495" s="1" t="s">
        <v>1054</v>
      </c>
      <c r="D495" s="1" t="s">
        <v>66</v>
      </c>
      <c r="E495" s="1">
        <f t="shared" si="2"/>
        <v>127.25</v>
      </c>
      <c r="F495" s="1">
        <f t="shared" si="3"/>
        <v>2.31</v>
      </c>
      <c r="G495" s="1">
        <v>55.0</v>
      </c>
      <c r="H495" s="1">
        <v>7.0</v>
      </c>
      <c r="I495" s="1">
        <v>7.0</v>
      </c>
      <c r="J495" s="1">
        <v>14.0</v>
      </c>
      <c r="K495" s="1">
        <v>61.0</v>
      </c>
      <c r="L495" s="1">
        <v>0.0</v>
      </c>
      <c r="M495" s="1">
        <v>0.0</v>
      </c>
      <c r="N495" s="1">
        <v>1.0</v>
      </c>
      <c r="O495" s="1">
        <v>0.0</v>
      </c>
      <c r="P495" s="1">
        <v>69.0</v>
      </c>
      <c r="Q495" s="1">
        <v>50.0</v>
      </c>
    </row>
    <row r="496">
      <c r="A496" s="1">
        <f t="shared" si="1"/>
        <v>494</v>
      </c>
      <c r="B496" s="1" t="s">
        <v>2591</v>
      </c>
      <c r="C496" s="1" t="s">
        <v>1106</v>
      </c>
      <c r="D496" s="1" t="s">
        <v>28</v>
      </c>
      <c r="E496" s="1">
        <f t="shared" si="2"/>
        <v>127</v>
      </c>
      <c r="F496" s="1">
        <f t="shared" si="3"/>
        <v>2.31</v>
      </c>
      <c r="G496" s="1">
        <v>55.0</v>
      </c>
      <c r="H496" s="1">
        <v>7.0</v>
      </c>
      <c r="I496" s="1">
        <v>10.0</v>
      </c>
      <c r="J496" s="1">
        <v>17.0</v>
      </c>
      <c r="K496" s="1">
        <v>71.0</v>
      </c>
      <c r="L496" s="1">
        <v>0.0</v>
      </c>
      <c r="M496" s="1">
        <v>1.0</v>
      </c>
      <c r="N496" s="1">
        <v>0.0</v>
      </c>
      <c r="O496" s="1">
        <v>0.0</v>
      </c>
      <c r="P496" s="1">
        <v>26.0</v>
      </c>
      <c r="Q496" s="1">
        <v>47.0</v>
      </c>
    </row>
    <row r="497">
      <c r="A497" s="1">
        <f t="shared" si="1"/>
        <v>495</v>
      </c>
      <c r="B497" s="1" t="s">
        <v>1474</v>
      </c>
      <c r="C497" s="1" t="s">
        <v>1044</v>
      </c>
      <c r="D497" s="1" t="s">
        <v>66</v>
      </c>
      <c r="E497" s="1">
        <f t="shared" si="2"/>
        <v>126.75</v>
      </c>
      <c r="F497" s="1">
        <f t="shared" si="3"/>
        <v>2.88</v>
      </c>
      <c r="G497" s="1">
        <v>44.0</v>
      </c>
      <c r="H497" s="1">
        <v>1.0</v>
      </c>
      <c r="I497" s="1">
        <v>15.0</v>
      </c>
      <c r="J497" s="1">
        <v>16.0</v>
      </c>
      <c r="K497" s="1">
        <v>85.0</v>
      </c>
      <c r="L497" s="1">
        <v>1.0</v>
      </c>
      <c r="M497" s="1">
        <v>8.0</v>
      </c>
      <c r="N497" s="1">
        <v>0.0</v>
      </c>
      <c r="O497" s="1">
        <v>1.0</v>
      </c>
      <c r="P497" s="1">
        <v>39.0</v>
      </c>
      <c r="Q497" s="1">
        <v>46.0</v>
      </c>
    </row>
    <row r="498">
      <c r="A498" s="1">
        <f t="shared" si="1"/>
        <v>496</v>
      </c>
      <c r="B498" s="1" t="s">
        <v>2476</v>
      </c>
      <c r="C498" s="1" t="s">
        <v>1175</v>
      </c>
      <c r="D498" s="1" t="s">
        <v>5</v>
      </c>
      <c r="E498" s="1">
        <f t="shared" si="2"/>
        <v>126.3</v>
      </c>
      <c r="F498" s="1">
        <f t="shared" si="3"/>
        <v>4.21</v>
      </c>
      <c r="G498" s="1">
        <v>30.0</v>
      </c>
      <c r="R498" s="1">
        <v>12.0</v>
      </c>
      <c r="S498" s="1">
        <v>93.0</v>
      </c>
      <c r="T498" s="1">
        <v>756.0</v>
      </c>
      <c r="U498" s="1">
        <v>1.0</v>
      </c>
    </row>
    <row r="499">
      <c r="A499" s="1">
        <f t="shared" si="1"/>
        <v>497</v>
      </c>
      <c r="B499" s="1" t="s">
        <v>1497</v>
      </c>
      <c r="C499" s="1" t="s">
        <v>1040</v>
      </c>
      <c r="D499" s="1" t="s">
        <v>66</v>
      </c>
      <c r="E499" s="1">
        <f t="shared" si="2"/>
        <v>125.5</v>
      </c>
      <c r="F499" s="1">
        <f t="shared" si="3"/>
        <v>2.09</v>
      </c>
      <c r="G499" s="1">
        <v>60.0</v>
      </c>
      <c r="H499" s="1">
        <v>1.0</v>
      </c>
      <c r="I499" s="1">
        <v>13.0</v>
      </c>
      <c r="J499" s="1">
        <v>14.0</v>
      </c>
      <c r="K499" s="1">
        <v>47.0</v>
      </c>
      <c r="L499" s="1">
        <v>0.0</v>
      </c>
      <c r="M499" s="1">
        <v>0.0</v>
      </c>
      <c r="N499" s="1">
        <v>0.0</v>
      </c>
      <c r="O499" s="1">
        <v>0.0</v>
      </c>
      <c r="P499" s="1">
        <v>94.0</v>
      </c>
      <c r="Q499" s="1">
        <v>70.0</v>
      </c>
    </row>
    <row r="500">
      <c r="A500" s="1">
        <f t="shared" si="1"/>
        <v>498</v>
      </c>
      <c r="B500" s="1" t="s">
        <v>1331</v>
      </c>
      <c r="C500" s="1" t="s">
        <v>1044</v>
      </c>
      <c r="D500" s="1" t="s">
        <v>66</v>
      </c>
      <c r="E500" s="1">
        <f t="shared" si="2"/>
        <v>125.25</v>
      </c>
      <c r="F500" s="1">
        <f t="shared" si="3"/>
        <v>2.46</v>
      </c>
      <c r="G500" s="1">
        <v>51.0</v>
      </c>
      <c r="H500" s="1">
        <v>4.0</v>
      </c>
      <c r="I500" s="1">
        <v>5.0</v>
      </c>
      <c r="J500" s="1">
        <v>9.0</v>
      </c>
      <c r="K500" s="1">
        <v>78.0</v>
      </c>
      <c r="L500" s="1">
        <v>0.0</v>
      </c>
      <c r="M500" s="1">
        <v>0.0</v>
      </c>
      <c r="N500" s="1">
        <v>0.0</v>
      </c>
      <c r="O500" s="1">
        <v>1.0</v>
      </c>
      <c r="P500" s="1">
        <v>89.0</v>
      </c>
      <c r="Q500" s="1">
        <v>58.0</v>
      </c>
    </row>
    <row r="501">
      <c r="A501" s="1">
        <f t="shared" si="1"/>
        <v>498</v>
      </c>
      <c r="B501" s="1" t="s">
        <v>2324</v>
      </c>
      <c r="C501" s="1" t="s">
        <v>1042</v>
      </c>
      <c r="D501" s="1" t="s">
        <v>31</v>
      </c>
      <c r="E501" s="1">
        <f t="shared" si="2"/>
        <v>125.25</v>
      </c>
      <c r="F501" s="1">
        <f t="shared" si="3"/>
        <v>2.12</v>
      </c>
      <c r="G501" s="1">
        <v>59.0</v>
      </c>
      <c r="H501" s="1">
        <v>6.0</v>
      </c>
      <c r="I501" s="1">
        <v>5.0</v>
      </c>
      <c r="J501" s="1">
        <v>11.0</v>
      </c>
      <c r="K501" s="1">
        <v>76.0</v>
      </c>
      <c r="L501" s="1">
        <v>0.0</v>
      </c>
      <c r="M501" s="1">
        <v>0.0</v>
      </c>
      <c r="N501" s="1">
        <v>1.0</v>
      </c>
      <c r="O501" s="1">
        <v>1.0</v>
      </c>
      <c r="P501" s="1">
        <v>77.0</v>
      </c>
      <c r="Q501" s="1">
        <v>44.0</v>
      </c>
    </row>
    <row r="502">
      <c r="A502" s="1">
        <f t="shared" si="1"/>
        <v>500</v>
      </c>
      <c r="B502" s="1" t="s">
        <v>2148</v>
      </c>
      <c r="C502" s="1" t="s">
        <v>1038</v>
      </c>
      <c r="D502" s="1" t="s">
        <v>28</v>
      </c>
      <c r="E502" s="1">
        <f t="shared" si="2"/>
        <v>124.75</v>
      </c>
      <c r="F502" s="1">
        <f t="shared" si="3"/>
        <v>2.15</v>
      </c>
      <c r="G502" s="1">
        <v>58.0</v>
      </c>
      <c r="H502" s="1">
        <v>9.0</v>
      </c>
      <c r="I502" s="1">
        <v>10.0</v>
      </c>
      <c r="J502" s="1">
        <v>19.0</v>
      </c>
      <c r="K502" s="1">
        <v>66.0</v>
      </c>
      <c r="L502" s="1">
        <v>1.0</v>
      </c>
      <c r="M502" s="1">
        <v>0.0</v>
      </c>
      <c r="N502" s="1">
        <v>0.0</v>
      </c>
      <c r="O502" s="1">
        <v>0.0</v>
      </c>
      <c r="P502" s="1">
        <v>43.0</v>
      </c>
      <c r="Q502" s="1">
        <v>21.0</v>
      </c>
    </row>
    <row r="503">
      <c r="A503" s="1">
        <f t="shared" si="1"/>
        <v>501</v>
      </c>
      <c r="B503" s="1" t="s">
        <v>1465</v>
      </c>
      <c r="C503" s="1" t="s">
        <v>1076</v>
      </c>
      <c r="D503" s="1" t="s">
        <v>66</v>
      </c>
      <c r="E503" s="1">
        <f t="shared" si="2"/>
        <v>124.5</v>
      </c>
      <c r="F503" s="1">
        <f t="shared" si="3"/>
        <v>2.44</v>
      </c>
      <c r="G503" s="1">
        <v>51.0</v>
      </c>
      <c r="H503" s="1">
        <v>2.0</v>
      </c>
      <c r="I503" s="1">
        <v>8.0</v>
      </c>
      <c r="J503" s="1">
        <v>10.0</v>
      </c>
      <c r="K503" s="1">
        <v>54.0</v>
      </c>
      <c r="L503" s="1">
        <v>0.0</v>
      </c>
      <c r="M503" s="1">
        <v>0.0</v>
      </c>
      <c r="N503" s="1">
        <v>0.0</v>
      </c>
      <c r="O503" s="1">
        <v>0.0</v>
      </c>
      <c r="P503" s="1">
        <v>104.0</v>
      </c>
      <c r="Q503" s="1">
        <v>77.0</v>
      </c>
    </row>
    <row r="504">
      <c r="A504" s="1">
        <f t="shared" si="1"/>
        <v>502</v>
      </c>
      <c r="B504" s="1" t="s">
        <v>1384</v>
      </c>
      <c r="C504" s="1" t="s">
        <v>1034</v>
      </c>
      <c r="D504" s="1" t="s">
        <v>66</v>
      </c>
      <c r="E504" s="1">
        <f t="shared" si="2"/>
        <v>124</v>
      </c>
      <c r="F504" s="1">
        <f t="shared" si="3"/>
        <v>2.48</v>
      </c>
      <c r="G504" s="1">
        <v>50.0</v>
      </c>
      <c r="H504" s="1">
        <v>1.0</v>
      </c>
      <c r="I504" s="1">
        <v>11.0</v>
      </c>
      <c r="J504" s="1">
        <v>12.0</v>
      </c>
      <c r="K504" s="1">
        <v>50.0</v>
      </c>
      <c r="L504" s="1">
        <v>0.0</v>
      </c>
      <c r="M504" s="1">
        <v>0.0</v>
      </c>
      <c r="N504" s="1">
        <v>0.0</v>
      </c>
      <c r="O504" s="1">
        <v>1.0</v>
      </c>
      <c r="P504" s="1">
        <v>36.0</v>
      </c>
      <c r="Q504" s="1">
        <v>101.0</v>
      </c>
    </row>
    <row r="505">
      <c r="A505" s="1">
        <f t="shared" si="1"/>
        <v>503</v>
      </c>
      <c r="B505" s="1" t="s">
        <v>2592</v>
      </c>
      <c r="C505" s="1" t="s">
        <v>1570</v>
      </c>
      <c r="D505" s="1" t="s">
        <v>66</v>
      </c>
      <c r="E505" s="1">
        <f t="shared" si="2"/>
        <v>123.75</v>
      </c>
      <c r="F505" s="1">
        <f t="shared" si="3"/>
        <v>2.48</v>
      </c>
      <c r="G505" s="1">
        <v>50.0</v>
      </c>
      <c r="H505" s="1">
        <v>3.0</v>
      </c>
      <c r="I505" s="1">
        <v>8.0</v>
      </c>
      <c r="J505" s="1">
        <v>11.0</v>
      </c>
      <c r="K505" s="1">
        <v>76.0</v>
      </c>
      <c r="L505" s="1">
        <v>1.0</v>
      </c>
      <c r="M505" s="1">
        <v>3.0</v>
      </c>
      <c r="N505" s="1">
        <v>0.0</v>
      </c>
      <c r="O505" s="1">
        <v>0.0</v>
      </c>
      <c r="P505" s="1">
        <v>61.0</v>
      </c>
      <c r="Q505" s="1">
        <v>66.0</v>
      </c>
    </row>
    <row r="506">
      <c r="A506" s="1">
        <f t="shared" si="1"/>
        <v>504</v>
      </c>
      <c r="B506" s="1" t="s">
        <v>1524</v>
      </c>
      <c r="C506" s="1" t="s">
        <v>1111</v>
      </c>
      <c r="D506" s="1" t="s">
        <v>36</v>
      </c>
      <c r="E506" s="1">
        <f t="shared" si="2"/>
        <v>123.5</v>
      </c>
      <c r="F506" s="1">
        <f t="shared" si="3"/>
        <v>2.21</v>
      </c>
      <c r="G506" s="1">
        <v>56.0</v>
      </c>
      <c r="H506" s="1">
        <v>6.0</v>
      </c>
      <c r="I506" s="1">
        <v>3.0</v>
      </c>
      <c r="J506" s="1">
        <v>9.0</v>
      </c>
      <c r="K506" s="1">
        <v>83.0</v>
      </c>
      <c r="L506" s="1">
        <v>0.0</v>
      </c>
      <c r="M506" s="1">
        <v>0.0</v>
      </c>
      <c r="N506" s="1">
        <v>0.0</v>
      </c>
      <c r="O506" s="1">
        <v>0.0</v>
      </c>
      <c r="P506" s="1">
        <v>140.0</v>
      </c>
      <c r="Q506" s="1">
        <v>22.0</v>
      </c>
    </row>
    <row r="507">
      <c r="A507" s="1">
        <f t="shared" si="1"/>
        <v>505</v>
      </c>
      <c r="B507" s="1" t="s">
        <v>1272</v>
      </c>
      <c r="C507" s="1" t="s">
        <v>1065</v>
      </c>
      <c r="D507" s="1" t="s">
        <v>66</v>
      </c>
      <c r="E507" s="1">
        <f t="shared" si="2"/>
        <v>123.25</v>
      </c>
      <c r="F507" s="1">
        <f t="shared" si="3"/>
        <v>2.47</v>
      </c>
      <c r="G507" s="1">
        <v>50.0</v>
      </c>
      <c r="H507" s="1">
        <v>1.0</v>
      </c>
      <c r="I507" s="1">
        <v>8.0</v>
      </c>
      <c r="J507" s="1">
        <v>9.0</v>
      </c>
      <c r="K507" s="1">
        <v>64.0</v>
      </c>
      <c r="L507" s="1">
        <v>0.0</v>
      </c>
      <c r="M507" s="1">
        <v>0.0</v>
      </c>
      <c r="N507" s="1">
        <v>0.0</v>
      </c>
      <c r="O507" s="1">
        <v>1.0</v>
      </c>
      <c r="P507" s="1">
        <v>113.0</v>
      </c>
      <c r="Q507" s="1">
        <v>65.0</v>
      </c>
    </row>
    <row r="508">
      <c r="A508" s="1">
        <f t="shared" si="1"/>
        <v>506</v>
      </c>
      <c r="B508" s="1" t="s">
        <v>1466</v>
      </c>
      <c r="C508" s="1" t="s">
        <v>1078</v>
      </c>
      <c r="D508" s="1" t="s">
        <v>31</v>
      </c>
      <c r="E508" s="1">
        <f t="shared" si="2"/>
        <v>122.75</v>
      </c>
      <c r="F508" s="1">
        <f t="shared" si="3"/>
        <v>1.81</v>
      </c>
      <c r="G508" s="1">
        <v>68.0</v>
      </c>
      <c r="H508" s="1">
        <v>6.0</v>
      </c>
      <c r="I508" s="1">
        <v>10.0</v>
      </c>
      <c r="J508" s="1">
        <v>16.0</v>
      </c>
      <c r="K508" s="1">
        <v>99.0</v>
      </c>
      <c r="L508" s="1">
        <v>0.0</v>
      </c>
      <c r="M508" s="1">
        <v>3.0</v>
      </c>
      <c r="N508" s="1">
        <v>0.0</v>
      </c>
      <c r="O508" s="1">
        <v>0.0</v>
      </c>
      <c r="P508" s="1">
        <v>21.0</v>
      </c>
      <c r="Q508" s="1">
        <v>22.0</v>
      </c>
    </row>
    <row r="509">
      <c r="A509" s="1">
        <f t="shared" si="1"/>
        <v>507</v>
      </c>
      <c r="B509" s="1" t="s">
        <v>2052</v>
      </c>
      <c r="C509" s="1" t="s">
        <v>1036</v>
      </c>
      <c r="D509" s="1" t="s">
        <v>31</v>
      </c>
      <c r="E509" s="1">
        <f t="shared" si="2"/>
        <v>122.5</v>
      </c>
      <c r="F509" s="1">
        <f t="shared" si="3"/>
        <v>1.91</v>
      </c>
      <c r="G509" s="1">
        <v>64.0</v>
      </c>
      <c r="H509" s="1">
        <v>6.0</v>
      </c>
      <c r="I509" s="1">
        <v>4.0</v>
      </c>
      <c r="J509" s="1">
        <v>10.0</v>
      </c>
      <c r="K509" s="1">
        <v>69.0</v>
      </c>
      <c r="L509" s="1">
        <v>0.0</v>
      </c>
      <c r="M509" s="1">
        <v>0.0</v>
      </c>
      <c r="N509" s="1">
        <v>0.0</v>
      </c>
      <c r="O509" s="1">
        <v>0.0</v>
      </c>
      <c r="P509" s="1">
        <v>136.0</v>
      </c>
      <c r="Q509" s="1">
        <v>30.0</v>
      </c>
      <c r="T509" s="12"/>
    </row>
    <row r="510">
      <c r="A510" s="1">
        <f t="shared" si="1"/>
        <v>507</v>
      </c>
      <c r="B510" s="1" t="s">
        <v>2593</v>
      </c>
      <c r="C510" s="1" t="s">
        <v>1570</v>
      </c>
      <c r="D510" s="1" t="s">
        <v>66</v>
      </c>
      <c r="E510" s="1">
        <f t="shared" si="2"/>
        <v>122.5</v>
      </c>
      <c r="F510" s="1">
        <f t="shared" si="3"/>
        <v>2.5</v>
      </c>
      <c r="G510" s="1">
        <v>49.0</v>
      </c>
      <c r="H510" s="1">
        <v>1.0</v>
      </c>
      <c r="I510" s="1">
        <v>5.0</v>
      </c>
      <c r="J510" s="1">
        <v>6.0</v>
      </c>
      <c r="K510" s="1">
        <v>59.0</v>
      </c>
      <c r="L510" s="1">
        <v>0.0</v>
      </c>
      <c r="M510" s="1">
        <v>0.0</v>
      </c>
      <c r="N510" s="1">
        <v>0.0</v>
      </c>
      <c r="O510" s="1">
        <v>1.0</v>
      </c>
      <c r="P510" s="1">
        <v>114.0</v>
      </c>
      <c r="Q510" s="1">
        <v>86.0</v>
      </c>
    </row>
    <row r="511">
      <c r="A511" s="1">
        <f t="shared" si="1"/>
        <v>509</v>
      </c>
      <c r="B511" s="1" t="s">
        <v>2060</v>
      </c>
      <c r="C511" s="1" t="s">
        <v>1091</v>
      </c>
      <c r="D511" s="1" t="s">
        <v>28</v>
      </c>
      <c r="E511" s="1">
        <f t="shared" si="2"/>
        <v>122.25</v>
      </c>
      <c r="F511" s="1">
        <f t="shared" si="3"/>
        <v>4.08</v>
      </c>
      <c r="G511" s="1">
        <v>30.0</v>
      </c>
      <c r="H511" s="1">
        <v>11.0</v>
      </c>
      <c r="I511" s="1">
        <v>7.0</v>
      </c>
      <c r="J511" s="1">
        <v>18.0</v>
      </c>
      <c r="K511" s="1">
        <v>72.0</v>
      </c>
      <c r="L511" s="1">
        <v>3.0</v>
      </c>
      <c r="M511" s="1">
        <v>1.0</v>
      </c>
      <c r="N511" s="1">
        <v>0.0</v>
      </c>
      <c r="O511" s="1">
        <v>0.0</v>
      </c>
      <c r="P511" s="1">
        <v>31.0</v>
      </c>
      <c r="Q511" s="1">
        <v>16.0</v>
      </c>
    </row>
    <row r="512">
      <c r="A512" s="1">
        <f t="shared" si="1"/>
        <v>509</v>
      </c>
      <c r="B512" s="1" t="s">
        <v>1668</v>
      </c>
      <c r="C512" s="1" t="s">
        <v>1106</v>
      </c>
      <c r="D512" s="1" t="s">
        <v>28</v>
      </c>
      <c r="E512" s="1">
        <f t="shared" si="2"/>
        <v>122.25</v>
      </c>
      <c r="F512" s="1">
        <f t="shared" si="3"/>
        <v>3.06</v>
      </c>
      <c r="G512" s="1">
        <v>40.0</v>
      </c>
      <c r="H512" s="1">
        <v>6.0</v>
      </c>
      <c r="I512" s="1">
        <v>7.0</v>
      </c>
      <c r="J512" s="1">
        <v>13.0</v>
      </c>
      <c r="K512" s="1">
        <v>56.0</v>
      </c>
      <c r="L512" s="1">
        <v>0.0</v>
      </c>
      <c r="M512" s="1">
        <v>0.0</v>
      </c>
      <c r="N512" s="1">
        <v>0.0</v>
      </c>
      <c r="O512" s="1">
        <v>0.0</v>
      </c>
      <c r="P512" s="1">
        <v>155.0</v>
      </c>
      <c r="Q512" s="1">
        <v>15.0</v>
      </c>
    </row>
    <row r="513">
      <c r="A513" s="1">
        <f t="shared" si="1"/>
        <v>511</v>
      </c>
      <c r="B513" s="1" t="s">
        <v>1210</v>
      </c>
      <c r="C513" s="1" t="s">
        <v>1069</v>
      </c>
      <c r="D513" s="1" t="s">
        <v>28</v>
      </c>
      <c r="E513" s="1">
        <f t="shared" si="2"/>
        <v>120.75</v>
      </c>
      <c r="F513" s="1">
        <f t="shared" si="3"/>
        <v>2.32</v>
      </c>
      <c r="G513" s="1">
        <v>52.0</v>
      </c>
      <c r="H513" s="1">
        <v>8.0</v>
      </c>
      <c r="I513" s="1">
        <v>4.0</v>
      </c>
      <c r="J513" s="1">
        <v>12.0</v>
      </c>
      <c r="K513" s="1">
        <v>82.0</v>
      </c>
      <c r="L513" s="1">
        <v>0.0</v>
      </c>
      <c r="M513" s="1">
        <v>1.0</v>
      </c>
      <c r="N513" s="1">
        <v>0.0</v>
      </c>
      <c r="O513" s="1">
        <v>0.0</v>
      </c>
      <c r="P513" s="1">
        <v>101.0</v>
      </c>
      <c r="Q513" s="1">
        <v>13.0</v>
      </c>
    </row>
    <row r="514">
      <c r="A514" s="1">
        <f t="shared" si="1"/>
        <v>512</v>
      </c>
      <c r="B514" s="1" t="s">
        <v>1608</v>
      </c>
      <c r="C514" s="1" t="s">
        <v>1082</v>
      </c>
      <c r="D514" s="1" t="s">
        <v>66</v>
      </c>
      <c r="E514" s="1">
        <f t="shared" si="2"/>
        <v>119.75</v>
      </c>
      <c r="F514" s="1">
        <f t="shared" si="3"/>
        <v>1.87</v>
      </c>
      <c r="G514" s="1">
        <v>64.0</v>
      </c>
      <c r="H514" s="1">
        <v>2.0</v>
      </c>
      <c r="I514" s="1">
        <v>7.0</v>
      </c>
      <c r="J514" s="1">
        <v>9.0</v>
      </c>
      <c r="K514" s="1">
        <v>49.0</v>
      </c>
      <c r="L514" s="1">
        <v>0.0</v>
      </c>
      <c r="M514" s="1">
        <v>0.0</v>
      </c>
      <c r="N514" s="1">
        <v>0.0</v>
      </c>
      <c r="O514" s="1">
        <v>0.0</v>
      </c>
      <c r="P514" s="1">
        <v>51.0</v>
      </c>
      <c r="Q514" s="1">
        <v>105.0</v>
      </c>
    </row>
    <row r="515">
      <c r="A515" s="1">
        <f t="shared" si="1"/>
        <v>512</v>
      </c>
      <c r="B515" s="1" t="s">
        <v>2317</v>
      </c>
      <c r="C515" s="1" t="s">
        <v>1036</v>
      </c>
      <c r="D515" s="1" t="s">
        <v>66</v>
      </c>
      <c r="E515" s="1">
        <f t="shared" si="2"/>
        <v>119.75</v>
      </c>
      <c r="F515" s="1">
        <f t="shared" si="3"/>
        <v>2.18</v>
      </c>
      <c r="G515" s="1">
        <v>55.0</v>
      </c>
      <c r="H515" s="1">
        <v>0.0</v>
      </c>
      <c r="I515" s="1">
        <v>9.0</v>
      </c>
      <c r="J515" s="1">
        <v>9.0</v>
      </c>
      <c r="K515" s="1">
        <v>45.0</v>
      </c>
      <c r="L515" s="1">
        <v>0.0</v>
      </c>
      <c r="M515" s="1">
        <v>0.0</v>
      </c>
      <c r="N515" s="1">
        <v>0.0</v>
      </c>
      <c r="O515" s="1">
        <v>1.0</v>
      </c>
      <c r="P515" s="1">
        <v>71.0</v>
      </c>
      <c r="Q515" s="1">
        <v>101.0</v>
      </c>
    </row>
    <row r="516">
      <c r="A516" s="1">
        <f t="shared" si="1"/>
        <v>514</v>
      </c>
      <c r="B516" s="1" t="s">
        <v>1719</v>
      </c>
      <c r="C516" s="1" t="s">
        <v>1032</v>
      </c>
      <c r="D516" s="1" t="s">
        <v>66</v>
      </c>
      <c r="E516" s="1">
        <f t="shared" si="2"/>
        <v>119.5</v>
      </c>
      <c r="F516" s="1">
        <f t="shared" si="3"/>
        <v>2.13</v>
      </c>
      <c r="G516" s="1">
        <v>56.0</v>
      </c>
      <c r="H516" s="1">
        <v>4.0</v>
      </c>
      <c r="I516" s="1">
        <v>7.0</v>
      </c>
      <c r="J516" s="1">
        <v>11.0</v>
      </c>
      <c r="K516" s="1">
        <v>65.0</v>
      </c>
      <c r="L516" s="1">
        <v>0.0</v>
      </c>
      <c r="M516" s="1">
        <v>0.0</v>
      </c>
      <c r="N516" s="1">
        <v>0.0</v>
      </c>
      <c r="O516" s="1">
        <v>0.0</v>
      </c>
      <c r="P516" s="1">
        <v>76.0</v>
      </c>
      <c r="Q516" s="1">
        <v>58.0</v>
      </c>
    </row>
    <row r="517">
      <c r="A517" s="1">
        <f t="shared" si="1"/>
        <v>515</v>
      </c>
      <c r="B517" s="1" t="s">
        <v>1269</v>
      </c>
      <c r="C517" s="1" t="s">
        <v>1116</v>
      </c>
      <c r="D517" s="1" t="s">
        <v>28</v>
      </c>
      <c r="E517" s="1">
        <f t="shared" si="2"/>
        <v>119.25</v>
      </c>
      <c r="F517" s="1">
        <f t="shared" si="3"/>
        <v>2.43</v>
      </c>
      <c r="G517" s="1">
        <v>49.0</v>
      </c>
      <c r="H517" s="1">
        <v>4.0</v>
      </c>
      <c r="I517" s="1">
        <v>6.0</v>
      </c>
      <c r="J517" s="1">
        <v>10.0</v>
      </c>
      <c r="K517" s="1">
        <v>68.0</v>
      </c>
      <c r="L517" s="1">
        <v>0.0</v>
      </c>
      <c r="M517" s="1">
        <v>0.0</v>
      </c>
      <c r="N517" s="1">
        <v>1.0</v>
      </c>
      <c r="O517" s="1">
        <v>1.0</v>
      </c>
      <c r="P517" s="1">
        <v>137.0</v>
      </c>
      <c r="Q517" s="1">
        <v>22.0</v>
      </c>
    </row>
    <row r="518">
      <c r="A518" s="1">
        <f t="shared" si="1"/>
        <v>516</v>
      </c>
      <c r="B518" s="1" t="s">
        <v>1312</v>
      </c>
      <c r="C518" s="1" t="s">
        <v>1036</v>
      </c>
      <c r="D518" s="1" t="s">
        <v>66</v>
      </c>
      <c r="E518" s="1">
        <f t="shared" si="2"/>
        <v>119</v>
      </c>
      <c r="F518" s="1">
        <f t="shared" si="3"/>
        <v>2.43</v>
      </c>
      <c r="G518" s="1">
        <v>49.0</v>
      </c>
      <c r="H518" s="1">
        <v>1.0</v>
      </c>
      <c r="I518" s="1">
        <v>5.0</v>
      </c>
      <c r="J518" s="1">
        <v>6.0</v>
      </c>
      <c r="K518" s="1">
        <v>61.0</v>
      </c>
      <c r="L518" s="1">
        <v>0.0</v>
      </c>
      <c r="M518" s="1">
        <v>0.0</v>
      </c>
      <c r="N518" s="1">
        <v>0.0</v>
      </c>
      <c r="O518" s="1">
        <v>0.0</v>
      </c>
      <c r="P518" s="1">
        <v>112.0</v>
      </c>
      <c r="Q518" s="1">
        <v>82.0</v>
      </c>
    </row>
    <row r="519">
      <c r="A519" s="1">
        <f t="shared" si="1"/>
        <v>516</v>
      </c>
      <c r="B519" s="1" t="s">
        <v>1480</v>
      </c>
      <c r="C519" s="1" t="s">
        <v>1570</v>
      </c>
      <c r="D519" s="1" t="s">
        <v>31</v>
      </c>
      <c r="E519" s="1">
        <f t="shared" si="2"/>
        <v>119</v>
      </c>
      <c r="F519" s="1">
        <f t="shared" si="3"/>
        <v>2.13</v>
      </c>
      <c r="G519" s="1">
        <v>56.0</v>
      </c>
      <c r="H519" s="1">
        <v>6.0</v>
      </c>
      <c r="I519" s="1">
        <v>6.0</v>
      </c>
      <c r="J519" s="1">
        <v>12.0</v>
      </c>
      <c r="K519" s="1">
        <v>92.0</v>
      </c>
      <c r="L519" s="1">
        <v>0.0</v>
      </c>
      <c r="M519" s="1">
        <v>0.0</v>
      </c>
      <c r="N519" s="1">
        <v>0.0</v>
      </c>
      <c r="O519" s="1">
        <v>0.0</v>
      </c>
      <c r="P519" s="1">
        <v>68.0</v>
      </c>
      <c r="Q519" s="1">
        <v>22.0</v>
      </c>
    </row>
    <row r="520">
      <c r="A520" s="1">
        <f t="shared" si="1"/>
        <v>516</v>
      </c>
      <c r="B520" s="1" t="s">
        <v>2266</v>
      </c>
      <c r="C520" s="1" t="s">
        <v>1570</v>
      </c>
      <c r="D520" s="1" t="s">
        <v>31</v>
      </c>
      <c r="E520" s="1">
        <f t="shared" si="2"/>
        <v>119</v>
      </c>
      <c r="F520" s="1">
        <f t="shared" si="3"/>
        <v>1.8</v>
      </c>
      <c r="G520" s="1">
        <v>66.0</v>
      </c>
      <c r="H520" s="1">
        <v>8.0</v>
      </c>
      <c r="I520" s="1">
        <v>7.0</v>
      </c>
      <c r="J520" s="1">
        <v>15.0</v>
      </c>
      <c r="K520" s="1">
        <v>70.0</v>
      </c>
      <c r="L520" s="1">
        <v>0.0</v>
      </c>
      <c r="M520" s="1">
        <v>0.0</v>
      </c>
      <c r="N520" s="1">
        <v>1.0</v>
      </c>
      <c r="O520" s="1">
        <v>1.0</v>
      </c>
      <c r="P520" s="1">
        <v>26.0</v>
      </c>
      <c r="Q520" s="1">
        <v>33.0</v>
      </c>
    </row>
    <row r="521">
      <c r="A521" s="1">
        <f t="shared" si="1"/>
        <v>519</v>
      </c>
      <c r="B521" s="1" t="s">
        <v>1548</v>
      </c>
      <c r="C521" s="1" t="s">
        <v>1087</v>
      </c>
      <c r="D521" s="1" t="s">
        <v>66</v>
      </c>
      <c r="E521" s="1">
        <f t="shared" si="2"/>
        <v>118.75</v>
      </c>
      <c r="F521" s="1">
        <f t="shared" si="3"/>
        <v>3.13</v>
      </c>
      <c r="G521" s="1">
        <v>38.0</v>
      </c>
      <c r="H521" s="1">
        <v>1.0</v>
      </c>
      <c r="I521" s="1">
        <v>8.0</v>
      </c>
      <c r="J521" s="1">
        <v>9.0</v>
      </c>
      <c r="K521" s="1">
        <v>49.0</v>
      </c>
      <c r="L521" s="1">
        <v>0.0</v>
      </c>
      <c r="M521" s="1">
        <v>0.0</v>
      </c>
      <c r="N521" s="1">
        <v>0.0</v>
      </c>
      <c r="O521" s="1">
        <v>2.0</v>
      </c>
      <c r="P521" s="1">
        <v>81.0</v>
      </c>
      <c r="Q521" s="1">
        <v>83.0</v>
      </c>
    </row>
    <row r="522">
      <c r="A522" s="1">
        <f t="shared" si="1"/>
        <v>520</v>
      </c>
      <c r="B522" s="1" t="s">
        <v>2594</v>
      </c>
      <c r="C522" s="1" t="s">
        <v>1097</v>
      </c>
      <c r="D522" s="1" t="s">
        <v>31</v>
      </c>
      <c r="E522" s="1">
        <f t="shared" si="2"/>
        <v>118.5</v>
      </c>
      <c r="F522" s="1">
        <f t="shared" si="3"/>
        <v>2.42</v>
      </c>
      <c r="G522" s="1">
        <v>49.0</v>
      </c>
      <c r="H522" s="1">
        <v>8.0</v>
      </c>
      <c r="I522" s="1">
        <v>7.0</v>
      </c>
      <c r="J522" s="1">
        <v>15.0</v>
      </c>
      <c r="K522" s="1">
        <v>86.0</v>
      </c>
      <c r="L522" s="1">
        <v>2.0</v>
      </c>
      <c r="M522" s="1">
        <v>3.0</v>
      </c>
      <c r="N522" s="1">
        <v>0.0</v>
      </c>
      <c r="O522" s="1">
        <v>0.0</v>
      </c>
      <c r="P522" s="1">
        <v>32.0</v>
      </c>
      <c r="Q522" s="1">
        <v>21.0</v>
      </c>
    </row>
    <row r="523">
      <c r="A523" s="1">
        <f t="shared" si="1"/>
        <v>520</v>
      </c>
      <c r="B523" s="1" t="s">
        <v>2059</v>
      </c>
      <c r="C523" s="1" t="s">
        <v>1156</v>
      </c>
      <c r="D523" s="1" t="s">
        <v>31</v>
      </c>
      <c r="E523" s="1">
        <f t="shared" si="2"/>
        <v>118.5</v>
      </c>
      <c r="F523" s="1">
        <f t="shared" si="3"/>
        <v>1.85</v>
      </c>
      <c r="G523" s="1">
        <v>64.0</v>
      </c>
      <c r="H523" s="1">
        <v>5.0</v>
      </c>
      <c r="I523" s="1">
        <v>9.0</v>
      </c>
      <c r="J523" s="1">
        <v>14.0</v>
      </c>
      <c r="K523" s="1">
        <v>64.0</v>
      </c>
      <c r="L523" s="1">
        <v>0.0</v>
      </c>
      <c r="M523" s="1">
        <v>0.0</v>
      </c>
      <c r="N523" s="1">
        <v>1.0</v>
      </c>
      <c r="O523" s="1">
        <v>0.0</v>
      </c>
      <c r="P523" s="1">
        <v>68.0</v>
      </c>
      <c r="Q523" s="1">
        <v>36.0</v>
      </c>
    </row>
    <row r="524">
      <c r="A524" s="1">
        <f t="shared" si="1"/>
        <v>522</v>
      </c>
      <c r="B524" s="1" t="s">
        <v>2453</v>
      </c>
      <c r="C524" s="1" t="s">
        <v>1087</v>
      </c>
      <c r="D524" s="1" t="s">
        <v>28</v>
      </c>
      <c r="E524" s="1">
        <f t="shared" si="2"/>
        <v>118.25</v>
      </c>
      <c r="F524" s="1">
        <f t="shared" si="3"/>
        <v>2.46</v>
      </c>
      <c r="G524" s="1">
        <v>48.0</v>
      </c>
      <c r="H524" s="1">
        <v>4.0</v>
      </c>
      <c r="I524" s="1">
        <v>10.0</v>
      </c>
      <c r="J524" s="1">
        <v>14.0</v>
      </c>
      <c r="K524" s="1">
        <v>46.0</v>
      </c>
      <c r="L524" s="1">
        <v>0.0</v>
      </c>
      <c r="M524" s="1">
        <v>0.0</v>
      </c>
      <c r="N524" s="1">
        <v>0.0</v>
      </c>
      <c r="O524" s="1">
        <v>1.0</v>
      </c>
      <c r="P524" s="1">
        <v>123.0</v>
      </c>
      <c r="Q524" s="1">
        <v>29.0</v>
      </c>
    </row>
    <row r="525">
      <c r="A525" s="1">
        <f t="shared" si="1"/>
        <v>523</v>
      </c>
      <c r="B525" s="1" t="s">
        <v>2327</v>
      </c>
      <c r="C525" s="1" t="s">
        <v>1116</v>
      </c>
      <c r="D525" s="1" t="s">
        <v>31</v>
      </c>
      <c r="E525" s="1">
        <f t="shared" si="2"/>
        <v>117.75</v>
      </c>
      <c r="F525" s="1">
        <f t="shared" si="3"/>
        <v>2.4</v>
      </c>
      <c r="G525" s="1">
        <v>49.0</v>
      </c>
      <c r="H525" s="1">
        <v>7.0</v>
      </c>
      <c r="I525" s="1">
        <v>8.0</v>
      </c>
      <c r="J525" s="1">
        <v>15.0</v>
      </c>
      <c r="K525" s="1">
        <v>71.0</v>
      </c>
      <c r="L525" s="1">
        <v>2.0</v>
      </c>
      <c r="M525" s="1">
        <v>0.0</v>
      </c>
      <c r="N525" s="1">
        <v>0.0</v>
      </c>
      <c r="O525" s="1">
        <v>0.0</v>
      </c>
      <c r="P525" s="1">
        <v>69.0</v>
      </c>
      <c r="Q525" s="1">
        <v>19.0</v>
      </c>
    </row>
    <row r="526">
      <c r="A526" s="1">
        <f t="shared" si="1"/>
        <v>524</v>
      </c>
      <c r="B526" s="1" t="s">
        <v>1504</v>
      </c>
      <c r="C526" s="1" t="s">
        <v>1082</v>
      </c>
      <c r="D526" s="1" t="s">
        <v>66</v>
      </c>
      <c r="E526" s="1">
        <f t="shared" si="2"/>
        <v>117.5</v>
      </c>
      <c r="F526" s="1">
        <f t="shared" si="3"/>
        <v>2.55</v>
      </c>
      <c r="G526" s="1">
        <v>46.0</v>
      </c>
      <c r="H526" s="1">
        <v>3.0</v>
      </c>
      <c r="I526" s="1">
        <v>9.0</v>
      </c>
      <c r="J526" s="1">
        <v>12.0</v>
      </c>
      <c r="K526" s="1">
        <v>86.0</v>
      </c>
      <c r="L526" s="1">
        <v>0.0</v>
      </c>
      <c r="M526" s="1">
        <v>6.0</v>
      </c>
      <c r="N526" s="1">
        <v>0.0</v>
      </c>
      <c r="O526" s="1">
        <v>0.0</v>
      </c>
      <c r="P526" s="1">
        <v>36.0</v>
      </c>
      <c r="Q526" s="1">
        <v>50.0</v>
      </c>
    </row>
    <row r="527">
      <c r="A527" s="1">
        <f t="shared" si="1"/>
        <v>524</v>
      </c>
      <c r="B527" s="1" t="s">
        <v>1620</v>
      </c>
      <c r="C527" s="1" t="s">
        <v>1085</v>
      </c>
      <c r="D527" s="1" t="s">
        <v>28</v>
      </c>
      <c r="E527" s="1">
        <f t="shared" si="2"/>
        <v>117.5</v>
      </c>
      <c r="F527" s="1">
        <f t="shared" si="3"/>
        <v>1.73</v>
      </c>
      <c r="G527" s="1">
        <v>68.0</v>
      </c>
      <c r="H527" s="1">
        <v>3.0</v>
      </c>
      <c r="I527" s="1">
        <v>11.0</v>
      </c>
      <c r="J527" s="1">
        <v>14.0</v>
      </c>
      <c r="K527" s="1">
        <v>68.0</v>
      </c>
      <c r="L527" s="1">
        <v>0.0</v>
      </c>
      <c r="M527" s="1">
        <v>0.0</v>
      </c>
      <c r="N527" s="1">
        <v>0.0</v>
      </c>
      <c r="O527" s="1">
        <v>0.0</v>
      </c>
      <c r="P527" s="1">
        <v>86.0</v>
      </c>
      <c r="Q527" s="1">
        <v>31.0</v>
      </c>
    </row>
    <row r="528">
      <c r="A528" s="1">
        <f t="shared" si="1"/>
        <v>526</v>
      </c>
      <c r="B528" s="1" t="s">
        <v>2490</v>
      </c>
      <c r="C528" s="1" t="s">
        <v>1570</v>
      </c>
      <c r="D528" s="1" t="s">
        <v>5</v>
      </c>
      <c r="E528" s="1">
        <f t="shared" si="2"/>
        <v>117.3</v>
      </c>
      <c r="F528" s="1">
        <f t="shared" si="3"/>
        <v>5.1</v>
      </c>
      <c r="G528" s="1">
        <v>23.0</v>
      </c>
      <c r="R528" s="1">
        <v>9.0</v>
      </c>
      <c r="S528" s="1">
        <v>64.0</v>
      </c>
      <c r="T528" s="1">
        <v>621.0</v>
      </c>
      <c r="U528" s="1">
        <v>0.0</v>
      </c>
    </row>
    <row r="529">
      <c r="A529" s="1">
        <f t="shared" si="1"/>
        <v>527</v>
      </c>
      <c r="B529" s="1" t="s">
        <v>1810</v>
      </c>
      <c r="C529" s="1" t="s">
        <v>1073</v>
      </c>
      <c r="D529" s="1" t="s">
        <v>66</v>
      </c>
      <c r="E529" s="1">
        <f t="shared" si="2"/>
        <v>117</v>
      </c>
      <c r="F529" s="1">
        <f t="shared" si="3"/>
        <v>2.6</v>
      </c>
      <c r="G529" s="1">
        <v>45.0</v>
      </c>
      <c r="H529" s="1">
        <v>4.0</v>
      </c>
      <c r="I529" s="1">
        <v>10.0</v>
      </c>
      <c r="J529" s="1">
        <v>14.0</v>
      </c>
      <c r="K529" s="1">
        <v>65.0</v>
      </c>
      <c r="L529" s="1">
        <v>0.0</v>
      </c>
      <c r="M529" s="1">
        <v>0.0</v>
      </c>
      <c r="N529" s="1">
        <v>0.0</v>
      </c>
      <c r="O529" s="1">
        <v>1.0</v>
      </c>
      <c r="P529" s="1">
        <v>48.0</v>
      </c>
      <c r="Q529" s="1">
        <v>45.0</v>
      </c>
    </row>
    <row r="530">
      <c r="A530" s="1">
        <f t="shared" si="1"/>
        <v>528</v>
      </c>
      <c r="B530" s="1" t="s">
        <v>2245</v>
      </c>
      <c r="C530" s="1" t="s">
        <v>1570</v>
      </c>
      <c r="D530" s="1" t="s">
        <v>28</v>
      </c>
      <c r="E530" s="1">
        <f t="shared" si="2"/>
        <v>116.75</v>
      </c>
      <c r="F530" s="1">
        <f t="shared" si="3"/>
        <v>2.92</v>
      </c>
      <c r="G530" s="1">
        <v>40.0</v>
      </c>
      <c r="H530" s="1">
        <v>9.0</v>
      </c>
      <c r="I530" s="1">
        <v>6.0</v>
      </c>
      <c r="J530" s="1">
        <v>15.0</v>
      </c>
      <c r="K530" s="1">
        <v>56.0</v>
      </c>
      <c r="L530" s="1">
        <v>1.0</v>
      </c>
      <c r="M530" s="1">
        <v>0.0</v>
      </c>
      <c r="N530" s="1">
        <v>0.0</v>
      </c>
      <c r="O530" s="1">
        <v>1.0</v>
      </c>
      <c r="P530" s="1">
        <v>81.0</v>
      </c>
      <c r="Q530" s="1">
        <v>16.0</v>
      </c>
    </row>
    <row r="531">
      <c r="A531" s="1">
        <f t="shared" si="1"/>
        <v>529</v>
      </c>
      <c r="B531" s="1" t="s">
        <v>2560</v>
      </c>
      <c r="C531" s="1" t="s">
        <v>1116</v>
      </c>
      <c r="D531" s="1" t="s">
        <v>66</v>
      </c>
      <c r="E531" s="1">
        <f t="shared" si="2"/>
        <v>115.75</v>
      </c>
      <c r="F531" s="1">
        <f t="shared" si="3"/>
        <v>2.63</v>
      </c>
      <c r="G531" s="1">
        <v>44.0</v>
      </c>
      <c r="H531" s="1">
        <v>2.0</v>
      </c>
      <c r="I531" s="1">
        <v>8.0</v>
      </c>
      <c r="J531" s="1">
        <v>10.0</v>
      </c>
      <c r="K531" s="1">
        <v>49.0</v>
      </c>
      <c r="L531" s="1">
        <v>0.0</v>
      </c>
      <c r="M531" s="1">
        <v>0.0</v>
      </c>
      <c r="N531" s="1">
        <v>0.0</v>
      </c>
      <c r="O531" s="1">
        <v>0.0</v>
      </c>
      <c r="P531" s="1">
        <v>91.0</v>
      </c>
      <c r="Q531" s="1">
        <v>71.0</v>
      </c>
    </row>
    <row r="532">
      <c r="A532" s="1">
        <f t="shared" si="1"/>
        <v>529</v>
      </c>
      <c r="B532" s="1" t="s">
        <v>1667</v>
      </c>
      <c r="C532" s="1" t="s">
        <v>1067</v>
      </c>
      <c r="D532" s="1" t="s">
        <v>66</v>
      </c>
      <c r="E532" s="1">
        <f t="shared" si="2"/>
        <v>115.75</v>
      </c>
      <c r="F532" s="1">
        <f t="shared" si="3"/>
        <v>2.27</v>
      </c>
      <c r="G532" s="1">
        <v>51.0</v>
      </c>
      <c r="H532" s="1">
        <v>1.0</v>
      </c>
      <c r="I532" s="1">
        <v>10.0</v>
      </c>
      <c r="J532" s="1">
        <v>11.0</v>
      </c>
      <c r="K532" s="1">
        <v>79.0</v>
      </c>
      <c r="L532" s="1">
        <v>0.0</v>
      </c>
      <c r="M532" s="1">
        <v>3.0</v>
      </c>
      <c r="N532" s="1">
        <v>0.0</v>
      </c>
      <c r="O532" s="1">
        <v>0.0</v>
      </c>
      <c r="P532" s="1">
        <v>87.0</v>
      </c>
      <c r="Q532" s="1">
        <v>40.0</v>
      </c>
    </row>
    <row r="533">
      <c r="A533" s="1">
        <f t="shared" si="1"/>
        <v>531</v>
      </c>
      <c r="B533" s="1" t="s">
        <v>2246</v>
      </c>
      <c r="C533" s="1" t="s">
        <v>1111</v>
      </c>
      <c r="D533" s="1" t="s">
        <v>66</v>
      </c>
      <c r="E533" s="1">
        <f t="shared" si="2"/>
        <v>115.5</v>
      </c>
      <c r="F533" s="1">
        <f t="shared" si="3"/>
        <v>2.31</v>
      </c>
      <c r="G533" s="1">
        <v>50.0</v>
      </c>
      <c r="H533" s="1">
        <v>0.0</v>
      </c>
      <c r="I533" s="1">
        <v>11.0</v>
      </c>
      <c r="J533" s="1">
        <v>11.0</v>
      </c>
      <c r="K533" s="1">
        <v>53.0</v>
      </c>
      <c r="L533" s="1">
        <v>0.0</v>
      </c>
      <c r="M533" s="1">
        <v>0.0</v>
      </c>
      <c r="N533" s="1">
        <v>0.0</v>
      </c>
      <c r="O533" s="1">
        <v>1.0</v>
      </c>
      <c r="P533" s="1">
        <v>76.0</v>
      </c>
      <c r="Q533" s="1">
        <v>70.0</v>
      </c>
    </row>
    <row r="534">
      <c r="A534" s="1">
        <f t="shared" si="1"/>
        <v>532</v>
      </c>
      <c r="B534" s="1" t="s">
        <v>2290</v>
      </c>
      <c r="C534" s="1" t="s">
        <v>1570</v>
      </c>
      <c r="D534" s="1" t="s">
        <v>31</v>
      </c>
      <c r="E534" s="1">
        <f t="shared" si="2"/>
        <v>115.25</v>
      </c>
      <c r="F534" s="1">
        <f t="shared" si="3"/>
        <v>2.96</v>
      </c>
      <c r="G534" s="1">
        <v>39.0</v>
      </c>
      <c r="H534" s="1">
        <v>6.0</v>
      </c>
      <c r="I534" s="1">
        <v>9.0</v>
      </c>
      <c r="J534" s="1">
        <v>15.0</v>
      </c>
      <c r="K534" s="1">
        <v>56.0</v>
      </c>
      <c r="L534" s="1">
        <v>1.0</v>
      </c>
      <c r="M534" s="1">
        <v>0.0</v>
      </c>
      <c r="N534" s="1">
        <v>0.0</v>
      </c>
      <c r="O534" s="1">
        <v>0.0</v>
      </c>
      <c r="P534" s="1">
        <v>65.0</v>
      </c>
      <c r="Q534" s="1">
        <v>34.0</v>
      </c>
    </row>
    <row r="535">
      <c r="A535" s="1">
        <f t="shared" si="1"/>
        <v>533</v>
      </c>
      <c r="B535" s="1" t="s">
        <v>1811</v>
      </c>
      <c r="C535" s="1" t="s">
        <v>1120</v>
      </c>
      <c r="D535" s="1" t="s">
        <v>66</v>
      </c>
      <c r="E535" s="1">
        <f t="shared" si="2"/>
        <v>114.25</v>
      </c>
      <c r="F535" s="1">
        <f t="shared" si="3"/>
        <v>2.2</v>
      </c>
      <c r="G535" s="1">
        <v>52.0</v>
      </c>
      <c r="H535" s="1">
        <v>2.0</v>
      </c>
      <c r="I535" s="1">
        <v>9.0</v>
      </c>
      <c r="J535" s="1">
        <v>11.0</v>
      </c>
      <c r="K535" s="1">
        <v>46.0</v>
      </c>
      <c r="L535" s="1">
        <v>0.0</v>
      </c>
      <c r="M535" s="1">
        <v>0.0</v>
      </c>
      <c r="N535" s="1">
        <v>0.0</v>
      </c>
      <c r="O535" s="1">
        <v>0.0</v>
      </c>
      <c r="P535" s="1">
        <v>69.0</v>
      </c>
      <c r="Q535" s="1">
        <v>76.0</v>
      </c>
    </row>
    <row r="536">
      <c r="A536" s="1">
        <f t="shared" si="1"/>
        <v>533</v>
      </c>
      <c r="B536" s="1" t="s">
        <v>2505</v>
      </c>
      <c r="C536" s="1" t="s">
        <v>1040</v>
      </c>
      <c r="D536" s="1" t="s">
        <v>66</v>
      </c>
      <c r="E536" s="1">
        <f t="shared" si="2"/>
        <v>114.25</v>
      </c>
      <c r="F536" s="1">
        <f t="shared" si="3"/>
        <v>2.24</v>
      </c>
      <c r="G536" s="1">
        <v>51.0</v>
      </c>
      <c r="H536" s="1">
        <v>0.0</v>
      </c>
      <c r="I536" s="1">
        <v>8.0</v>
      </c>
      <c r="J536" s="1">
        <v>8.0</v>
      </c>
      <c r="K536" s="1">
        <v>54.0</v>
      </c>
      <c r="L536" s="1">
        <v>0.0</v>
      </c>
      <c r="M536" s="1">
        <v>0.0</v>
      </c>
      <c r="N536" s="1">
        <v>0.0</v>
      </c>
      <c r="O536" s="1">
        <v>1.0</v>
      </c>
      <c r="P536" s="1">
        <v>145.0</v>
      </c>
      <c r="Q536" s="1">
        <v>50.0</v>
      </c>
    </row>
    <row r="537">
      <c r="A537" s="1">
        <f t="shared" si="1"/>
        <v>535</v>
      </c>
      <c r="B537" s="1" t="s">
        <v>2473</v>
      </c>
      <c r="C537" s="1" t="s">
        <v>1046</v>
      </c>
      <c r="D537" s="1" t="s">
        <v>31</v>
      </c>
      <c r="E537" s="1">
        <f t="shared" si="2"/>
        <v>113</v>
      </c>
      <c r="F537" s="1">
        <f t="shared" si="3"/>
        <v>2.57</v>
      </c>
      <c r="G537" s="1">
        <v>44.0</v>
      </c>
      <c r="H537" s="1">
        <v>8.0</v>
      </c>
      <c r="I537" s="1">
        <v>9.0</v>
      </c>
      <c r="J537" s="1">
        <v>17.0</v>
      </c>
      <c r="K537" s="1">
        <v>76.0</v>
      </c>
      <c r="L537" s="1">
        <v>1.0</v>
      </c>
      <c r="M537" s="1">
        <v>2.0</v>
      </c>
      <c r="N537" s="1">
        <v>0.0</v>
      </c>
      <c r="O537" s="1">
        <v>0.0</v>
      </c>
      <c r="P537" s="1">
        <v>18.0</v>
      </c>
      <c r="Q537" s="1">
        <v>15.0</v>
      </c>
    </row>
    <row r="538">
      <c r="A538" s="1">
        <f t="shared" si="1"/>
        <v>536</v>
      </c>
      <c r="B538" s="1" t="s">
        <v>1408</v>
      </c>
      <c r="C538" s="1" t="s">
        <v>1052</v>
      </c>
      <c r="D538" s="1" t="s">
        <v>66</v>
      </c>
      <c r="E538" s="1">
        <f t="shared" si="2"/>
        <v>112</v>
      </c>
      <c r="F538" s="1">
        <f t="shared" si="3"/>
        <v>2</v>
      </c>
      <c r="G538" s="1">
        <v>56.0</v>
      </c>
      <c r="H538" s="1">
        <v>1.0</v>
      </c>
      <c r="I538" s="1">
        <v>7.0</v>
      </c>
      <c r="J538" s="1">
        <v>8.0</v>
      </c>
      <c r="K538" s="1">
        <v>48.0</v>
      </c>
      <c r="L538" s="1">
        <v>0.0</v>
      </c>
      <c r="M538" s="1">
        <v>0.0</v>
      </c>
      <c r="N538" s="1">
        <v>0.0</v>
      </c>
      <c r="O538" s="1">
        <v>0.0</v>
      </c>
      <c r="P538" s="1">
        <v>92.0</v>
      </c>
      <c r="Q538" s="1">
        <v>79.0</v>
      </c>
    </row>
    <row r="539">
      <c r="A539" s="1">
        <f t="shared" si="1"/>
        <v>537</v>
      </c>
      <c r="B539" s="1" t="s">
        <v>1529</v>
      </c>
      <c r="C539" s="1" t="s">
        <v>1097</v>
      </c>
      <c r="D539" s="1" t="s">
        <v>66</v>
      </c>
      <c r="E539" s="1">
        <f t="shared" si="2"/>
        <v>111.25</v>
      </c>
      <c r="F539" s="1">
        <f t="shared" si="3"/>
        <v>1.99</v>
      </c>
      <c r="G539" s="1">
        <v>56.0</v>
      </c>
      <c r="H539" s="1">
        <v>0.0</v>
      </c>
      <c r="I539" s="1">
        <v>7.0</v>
      </c>
      <c r="J539" s="1">
        <v>7.0</v>
      </c>
      <c r="K539" s="1">
        <v>101.0</v>
      </c>
      <c r="L539" s="1">
        <v>0.0</v>
      </c>
      <c r="M539" s="1">
        <v>0.0</v>
      </c>
      <c r="N539" s="1">
        <v>0.0</v>
      </c>
      <c r="O539" s="1">
        <v>0.0</v>
      </c>
      <c r="P539" s="1">
        <v>59.0</v>
      </c>
      <c r="Q539" s="1">
        <v>50.0</v>
      </c>
    </row>
    <row r="540">
      <c r="A540" s="1">
        <f t="shared" si="1"/>
        <v>538</v>
      </c>
      <c r="B540" s="1" t="s">
        <v>2595</v>
      </c>
      <c r="C540" s="1" t="s">
        <v>1044</v>
      </c>
      <c r="D540" s="1" t="s">
        <v>5</v>
      </c>
      <c r="E540" s="1">
        <f t="shared" si="2"/>
        <v>111</v>
      </c>
      <c r="F540" s="1">
        <f t="shared" si="3"/>
        <v>5.55</v>
      </c>
      <c r="G540" s="1">
        <v>20.0</v>
      </c>
      <c r="R540" s="1">
        <v>9.0</v>
      </c>
      <c r="S540" s="1">
        <v>58.0</v>
      </c>
      <c r="T540" s="1">
        <v>570.0</v>
      </c>
      <c r="U540" s="1">
        <v>0.0</v>
      </c>
    </row>
    <row r="541">
      <c r="A541" s="1">
        <f t="shared" si="1"/>
        <v>538</v>
      </c>
      <c r="B541" s="1" t="s">
        <v>2531</v>
      </c>
      <c r="C541" s="1" t="s">
        <v>1570</v>
      </c>
      <c r="D541" s="1" t="s">
        <v>28</v>
      </c>
      <c r="E541" s="1">
        <f t="shared" si="2"/>
        <v>111</v>
      </c>
      <c r="F541" s="1">
        <f t="shared" si="3"/>
        <v>1.95</v>
      </c>
      <c r="G541" s="1">
        <v>57.0</v>
      </c>
      <c r="H541" s="1">
        <v>6.0</v>
      </c>
      <c r="I541" s="1">
        <v>8.0</v>
      </c>
      <c r="J541" s="1">
        <v>14.0</v>
      </c>
      <c r="K541" s="1">
        <v>70.0</v>
      </c>
      <c r="L541" s="1">
        <v>0.0</v>
      </c>
      <c r="M541" s="1">
        <v>0.0</v>
      </c>
      <c r="N541" s="1">
        <v>2.0</v>
      </c>
      <c r="O541" s="1">
        <v>1.0</v>
      </c>
      <c r="P541" s="1">
        <v>32.0</v>
      </c>
      <c r="Q541" s="1">
        <v>22.0</v>
      </c>
    </row>
    <row r="542">
      <c r="A542" s="1">
        <f t="shared" si="1"/>
        <v>540</v>
      </c>
      <c r="B542" s="1" t="s">
        <v>2109</v>
      </c>
      <c r="C542" s="1" t="s">
        <v>1069</v>
      </c>
      <c r="D542" s="1" t="s">
        <v>28</v>
      </c>
      <c r="E542" s="1">
        <f t="shared" si="2"/>
        <v>110.25</v>
      </c>
      <c r="F542" s="1">
        <f t="shared" si="3"/>
        <v>3.06</v>
      </c>
      <c r="G542" s="1">
        <v>36.0</v>
      </c>
      <c r="H542" s="1">
        <v>7.0</v>
      </c>
      <c r="I542" s="1">
        <v>12.0</v>
      </c>
      <c r="J542" s="1">
        <v>19.0</v>
      </c>
      <c r="K542" s="1">
        <v>69.0</v>
      </c>
      <c r="L542" s="1">
        <v>0.0</v>
      </c>
      <c r="M542" s="1">
        <v>5.0</v>
      </c>
      <c r="N542" s="1">
        <v>0.0</v>
      </c>
      <c r="O542" s="1">
        <v>0.0</v>
      </c>
      <c r="P542" s="1">
        <v>17.0</v>
      </c>
      <c r="Q542" s="1">
        <v>8.0</v>
      </c>
    </row>
    <row r="543">
      <c r="A543" s="1">
        <f t="shared" si="1"/>
        <v>541</v>
      </c>
      <c r="B543" s="1" t="s">
        <v>1498</v>
      </c>
      <c r="C543" s="1" t="s">
        <v>1032</v>
      </c>
      <c r="D543" s="1" t="s">
        <v>28</v>
      </c>
      <c r="E543" s="1">
        <f t="shared" si="2"/>
        <v>109.25</v>
      </c>
      <c r="F543" s="1">
        <f t="shared" si="3"/>
        <v>2.28</v>
      </c>
      <c r="G543" s="1">
        <v>48.0</v>
      </c>
      <c r="H543" s="1">
        <v>8.0</v>
      </c>
      <c r="I543" s="1">
        <v>7.0</v>
      </c>
      <c r="J543" s="1">
        <v>15.0</v>
      </c>
      <c r="K543" s="1">
        <v>72.0</v>
      </c>
      <c r="L543" s="1">
        <v>0.0</v>
      </c>
      <c r="M543" s="1">
        <v>0.0</v>
      </c>
      <c r="N543" s="1">
        <v>1.0</v>
      </c>
      <c r="O543" s="1">
        <v>1.0</v>
      </c>
      <c r="P543" s="1">
        <v>29.0</v>
      </c>
      <c r="Q543" s="1">
        <v>10.0</v>
      </c>
      <c r="T543" s="12"/>
    </row>
    <row r="544">
      <c r="A544" s="1">
        <f t="shared" si="1"/>
        <v>542</v>
      </c>
      <c r="B544" s="1" t="s">
        <v>2496</v>
      </c>
      <c r="C544" s="1" t="s">
        <v>1120</v>
      </c>
      <c r="D544" s="1" t="s">
        <v>31</v>
      </c>
      <c r="E544" s="1">
        <f t="shared" si="2"/>
        <v>108.5</v>
      </c>
      <c r="F544" s="1">
        <f t="shared" si="3"/>
        <v>1.81</v>
      </c>
      <c r="G544" s="1">
        <v>60.0</v>
      </c>
      <c r="H544" s="1">
        <v>4.0</v>
      </c>
      <c r="I544" s="1">
        <v>5.0</v>
      </c>
      <c r="J544" s="1">
        <v>9.0</v>
      </c>
      <c r="K544" s="1">
        <v>86.0</v>
      </c>
      <c r="L544" s="1">
        <v>0.0</v>
      </c>
      <c r="M544" s="1">
        <v>2.0</v>
      </c>
      <c r="N544" s="1">
        <v>1.0</v>
      </c>
      <c r="O544" s="1">
        <v>1.0</v>
      </c>
      <c r="P544" s="1">
        <v>44.0</v>
      </c>
      <c r="Q544" s="1">
        <v>35.0</v>
      </c>
    </row>
    <row r="545">
      <c r="A545" s="1">
        <f t="shared" si="1"/>
        <v>543</v>
      </c>
      <c r="B545" s="1" t="s">
        <v>1779</v>
      </c>
      <c r="C545" s="1" t="s">
        <v>1069</v>
      </c>
      <c r="D545" s="1" t="s">
        <v>31</v>
      </c>
      <c r="E545" s="1">
        <f t="shared" si="2"/>
        <v>108.25</v>
      </c>
      <c r="F545" s="1">
        <f t="shared" si="3"/>
        <v>2.41</v>
      </c>
      <c r="G545" s="1">
        <v>45.0</v>
      </c>
      <c r="H545" s="1">
        <v>6.0</v>
      </c>
      <c r="I545" s="1">
        <v>10.0</v>
      </c>
      <c r="J545" s="1">
        <v>16.0</v>
      </c>
      <c r="K545" s="1">
        <v>60.0</v>
      </c>
      <c r="L545" s="1">
        <v>1.0</v>
      </c>
      <c r="M545" s="1">
        <v>1.0</v>
      </c>
      <c r="N545" s="1">
        <v>0.0</v>
      </c>
      <c r="O545" s="1">
        <v>0.0</v>
      </c>
      <c r="P545" s="1">
        <v>59.0</v>
      </c>
      <c r="Q545" s="1">
        <v>13.0</v>
      </c>
    </row>
    <row r="546">
      <c r="A546" s="1">
        <f t="shared" si="1"/>
        <v>543</v>
      </c>
      <c r="B546" s="1" t="s">
        <v>1412</v>
      </c>
      <c r="C546" s="1" t="s">
        <v>1052</v>
      </c>
      <c r="D546" s="1" t="s">
        <v>36</v>
      </c>
      <c r="E546" s="1">
        <f t="shared" si="2"/>
        <v>108.25</v>
      </c>
      <c r="F546" s="1">
        <f t="shared" si="3"/>
        <v>2.17</v>
      </c>
      <c r="G546" s="1">
        <v>50.0</v>
      </c>
      <c r="H546" s="1">
        <v>6.0</v>
      </c>
      <c r="I546" s="1">
        <v>7.0</v>
      </c>
      <c r="J546" s="1">
        <v>13.0</v>
      </c>
      <c r="K546" s="1">
        <v>56.0</v>
      </c>
      <c r="L546" s="1">
        <v>0.0</v>
      </c>
      <c r="M546" s="1">
        <v>0.0</v>
      </c>
      <c r="N546" s="1">
        <v>0.0</v>
      </c>
      <c r="O546" s="1">
        <v>0.0</v>
      </c>
      <c r="P546" s="1">
        <v>95.0</v>
      </c>
      <c r="Q546" s="1">
        <v>17.0</v>
      </c>
    </row>
    <row r="547">
      <c r="A547" s="1">
        <f t="shared" si="1"/>
        <v>543</v>
      </c>
      <c r="B547" s="1" t="s">
        <v>1695</v>
      </c>
      <c r="C547" s="1" t="s">
        <v>1156</v>
      </c>
      <c r="D547" s="1" t="s">
        <v>28</v>
      </c>
      <c r="E547" s="1">
        <f t="shared" si="2"/>
        <v>108.25</v>
      </c>
      <c r="F547" s="1">
        <f t="shared" si="3"/>
        <v>2.17</v>
      </c>
      <c r="G547" s="1">
        <v>50.0</v>
      </c>
      <c r="H547" s="1">
        <v>7.0</v>
      </c>
      <c r="I547" s="1">
        <v>5.0</v>
      </c>
      <c r="J547" s="1">
        <v>12.0</v>
      </c>
      <c r="K547" s="1">
        <v>69.0</v>
      </c>
      <c r="L547" s="1">
        <v>0.0</v>
      </c>
      <c r="M547" s="1">
        <v>0.0</v>
      </c>
      <c r="N547" s="1">
        <v>0.0</v>
      </c>
      <c r="O547" s="1">
        <v>0.0</v>
      </c>
      <c r="P547" s="1">
        <v>79.0</v>
      </c>
      <c r="Q547" s="1">
        <v>15.0</v>
      </c>
    </row>
    <row r="548">
      <c r="A548" s="1">
        <f t="shared" si="1"/>
        <v>546</v>
      </c>
      <c r="B548" s="1" t="s">
        <v>1574</v>
      </c>
      <c r="C548" s="1" t="s">
        <v>1091</v>
      </c>
      <c r="D548" s="1" t="s">
        <v>31</v>
      </c>
      <c r="E548" s="1">
        <f t="shared" si="2"/>
        <v>108</v>
      </c>
      <c r="F548" s="1">
        <f t="shared" si="3"/>
        <v>3</v>
      </c>
      <c r="G548" s="1">
        <v>36.0</v>
      </c>
      <c r="H548" s="1">
        <v>7.0</v>
      </c>
      <c r="I548" s="1">
        <v>8.0</v>
      </c>
      <c r="J548" s="1">
        <v>15.0</v>
      </c>
      <c r="K548" s="1">
        <v>48.0</v>
      </c>
      <c r="L548" s="1">
        <v>2.0</v>
      </c>
      <c r="M548" s="1">
        <v>1.0</v>
      </c>
      <c r="N548" s="1">
        <v>0.0</v>
      </c>
      <c r="O548" s="1">
        <v>0.0</v>
      </c>
      <c r="P548" s="1">
        <v>82.0</v>
      </c>
      <c r="Q548" s="1">
        <v>16.0</v>
      </c>
    </row>
    <row r="549">
      <c r="A549" s="1">
        <f t="shared" si="1"/>
        <v>547</v>
      </c>
      <c r="B549" s="1" t="s">
        <v>2500</v>
      </c>
      <c r="C549" s="1" t="s">
        <v>1044</v>
      </c>
      <c r="D549" s="1" t="s">
        <v>5</v>
      </c>
      <c r="E549" s="1">
        <f t="shared" si="2"/>
        <v>107.4</v>
      </c>
      <c r="F549" s="1">
        <f t="shared" si="3"/>
        <v>4.48</v>
      </c>
      <c r="G549" s="1">
        <v>24.0</v>
      </c>
      <c r="R549" s="1">
        <v>5.0</v>
      </c>
      <c r="S549" s="1">
        <v>70.0</v>
      </c>
      <c r="T549" s="1">
        <v>658.0</v>
      </c>
      <c r="U549" s="1">
        <v>0.0</v>
      </c>
    </row>
    <row r="550">
      <c r="A550" s="1">
        <f t="shared" si="1"/>
        <v>548</v>
      </c>
      <c r="B550" s="1" t="s">
        <v>2596</v>
      </c>
      <c r="C550" s="1" t="s">
        <v>1570</v>
      </c>
      <c r="D550" s="1" t="s">
        <v>66</v>
      </c>
      <c r="E550" s="1">
        <f t="shared" si="2"/>
        <v>107.25</v>
      </c>
      <c r="F550" s="1">
        <f t="shared" si="3"/>
        <v>2.19</v>
      </c>
      <c r="G550" s="1">
        <v>49.0</v>
      </c>
      <c r="H550" s="1">
        <v>1.0</v>
      </c>
      <c r="I550" s="1">
        <v>3.0</v>
      </c>
      <c r="J550" s="1">
        <v>4.0</v>
      </c>
      <c r="K550" s="1">
        <v>39.0</v>
      </c>
      <c r="L550" s="1">
        <v>0.0</v>
      </c>
      <c r="M550" s="1">
        <v>0.0</v>
      </c>
      <c r="N550" s="1">
        <v>0.0</v>
      </c>
      <c r="O550" s="1">
        <v>1.0</v>
      </c>
      <c r="P550" s="1">
        <v>97.0</v>
      </c>
      <c r="Q550" s="1">
        <v>96.0</v>
      </c>
    </row>
    <row r="551">
      <c r="A551" s="1">
        <f t="shared" si="1"/>
        <v>549</v>
      </c>
      <c r="B551" s="1" t="s">
        <v>2342</v>
      </c>
      <c r="C551" s="1" t="s">
        <v>1085</v>
      </c>
      <c r="D551" s="1" t="s">
        <v>66</v>
      </c>
      <c r="E551" s="1">
        <f t="shared" si="2"/>
        <v>106.5</v>
      </c>
      <c r="F551" s="1">
        <f t="shared" si="3"/>
        <v>1.87</v>
      </c>
      <c r="G551" s="1">
        <v>57.0</v>
      </c>
      <c r="H551" s="1">
        <v>2.0</v>
      </c>
      <c r="I551" s="1">
        <v>6.0</v>
      </c>
      <c r="J551" s="1">
        <v>8.0</v>
      </c>
      <c r="K551" s="1">
        <v>63.0</v>
      </c>
      <c r="L551" s="1">
        <v>0.0</v>
      </c>
      <c r="M551" s="1">
        <v>0.0</v>
      </c>
      <c r="N551" s="1">
        <v>1.0</v>
      </c>
      <c r="O551" s="1">
        <v>0.0</v>
      </c>
      <c r="P551" s="1">
        <v>34.0</v>
      </c>
      <c r="Q551" s="1">
        <v>75.0</v>
      </c>
    </row>
    <row r="552">
      <c r="A552" s="1">
        <f t="shared" si="1"/>
        <v>550</v>
      </c>
      <c r="B552" s="1" t="s">
        <v>1179</v>
      </c>
      <c r="C552" s="1" t="s">
        <v>1040</v>
      </c>
      <c r="D552" s="1" t="s">
        <v>5</v>
      </c>
      <c r="E552" s="1">
        <f t="shared" si="2"/>
        <v>105</v>
      </c>
      <c r="F552" s="1">
        <f t="shared" si="3"/>
        <v>8.75</v>
      </c>
      <c r="G552" s="1">
        <v>12.0</v>
      </c>
      <c r="R552" s="1">
        <v>10.0</v>
      </c>
      <c r="S552" s="1">
        <v>29.0</v>
      </c>
      <c r="T552" s="1">
        <v>395.0</v>
      </c>
      <c r="U552" s="1">
        <v>0.0</v>
      </c>
    </row>
    <row r="553">
      <c r="A553" s="1">
        <f t="shared" si="1"/>
        <v>551</v>
      </c>
      <c r="B553" s="1" t="s">
        <v>1554</v>
      </c>
      <c r="C553" s="1" t="s">
        <v>1082</v>
      </c>
      <c r="D553" s="1" t="s">
        <v>66</v>
      </c>
      <c r="E553" s="1">
        <f t="shared" si="2"/>
        <v>104.75</v>
      </c>
      <c r="F553" s="1">
        <f t="shared" si="3"/>
        <v>1.54</v>
      </c>
      <c r="G553" s="1">
        <v>68.0</v>
      </c>
      <c r="H553" s="1">
        <v>0.0</v>
      </c>
      <c r="I553" s="1">
        <v>8.0</v>
      </c>
      <c r="J553" s="1">
        <v>8.0</v>
      </c>
      <c r="K553" s="1">
        <v>61.0</v>
      </c>
      <c r="L553" s="1">
        <v>0.0</v>
      </c>
      <c r="M553" s="1">
        <v>1.0</v>
      </c>
      <c r="N553" s="1">
        <v>0.0</v>
      </c>
      <c r="O553" s="1">
        <v>0.0</v>
      </c>
      <c r="P553" s="1">
        <v>59.0</v>
      </c>
      <c r="Q553" s="1">
        <v>71.0</v>
      </c>
    </row>
    <row r="554">
      <c r="A554" s="1">
        <f t="shared" si="1"/>
        <v>552</v>
      </c>
      <c r="B554" s="1" t="s">
        <v>2313</v>
      </c>
      <c r="C554" s="1" t="s">
        <v>1067</v>
      </c>
      <c r="D554" s="1" t="s">
        <v>31</v>
      </c>
      <c r="E554" s="1">
        <f t="shared" si="2"/>
        <v>103.25</v>
      </c>
      <c r="F554" s="1">
        <f t="shared" si="3"/>
        <v>2.11</v>
      </c>
      <c r="G554" s="1">
        <v>49.0</v>
      </c>
      <c r="H554" s="1">
        <v>5.0</v>
      </c>
      <c r="I554" s="1">
        <v>10.0</v>
      </c>
      <c r="J554" s="1">
        <v>15.0</v>
      </c>
      <c r="K554" s="1">
        <v>61.0</v>
      </c>
      <c r="L554" s="1">
        <v>0.0</v>
      </c>
      <c r="M554" s="1">
        <v>1.0</v>
      </c>
      <c r="N554" s="1">
        <v>0.0</v>
      </c>
      <c r="O554" s="1">
        <v>0.0</v>
      </c>
      <c r="P554" s="1">
        <v>49.0</v>
      </c>
      <c r="Q554" s="1">
        <v>16.0</v>
      </c>
    </row>
    <row r="555">
      <c r="A555" s="1">
        <f t="shared" si="1"/>
        <v>553</v>
      </c>
      <c r="B555" s="1" t="s">
        <v>2124</v>
      </c>
      <c r="C555" s="1" t="s">
        <v>1175</v>
      </c>
      <c r="D555" s="1" t="s">
        <v>66</v>
      </c>
      <c r="E555" s="1">
        <f t="shared" si="2"/>
        <v>102.75</v>
      </c>
      <c r="F555" s="1">
        <f t="shared" si="3"/>
        <v>2.14</v>
      </c>
      <c r="G555" s="1">
        <v>48.0</v>
      </c>
      <c r="H555" s="1">
        <v>2.0</v>
      </c>
      <c r="I555" s="1">
        <v>7.0</v>
      </c>
      <c r="J555" s="1">
        <v>9.0</v>
      </c>
      <c r="K555" s="1">
        <v>40.0</v>
      </c>
      <c r="L555" s="1">
        <v>0.0</v>
      </c>
      <c r="M555" s="1">
        <v>0.0</v>
      </c>
      <c r="N555" s="1">
        <v>0.0</v>
      </c>
      <c r="O555" s="1">
        <v>0.0</v>
      </c>
      <c r="P555" s="1">
        <v>91.0</v>
      </c>
      <c r="Q555" s="1">
        <v>60.0</v>
      </c>
    </row>
    <row r="556">
      <c r="A556" s="1">
        <f t="shared" si="1"/>
        <v>554</v>
      </c>
      <c r="B556" s="1" t="s">
        <v>2067</v>
      </c>
      <c r="C556" s="1" t="s">
        <v>1097</v>
      </c>
      <c r="D556" s="1" t="s">
        <v>66</v>
      </c>
      <c r="E556" s="1">
        <f t="shared" si="2"/>
        <v>102.5</v>
      </c>
      <c r="F556" s="1">
        <f t="shared" si="3"/>
        <v>2.01</v>
      </c>
      <c r="G556" s="1">
        <v>51.0</v>
      </c>
      <c r="H556" s="1">
        <v>4.0</v>
      </c>
      <c r="I556" s="1">
        <v>7.0</v>
      </c>
      <c r="J556" s="1">
        <v>11.0</v>
      </c>
      <c r="K556" s="1">
        <v>57.0</v>
      </c>
      <c r="L556" s="1">
        <v>0.0</v>
      </c>
      <c r="M556" s="1">
        <v>1.0</v>
      </c>
      <c r="N556" s="1">
        <v>0.0</v>
      </c>
      <c r="O556" s="1">
        <v>0.0</v>
      </c>
      <c r="P556" s="1">
        <v>20.0</v>
      </c>
      <c r="Q556" s="1">
        <v>60.0</v>
      </c>
    </row>
    <row r="557">
      <c r="A557" s="1">
        <f t="shared" si="1"/>
        <v>555</v>
      </c>
      <c r="B557" s="1" t="s">
        <v>2597</v>
      </c>
      <c r="C557" s="1" t="s">
        <v>1570</v>
      </c>
      <c r="D557" s="1" t="s">
        <v>66</v>
      </c>
      <c r="E557" s="1">
        <f t="shared" si="2"/>
        <v>102</v>
      </c>
      <c r="F557" s="1">
        <f t="shared" si="3"/>
        <v>2.49</v>
      </c>
      <c r="G557" s="1">
        <v>41.0</v>
      </c>
      <c r="H557" s="1">
        <v>0.0</v>
      </c>
      <c r="I557" s="1">
        <v>4.0</v>
      </c>
      <c r="J557" s="1">
        <v>4.0</v>
      </c>
      <c r="K557" s="1">
        <v>34.0</v>
      </c>
      <c r="L557" s="1">
        <v>0.0</v>
      </c>
      <c r="M557" s="1">
        <v>0.0</v>
      </c>
      <c r="N557" s="1">
        <v>0.0</v>
      </c>
      <c r="O557" s="1">
        <v>0.0</v>
      </c>
      <c r="P557" s="1">
        <v>104.0</v>
      </c>
      <c r="Q557" s="1">
        <v>94.0</v>
      </c>
    </row>
    <row r="558">
      <c r="A558" s="1">
        <f t="shared" si="1"/>
        <v>555</v>
      </c>
      <c r="B558" s="1" t="s">
        <v>1237</v>
      </c>
      <c r="C558" s="1" t="s">
        <v>1091</v>
      </c>
      <c r="D558" s="1" t="s">
        <v>66</v>
      </c>
      <c r="E558" s="1">
        <f t="shared" si="2"/>
        <v>102</v>
      </c>
      <c r="F558" s="1">
        <f t="shared" si="3"/>
        <v>2.43</v>
      </c>
      <c r="G558" s="1">
        <v>42.0</v>
      </c>
      <c r="H558" s="1">
        <v>5.0</v>
      </c>
      <c r="I558" s="1">
        <v>7.0</v>
      </c>
      <c r="J558" s="1">
        <v>12.0</v>
      </c>
      <c r="K558" s="1">
        <v>73.0</v>
      </c>
      <c r="L558" s="1">
        <v>1.0</v>
      </c>
      <c r="M558" s="1">
        <v>4.0</v>
      </c>
      <c r="N558" s="1">
        <v>0.0</v>
      </c>
      <c r="O558" s="1">
        <v>0.0</v>
      </c>
      <c r="P558" s="1">
        <v>14.0</v>
      </c>
      <c r="Q558" s="1">
        <v>37.0</v>
      </c>
    </row>
    <row r="559">
      <c r="A559" s="1">
        <f t="shared" si="1"/>
        <v>555</v>
      </c>
      <c r="B559" s="1" t="s">
        <v>2214</v>
      </c>
      <c r="C559" s="1" t="s">
        <v>1065</v>
      </c>
      <c r="D559" s="1" t="s">
        <v>66</v>
      </c>
      <c r="E559" s="1">
        <f t="shared" si="2"/>
        <v>102</v>
      </c>
      <c r="F559" s="1">
        <f t="shared" si="3"/>
        <v>1.7</v>
      </c>
      <c r="G559" s="1">
        <v>60.0</v>
      </c>
      <c r="H559" s="1">
        <v>2.0</v>
      </c>
      <c r="I559" s="1">
        <v>9.0</v>
      </c>
      <c r="J559" s="1">
        <v>11.0</v>
      </c>
      <c r="K559" s="1">
        <v>58.0</v>
      </c>
      <c r="L559" s="1">
        <v>0.0</v>
      </c>
      <c r="M559" s="1">
        <v>0.0</v>
      </c>
      <c r="N559" s="1">
        <v>0.0</v>
      </c>
      <c r="O559" s="1">
        <v>0.0</v>
      </c>
      <c r="P559" s="1">
        <v>34.0</v>
      </c>
      <c r="Q559" s="1">
        <v>57.0</v>
      </c>
    </row>
    <row r="560">
      <c r="A560" s="1">
        <f t="shared" si="1"/>
        <v>555</v>
      </c>
      <c r="B560" s="1" t="s">
        <v>2598</v>
      </c>
      <c r="C560" s="1" t="s">
        <v>1570</v>
      </c>
      <c r="D560" s="1" t="s">
        <v>31</v>
      </c>
      <c r="E560" s="1">
        <f t="shared" si="2"/>
        <v>102</v>
      </c>
      <c r="F560" s="1">
        <f t="shared" si="3"/>
        <v>1.67</v>
      </c>
      <c r="G560" s="1">
        <v>61.0</v>
      </c>
      <c r="H560" s="1">
        <v>6.0</v>
      </c>
      <c r="I560" s="1">
        <v>6.0</v>
      </c>
      <c r="J560" s="1">
        <v>12.0</v>
      </c>
      <c r="K560" s="1">
        <v>56.0</v>
      </c>
      <c r="L560" s="1">
        <v>0.0</v>
      </c>
      <c r="M560" s="1">
        <v>0.0</v>
      </c>
      <c r="N560" s="1">
        <v>0.0</v>
      </c>
      <c r="O560" s="1">
        <v>0.0</v>
      </c>
      <c r="P560" s="1">
        <v>38.0</v>
      </c>
      <c r="Q560" s="1">
        <v>39.0</v>
      </c>
    </row>
    <row r="561">
      <c r="A561" s="1">
        <f t="shared" si="1"/>
        <v>559</v>
      </c>
      <c r="B561" s="1" t="s">
        <v>2599</v>
      </c>
      <c r="C561" s="1" t="s">
        <v>1570</v>
      </c>
      <c r="D561" s="1" t="s">
        <v>66</v>
      </c>
      <c r="E561" s="1">
        <f t="shared" si="2"/>
        <v>101.5</v>
      </c>
      <c r="F561" s="1">
        <f t="shared" si="3"/>
        <v>1.81</v>
      </c>
      <c r="G561" s="1">
        <v>56.0</v>
      </c>
      <c r="H561" s="1">
        <v>1.0</v>
      </c>
      <c r="I561" s="1">
        <v>8.0</v>
      </c>
      <c r="J561" s="1">
        <v>9.0</v>
      </c>
      <c r="K561" s="1">
        <v>53.0</v>
      </c>
      <c r="L561" s="1">
        <v>0.0</v>
      </c>
      <c r="M561" s="1">
        <v>0.0</v>
      </c>
      <c r="N561" s="1">
        <v>0.0</v>
      </c>
      <c r="O561" s="1">
        <v>1.0</v>
      </c>
      <c r="P561" s="1">
        <v>42.0</v>
      </c>
      <c r="Q561" s="1">
        <v>68.0</v>
      </c>
    </row>
    <row r="562">
      <c r="A562" s="1">
        <f t="shared" si="1"/>
        <v>559</v>
      </c>
      <c r="B562" s="1" t="s">
        <v>2600</v>
      </c>
      <c r="C562" s="1" t="s">
        <v>1172</v>
      </c>
      <c r="D562" s="1" t="s">
        <v>31</v>
      </c>
      <c r="E562" s="1">
        <f t="shared" si="2"/>
        <v>101.5</v>
      </c>
      <c r="F562" s="1">
        <f t="shared" si="3"/>
        <v>2.03</v>
      </c>
      <c r="G562" s="1">
        <v>50.0</v>
      </c>
      <c r="H562" s="1">
        <v>4.0</v>
      </c>
      <c r="I562" s="1">
        <v>7.0</v>
      </c>
      <c r="J562" s="1">
        <v>11.0</v>
      </c>
      <c r="K562" s="1">
        <v>43.0</v>
      </c>
      <c r="L562" s="1">
        <v>0.0</v>
      </c>
      <c r="M562" s="1">
        <v>0.0</v>
      </c>
      <c r="N562" s="1">
        <v>1.0</v>
      </c>
      <c r="O562" s="1">
        <v>1.0</v>
      </c>
      <c r="P562" s="1">
        <v>112.0</v>
      </c>
      <c r="Q562" s="1">
        <v>18.0</v>
      </c>
    </row>
    <row r="563">
      <c r="A563" s="1">
        <f t="shared" si="1"/>
        <v>561</v>
      </c>
      <c r="B563" s="1" t="s">
        <v>1816</v>
      </c>
      <c r="C563" s="1" t="s">
        <v>1078</v>
      </c>
      <c r="D563" s="1" t="s">
        <v>66</v>
      </c>
      <c r="E563" s="1">
        <f t="shared" si="2"/>
        <v>101.25</v>
      </c>
      <c r="F563" s="1">
        <f t="shared" si="3"/>
        <v>2.25</v>
      </c>
      <c r="G563" s="1">
        <v>45.0</v>
      </c>
      <c r="H563" s="1">
        <v>3.0</v>
      </c>
      <c r="I563" s="1">
        <v>5.0</v>
      </c>
      <c r="J563" s="1">
        <v>8.0</v>
      </c>
      <c r="K563" s="1">
        <v>51.0</v>
      </c>
      <c r="L563" s="1">
        <v>0.0</v>
      </c>
      <c r="M563" s="1">
        <v>0.0</v>
      </c>
      <c r="N563" s="1">
        <v>0.0</v>
      </c>
      <c r="O563" s="1">
        <v>1.0</v>
      </c>
      <c r="P563" s="1">
        <v>95.0</v>
      </c>
      <c r="Q563" s="1">
        <v>43.0</v>
      </c>
    </row>
    <row r="564">
      <c r="A564" s="1">
        <f t="shared" si="1"/>
        <v>562</v>
      </c>
      <c r="B564" s="1" t="s">
        <v>1780</v>
      </c>
      <c r="C564" s="1" t="s">
        <v>1040</v>
      </c>
      <c r="D564" s="1" t="s">
        <v>31</v>
      </c>
      <c r="E564" s="1">
        <f t="shared" si="2"/>
        <v>100.5</v>
      </c>
      <c r="F564" s="1">
        <f t="shared" si="3"/>
        <v>2.05</v>
      </c>
      <c r="G564" s="1">
        <v>49.0</v>
      </c>
      <c r="H564" s="1">
        <v>4.0</v>
      </c>
      <c r="I564" s="1">
        <v>5.0</v>
      </c>
      <c r="J564" s="1">
        <v>9.0</v>
      </c>
      <c r="K564" s="1">
        <v>59.0</v>
      </c>
      <c r="L564" s="1">
        <v>0.0</v>
      </c>
      <c r="M564" s="1">
        <v>0.0</v>
      </c>
      <c r="N564" s="1">
        <v>2.0</v>
      </c>
      <c r="O564" s="1">
        <v>1.0</v>
      </c>
      <c r="P564" s="1">
        <v>64.0</v>
      </c>
      <c r="Q564" s="1">
        <v>32.0</v>
      </c>
    </row>
    <row r="565">
      <c r="A565" s="1">
        <f t="shared" si="1"/>
        <v>563</v>
      </c>
      <c r="B565" s="1" t="s">
        <v>1616</v>
      </c>
      <c r="C565" s="1" t="s">
        <v>1172</v>
      </c>
      <c r="D565" s="1" t="s">
        <v>66</v>
      </c>
      <c r="E565" s="1">
        <f t="shared" si="2"/>
        <v>100.25</v>
      </c>
      <c r="F565" s="1">
        <f t="shared" si="3"/>
        <v>3.46</v>
      </c>
      <c r="G565" s="1">
        <v>29.0</v>
      </c>
      <c r="H565" s="1">
        <v>1.0</v>
      </c>
      <c r="I565" s="1">
        <v>5.0</v>
      </c>
      <c r="J565" s="1">
        <v>6.0</v>
      </c>
      <c r="K565" s="1">
        <v>42.0</v>
      </c>
      <c r="L565" s="1">
        <v>0.0</v>
      </c>
      <c r="M565" s="1">
        <v>0.0</v>
      </c>
      <c r="N565" s="1">
        <v>0.0</v>
      </c>
      <c r="O565" s="1">
        <v>0.0</v>
      </c>
      <c r="P565" s="1">
        <v>93.0</v>
      </c>
      <c r="Q565" s="1">
        <v>73.0</v>
      </c>
    </row>
    <row r="566">
      <c r="A566" s="1">
        <f t="shared" si="1"/>
        <v>564</v>
      </c>
      <c r="B566" s="1" t="s">
        <v>2351</v>
      </c>
      <c r="C566" s="1" t="s">
        <v>1570</v>
      </c>
      <c r="D566" s="1" t="s">
        <v>66</v>
      </c>
      <c r="E566" s="1">
        <f t="shared" si="2"/>
        <v>100</v>
      </c>
      <c r="F566" s="1">
        <f t="shared" si="3"/>
        <v>2.38</v>
      </c>
      <c r="G566" s="1">
        <v>42.0</v>
      </c>
      <c r="H566" s="1">
        <v>1.0</v>
      </c>
      <c r="I566" s="1">
        <v>9.0</v>
      </c>
      <c r="J566" s="1">
        <v>10.0</v>
      </c>
      <c r="K566" s="1">
        <v>47.0</v>
      </c>
      <c r="L566" s="1">
        <v>0.0</v>
      </c>
      <c r="M566" s="1">
        <v>0.0</v>
      </c>
      <c r="N566" s="1">
        <v>0.0</v>
      </c>
      <c r="O566" s="1">
        <v>0.0</v>
      </c>
      <c r="P566" s="1">
        <v>64.0</v>
      </c>
      <c r="Q566" s="1">
        <v>58.0</v>
      </c>
    </row>
    <row r="567">
      <c r="A567" s="1">
        <f t="shared" si="1"/>
        <v>565</v>
      </c>
      <c r="B567" s="1" t="s">
        <v>1750</v>
      </c>
      <c r="C567" s="1" t="s">
        <v>1172</v>
      </c>
      <c r="D567" s="1" t="s">
        <v>66</v>
      </c>
      <c r="E567" s="1">
        <f t="shared" si="2"/>
        <v>99.75</v>
      </c>
      <c r="F567" s="1">
        <f t="shared" si="3"/>
        <v>2.43</v>
      </c>
      <c r="G567" s="1">
        <v>41.0</v>
      </c>
      <c r="H567" s="1">
        <v>4.0</v>
      </c>
      <c r="I567" s="1">
        <v>9.0</v>
      </c>
      <c r="J567" s="1">
        <v>13.0</v>
      </c>
      <c r="K567" s="1">
        <v>50.0</v>
      </c>
      <c r="L567" s="1">
        <v>0.0</v>
      </c>
      <c r="M567" s="1">
        <v>2.0</v>
      </c>
      <c r="N567" s="1">
        <v>0.0</v>
      </c>
      <c r="O567" s="1">
        <v>0.0</v>
      </c>
      <c r="P567" s="1">
        <v>33.0</v>
      </c>
      <c r="Q567" s="1">
        <v>43.0</v>
      </c>
    </row>
    <row r="568">
      <c r="A568" s="1">
        <f t="shared" si="1"/>
        <v>565</v>
      </c>
      <c r="B568" s="1" t="s">
        <v>2601</v>
      </c>
      <c r="C568" s="1" t="s">
        <v>1570</v>
      </c>
      <c r="D568" s="1" t="s">
        <v>66</v>
      </c>
      <c r="E568" s="1">
        <f t="shared" si="2"/>
        <v>99.75</v>
      </c>
      <c r="F568" s="1">
        <f t="shared" si="3"/>
        <v>2</v>
      </c>
      <c r="G568" s="1">
        <v>50.0</v>
      </c>
      <c r="H568" s="1">
        <v>2.0</v>
      </c>
      <c r="I568" s="1">
        <v>5.0</v>
      </c>
      <c r="J568" s="1">
        <v>7.0</v>
      </c>
      <c r="K568" s="1">
        <v>29.0</v>
      </c>
      <c r="L568" s="1">
        <v>0.0</v>
      </c>
      <c r="M568" s="1">
        <v>1.0</v>
      </c>
      <c r="N568" s="1">
        <v>0.0</v>
      </c>
      <c r="O568" s="1">
        <v>0.0</v>
      </c>
      <c r="P568" s="1">
        <v>63.0</v>
      </c>
      <c r="Q568" s="1">
        <v>91.0</v>
      </c>
    </row>
    <row r="569">
      <c r="A569" s="1">
        <f t="shared" si="1"/>
        <v>567</v>
      </c>
      <c r="B569" s="1" t="s">
        <v>1962</v>
      </c>
      <c r="C569" s="1" t="s">
        <v>1106</v>
      </c>
      <c r="D569" s="1" t="s">
        <v>28</v>
      </c>
      <c r="E569" s="1">
        <f t="shared" si="2"/>
        <v>99</v>
      </c>
      <c r="F569" s="1">
        <f t="shared" si="3"/>
        <v>1.94</v>
      </c>
      <c r="G569" s="1">
        <v>51.0</v>
      </c>
      <c r="H569" s="1">
        <v>7.0</v>
      </c>
      <c r="I569" s="1">
        <v>3.0</v>
      </c>
      <c r="J569" s="1">
        <v>10.0</v>
      </c>
      <c r="K569" s="1">
        <v>63.0</v>
      </c>
      <c r="L569" s="1">
        <v>0.0</v>
      </c>
      <c r="M569" s="1">
        <v>0.0</v>
      </c>
      <c r="N569" s="1">
        <v>0.0</v>
      </c>
      <c r="O569" s="1">
        <v>0.0</v>
      </c>
      <c r="P569" s="1">
        <v>82.0</v>
      </c>
      <c r="Q569" s="1">
        <v>13.0</v>
      </c>
    </row>
    <row r="570">
      <c r="A570" s="1">
        <f t="shared" si="1"/>
        <v>567</v>
      </c>
      <c r="B570" s="1" t="s">
        <v>2478</v>
      </c>
      <c r="C570" s="1" t="s">
        <v>1067</v>
      </c>
      <c r="D570" s="1" t="s">
        <v>36</v>
      </c>
      <c r="E570" s="1">
        <f t="shared" si="2"/>
        <v>99</v>
      </c>
      <c r="F570" s="1">
        <f t="shared" si="3"/>
        <v>1.8</v>
      </c>
      <c r="G570" s="1">
        <v>55.0</v>
      </c>
      <c r="H570" s="1">
        <v>4.0</v>
      </c>
      <c r="I570" s="1">
        <v>6.0</v>
      </c>
      <c r="J570" s="1">
        <v>10.0</v>
      </c>
      <c r="K570" s="1">
        <v>77.0</v>
      </c>
      <c r="L570" s="1">
        <v>0.0</v>
      </c>
      <c r="M570" s="1">
        <v>0.0</v>
      </c>
      <c r="N570" s="1">
        <v>1.0</v>
      </c>
      <c r="O570" s="1">
        <v>1.0</v>
      </c>
      <c r="P570" s="1">
        <v>30.0</v>
      </c>
      <c r="Q570" s="1">
        <v>26.0</v>
      </c>
    </row>
    <row r="571">
      <c r="A571" s="1">
        <f t="shared" si="1"/>
        <v>569</v>
      </c>
      <c r="B571" s="1" t="s">
        <v>2499</v>
      </c>
      <c r="C571" s="1" t="s">
        <v>1034</v>
      </c>
      <c r="D571" s="1" t="s">
        <v>5</v>
      </c>
      <c r="E571" s="1">
        <f t="shared" si="2"/>
        <v>98.7</v>
      </c>
      <c r="F571" s="1">
        <f t="shared" si="3"/>
        <v>5.48</v>
      </c>
      <c r="G571" s="1">
        <v>18.0</v>
      </c>
      <c r="R571" s="1">
        <v>8.0</v>
      </c>
      <c r="S571" s="1">
        <v>52.0</v>
      </c>
      <c r="T571" s="1">
        <v>499.0</v>
      </c>
      <c r="U571" s="1">
        <v>1.0</v>
      </c>
    </row>
    <row r="572">
      <c r="A572" s="1">
        <f t="shared" si="1"/>
        <v>570</v>
      </c>
      <c r="B572" s="1" t="s">
        <v>1612</v>
      </c>
      <c r="C572" s="1" t="s">
        <v>1044</v>
      </c>
      <c r="D572" s="1" t="s">
        <v>66</v>
      </c>
      <c r="E572" s="1">
        <f t="shared" si="2"/>
        <v>98.25</v>
      </c>
      <c r="F572" s="1">
        <f t="shared" si="3"/>
        <v>1.75</v>
      </c>
      <c r="G572" s="1">
        <v>56.0</v>
      </c>
      <c r="H572" s="1">
        <v>3.0</v>
      </c>
      <c r="I572" s="1">
        <v>5.0</v>
      </c>
      <c r="J572" s="1">
        <v>8.0</v>
      </c>
      <c r="K572" s="1">
        <v>48.0</v>
      </c>
      <c r="L572" s="1">
        <v>0.0</v>
      </c>
      <c r="M572" s="1">
        <v>0.0</v>
      </c>
      <c r="N572" s="1">
        <v>0.0</v>
      </c>
      <c r="O572" s="1">
        <v>0.0</v>
      </c>
      <c r="P572" s="1">
        <v>77.0</v>
      </c>
      <c r="Q572" s="1">
        <v>53.0</v>
      </c>
    </row>
    <row r="573">
      <c r="A573" s="1">
        <f t="shared" si="1"/>
        <v>571</v>
      </c>
      <c r="B573" s="1" t="s">
        <v>1357</v>
      </c>
      <c r="C573" s="1" t="s">
        <v>1175</v>
      </c>
      <c r="D573" s="1" t="s">
        <v>31</v>
      </c>
      <c r="E573" s="1">
        <f t="shared" si="2"/>
        <v>98</v>
      </c>
      <c r="F573" s="1">
        <f t="shared" si="3"/>
        <v>2.45</v>
      </c>
      <c r="G573" s="1">
        <v>40.0</v>
      </c>
      <c r="H573" s="1">
        <v>7.0</v>
      </c>
      <c r="I573" s="1">
        <v>2.0</v>
      </c>
      <c r="J573" s="1">
        <v>9.0</v>
      </c>
      <c r="K573" s="1">
        <v>67.0</v>
      </c>
      <c r="L573" s="1">
        <v>1.0</v>
      </c>
      <c r="M573" s="1">
        <v>0.0</v>
      </c>
      <c r="N573" s="1">
        <v>0.0</v>
      </c>
      <c r="O573" s="1">
        <v>0.0</v>
      </c>
      <c r="P573" s="1">
        <v>74.0</v>
      </c>
      <c r="Q573" s="1">
        <v>17.0</v>
      </c>
    </row>
    <row r="574">
      <c r="A574" s="1">
        <f t="shared" si="1"/>
        <v>571</v>
      </c>
      <c r="B574" s="1" t="s">
        <v>1753</v>
      </c>
      <c r="C574" s="1" t="s">
        <v>1120</v>
      </c>
      <c r="D574" s="1" t="s">
        <v>31</v>
      </c>
      <c r="E574" s="1">
        <f t="shared" si="2"/>
        <v>98</v>
      </c>
      <c r="F574" s="1">
        <f t="shared" si="3"/>
        <v>2.33</v>
      </c>
      <c r="G574" s="1">
        <v>42.0</v>
      </c>
      <c r="H574" s="1">
        <v>6.0</v>
      </c>
      <c r="I574" s="1">
        <v>7.0</v>
      </c>
      <c r="J574" s="1">
        <v>13.0</v>
      </c>
      <c r="K574" s="1">
        <v>79.0</v>
      </c>
      <c r="L574" s="1">
        <v>2.0</v>
      </c>
      <c r="M574" s="1">
        <v>1.0</v>
      </c>
      <c r="N574" s="1">
        <v>0.0</v>
      </c>
      <c r="O574" s="1">
        <v>0.0</v>
      </c>
      <c r="P574" s="1">
        <v>22.0</v>
      </c>
      <c r="Q574" s="1">
        <v>10.0</v>
      </c>
    </row>
    <row r="575">
      <c r="A575" s="1">
        <f t="shared" si="1"/>
        <v>571</v>
      </c>
      <c r="B575" s="1" t="s">
        <v>1523</v>
      </c>
      <c r="C575" s="1" t="s">
        <v>1040</v>
      </c>
      <c r="D575" s="1" t="s">
        <v>66</v>
      </c>
      <c r="E575" s="1">
        <f t="shared" si="2"/>
        <v>98</v>
      </c>
      <c r="F575" s="1">
        <f t="shared" si="3"/>
        <v>1.58</v>
      </c>
      <c r="G575" s="1">
        <v>62.0</v>
      </c>
      <c r="H575" s="1">
        <v>3.0</v>
      </c>
      <c r="I575" s="1">
        <v>5.0</v>
      </c>
      <c r="J575" s="1">
        <v>8.0</v>
      </c>
      <c r="K575" s="1">
        <v>45.0</v>
      </c>
      <c r="L575" s="1">
        <v>0.0</v>
      </c>
      <c r="M575" s="1">
        <v>0.0</v>
      </c>
      <c r="N575" s="1">
        <v>1.0</v>
      </c>
      <c r="O575" s="1">
        <v>1.0</v>
      </c>
      <c r="P575" s="1">
        <v>90.0</v>
      </c>
      <c r="Q575" s="1">
        <v>41.0</v>
      </c>
    </row>
    <row r="576">
      <c r="A576" s="1">
        <f t="shared" si="1"/>
        <v>574</v>
      </c>
      <c r="B576" s="1" t="s">
        <v>1401</v>
      </c>
      <c r="C576" s="1" t="s">
        <v>1087</v>
      </c>
      <c r="D576" s="1" t="s">
        <v>36</v>
      </c>
      <c r="E576" s="1">
        <f t="shared" si="2"/>
        <v>97.75</v>
      </c>
      <c r="F576" s="1">
        <f t="shared" si="3"/>
        <v>2.64</v>
      </c>
      <c r="G576" s="1">
        <v>37.0</v>
      </c>
      <c r="H576" s="1">
        <v>3.0</v>
      </c>
      <c r="I576" s="1">
        <v>4.0</v>
      </c>
      <c r="J576" s="1">
        <v>7.0</v>
      </c>
      <c r="K576" s="1">
        <v>35.0</v>
      </c>
      <c r="L576" s="1">
        <v>0.0</v>
      </c>
      <c r="M576" s="1">
        <v>0.0</v>
      </c>
      <c r="N576" s="1">
        <v>1.0</v>
      </c>
      <c r="O576" s="1">
        <v>1.0</v>
      </c>
      <c r="P576" s="1">
        <v>127.0</v>
      </c>
      <c r="Q576" s="1">
        <v>38.0</v>
      </c>
    </row>
    <row r="577">
      <c r="A577" s="1">
        <f t="shared" si="1"/>
        <v>575</v>
      </c>
      <c r="B577" s="1" t="s">
        <v>1843</v>
      </c>
      <c r="C577" s="1" t="s">
        <v>1120</v>
      </c>
      <c r="D577" s="1" t="s">
        <v>28</v>
      </c>
      <c r="E577" s="1">
        <f t="shared" si="2"/>
        <v>97.5</v>
      </c>
      <c r="F577" s="1">
        <f t="shared" si="3"/>
        <v>1.74</v>
      </c>
      <c r="G577" s="1">
        <v>56.0</v>
      </c>
      <c r="H577" s="1">
        <v>2.0</v>
      </c>
      <c r="I577" s="1">
        <v>3.0</v>
      </c>
      <c r="J577" s="1">
        <v>5.0</v>
      </c>
      <c r="K577" s="1">
        <v>63.0</v>
      </c>
      <c r="L577" s="1">
        <v>0.0</v>
      </c>
      <c r="M577" s="1">
        <v>0.0</v>
      </c>
      <c r="N577" s="1">
        <v>0.0</v>
      </c>
      <c r="O577" s="1">
        <v>0.0</v>
      </c>
      <c r="P577" s="1">
        <v>142.0</v>
      </c>
      <c r="Q577" s="1">
        <v>25.0</v>
      </c>
    </row>
    <row r="578">
      <c r="A578" s="1">
        <f t="shared" si="1"/>
        <v>575</v>
      </c>
      <c r="B578" s="1" t="s">
        <v>1377</v>
      </c>
      <c r="C578" s="1" t="s">
        <v>1073</v>
      </c>
      <c r="D578" s="1" t="s">
        <v>28</v>
      </c>
      <c r="E578" s="1">
        <f t="shared" si="2"/>
        <v>97.5</v>
      </c>
      <c r="F578" s="1">
        <f t="shared" si="3"/>
        <v>2.17</v>
      </c>
      <c r="G578" s="1">
        <v>45.0</v>
      </c>
      <c r="H578" s="1">
        <v>2.0</v>
      </c>
      <c r="I578" s="1">
        <v>11.0</v>
      </c>
      <c r="J578" s="1">
        <v>13.0</v>
      </c>
      <c r="K578" s="1">
        <v>44.0</v>
      </c>
      <c r="L578" s="1">
        <v>0.0</v>
      </c>
      <c r="M578" s="1">
        <v>0.0</v>
      </c>
      <c r="N578" s="1">
        <v>0.0</v>
      </c>
      <c r="O578" s="1">
        <v>2.0</v>
      </c>
      <c r="P578" s="1">
        <v>72.0</v>
      </c>
      <c r="Q578" s="1">
        <v>23.0</v>
      </c>
    </row>
    <row r="579">
      <c r="A579" s="1">
        <f t="shared" si="1"/>
        <v>577</v>
      </c>
      <c r="B579" s="1" t="s">
        <v>1624</v>
      </c>
      <c r="C579" s="1" t="s">
        <v>1046</v>
      </c>
      <c r="D579" s="1" t="s">
        <v>31</v>
      </c>
      <c r="E579" s="1">
        <f t="shared" si="2"/>
        <v>97</v>
      </c>
      <c r="F579" s="1">
        <f t="shared" si="3"/>
        <v>2.85</v>
      </c>
      <c r="G579" s="1">
        <v>34.0</v>
      </c>
      <c r="H579" s="1">
        <v>4.0</v>
      </c>
      <c r="I579" s="1">
        <v>4.0</v>
      </c>
      <c r="J579" s="1">
        <v>8.0</v>
      </c>
      <c r="K579" s="1">
        <v>38.0</v>
      </c>
      <c r="L579" s="1">
        <v>0.0</v>
      </c>
      <c r="M579" s="1">
        <v>0.0</v>
      </c>
      <c r="N579" s="1">
        <v>0.0</v>
      </c>
      <c r="O579" s="1">
        <v>0.0</v>
      </c>
      <c r="P579" s="1">
        <v>118.0</v>
      </c>
      <c r="Q579" s="1">
        <v>37.0</v>
      </c>
    </row>
    <row r="580">
      <c r="A580" s="1">
        <f t="shared" si="1"/>
        <v>578</v>
      </c>
      <c r="B580" s="1" t="s">
        <v>1470</v>
      </c>
      <c r="C580" s="1" t="s">
        <v>1111</v>
      </c>
      <c r="D580" s="1" t="s">
        <v>66</v>
      </c>
      <c r="E580" s="1">
        <f t="shared" si="2"/>
        <v>96.75</v>
      </c>
      <c r="F580" s="1">
        <f t="shared" si="3"/>
        <v>1.9</v>
      </c>
      <c r="G580" s="1">
        <v>51.0</v>
      </c>
      <c r="H580" s="1">
        <v>0.0</v>
      </c>
      <c r="I580" s="1">
        <v>4.0</v>
      </c>
      <c r="J580" s="1">
        <v>4.0</v>
      </c>
      <c r="K580" s="1">
        <v>41.0</v>
      </c>
      <c r="L580" s="1">
        <v>0.0</v>
      </c>
      <c r="M580" s="1">
        <v>0.0</v>
      </c>
      <c r="N580" s="1">
        <v>0.0</v>
      </c>
      <c r="O580" s="1">
        <v>0.0</v>
      </c>
      <c r="P580" s="1">
        <v>151.0</v>
      </c>
      <c r="Q580" s="1">
        <v>53.0</v>
      </c>
    </row>
    <row r="581">
      <c r="A581" s="1">
        <f t="shared" si="1"/>
        <v>579</v>
      </c>
      <c r="B581" s="1" t="s">
        <v>2447</v>
      </c>
      <c r="C581" s="1" t="s">
        <v>1087</v>
      </c>
      <c r="D581" s="1" t="s">
        <v>28</v>
      </c>
      <c r="E581" s="1">
        <f t="shared" si="2"/>
        <v>96.25</v>
      </c>
      <c r="F581" s="1">
        <f t="shared" si="3"/>
        <v>1.82</v>
      </c>
      <c r="G581" s="1">
        <v>53.0</v>
      </c>
      <c r="H581" s="1">
        <v>4.0</v>
      </c>
      <c r="I581" s="1">
        <v>6.0</v>
      </c>
      <c r="J581" s="1">
        <v>10.0</v>
      </c>
      <c r="K581" s="1">
        <v>59.0</v>
      </c>
      <c r="L581" s="1">
        <v>0.0</v>
      </c>
      <c r="M581" s="1">
        <v>0.0</v>
      </c>
      <c r="N581" s="1">
        <v>0.0</v>
      </c>
      <c r="O581" s="1">
        <v>0.0</v>
      </c>
      <c r="P581" s="1">
        <v>81.0</v>
      </c>
      <c r="Q581" s="1">
        <v>21.0</v>
      </c>
    </row>
    <row r="582">
      <c r="A582" s="1">
        <f t="shared" si="1"/>
        <v>580</v>
      </c>
      <c r="B582" s="1" t="s">
        <v>2395</v>
      </c>
      <c r="C582" s="1" t="s">
        <v>1570</v>
      </c>
      <c r="D582" s="1" t="s">
        <v>31</v>
      </c>
      <c r="E582" s="1">
        <f t="shared" si="2"/>
        <v>95.5</v>
      </c>
      <c r="F582" s="1">
        <f t="shared" si="3"/>
        <v>1.57</v>
      </c>
      <c r="G582" s="1">
        <v>61.0</v>
      </c>
      <c r="H582" s="1">
        <v>7.0</v>
      </c>
      <c r="I582" s="1">
        <v>5.0</v>
      </c>
      <c r="J582" s="1">
        <v>12.0</v>
      </c>
      <c r="K582" s="1">
        <v>42.0</v>
      </c>
      <c r="L582" s="1">
        <v>0.0</v>
      </c>
      <c r="M582" s="1">
        <v>0.0</v>
      </c>
      <c r="N582" s="1">
        <v>0.0</v>
      </c>
      <c r="O582" s="1">
        <v>0.0</v>
      </c>
      <c r="P582" s="1">
        <v>66.0</v>
      </c>
      <c r="Q582" s="1">
        <v>23.0</v>
      </c>
    </row>
    <row r="583">
      <c r="A583" s="1">
        <f t="shared" si="1"/>
        <v>581</v>
      </c>
      <c r="B583" s="1" t="s">
        <v>2316</v>
      </c>
      <c r="C583" s="1" t="s">
        <v>1046</v>
      </c>
      <c r="D583" s="1" t="s">
        <v>28</v>
      </c>
      <c r="E583" s="1">
        <f t="shared" si="2"/>
        <v>95</v>
      </c>
      <c r="F583" s="1">
        <f t="shared" si="3"/>
        <v>2.32</v>
      </c>
      <c r="G583" s="1">
        <v>41.0</v>
      </c>
      <c r="H583" s="1">
        <v>7.0</v>
      </c>
      <c r="I583" s="1">
        <v>6.0</v>
      </c>
      <c r="J583" s="1">
        <v>13.0</v>
      </c>
      <c r="K583" s="1">
        <v>55.0</v>
      </c>
      <c r="L583" s="1">
        <v>1.0</v>
      </c>
      <c r="M583" s="1">
        <v>1.0</v>
      </c>
      <c r="N583" s="1">
        <v>0.0</v>
      </c>
      <c r="O583" s="1">
        <v>0.0</v>
      </c>
      <c r="P583" s="1">
        <v>44.0</v>
      </c>
      <c r="Q583" s="1">
        <v>14.0</v>
      </c>
    </row>
    <row r="584">
      <c r="A584" s="1">
        <f t="shared" si="1"/>
        <v>582</v>
      </c>
      <c r="B584" s="1" t="s">
        <v>1484</v>
      </c>
      <c r="C584" s="1" t="s">
        <v>1120</v>
      </c>
      <c r="D584" s="1" t="s">
        <v>28</v>
      </c>
      <c r="E584" s="1">
        <f t="shared" si="2"/>
        <v>94.75</v>
      </c>
      <c r="F584" s="1">
        <f t="shared" si="3"/>
        <v>3.38</v>
      </c>
      <c r="G584" s="1">
        <v>28.0</v>
      </c>
      <c r="H584" s="1">
        <v>8.0</v>
      </c>
      <c r="I584" s="1">
        <v>7.0</v>
      </c>
      <c r="J584" s="1">
        <v>15.0</v>
      </c>
      <c r="K584" s="1">
        <v>60.0</v>
      </c>
      <c r="L584" s="1">
        <v>4.0</v>
      </c>
      <c r="M584" s="1">
        <v>3.0</v>
      </c>
      <c r="N584" s="1">
        <v>0.0</v>
      </c>
      <c r="O584" s="1">
        <v>0.0</v>
      </c>
      <c r="P584" s="1">
        <v>11.0</v>
      </c>
      <c r="Q584" s="1">
        <v>10.0</v>
      </c>
    </row>
    <row r="585">
      <c r="A585" s="1">
        <f t="shared" si="1"/>
        <v>583</v>
      </c>
      <c r="B585" s="1" t="s">
        <v>1118</v>
      </c>
      <c r="C585" s="1" t="s">
        <v>1078</v>
      </c>
      <c r="D585" s="1" t="s">
        <v>28</v>
      </c>
      <c r="E585" s="1">
        <f t="shared" si="2"/>
        <v>94.5</v>
      </c>
      <c r="F585" s="1">
        <f t="shared" si="3"/>
        <v>2.25</v>
      </c>
      <c r="G585" s="1">
        <v>42.0</v>
      </c>
      <c r="H585" s="1">
        <v>6.0</v>
      </c>
      <c r="I585" s="1">
        <v>4.0</v>
      </c>
      <c r="J585" s="1">
        <v>10.0</v>
      </c>
      <c r="K585" s="1">
        <v>60.0</v>
      </c>
      <c r="L585" s="1">
        <v>0.0</v>
      </c>
      <c r="M585" s="1">
        <v>0.0</v>
      </c>
      <c r="N585" s="1">
        <v>0.0</v>
      </c>
      <c r="O585" s="1">
        <v>1.0</v>
      </c>
      <c r="P585" s="1">
        <v>60.0</v>
      </c>
      <c r="Q585" s="1">
        <v>17.0</v>
      </c>
    </row>
    <row r="586">
      <c r="A586" s="1">
        <f t="shared" si="1"/>
        <v>584</v>
      </c>
      <c r="B586" s="1" t="s">
        <v>2152</v>
      </c>
      <c r="C586" s="1" t="s">
        <v>1046</v>
      </c>
      <c r="D586" s="1" t="s">
        <v>66</v>
      </c>
      <c r="E586" s="1">
        <f t="shared" si="2"/>
        <v>93.75</v>
      </c>
      <c r="F586" s="1">
        <f t="shared" si="3"/>
        <v>2.13</v>
      </c>
      <c r="G586" s="1">
        <v>44.0</v>
      </c>
      <c r="H586" s="1">
        <v>1.0</v>
      </c>
      <c r="I586" s="1">
        <v>6.0</v>
      </c>
      <c r="J586" s="1">
        <v>7.0</v>
      </c>
      <c r="K586" s="1">
        <v>58.0</v>
      </c>
      <c r="L586" s="1">
        <v>0.0</v>
      </c>
      <c r="M586" s="1">
        <v>0.0</v>
      </c>
      <c r="N586" s="1">
        <v>0.0</v>
      </c>
      <c r="O586" s="1">
        <v>0.0</v>
      </c>
      <c r="P586" s="1">
        <v>45.0</v>
      </c>
      <c r="Q586" s="1">
        <v>62.0</v>
      </c>
    </row>
    <row r="587">
      <c r="A587" s="1">
        <f t="shared" si="1"/>
        <v>584</v>
      </c>
      <c r="B587" s="1" t="s">
        <v>2344</v>
      </c>
      <c r="C587" s="1" t="s">
        <v>1046</v>
      </c>
      <c r="D587" s="1" t="s">
        <v>31</v>
      </c>
      <c r="E587" s="1">
        <f t="shared" si="2"/>
        <v>93.75</v>
      </c>
      <c r="F587" s="1">
        <f t="shared" si="3"/>
        <v>1.7</v>
      </c>
      <c r="G587" s="1">
        <v>55.0</v>
      </c>
      <c r="H587" s="1">
        <v>2.0</v>
      </c>
      <c r="I587" s="1">
        <v>6.0</v>
      </c>
      <c r="J587" s="1">
        <v>8.0</v>
      </c>
      <c r="K587" s="1">
        <v>49.0</v>
      </c>
      <c r="L587" s="1">
        <v>0.0</v>
      </c>
      <c r="M587" s="1">
        <v>0.0</v>
      </c>
      <c r="N587" s="1">
        <v>1.0</v>
      </c>
      <c r="O587" s="1">
        <v>1.0</v>
      </c>
      <c r="P587" s="1">
        <v>69.0</v>
      </c>
      <c r="Q587" s="1">
        <v>42.0</v>
      </c>
    </row>
    <row r="588">
      <c r="A588" s="1">
        <f t="shared" si="1"/>
        <v>586</v>
      </c>
      <c r="B588" s="1" t="s">
        <v>2495</v>
      </c>
      <c r="C588" s="1" t="s">
        <v>1036</v>
      </c>
      <c r="D588" s="1" t="s">
        <v>31</v>
      </c>
      <c r="E588" s="1">
        <f t="shared" si="2"/>
        <v>93</v>
      </c>
      <c r="F588" s="1">
        <f t="shared" si="3"/>
        <v>1.6</v>
      </c>
      <c r="G588" s="1">
        <v>58.0</v>
      </c>
      <c r="H588" s="1">
        <v>5.0</v>
      </c>
      <c r="I588" s="1">
        <v>5.0</v>
      </c>
      <c r="J588" s="1">
        <v>10.0</v>
      </c>
      <c r="K588" s="1">
        <v>54.0</v>
      </c>
      <c r="L588" s="1">
        <v>0.0</v>
      </c>
      <c r="M588" s="1">
        <v>1.0</v>
      </c>
      <c r="N588" s="1">
        <v>0.0</v>
      </c>
      <c r="O588" s="1">
        <v>0.0</v>
      </c>
      <c r="P588" s="1">
        <v>58.0</v>
      </c>
      <c r="Q588" s="1">
        <v>28.0</v>
      </c>
    </row>
    <row r="589">
      <c r="A589" s="1">
        <f t="shared" si="1"/>
        <v>587</v>
      </c>
      <c r="B589" s="1" t="s">
        <v>1239</v>
      </c>
      <c r="C589" s="1" t="s">
        <v>1065</v>
      </c>
      <c r="D589" s="1" t="s">
        <v>31</v>
      </c>
      <c r="E589" s="1">
        <f t="shared" si="2"/>
        <v>92.75</v>
      </c>
      <c r="F589" s="1">
        <f t="shared" si="3"/>
        <v>1.97</v>
      </c>
      <c r="G589" s="1">
        <v>47.0</v>
      </c>
      <c r="H589" s="1">
        <v>4.0</v>
      </c>
      <c r="I589" s="1">
        <v>11.0</v>
      </c>
      <c r="J589" s="1">
        <v>15.0</v>
      </c>
      <c r="K589" s="1">
        <v>73.0</v>
      </c>
      <c r="L589" s="1">
        <v>0.0</v>
      </c>
      <c r="M589" s="1">
        <v>2.0</v>
      </c>
      <c r="N589" s="1">
        <v>0.0</v>
      </c>
      <c r="O589" s="1">
        <v>0.0</v>
      </c>
      <c r="P589" s="1">
        <v>3.0</v>
      </c>
      <c r="Q589" s="1">
        <v>9.0</v>
      </c>
    </row>
    <row r="590">
      <c r="A590" s="1">
        <f t="shared" si="1"/>
        <v>587</v>
      </c>
      <c r="B590" s="1" t="s">
        <v>1703</v>
      </c>
      <c r="C590" s="1" t="s">
        <v>1120</v>
      </c>
      <c r="D590" s="1" t="s">
        <v>66</v>
      </c>
      <c r="E590" s="1">
        <f t="shared" si="2"/>
        <v>92.75</v>
      </c>
      <c r="F590" s="1">
        <f t="shared" si="3"/>
        <v>1.89</v>
      </c>
      <c r="G590" s="1">
        <v>49.0</v>
      </c>
      <c r="H590" s="1">
        <v>2.0</v>
      </c>
      <c r="I590" s="1">
        <v>5.0</v>
      </c>
      <c r="J590" s="1">
        <v>7.0</v>
      </c>
      <c r="K590" s="1">
        <v>37.0</v>
      </c>
      <c r="L590" s="1">
        <v>0.0</v>
      </c>
      <c r="M590" s="1">
        <v>0.0</v>
      </c>
      <c r="N590" s="1">
        <v>0.0</v>
      </c>
      <c r="O590" s="1">
        <v>1.0</v>
      </c>
      <c r="P590" s="1">
        <v>51.0</v>
      </c>
      <c r="Q590" s="1">
        <v>71.0</v>
      </c>
    </row>
    <row r="591">
      <c r="A591" s="1">
        <f t="shared" si="1"/>
        <v>589</v>
      </c>
      <c r="B591" s="1" t="s">
        <v>2105</v>
      </c>
      <c r="C591" s="1" t="s">
        <v>1570</v>
      </c>
      <c r="D591" s="1" t="s">
        <v>66</v>
      </c>
      <c r="E591" s="1">
        <f t="shared" si="2"/>
        <v>92.5</v>
      </c>
      <c r="F591" s="1">
        <f t="shared" si="3"/>
        <v>2.8</v>
      </c>
      <c r="G591" s="1">
        <v>33.0</v>
      </c>
      <c r="H591" s="1">
        <v>2.0</v>
      </c>
      <c r="I591" s="1">
        <v>5.0</v>
      </c>
      <c r="J591" s="1">
        <v>7.0</v>
      </c>
      <c r="K591" s="1">
        <v>57.0</v>
      </c>
      <c r="L591" s="1">
        <v>0.0</v>
      </c>
      <c r="M591" s="1">
        <v>0.0</v>
      </c>
      <c r="N591" s="1">
        <v>0.0</v>
      </c>
      <c r="O591" s="1">
        <v>0.0</v>
      </c>
      <c r="P591" s="1">
        <v>52.0</v>
      </c>
      <c r="Q591" s="1">
        <v>54.0</v>
      </c>
    </row>
    <row r="592">
      <c r="A592" s="1">
        <f t="shared" si="1"/>
        <v>589</v>
      </c>
      <c r="B592" s="1" t="s">
        <v>2602</v>
      </c>
      <c r="C592" s="1" t="s">
        <v>1570</v>
      </c>
      <c r="D592" s="1" t="s">
        <v>28</v>
      </c>
      <c r="E592" s="1">
        <f t="shared" si="2"/>
        <v>92.5</v>
      </c>
      <c r="F592" s="1">
        <f t="shared" si="3"/>
        <v>2.15</v>
      </c>
      <c r="G592" s="1">
        <v>43.0</v>
      </c>
      <c r="H592" s="1">
        <v>4.0</v>
      </c>
      <c r="I592" s="1">
        <v>10.0</v>
      </c>
      <c r="J592" s="1">
        <v>14.0</v>
      </c>
      <c r="K592" s="1">
        <v>63.0</v>
      </c>
      <c r="L592" s="1">
        <v>0.0</v>
      </c>
      <c r="M592" s="1">
        <v>3.0</v>
      </c>
      <c r="N592" s="1">
        <v>0.0</v>
      </c>
      <c r="O592" s="1">
        <v>0.0</v>
      </c>
      <c r="P592" s="1">
        <v>38.0</v>
      </c>
      <c r="Q592" s="1">
        <v>7.0</v>
      </c>
    </row>
    <row r="593">
      <c r="A593" s="1">
        <f t="shared" si="1"/>
        <v>591</v>
      </c>
      <c r="B593" s="1" t="s">
        <v>1101</v>
      </c>
      <c r="C593" s="1" t="s">
        <v>1048</v>
      </c>
      <c r="D593" s="1" t="s">
        <v>31</v>
      </c>
      <c r="E593" s="1">
        <f t="shared" si="2"/>
        <v>92.25</v>
      </c>
      <c r="F593" s="1">
        <f t="shared" si="3"/>
        <v>1.77</v>
      </c>
      <c r="G593" s="1">
        <v>52.0</v>
      </c>
      <c r="H593" s="1">
        <v>9.0</v>
      </c>
      <c r="I593" s="1">
        <v>4.0</v>
      </c>
      <c r="J593" s="1">
        <v>13.0</v>
      </c>
      <c r="K593" s="1">
        <v>57.0</v>
      </c>
      <c r="L593" s="1">
        <v>1.0</v>
      </c>
      <c r="M593" s="1">
        <v>0.0</v>
      </c>
      <c r="N593" s="1">
        <v>0.0</v>
      </c>
      <c r="O593" s="1">
        <v>0.0</v>
      </c>
      <c r="P593" s="1">
        <v>29.0</v>
      </c>
      <c r="Q593" s="1">
        <v>8.0</v>
      </c>
    </row>
    <row r="594">
      <c r="A594" s="1">
        <f t="shared" si="1"/>
        <v>592</v>
      </c>
      <c r="B594" s="1" t="s">
        <v>1451</v>
      </c>
      <c r="C594" s="1" t="s">
        <v>1080</v>
      </c>
      <c r="D594" s="1" t="s">
        <v>66</v>
      </c>
      <c r="E594" s="1">
        <f t="shared" si="2"/>
        <v>91.75</v>
      </c>
      <c r="F594" s="1">
        <f t="shared" si="3"/>
        <v>2.41</v>
      </c>
      <c r="G594" s="1">
        <v>38.0</v>
      </c>
      <c r="H594" s="1">
        <v>1.0</v>
      </c>
      <c r="I594" s="1">
        <v>10.0</v>
      </c>
      <c r="J594" s="1">
        <v>11.0</v>
      </c>
      <c r="K594" s="1">
        <v>54.0</v>
      </c>
      <c r="L594" s="1">
        <v>1.0</v>
      </c>
      <c r="M594" s="1">
        <v>3.0</v>
      </c>
      <c r="N594" s="1">
        <v>0.0</v>
      </c>
      <c r="O594" s="1">
        <v>0.0</v>
      </c>
      <c r="P594" s="1">
        <v>69.0</v>
      </c>
      <c r="Q594" s="1">
        <v>26.0</v>
      </c>
    </row>
    <row r="595">
      <c r="A595" s="1">
        <f t="shared" si="1"/>
        <v>593</v>
      </c>
      <c r="B595" s="1" t="s">
        <v>2515</v>
      </c>
      <c r="C595" s="1" t="s">
        <v>1106</v>
      </c>
      <c r="D595" s="1" t="s">
        <v>31</v>
      </c>
      <c r="E595" s="1">
        <f t="shared" si="2"/>
        <v>91</v>
      </c>
      <c r="F595" s="1">
        <f t="shared" si="3"/>
        <v>1.82</v>
      </c>
      <c r="G595" s="1">
        <v>50.0</v>
      </c>
      <c r="H595" s="1">
        <v>2.0</v>
      </c>
      <c r="I595" s="1">
        <v>7.0</v>
      </c>
      <c r="J595" s="1">
        <v>9.0</v>
      </c>
      <c r="K595" s="1">
        <v>46.0</v>
      </c>
      <c r="L595" s="1">
        <v>0.0</v>
      </c>
      <c r="M595" s="1">
        <v>0.0</v>
      </c>
      <c r="N595" s="1">
        <v>0.0</v>
      </c>
      <c r="O595" s="1">
        <v>0.0</v>
      </c>
      <c r="P595" s="1">
        <v>120.0</v>
      </c>
      <c r="Q595" s="1">
        <v>16.0</v>
      </c>
    </row>
    <row r="596">
      <c r="A596" s="1">
        <f t="shared" si="1"/>
        <v>594</v>
      </c>
      <c r="B596" s="1" t="s">
        <v>1944</v>
      </c>
      <c r="C596" s="1" t="s">
        <v>1048</v>
      </c>
      <c r="D596" s="1" t="s">
        <v>5</v>
      </c>
      <c r="E596" s="1">
        <f t="shared" si="2"/>
        <v>90.6</v>
      </c>
      <c r="F596" s="1">
        <f t="shared" si="3"/>
        <v>7.55</v>
      </c>
      <c r="G596" s="1">
        <v>12.0</v>
      </c>
      <c r="R596" s="1">
        <v>7.0</v>
      </c>
      <c r="S596" s="1">
        <v>22.0</v>
      </c>
      <c r="T596" s="1">
        <v>332.0</v>
      </c>
      <c r="U596" s="1">
        <v>1.0</v>
      </c>
    </row>
    <row r="597">
      <c r="A597" s="1">
        <f t="shared" si="1"/>
        <v>595</v>
      </c>
      <c r="B597" s="1" t="s">
        <v>1277</v>
      </c>
      <c r="C597" s="1" t="s">
        <v>1052</v>
      </c>
      <c r="D597" s="1" t="s">
        <v>31</v>
      </c>
      <c r="E597" s="1">
        <f t="shared" si="2"/>
        <v>90</v>
      </c>
      <c r="F597" s="1">
        <f t="shared" si="3"/>
        <v>2</v>
      </c>
      <c r="G597" s="1">
        <v>45.0</v>
      </c>
      <c r="H597" s="1">
        <v>6.0</v>
      </c>
      <c r="I597" s="1">
        <v>4.0</v>
      </c>
      <c r="J597" s="1">
        <v>10.0</v>
      </c>
      <c r="K597" s="1">
        <v>75.0</v>
      </c>
      <c r="L597" s="1">
        <v>1.0</v>
      </c>
      <c r="M597" s="1">
        <v>0.0</v>
      </c>
      <c r="N597" s="1">
        <v>0.0</v>
      </c>
      <c r="O597" s="1">
        <v>0.0</v>
      </c>
      <c r="P597" s="1">
        <v>24.0</v>
      </c>
      <c r="Q597" s="1">
        <v>15.0</v>
      </c>
    </row>
    <row r="598">
      <c r="A598" s="1">
        <f t="shared" si="1"/>
        <v>596</v>
      </c>
      <c r="B598" s="1" t="s">
        <v>1256</v>
      </c>
      <c r="C598" s="1" t="s">
        <v>1097</v>
      </c>
      <c r="D598" s="1" t="s">
        <v>31</v>
      </c>
      <c r="E598" s="1">
        <f t="shared" si="2"/>
        <v>89.75</v>
      </c>
      <c r="F598" s="1">
        <f t="shared" si="3"/>
        <v>3.32</v>
      </c>
      <c r="G598" s="1">
        <v>27.0</v>
      </c>
      <c r="H598" s="1">
        <v>7.0</v>
      </c>
      <c r="I598" s="1">
        <v>8.0</v>
      </c>
      <c r="J598" s="1">
        <v>15.0</v>
      </c>
      <c r="K598" s="1">
        <v>51.0</v>
      </c>
      <c r="L598" s="1">
        <v>1.0</v>
      </c>
      <c r="M598" s="1">
        <v>3.0</v>
      </c>
      <c r="N598" s="1">
        <v>0.0</v>
      </c>
      <c r="O598" s="1">
        <v>0.0</v>
      </c>
      <c r="P598" s="1">
        <v>25.0</v>
      </c>
      <c r="Q598" s="1">
        <v>5.0</v>
      </c>
    </row>
    <row r="599">
      <c r="A599" s="1">
        <f t="shared" si="1"/>
        <v>596</v>
      </c>
      <c r="B599" s="1" t="s">
        <v>2603</v>
      </c>
      <c r="C599" s="1" t="s">
        <v>1570</v>
      </c>
      <c r="D599" s="1" t="s">
        <v>66</v>
      </c>
      <c r="E599" s="1">
        <f t="shared" si="2"/>
        <v>89.75</v>
      </c>
      <c r="F599" s="1">
        <f t="shared" si="3"/>
        <v>2.49</v>
      </c>
      <c r="G599" s="1">
        <v>36.0</v>
      </c>
      <c r="H599" s="1">
        <v>1.0</v>
      </c>
      <c r="I599" s="1">
        <v>5.0</v>
      </c>
      <c r="J599" s="1">
        <v>6.0</v>
      </c>
      <c r="K599" s="1">
        <v>45.0</v>
      </c>
      <c r="L599" s="1">
        <v>0.0</v>
      </c>
      <c r="M599" s="1">
        <v>1.0</v>
      </c>
      <c r="N599" s="1">
        <v>0.0</v>
      </c>
      <c r="O599" s="1">
        <v>0.0</v>
      </c>
      <c r="P599" s="1">
        <v>67.0</v>
      </c>
      <c r="Q599" s="1">
        <v>62.0</v>
      </c>
    </row>
    <row r="600">
      <c r="A600" s="1">
        <f t="shared" si="1"/>
        <v>596</v>
      </c>
      <c r="B600" s="1" t="s">
        <v>2477</v>
      </c>
      <c r="C600" s="1" t="s">
        <v>1069</v>
      </c>
      <c r="D600" s="1" t="s">
        <v>31</v>
      </c>
      <c r="E600" s="1">
        <f t="shared" si="2"/>
        <v>89.75</v>
      </c>
      <c r="F600" s="1">
        <f t="shared" si="3"/>
        <v>1.87</v>
      </c>
      <c r="G600" s="1">
        <v>48.0</v>
      </c>
      <c r="H600" s="1">
        <v>4.0</v>
      </c>
      <c r="I600" s="1">
        <v>3.0</v>
      </c>
      <c r="J600" s="1">
        <v>7.0</v>
      </c>
      <c r="K600" s="1">
        <v>49.0</v>
      </c>
      <c r="L600" s="1">
        <v>0.0</v>
      </c>
      <c r="M600" s="1">
        <v>0.0</v>
      </c>
      <c r="N600" s="1">
        <v>0.0</v>
      </c>
      <c r="O600" s="1">
        <v>0.0</v>
      </c>
      <c r="P600" s="1">
        <v>91.0</v>
      </c>
      <c r="Q600" s="1">
        <v>31.0</v>
      </c>
    </row>
    <row r="601">
      <c r="A601" s="1">
        <f t="shared" si="1"/>
        <v>599</v>
      </c>
      <c r="B601" s="1" t="s">
        <v>1854</v>
      </c>
      <c r="C601" s="1" t="s">
        <v>1570</v>
      </c>
      <c r="D601" s="1" t="s">
        <v>31</v>
      </c>
      <c r="E601" s="1">
        <f t="shared" si="2"/>
        <v>89</v>
      </c>
      <c r="F601" s="1">
        <f t="shared" si="3"/>
        <v>1.98</v>
      </c>
      <c r="G601" s="1">
        <v>45.0</v>
      </c>
      <c r="H601" s="1">
        <v>5.0</v>
      </c>
      <c r="I601" s="1">
        <v>7.0</v>
      </c>
      <c r="J601" s="1">
        <v>12.0</v>
      </c>
      <c r="K601" s="1">
        <v>50.0</v>
      </c>
      <c r="L601" s="1">
        <v>0.0</v>
      </c>
      <c r="M601" s="1">
        <v>2.0</v>
      </c>
      <c r="N601" s="1">
        <v>0.0</v>
      </c>
      <c r="O601" s="1">
        <v>0.0</v>
      </c>
      <c r="P601" s="1">
        <v>52.0</v>
      </c>
      <c r="Q601" s="1">
        <v>15.0</v>
      </c>
    </row>
    <row r="602">
      <c r="A602" s="1">
        <f t="shared" si="1"/>
        <v>600</v>
      </c>
      <c r="B602" s="1" t="s">
        <v>2604</v>
      </c>
      <c r="C602" s="1" t="s">
        <v>1570</v>
      </c>
      <c r="D602" s="1" t="s">
        <v>28</v>
      </c>
      <c r="E602" s="1">
        <f t="shared" si="2"/>
        <v>88.75</v>
      </c>
      <c r="F602" s="1">
        <f t="shared" si="3"/>
        <v>1.71</v>
      </c>
      <c r="G602" s="1">
        <v>52.0</v>
      </c>
      <c r="H602" s="1">
        <v>2.0</v>
      </c>
      <c r="I602" s="1">
        <v>4.0</v>
      </c>
      <c r="J602" s="1">
        <v>6.0</v>
      </c>
      <c r="K602" s="1">
        <v>33.0</v>
      </c>
      <c r="L602" s="1">
        <v>0.0</v>
      </c>
      <c r="M602" s="1">
        <v>0.0</v>
      </c>
      <c r="N602" s="1">
        <v>0.0</v>
      </c>
      <c r="O602" s="1">
        <v>0.0</v>
      </c>
      <c r="P602" s="1">
        <v>125.0</v>
      </c>
      <c r="Q602" s="1">
        <v>40.0</v>
      </c>
    </row>
    <row r="603">
      <c r="A603" s="1">
        <f t="shared" si="1"/>
        <v>600</v>
      </c>
      <c r="B603" s="1" t="s">
        <v>2605</v>
      </c>
      <c r="C603" s="1" t="s">
        <v>1570</v>
      </c>
      <c r="D603" s="1" t="s">
        <v>36</v>
      </c>
      <c r="E603" s="1">
        <f t="shared" si="2"/>
        <v>88.75</v>
      </c>
      <c r="F603" s="1">
        <f t="shared" si="3"/>
        <v>1.93</v>
      </c>
      <c r="G603" s="1">
        <v>46.0</v>
      </c>
      <c r="H603" s="1">
        <v>8.0</v>
      </c>
      <c r="I603" s="1">
        <v>3.0</v>
      </c>
      <c r="J603" s="1">
        <v>11.0</v>
      </c>
      <c r="K603" s="1">
        <v>61.0</v>
      </c>
      <c r="L603" s="1">
        <v>0.0</v>
      </c>
      <c r="M603" s="1">
        <v>0.0</v>
      </c>
      <c r="N603" s="1">
        <v>1.0</v>
      </c>
      <c r="O603" s="1">
        <v>0.0</v>
      </c>
      <c r="P603" s="1">
        <v>21.0</v>
      </c>
      <c r="Q603" s="1">
        <v>12.0</v>
      </c>
    </row>
    <row r="604">
      <c r="A604" s="1">
        <f t="shared" si="1"/>
        <v>602</v>
      </c>
      <c r="B604" s="1" t="s">
        <v>2606</v>
      </c>
      <c r="C604" s="1" t="s">
        <v>1570</v>
      </c>
      <c r="D604" s="1" t="s">
        <v>66</v>
      </c>
      <c r="E604" s="1">
        <f t="shared" si="2"/>
        <v>88.5</v>
      </c>
      <c r="F604" s="1">
        <f t="shared" si="3"/>
        <v>1.48</v>
      </c>
      <c r="G604" s="1">
        <v>60.0</v>
      </c>
      <c r="H604" s="1">
        <v>0.0</v>
      </c>
      <c r="I604" s="1">
        <v>8.0</v>
      </c>
      <c r="J604" s="1">
        <v>8.0</v>
      </c>
      <c r="K604" s="1">
        <v>44.0</v>
      </c>
      <c r="L604" s="1">
        <v>0.0</v>
      </c>
      <c r="M604" s="1">
        <v>0.0</v>
      </c>
      <c r="N604" s="1">
        <v>0.0</v>
      </c>
      <c r="O604" s="1">
        <v>0.0</v>
      </c>
      <c r="P604" s="1">
        <v>64.0</v>
      </c>
      <c r="Q604" s="1">
        <v>53.0</v>
      </c>
    </row>
    <row r="605">
      <c r="A605" s="1">
        <f t="shared" si="1"/>
        <v>603</v>
      </c>
      <c r="B605" s="1" t="s">
        <v>2421</v>
      </c>
      <c r="C605" s="1" t="s">
        <v>1120</v>
      </c>
      <c r="D605" s="1" t="s">
        <v>66</v>
      </c>
      <c r="E605" s="1">
        <f t="shared" si="2"/>
        <v>88.25</v>
      </c>
      <c r="F605" s="1">
        <f t="shared" si="3"/>
        <v>1.8</v>
      </c>
      <c r="G605" s="1">
        <v>49.0</v>
      </c>
      <c r="H605" s="1">
        <v>0.0</v>
      </c>
      <c r="I605" s="1">
        <v>3.0</v>
      </c>
      <c r="J605" s="1">
        <v>3.0</v>
      </c>
      <c r="K605" s="1">
        <v>55.0</v>
      </c>
      <c r="L605" s="1">
        <v>0.0</v>
      </c>
      <c r="M605" s="1">
        <v>0.0</v>
      </c>
      <c r="N605" s="1">
        <v>0.0</v>
      </c>
      <c r="O605" s="1">
        <v>0.0</v>
      </c>
      <c r="P605" s="1">
        <v>115.0</v>
      </c>
      <c r="Q605" s="1">
        <v>46.0</v>
      </c>
    </row>
    <row r="606">
      <c r="A606" s="1">
        <f t="shared" si="1"/>
        <v>604</v>
      </c>
      <c r="B606" s="1" t="s">
        <v>2334</v>
      </c>
      <c r="C606" s="1" t="s">
        <v>1038</v>
      </c>
      <c r="D606" s="1" t="s">
        <v>31</v>
      </c>
      <c r="E606" s="1">
        <f t="shared" si="2"/>
        <v>87.75</v>
      </c>
      <c r="F606" s="1">
        <f t="shared" si="3"/>
        <v>1.66</v>
      </c>
      <c r="G606" s="1">
        <v>53.0</v>
      </c>
      <c r="H606" s="1">
        <v>5.0</v>
      </c>
      <c r="I606" s="1">
        <v>4.0</v>
      </c>
      <c r="J606" s="1">
        <v>9.0</v>
      </c>
      <c r="K606" s="1">
        <v>40.0</v>
      </c>
      <c r="L606" s="1">
        <v>0.0</v>
      </c>
      <c r="M606" s="1">
        <v>0.0</v>
      </c>
      <c r="N606" s="1">
        <v>1.0</v>
      </c>
      <c r="O606" s="1">
        <v>1.0</v>
      </c>
      <c r="P606" s="1">
        <v>69.0</v>
      </c>
      <c r="Q606" s="1">
        <v>24.0</v>
      </c>
    </row>
    <row r="607">
      <c r="A607" s="1">
        <f t="shared" si="1"/>
        <v>605</v>
      </c>
      <c r="B607" s="1" t="s">
        <v>2307</v>
      </c>
      <c r="C607" s="1" t="s">
        <v>1046</v>
      </c>
      <c r="D607" s="1" t="s">
        <v>36</v>
      </c>
      <c r="E607" s="1">
        <f t="shared" si="2"/>
        <v>87.5</v>
      </c>
      <c r="F607" s="1">
        <f t="shared" si="3"/>
        <v>1.79</v>
      </c>
      <c r="G607" s="1">
        <v>49.0</v>
      </c>
      <c r="H607" s="1">
        <v>6.0</v>
      </c>
      <c r="I607" s="1">
        <v>7.0</v>
      </c>
      <c r="J607" s="1">
        <v>13.0</v>
      </c>
      <c r="K607" s="1">
        <v>59.0</v>
      </c>
      <c r="L607" s="1">
        <v>0.0</v>
      </c>
      <c r="M607" s="1">
        <v>0.0</v>
      </c>
      <c r="N607" s="1">
        <v>0.0</v>
      </c>
      <c r="O607" s="1">
        <v>0.0</v>
      </c>
      <c r="P607" s="1">
        <v>10.0</v>
      </c>
      <c r="Q607" s="1">
        <v>15.0</v>
      </c>
    </row>
    <row r="608">
      <c r="A608" s="1">
        <f t="shared" si="1"/>
        <v>606</v>
      </c>
      <c r="B608" s="1" t="s">
        <v>2120</v>
      </c>
      <c r="C608" s="1" t="s">
        <v>1175</v>
      </c>
      <c r="D608" s="1" t="s">
        <v>31</v>
      </c>
      <c r="E608" s="1">
        <f t="shared" si="2"/>
        <v>86.5</v>
      </c>
      <c r="F608" s="1">
        <f t="shared" si="3"/>
        <v>1.73</v>
      </c>
      <c r="G608" s="1">
        <v>50.0</v>
      </c>
      <c r="H608" s="1">
        <v>5.0</v>
      </c>
      <c r="I608" s="1">
        <v>6.0</v>
      </c>
      <c r="J608" s="1">
        <v>11.0</v>
      </c>
      <c r="K608" s="1">
        <v>43.0</v>
      </c>
      <c r="L608" s="1">
        <v>0.0</v>
      </c>
      <c r="M608" s="1">
        <v>1.0</v>
      </c>
      <c r="N608" s="1">
        <v>0.0</v>
      </c>
      <c r="O608" s="1">
        <v>0.0</v>
      </c>
      <c r="P608" s="1">
        <v>40.0</v>
      </c>
      <c r="Q608" s="1">
        <v>29.0</v>
      </c>
    </row>
    <row r="609">
      <c r="A609" s="1">
        <f t="shared" si="1"/>
        <v>607</v>
      </c>
      <c r="B609" s="1" t="s">
        <v>1849</v>
      </c>
      <c r="C609" s="1" t="s">
        <v>1116</v>
      </c>
      <c r="D609" s="1" t="s">
        <v>28</v>
      </c>
      <c r="E609" s="1">
        <f t="shared" si="2"/>
        <v>86.25</v>
      </c>
      <c r="F609" s="1">
        <f t="shared" si="3"/>
        <v>1.88</v>
      </c>
      <c r="G609" s="1">
        <v>46.0</v>
      </c>
      <c r="H609" s="1">
        <v>4.0</v>
      </c>
      <c r="I609" s="1">
        <v>7.0</v>
      </c>
      <c r="J609" s="1">
        <v>11.0</v>
      </c>
      <c r="K609" s="1">
        <v>38.0</v>
      </c>
      <c r="L609" s="1">
        <v>0.0</v>
      </c>
      <c r="M609" s="1">
        <v>0.0</v>
      </c>
      <c r="N609" s="1">
        <v>0.0</v>
      </c>
      <c r="O609" s="1">
        <v>0.0</v>
      </c>
      <c r="P609" s="1">
        <v>57.0</v>
      </c>
      <c r="Q609" s="1">
        <v>28.0</v>
      </c>
    </row>
    <row r="610">
      <c r="A610" s="1">
        <f t="shared" si="1"/>
        <v>607</v>
      </c>
      <c r="B610" s="1" t="s">
        <v>2607</v>
      </c>
      <c r="C610" s="1" t="s">
        <v>1570</v>
      </c>
      <c r="D610" s="1" t="s">
        <v>28</v>
      </c>
      <c r="E610" s="1">
        <f t="shared" si="2"/>
        <v>86.25</v>
      </c>
      <c r="F610" s="1">
        <f t="shared" si="3"/>
        <v>1.41</v>
      </c>
      <c r="G610" s="1">
        <v>61.0</v>
      </c>
      <c r="H610" s="1">
        <v>3.0</v>
      </c>
      <c r="I610" s="1">
        <v>8.0</v>
      </c>
      <c r="J610" s="1">
        <v>11.0</v>
      </c>
      <c r="K610" s="1">
        <v>49.0</v>
      </c>
      <c r="L610" s="1">
        <v>0.0</v>
      </c>
      <c r="M610" s="1">
        <v>1.0</v>
      </c>
      <c r="N610" s="1">
        <v>0.0</v>
      </c>
      <c r="O610" s="1">
        <v>0.0</v>
      </c>
      <c r="P610" s="1">
        <v>57.0</v>
      </c>
      <c r="Q610" s="1">
        <v>20.0</v>
      </c>
    </row>
    <row r="611">
      <c r="A611" s="1">
        <f t="shared" si="1"/>
        <v>609</v>
      </c>
      <c r="B611" s="1" t="s">
        <v>2093</v>
      </c>
      <c r="C611" s="1" t="s">
        <v>1032</v>
      </c>
      <c r="D611" s="1" t="s">
        <v>31</v>
      </c>
      <c r="E611" s="1">
        <f t="shared" si="2"/>
        <v>85.75</v>
      </c>
      <c r="F611" s="1">
        <f t="shared" si="3"/>
        <v>1.95</v>
      </c>
      <c r="G611" s="1">
        <v>44.0</v>
      </c>
      <c r="H611" s="1">
        <v>4.0</v>
      </c>
      <c r="I611" s="1">
        <v>8.0</v>
      </c>
      <c r="J611" s="1">
        <v>12.0</v>
      </c>
      <c r="K611" s="1">
        <v>50.0</v>
      </c>
      <c r="L611" s="1">
        <v>1.0</v>
      </c>
      <c r="M611" s="1">
        <v>0.0</v>
      </c>
      <c r="N611" s="1">
        <v>0.0</v>
      </c>
      <c r="O611" s="1">
        <v>1.0</v>
      </c>
      <c r="P611" s="1">
        <v>35.0</v>
      </c>
      <c r="Q611" s="1">
        <v>16.0</v>
      </c>
    </row>
    <row r="612">
      <c r="A612" s="1">
        <f t="shared" si="1"/>
        <v>610</v>
      </c>
      <c r="B612" s="1" t="s">
        <v>1407</v>
      </c>
      <c r="C612" s="1" t="s">
        <v>1067</v>
      </c>
      <c r="D612" s="1" t="s">
        <v>31</v>
      </c>
      <c r="E612" s="1">
        <f t="shared" si="2"/>
        <v>85.5</v>
      </c>
      <c r="F612" s="1">
        <f t="shared" si="3"/>
        <v>2.25</v>
      </c>
      <c r="G612" s="1">
        <v>38.0</v>
      </c>
      <c r="H612" s="1">
        <v>5.0</v>
      </c>
      <c r="I612" s="1">
        <v>5.0</v>
      </c>
      <c r="J612" s="1">
        <v>10.0</v>
      </c>
      <c r="K612" s="1">
        <v>33.0</v>
      </c>
      <c r="L612" s="1">
        <v>0.0</v>
      </c>
      <c r="M612" s="1">
        <v>0.0</v>
      </c>
      <c r="N612" s="1">
        <v>0.0</v>
      </c>
      <c r="O612" s="1">
        <v>1.0</v>
      </c>
      <c r="P612" s="1">
        <v>70.0</v>
      </c>
      <c r="Q612" s="1">
        <v>24.0</v>
      </c>
    </row>
    <row r="613">
      <c r="A613" s="1">
        <f t="shared" si="1"/>
        <v>611</v>
      </c>
      <c r="B613" s="1" t="s">
        <v>2107</v>
      </c>
      <c r="C613" s="1" t="s">
        <v>1067</v>
      </c>
      <c r="D613" s="1" t="s">
        <v>66</v>
      </c>
      <c r="E613" s="1">
        <f t="shared" si="2"/>
        <v>85</v>
      </c>
      <c r="F613" s="1">
        <f t="shared" si="3"/>
        <v>2.36</v>
      </c>
      <c r="G613" s="1">
        <v>36.0</v>
      </c>
      <c r="H613" s="1">
        <v>0.0</v>
      </c>
      <c r="I613" s="1">
        <v>3.0</v>
      </c>
      <c r="J613" s="1">
        <v>3.0</v>
      </c>
      <c r="K613" s="1">
        <v>58.0</v>
      </c>
      <c r="L613" s="1">
        <v>0.0</v>
      </c>
      <c r="M613" s="1">
        <v>0.0</v>
      </c>
      <c r="N613" s="1">
        <v>0.0</v>
      </c>
      <c r="O613" s="1">
        <v>0.0</v>
      </c>
      <c r="P613" s="1">
        <v>80.0</v>
      </c>
      <c r="Q613" s="1">
        <v>54.0</v>
      </c>
    </row>
    <row r="614">
      <c r="A614" s="1">
        <f t="shared" si="1"/>
        <v>612</v>
      </c>
      <c r="B614" s="1" t="s">
        <v>2608</v>
      </c>
      <c r="C614" s="1" t="s">
        <v>1570</v>
      </c>
      <c r="D614" s="1" t="s">
        <v>36</v>
      </c>
      <c r="E614" s="1">
        <f t="shared" si="2"/>
        <v>83.5</v>
      </c>
      <c r="F614" s="1">
        <f t="shared" si="3"/>
        <v>4.18</v>
      </c>
      <c r="G614" s="1">
        <v>20.0</v>
      </c>
      <c r="H614" s="1">
        <v>8.0</v>
      </c>
      <c r="I614" s="1">
        <v>3.0</v>
      </c>
      <c r="J614" s="1">
        <v>11.0</v>
      </c>
      <c r="K614" s="1">
        <v>60.0</v>
      </c>
      <c r="L614" s="1">
        <v>2.0</v>
      </c>
      <c r="M614" s="1">
        <v>1.0</v>
      </c>
      <c r="N614" s="1">
        <v>0.0</v>
      </c>
      <c r="O614" s="1">
        <v>0.0</v>
      </c>
      <c r="P614" s="1">
        <v>20.0</v>
      </c>
      <c r="Q614" s="1">
        <v>7.0</v>
      </c>
    </row>
    <row r="615">
      <c r="A615" s="1">
        <f t="shared" si="1"/>
        <v>612</v>
      </c>
      <c r="B615" s="1" t="s">
        <v>2129</v>
      </c>
      <c r="C615" s="1" t="s">
        <v>1116</v>
      </c>
      <c r="D615" s="1" t="s">
        <v>66</v>
      </c>
      <c r="E615" s="1">
        <f t="shared" si="2"/>
        <v>83.5</v>
      </c>
      <c r="F615" s="1">
        <f t="shared" si="3"/>
        <v>2.2</v>
      </c>
      <c r="G615" s="1">
        <v>38.0</v>
      </c>
      <c r="H615" s="1">
        <v>1.0</v>
      </c>
      <c r="I615" s="1">
        <v>7.0</v>
      </c>
      <c r="J615" s="1">
        <v>8.0</v>
      </c>
      <c r="K615" s="1">
        <v>38.0</v>
      </c>
      <c r="L615" s="1">
        <v>0.0</v>
      </c>
      <c r="M615" s="1">
        <v>0.0</v>
      </c>
      <c r="N615" s="1">
        <v>0.0</v>
      </c>
      <c r="O615" s="1">
        <v>0.0</v>
      </c>
      <c r="P615" s="1">
        <v>62.0</v>
      </c>
      <c r="Q615" s="1">
        <v>47.0</v>
      </c>
    </row>
    <row r="616">
      <c r="A616" s="1">
        <f t="shared" si="1"/>
        <v>614</v>
      </c>
      <c r="B616" s="1" t="s">
        <v>1551</v>
      </c>
      <c r="C616" s="1" t="s">
        <v>1156</v>
      </c>
      <c r="D616" s="1" t="s">
        <v>31</v>
      </c>
      <c r="E616" s="1">
        <f t="shared" si="2"/>
        <v>83.25</v>
      </c>
      <c r="F616" s="1">
        <f t="shared" si="3"/>
        <v>2.6</v>
      </c>
      <c r="G616" s="1">
        <v>32.0</v>
      </c>
      <c r="H616" s="1">
        <v>6.0</v>
      </c>
      <c r="I616" s="1">
        <v>4.0</v>
      </c>
      <c r="J616" s="1">
        <v>10.0</v>
      </c>
      <c r="K616" s="1">
        <v>57.0</v>
      </c>
      <c r="L616" s="1">
        <v>3.0</v>
      </c>
      <c r="M616" s="1">
        <v>2.0</v>
      </c>
      <c r="N616" s="1">
        <v>0.0</v>
      </c>
      <c r="O616" s="1">
        <v>0.0</v>
      </c>
      <c r="P616" s="1">
        <v>19.0</v>
      </c>
      <c r="Q616" s="1">
        <v>22.0</v>
      </c>
    </row>
    <row r="617">
      <c r="A617" s="1">
        <f t="shared" si="1"/>
        <v>614</v>
      </c>
      <c r="B617" s="1" t="s">
        <v>1822</v>
      </c>
      <c r="C617" s="1" t="s">
        <v>1036</v>
      </c>
      <c r="D617" s="1" t="s">
        <v>66</v>
      </c>
      <c r="E617" s="1">
        <f t="shared" si="2"/>
        <v>83.25</v>
      </c>
      <c r="F617" s="1">
        <f t="shared" si="3"/>
        <v>1.94</v>
      </c>
      <c r="G617" s="1">
        <v>43.0</v>
      </c>
      <c r="H617" s="1">
        <v>4.0</v>
      </c>
      <c r="I617" s="1">
        <v>5.0</v>
      </c>
      <c r="J617" s="1">
        <v>9.0</v>
      </c>
      <c r="K617" s="1">
        <v>38.0</v>
      </c>
      <c r="L617" s="1">
        <v>0.0</v>
      </c>
      <c r="M617" s="1">
        <v>1.0</v>
      </c>
      <c r="N617" s="1">
        <v>0.0</v>
      </c>
      <c r="O617" s="1">
        <v>0.0</v>
      </c>
      <c r="P617" s="1">
        <v>33.0</v>
      </c>
      <c r="Q617" s="1">
        <v>46.0</v>
      </c>
    </row>
    <row r="618">
      <c r="A618" s="1">
        <f t="shared" si="1"/>
        <v>616</v>
      </c>
      <c r="B618" s="1" t="s">
        <v>1998</v>
      </c>
      <c r="C618" s="1" t="s">
        <v>1172</v>
      </c>
      <c r="D618" s="1" t="s">
        <v>5</v>
      </c>
      <c r="E618" s="1">
        <f t="shared" si="2"/>
        <v>82.8</v>
      </c>
      <c r="F618" s="1">
        <f t="shared" si="3"/>
        <v>3.94</v>
      </c>
      <c r="G618" s="1">
        <v>21.0</v>
      </c>
      <c r="R618" s="1">
        <v>9.0</v>
      </c>
      <c r="S618" s="1">
        <v>60.0</v>
      </c>
      <c r="T618" s="1">
        <v>486.0</v>
      </c>
      <c r="U618" s="1">
        <v>0.0</v>
      </c>
    </row>
    <row r="619">
      <c r="A619" s="1">
        <f t="shared" si="1"/>
        <v>617</v>
      </c>
      <c r="B619" s="1" t="s">
        <v>1449</v>
      </c>
      <c r="C619" s="1" t="s">
        <v>1097</v>
      </c>
      <c r="D619" s="1" t="s">
        <v>31</v>
      </c>
      <c r="E619" s="1">
        <f t="shared" si="2"/>
        <v>81.25</v>
      </c>
      <c r="F619" s="1">
        <f t="shared" si="3"/>
        <v>2.26</v>
      </c>
      <c r="G619" s="1">
        <v>36.0</v>
      </c>
      <c r="H619" s="1">
        <v>6.0</v>
      </c>
      <c r="I619" s="1">
        <v>2.0</v>
      </c>
      <c r="J619" s="1">
        <v>8.0</v>
      </c>
      <c r="K619" s="1">
        <v>55.0</v>
      </c>
      <c r="L619" s="1">
        <v>1.0</v>
      </c>
      <c r="M619" s="1">
        <v>1.0</v>
      </c>
      <c r="N619" s="1">
        <v>0.0</v>
      </c>
      <c r="O619" s="1">
        <v>0.0</v>
      </c>
      <c r="P619" s="1">
        <v>51.0</v>
      </c>
      <c r="Q619" s="1">
        <v>16.0</v>
      </c>
    </row>
    <row r="620">
      <c r="A620" s="1">
        <f t="shared" si="1"/>
        <v>618</v>
      </c>
      <c r="B620" s="1" t="s">
        <v>1443</v>
      </c>
      <c r="C620" s="1" t="s">
        <v>1156</v>
      </c>
      <c r="D620" s="1" t="s">
        <v>31</v>
      </c>
      <c r="E620" s="1">
        <f t="shared" si="2"/>
        <v>81</v>
      </c>
      <c r="F620" s="1">
        <f t="shared" si="3"/>
        <v>2.25</v>
      </c>
      <c r="G620" s="1">
        <v>36.0</v>
      </c>
      <c r="H620" s="1">
        <v>6.0</v>
      </c>
      <c r="I620" s="1">
        <v>7.0</v>
      </c>
      <c r="J620" s="1">
        <v>13.0</v>
      </c>
      <c r="K620" s="1">
        <v>49.0</v>
      </c>
      <c r="L620" s="1">
        <v>0.0</v>
      </c>
      <c r="M620" s="1">
        <v>1.0</v>
      </c>
      <c r="N620" s="1">
        <v>0.0</v>
      </c>
      <c r="O620" s="1">
        <v>0.0</v>
      </c>
      <c r="P620" s="1">
        <v>20.0</v>
      </c>
      <c r="Q620" s="1">
        <v>7.0</v>
      </c>
    </row>
    <row r="621">
      <c r="A621" s="1">
        <f t="shared" si="1"/>
        <v>618</v>
      </c>
      <c r="B621" s="1" t="s">
        <v>1858</v>
      </c>
      <c r="C621" s="1" t="s">
        <v>1042</v>
      </c>
      <c r="D621" s="1" t="s">
        <v>66</v>
      </c>
      <c r="E621" s="1">
        <f t="shared" si="2"/>
        <v>81</v>
      </c>
      <c r="F621" s="1">
        <f t="shared" si="3"/>
        <v>1.88</v>
      </c>
      <c r="G621" s="1">
        <v>43.0</v>
      </c>
      <c r="H621" s="1">
        <v>1.0</v>
      </c>
      <c r="I621" s="1">
        <v>7.0</v>
      </c>
      <c r="J621" s="1">
        <v>8.0</v>
      </c>
      <c r="K621" s="1">
        <v>38.0</v>
      </c>
      <c r="L621" s="1">
        <v>0.0</v>
      </c>
      <c r="M621" s="1">
        <v>0.0</v>
      </c>
      <c r="N621" s="1">
        <v>0.0</v>
      </c>
      <c r="O621" s="1">
        <v>0.0</v>
      </c>
      <c r="P621" s="1">
        <v>78.0</v>
      </c>
      <c r="Q621" s="1">
        <v>34.0</v>
      </c>
    </row>
    <row r="622">
      <c r="A622" s="1">
        <f t="shared" si="1"/>
        <v>620</v>
      </c>
      <c r="B622" s="1" t="s">
        <v>2501</v>
      </c>
      <c r="C622" s="1" t="s">
        <v>1172</v>
      </c>
      <c r="D622" s="1" t="s">
        <v>31</v>
      </c>
      <c r="E622" s="1">
        <f t="shared" si="2"/>
        <v>80.5</v>
      </c>
      <c r="F622" s="1">
        <f t="shared" si="3"/>
        <v>3.1</v>
      </c>
      <c r="G622" s="1">
        <v>26.0</v>
      </c>
      <c r="H622" s="1">
        <v>3.0</v>
      </c>
      <c r="I622" s="1">
        <v>7.0</v>
      </c>
      <c r="J622" s="1">
        <v>10.0</v>
      </c>
      <c r="K622" s="1">
        <v>46.0</v>
      </c>
      <c r="L622" s="1">
        <v>1.0</v>
      </c>
      <c r="M622" s="1">
        <v>1.0</v>
      </c>
      <c r="N622" s="1">
        <v>0.0</v>
      </c>
      <c r="O622" s="1">
        <v>0.0</v>
      </c>
      <c r="P622" s="1">
        <v>74.0</v>
      </c>
      <c r="Q622" s="1">
        <v>9.0</v>
      </c>
    </row>
    <row r="623">
      <c r="A623" s="1">
        <f t="shared" si="1"/>
        <v>621</v>
      </c>
      <c r="B623" s="1" t="s">
        <v>2416</v>
      </c>
      <c r="C623" s="1" t="s">
        <v>1048</v>
      </c>
      <c r="D623" s="1" t="s">
        <v>66</v>
      </c>
      <c r="E623" s="1">
        <f t="shared" si="2"/>
        <v>80.25</v>
      </c>
      <c r="F623" s="1">
        <f t="shared" si="3"/>
        <v>2.17</v>
      </c>
      <c r="G623" s="1">
        <v>37.0</v>
      </c>
      <c r="H623" s="1">
        <v>3.0</v>
      </c>
      <c r="I623" s="1">
        <v>6.0</v>
      </c>
      <c r="J623" s="1">
        <v>9.0</v>
      </c>
      <c r="K623" s="1">
        <v>47.0</v>
      </c>
      <c r="L623" s="1">
        <v>0.0</v>
      </c>
      <c r="M623" s="1">
        <v>1.0</v>
      </c>
      <c r="N623" s="1">
        <v>0.0</v>
      </c>
      <c r="O623" s="1">
        <v>0.0</v>
      </c>
      <c r="P623" s="1">
        <v>35.0</v>
      </c>
      <c r="Q623" s="1">
        <v>33.0</v>
      </c>
    </row>
    <row r="624">
      <c r="A624" s="1">
        <f t="shared" si="1"/>
        <v>621</v>
      </c>
      <c r="B624" s="1" t="s">
        <v>2567</v>
      </c>
      <c r="C624" s="1" t="s">
        <v>1120</v>
      </c>
      <c r="D624" s="1" t="s">
        <v>28</v>
      </c>
      <c r="E624" s="1">
        <f t="shared" si="2"/>
        <v>80.25</v>
      </c>
      <c r="F624" s="1">
        <f t="shared" si="3"/>
        <v>1.82</v>
      </c>
      <c r="G624" s="1">
        <v>44.0</v>
      </c>
      <c r="H624" s="1">
        <v>4.0</v>
      </c>
      <c r="I624" s="1">
        <v>5.0</v>
      </c>
      <c r="J624" s="1">
        <v>9.0</v>
      </c>
      <c r="K624" s="1">
        <v>37.0</v>
      </c>
      <c r="L624" s="1">
        <v>0.0</v>
      </c>
      <c r="M624" s="1">
        <v>0.0</v>
      </c>
      <c r="N624" s="1">
        <v>0.0</v>
      </c>
      <c r="O624" s="1">
        <v>0.0</v>
      </c>
      <c r="P624" s="1">
        <v>93.0</v>
      </c>
      <c r="Q624" s="1">
        <v>11.0</v>
      </c>
    </row>
    <row r="625">
      <c r="A625" s="1">
        <f t="shared" si="1"/>
        <v>623</v>
      </c>
      <c r="B625" s="1" t="s">
        <v>2609</v>
      </c>
      <c r="C625" s="1" t="s">
        <v>1172</v>
      </c>
      <c r="D625" s="1" t="s">
        <v>66</v>
      </c>
      <c r="E625" s="1">
        <f t="shared" si="2"/>
        <v>80</v>
      </c>
      <c r="F625" s="1">
        <f t="shared" si="3"/>
        <v>2.5</v>
      </c>
      <c r="G625" s="1">
        <v>32.0</v>
      </c>
      <c r="H625" s="1">
        <v>3.0</v>
      </c>
      <c r="I625" s="1">
        <v>1.0</v>
      </c>
      <c r="J625" s="1">
        <v>4.0</v>
      </c>
      <c r="K625" s="1">
        <v>40.0</v>
      </c>
      <c r="L625" s="1">
        <v>1.0</v>
      </c>
      <c r="M625" s="1">
        <v>0.0</v>
      </c>
      <c r="N625" s="1">
        <v>0.0</v>
      </c>
      <c r="O625" s="1">
        <v>0.0</v>
      </c>
      <c r="P625" s="1">
        <v>52.0</v>
      </c>
      <c r="Q625" s="1">
        <v>61.0</v>
      </c>
    </row>
    <row r="626">
      <c r="A626" s="1">
        <f t="shared" si="1"/>
        <v>624</v>
      </c>
      <c r="B626" s="1" t="s">
        <v>2117</v>
      </c>
      <c r="C626" s="1" t="s">
        <v>1156</v>
      </c>
      <c r="D626" s="1" t="s">
        <v>66</v>
      </c>
      <c r="E626" s="1">
        <f t="shared" si="2"/>
        <v>79.5</v>
      </c>
      <c r="F626" s="1">
        <f t="shared" si="3"/>
        <v>2.04</v>
      </c>
      <c r="G626" s="1">
        <v>39.0</v>
      </c>
      <c r="H626" s="1">
        <v>1.0</v>
      </c>
      <c r="I626" s="1">
        <v>7.0</v>
      </c>
      <c r="J626" s="1">
        <v>8.0</v>
      </c>
      <c r="K626" s="1">
        <v>37.0</v>
      </c>
      <c r="L626" s="1">
        <v>0.0</v>
      </c>
      <c r="M626" s="1">
        <v>0.0</v>
      </c>
      <c r="N626" s="1">
        <v>0.0</v>
      </c>
      <c r="O626" s="1">
        <v>0.0</v>
      </c>
      <c r="P626" s="1">
        <v>46.0</v>
      </c>
      <c r="Q626" s="1">
        <v>48.0</v>
      </c>
    </row>
    <row r="627">
      <c r="A627" s="1">
        <f t="shared" si="1"/>
        <v>625</v>
      </c>
      <c r="B627" s="1" t="s">
        <v>2512</v>
      </c>
      <c r="C627" s="1" t="s">
        <v>1156</v>
      </c>
      <c r="D627" s="1" t="s">
        <v>28</v>
      </c>
      <c r="E627" s="1">
        <f t="shared" si="2"/>
        <v>79</v>
      </c>
      <c r="F627" s="1">
        <f t="shared" si="3"/>
        <v>2.63</v>
      </c>
      <c r="G627" s="1">
        <v>30.0</v>
      </c>
      <c r="H627" s="1">
        <v>4.0</v>
      </c>
      <c r="I627" s="1">
        <v>6.0</v>
      </c>
      <c r="J627" s="1">
        <v>10.0</v>
      </c>
      <c r="K627" s="1">
        <v>55.0</v>
      </c>
      <c r="L627" s="1">
        <v>0.0</v>
      </c>
      <c r="M627" s="1">
        <v>0.0</v>
      </c>
      <c r="N627" s="1">
        <v>0.0</v>
      </c>
      <c r="O627" s="1">
        <v>0.0</v>
      </c>
      <c r="P627" s="1">
        <v>46.0</v>
      </c>
      <c r="Q627" s="1">
        <v>8.0</v>
      </c>
    </row>
    <row r="628">
      <c r="A628" s="1">
        <f t="shared" si="1"/>
        <v>626</v>
      </c>
      <c r="B628" s="1" t="s">
        <v>2610</v>
      </c>
      <c r="C628" s="1" t="s">
        <v>1570</v>
      </c>
      <c r="D628" s="1" t="s">
        <v>31</v>
      </c>
      <c r="E628" s="1">
        <f t="shared" si="2"/>
        <v>78.75</v>
      </c>
      <c r="F628" s="1">
        <f t="shared" si="3"/>
        <v>1.49</v>
      </c>
      <c r="G628" s="1">
        <v>53.0</v>
      </c>
      <c r="H628" s="1">
        <v>5.0</v>
      </c>
      <c r="I628" s="1">
        <v>1.0</v>
      </c>
      <c r="J628" s="1">
        <v>6.0</v>
      </c>
      <c r="K628" s="1">
        <v>49.0</v>
      </c>
      <c r="L628" s="1">
        <v>0.0</v>
      </c>
      <c r="M628" s="1">
        <v>0.0</v>
      </c>
      <c r="N628" s="1">
        <v>1.0</v>
      </c>
      <c r="O628" s="1">
        <v>0.0</v>
      </c>
      <c r="P628" s="1">
        <v>51.0</v>
      </c>
      <c r="Q628" s="1">
        <v>28.0</v>
      </c>
    </row>
    <row r="629">
      <c r="A629" s="1">
        <f t="shared" si="1"/>
        <v>627</v>
      </c>
      <c r="B629" s="1" t="s">
        <v>2611</v>
      </c>
      <c r="C629" s="1" t="s">
        <v>1570</v>
      </c>
      <c r="D629" s="1" t="s">
        <v>5</v>
      </c>
      <c r="E629" s="1">
        <f t="shared" si="2"/>
        <v>78.3</v>
      </c>
      <c r="F629" s="1">
        <f t="shared" si="3"/>
        <v>2.9</v>
      </c>
      <c r="G629" s="1">
        <v>27.0</v>
      </c>
      <c r="R629" s="1">
        <v>2.0</v>
      </c>
      <c r="S629" s="1">
        <v>96.0</v>
      </c>
      <c r="T629" s="1">
        <v>721.0</v>
      </c>
      <c r="U629" s="1">
        <v>0.0</v>
      </c>
    </row>
    <row r="630">
      <c r="A630" s="1">
        <f t="shared" si="1"/>
        <v>628</v>
      </c>
      <c r="B630" s="1" t="s">
        <v>1605</v>
      </c>
      <c r="C630" s="1" t="s">
        <v>1082</v>
      </c>
      <c r="D630" s="1" t="s">
        <v>66</v>
      </c>
      <c r="E630" s="1">
        <f t="shared" si="2"/>
        <v>78.25</v>
      </c>
      <c r="F630" s="1">
        <f t="shared" si="3"/>
        <v>1.6</v>
      </c>
      <c r="G630" s="1">
        <v>49.0</v>
      </c>
      <c r="H630" s="1">
        <v>1.0</v>
      </c>
      <c r="I630" s="1">
        <v>7.0</v>
      </c>
      <c r="J630" s="1">
        <v>8.0</v>
      </c>
      <c r="K630" s="1">
        <v>58.0</v>
      </c>
      <c r="L630" s="1">
        <v>0.0</v>
      </c>
      <c r="M630" s="1">
        <v>0.0</v>
      </c>
      <c r="N630" s="1">
        <v>0.0</v>
      </c>
      <c r="O630" s="1">
        <v>0.0</v>
      </c>
      <c r="P630" s="1">
        <v>21.0</v>
      </c>
      <c r="Q630" s="1">
        <v>37.0</v>
      </c>
    </row>
    <row r="631">
      <c r="A631" s="1">
        <f t="shared" si="1"/>
        <v>629</v>
      </c>
      <c r="B631" s="1" t="s">
        <v>2126</v>
      </c>
      <c r="C631" s="1" t="s">
        <v>1048</v>
      </c>
      <c r="D631" s="1" t="s">
        <v>66</v>
      </c>
      <c r="E631" s="1">
        <f t="shared" si="2"/>
        <v>77.75</v>
      </c>
      <c r="F631" s="1">
        <f t="shared" si="3"/>
        <v>2.29</v>
      </c>
      <c r="G631" s="1">
        <v>34.0</v>
      </c>
      <c r="H631" s="1">
        <v>0.0</v>
      </c>
      <c r="I631" s="1">
        <v>5.0</v>
      </c>
      <c r="J631" s="1">
        <v>5.0</v>
      </c>
      <c r="K631" s="1">
        <v>39.0</v>
      </c>
      <c r="L631" s="1">
        <v>0.0</v>
      </c>
      <c r="M631" s="1">
        <v>0.0</v>
      </c>
      <c r="N631" s="1">
        <v>0.0</v>
      </c>
      <c r="O631" s="1">
        <v>0.0</v>
      </c>
      <c r="P631" s="1">
        <v>59.0</v>
      </c>
      <c r="Q631" s="1">
        <v>57.0</v>
      </c>
    </row>
    <row r="632">
      <c r="A632" s="1">
        <f t="shared" si="1"/>
        <v>630</v>
      </c>
      <c r="B632" s="1" t="s">
        <v>1832</v>
      </c>
      <c r="C632" s="1" t="s">
        <v>1106</v>
      </c>
      <c r="D632" s="1" t="s">
        <v>66</v>
      </c>
      <c r="E632" s="1">
        <f t="shared" si="2"/>
        <v>77</v>
      </c>
      <c r="F632" s="1">
        <f t="shared" si="3"/>
        <v>1.83</v>
      </c>
      <c r="G632" s="1">
        <v>42.0</v>
      </c>
      <c r="H632" s="1">
        <v>2.0</v>
      </c>
      <c r="I632" s="1">
        <v>4.0</v>
      </c>
      <c r="J632" s="1">
        <v>6.0</v>
      </c>
      <c r="K632" s="1">
        <v>36.0</v>
      </c>
      <c r="L632" s="1">
        <v>0.0</v>
      </c>
      <c r="M632" s="1">
        <v>0.0</v>
      </c>
      <c r="N632" s="1">
        <v>0.0</v>
      </c>
      <c r="O632" s="1">
        <v>0.0</v>
      </c>
      <c r="P632" s="1">
        <v>66.0</v>
      </c>
      <c r="Q632" s="1">
        <v>43.0</v>
      </c>
    </row>
    <row r="633">
      <c r="A633" s="1">
        <f t="shared" si="1"/>
        <v>631</v>
      </c>
      <c r="B633" s="1" t="s">
        <v>2393</v>
      </c>
      <c r="C633" s="1" t="s">
        <v>1065</v>
      </c>
      <c r="D633" s="1" t="s">
        <v>66</v>
      </c>
      <c r="E633" s="1">
        <f t="shared" si="2"/>
        <v>76.25</v>
      </c>
      <c r="F633" s="1">
        <f t="shared" si="3"/>
        <v>2.54</v>
      </c>
      <c r="G633" s="1">
        <v>30.0</v>
      </c>
      <c r="H633" s="1">
        <v>4.0</v>
      </c>
      <c r="I633" s="1">
        <v>4.0</v>
      </c>
      <c r="J633" s="1">
        <v>8.0</v>
      </c>
      <c r="K633" s="1">
        <v>39.0</v>
      </c>
      <c r="L633" s="1">
        <v>0.0</v>
      </c>
      <c r="M633" s="1">
        <v>0.0</v>
      </c>
      <c r="N633" s="1">
        <v>0.0</v>
      </c>
      <c r="O633" s="1">
        <v>0.0</v>
      </c>
      <c r="P633" s="1">
        <v>21.0</v>
      </c>
      <c r="Q633" s="1">
        <v>43.0</v>
      </c>
    </row>
    <row r="634">
      <c r="A634" s="1">
        <f t="shared" si="1"/>
        <v>632</v>
      </c>
      <c r="B634" s="1" t="s">
        <v>2309</v>
      </c>
      <c r="C634" s="1" t="s">
        <v>1054</v>
      </c>
      <c r="D634" s="1" t="s">
        <v>31</v>
      </c>
      <c r="E634" s="1">
        <f t="shared" si="2"/>
        <v>76</v>
      </c>
      <c r="F634" s="1">
        <f t="shared" si="3"/>
        <v>1.77</v>
      </c>
      <c r="G634" s="1">
        <v>43.0</v>
      </c>
      <c r="H634" s="1">
        <v>5.0</v>
      </c>
      <c r="I634" s="1">
        <v>8.0</v>
      </c>
      <c r="J634" s="1">
        <v>13.0</v>
      </c>
      <c r="K634" s="1">
        <v>38.0</v>
      </c>
      <c r="L634" s="1">
        <v>0.0</v>
      </c>
      <c r="M634" s="1">
        <v>0.0</v>
      </c>
      <c r="N634" s="1">
        <v>0.0</v>
      </c>
      <c r="O634" s="1">
        <v>0.0</v>
      </c>
      <c r="P634" s="1">
        <v>26.0</v>
      </c>
      <c r="Q634" s="1">
        <v>8.0</v>
      </c>
    </row>
    <row r="635">
      <c r="A635" s="1">
        <f t="shared" si="1"/>
        <v>633</v>
      </c>
      <c r="B635" s="1" t="s">
        <v>2467</v>
      </c>
      <c r="C635" s="1" t="s">
        <v>1065</v>
      </c>
      <c r="D635" s="1" t="s">
        <v>28</v>
      </c>
      <c r="E635" s="1">
        <f t="shared" si="2"/>
        <v>75.75</v>
      </c>
      <c r="F635" s="1">
        <f t="shared" si="3"/>
        <v>2.61</v>
      </c>
      <c r="G635" s="1">
        <v>29.0</v>
      </c>
      <c r="H635" s="1">
        <v>5.0</v>
      </c>
      <c r="I635" s="1">
        <v>6.0</v>
      </c>
      <c r="J635" s="1">
        <v>11.0</v>
      </c>
      <c r="K635" s="1">
        <v>32.0</v>
      </c>
      <c r="L635" s="1">
        <v>2.0</v>
      </c>
      <c r="M635" s="1">
        <v>1.0</v>
      </c>
      <c r="N635" s="1">
        <v>0.0</v>
      </c>
      <c r="O635" s="1">
        <v>0.0</v>
      </c>
      <c r="P635" s="1">
        <v>61.0</v>
      </c>
      <c r="Q635" s="1">
        <v>8.0</v>
      </c>
    </row>
    <row r="636">
      <c r="A636" s="1">
        <f t="shared" si="1"/>
        <v>633</v>
      </c>
      <c r="B636" s="1" t="s">
        <v>1679</v>
      </c>
      <c r="C636" s="1" t="s">
        <v>1080</v>
      </c>
      <c r="D636" s="1" t="s">
        <v>31</v>
      </c>
      <c r="E636" s="1">
        <f t="shared" si="2"/>
        <v>75.75</v>
      </c>
      <c r="F636" s="1">
        <f t="shared" si="3"/>
        <v>1.94</v>
      </c>
      <c r="G636" s="1">
        <v>39.0</v>
      </c>
      <c r="H636" s="1">
        <v>5.0</v>
      </c>
      <c r="I636" s="1">
        <v>7.0</v>
      </c>
      <c r="J636" s="1">
        <v>12.0</v>
      </c>
      <c r="K636" s="1">
        <v>51.0</v>
      </c>
      <c r="L636" s="1">
        <v>1.0</v>
      </c>
      <c r="M636" s="1">
        <v>5.0</v>
      </c>
      <c r="N636" s="1">
        <v>0.0</v>
      </c>
      <c r="O636" s="1">
        <v>0.0</v>
      </c>
      <c r="P636" s="1">
        <v>15.0</v>
      </c>
      <c r="Q636" s="1">
        <v>6.0</v>
      </c>
    </row>
    <row r="637">
      <c r="A637" s="1">
        <f t="shared" si="1"/>
        <v>635</v>
      </c>
      <c r="B637" s="1" t="s">
        <v>2047</v>
      </c>
      <c r="C637" s="1" t="s">
        <v>1097</v>
      </c>
      <c r="D637" s="1" t="s">
        <v>66</v>
      </c>
      <c r="E637" s="1">
        <f t="shared" si="2"/>
        <v>75</v>
      </c>
      <c r="F637" s="1">
        <f t="shared" si="3"/>
        <v>1.83</v>
      </c>
      <c r="G637" s="1">
        <v>41.0</v>
      </c>
      <c r="H637" s="1">
        <v>1.0</v>
      </c>
      <c r="I637" s="1">
        <v>0.0</v>
      </c>
      <c r="J637" s="1">
        <v>1.0</v>
      </c>
      <c r="K637" s="1">
        <v>45.0</v>
      </c>
      <c r="L637" s="1">
        <v>0.0</v>
      </c>
      <c r="M637" s="1">
        <v>0.0</v>
      </c>
      <c r="N637" s="1">
        <v>0.0</v>
      </c>
      <c r="O637" s="1">
        <v>0.0</v>
      </c>
      <c r="P637" s="1">
        <v>102.0</v>
      </c>
      <c r="Q637" s="1">
        <v>45.0</v>
      </c>
    </row>
    <row r="638">
      <c r="A638" s="1">
        <f t="shared" si="1"/>
        <v>636</v>
      </c>
      <c r="B638" s="1" t="s">
        <v>1559</v>
      </c>
      <c r="C638" s="1" t="s">
        <v>1116</v>
      </c>
      <c r="D638" s="1" t="s">
        <v>5</v>
      </c>
      <c r="E638" s="1">
        <f t="shared" si="2"/>
        <v>74.4</v>
      </c>
      <c r="F638" s="1">
        <f t="shared" si="3"/>
        <v>3.92</v>
      </c>
      <c r="G638" s="1">
        <v>19.0</v>
      </c>
      <c r="R638" s="1">
        <v>6.0</v>
      </c>
      <c r="S638" s="1">
        <v>54.0</v>
      </c>
      <c r="T638" s="1">
        <v>458.0</v>
      </c>
      <c r="U638" s="1">
        <v>0.0</v>
      </c>
    </row>
    <row r="639">
      <c r="A639" s="1">
        <f t="shared" si="1"/>
        <v>637</v>
      </c>
      <c r="B639" s="1" t="s">
        <v>2178</v>
      </c>
      <c r="C639" s="1" t="s">
        <v>1076</v>
      </c>
      <c r="D639" s="1" t="s">
        <v>66</v>
      </c>
      <c r="E639" s="1">
        <f t="shared" si="2"/>
        <v>74</v>
      </c>
      <c r="F639" s="1">
        <f t="shared" si="3"/>
        <v>2.74</v>
      </c>
      <c r="G639" s="1">
        <v>27.0</v>
      </c>
      <c r="H639" s="1">
        <v>2.0</v>
      </c>
      <c r="I639" s="1">
        <v>7.0</v>
      </c>
      <c r="J639" s="1">
        <v>9.0</v>
      </c>
      <c r="K639" s="1">
        <v>32.0</v>
      </c>
      <c r="L639" s="1">
        <v>0.0</v>
      </c>
      <c r="M639" s="1">
        <v>2.0</v>
      </c>
      <c r="N639" s="1">
        <v>0.0</v>
      </c>
      <c r="O639" s="1">
        <v>0.0</v>
      </c>
      <c r="P639" s="1">
        <v>12.0</v>
      </c>
      <c r="Q639" s="1">
        <v>50.0</v>
      </c>
    </row>
    <row r="640">
      <c r="A640" s="1">
        <f t="shared" si="1"/>
        <v>637</v>
      </c>
      <c r="B640" s="1" t="s">
        <v>1737</v>
      </c>
      <c r="C640" s="1" t="s">
        <v>1052</v>
      </c>
      <c r="D640" s="1" t="s">
        <v>66</v>
      </c>
      <c r="E640" s="1">
        <f t="shared" si="2"/>
        <v>74</v>
      </c>
      <c r="F640" s="1">
        <f t="shared" si="3"/>
        <v>1.8</v>
      </c>
      <c r="G640" s="1">
        <v>41.0</v>
      </c>
      <c r="H640" s="1">
        <v>2.0</v>
      </c>
      <c r="I640" s="1">
        <v>4.0</v>
      </c>
      <c r="J640" s="1">
        <v>6.0</v>
      </c>
      <c r="K640" s="1">
        <v>44.0</v>
      </c>
      <c r="L640" s="1">
        <v>0.0</v>
      </c>
      <c r="M640" s="1">
        <v>0.0</v>
      </c>
      <c r="N640" s="1">
        <v>0.0</v>
      </c>
      <c r="O640" s="1">
        <v>0.0</v>
      </c>
      <c r="P640" s="1">
        <v>74.0</v>
      </c>
      <c r="Q640" s="1">
        <v>25.0</v>
      </c>
    </row>
    <row r="641">
      <c r="A641" s="1">
        <f t="shared" si="1"/>
        <v>639</v>
      </c>
      <c r="B641" s="1" t="s">
        <v>2267</v>
      </c>
      <c r="C641" s="1" t="s">
        <v>1120</v>
      </c>
      <c r="D641" s="1" t="s">
        <v>66</v>
      </c>
      <c r="E641" s="1">
        <f t="shared" si="2"/>
        <v>73.75</v>
      </c>
      <c r="F641" s="1">
        <f t="shared" si="3"/>
        <v>2.05</v>
      </c>
      <c r="G641" s="1">
        <v>36.0</v>
      </c>
      <c r="H641" s="1">
        <v>2.0</v>
      </c>
      <c r="I641" s="1">
        <v>6.0</v>
      </c>
      <c r="J641" s="1">
        <v>8.0</v>
      </c>
      <c r="K641" s="1">
        <v>51.0</v>
      </c>
      <c r="L641" s="1">
        <v>1.0</v>
      </c>
      <c r="M641" s="1">
        <v>4.0</v>
      </c>
      <c r="N641" s="1">
        <v>0.0</v>
      </c>
      <c r="O641" s="1">
        <v>0.0</v>
      </c>
      <c r="P641" s="1">
        <v>15.0</v>
      </c>
      <c r="Q641" s="1">
        <v>35.0</v>
      </c>
    </row>
    <row r="642">
      <c r="A642" s="1">
        <f t="shared" si="1"/>
        <v>639</v>
      </c>
      <c r="B642" s="1" t="s">
        <v>2513</v>
      </c>
      <c r="C642" s="1" t="s">
        <v>1106</v>
      </c>
      <c r="D642" s="1" t="s">
        <v>66</v>
      </c>
      <c r="E642" s="1">
        <f t="shared" si="2"/>
        <v>73.75</v>
      </c>
      <c r="F642" s="1">
        <f t="shared" si="3"/>
        <v>2.05</v>
      </c>
      <c r="G642" s="1">
        <v>36.0</v>
      </c>
      <c r="H642" s="1">
        <v>2.0</v>
      </c>
      <c r="I642" s="1">
        <v>5.0</v>
      </c>
      <c r="J642" s="1">
        <v>7.0</v>
      </c>
      <c r="K642" s="1">
        <v>31.0</v>
      </c>
      <c r="L642" s="1">
        <v>0.0</v>
      </c>
      <c r="M642" s="1">
        <v>0.0</v>
      </c>
      <c r="N642" s="1">
        <v>0.0</v>
      </c>
      <c r="O642" s="1">
        <v>1.0</v>
      </c>
      <c r="P642" s="1">
        <v>27.0</v>
      </c>
      <c r="Q642" s="1">
        <v>51.0</v>
      </c>
    </row>
    <row r="643">
      <c r="A643" s="1">
        <f t="shared" si="1"/>
        <v>641</v>
      </c>
      <c r="B643" s="1" t="s">
        <v>1568</v>
      </c>
      <c r="C643" s="1" t="s">
        <v>1052</v>
      </c>
      <c r="D643" s="1" t="s">
        <v>66</v>
      </c>
      <c r="E643" s="1">
        <f t="shared" si="2"/>
        <v>73.5</v>
      </c>
      <c r="F643" s="1">
        <f t="shared" si="3"/>
        <v>2.63</v>
      </c>
      <c r="G643" s="1">
        <v>28.0</v>
      </c>
      <c r="H643" s="1">
        <v>1.0</v>
      </c>
      <c r="I643" s="1">
        <v>7.0</v>
      </c>
      <c r="J643" s="1">
        <v>8.0</v>
      </c>
      <c r="K643" s="1">
        <v>35.0</v>
      </c>
      <c r="L643" s="1">
        <v>0.0</v>
      </c>
      <c r="M643" s="1">
        <v>1.0</v>
      </c>
      <c r="N643" s="1">
        <v>1.0</v>
      </c>
      <c r="O643" s="1">
        <v>0.0</v>
      </c>
      <c r="P643" s="1">
        <v>44.0</v>
      </c>
      <c r="Q643" s="1">
        <v>35.0</v>
      </c>
    </row>
    <row r="644">
      <c r="A644" s="1">
        <f t="shared" si="1"/>
        <v>642</v>
      </c>
      <c r="B644" s="1" t="s">
        <v>2563</v>
      </c>
      <c r="C644" s="1" t="s">
        <v>1073</v>
      </c>
      <c r="D644" s="1" t="s">
        <v>66</v>
      </c>
      <c r="E644" s="1">
        <f t="shared" si="2"/>
        <v>72.5</v>
      </c>
      <c r="F644" s="1">
        <f t="shared" si="3"/>
        <v>2.07</v>
      </c>
      <c r="G644" s="1">
        <v>35.0</v>
      </c>
      <c r="H644" s="1">
        <v>1.0</v>
      </c>
      <c r="I644" s="1">
        <v>4.0</v>
      </c>
      <c r="J644" s="1">
        <v>5.0</v>
      </c>
      <c r="K644" s="1">
        <v>54.0</v>
      </c>
      <c r="L644" s="1">
        <v>0.0</v>
      </c>
      <c r="M644" s="1">
        <v>0.0</v>
      </c>
      <c r="N644" s="1">
        <v>0.0</v>
      </c>
      <c r="O644" s="1">
        <v>0.0</v>
      </c>
      <c r="P644" s="1">
        <v>24.0</v>
      </c>
      <c r="Q644" s="1">
        <v>46.0</v>
      </c>
    </row>
    <row r="645">
      <c r="A645" s="1">
        <f t="shared" si="1"/>
        <v>642</v>
      </c>
      <c r="B645" s="1" t="s">
        <v>2520</v>
      </c>
      <c r="C645" s="1" t="s">
        <v>1036</v>
      </c>
      <c r="D645" s="1" t="s">
        <v>36</v>
      </c>
      <c r="E645" s="1">
        <f t="shared" si="2"/>
        <v>72.5</v>
      </c>
      <c r="F645" s="1">
        <f t="shared" si="3"/>
        <v>1.61</v>
      </c>
      <c r="G645" s="1">
        <v>45.0</v>
      </c>
      <c r="H645" s="1">
        <v>0.0</v>
      </c>
      <c r="I645" s="1">
        <v>5.0</v>
      </c>
      <c r="J645" s="1">
        <v>5.0</v>
      </c>
      <c r="K645" s="1">
        <v>58.0</v>
      </c>
      <c r="L645" s="1">
        <v>0.0</v>
      </c>
      <c r="M645" s="1">
        <v>0.0</v>
      </c>
      <c r="N645" s="1">
        <v>0.0</v>
      </c>
      <c r="O645" s="1">
        <v>0.0</v>
      </c>
      <c r="P645" s="1">
        <v>64.0</v>
      </c>
      <c r="Q645" s="1">
        <v>25.0</v>
      </c>
    </row>
    <row r="646">
      <c r="A646" s="1">
        <f t="shared" si="1"/>
        <v>644</v>
      </c>
      <c r="B646" s="1" t="s">
        <v>1662</v>
      </c>
      <c r="C646" s="1" t="s">
        <v>1040</v>
      </c>
      <c r="D646" s="1" t="s">
        <v>31</v>
      </c>
      <c r="E646" s="1">
        <f t="shared" si="2"/>
        <v>72.25</v>
      </c>
      <c r="F646" s="1">
        <f t="shared" si="3"/>
        <v>2.68</v>
      </c>
      <c r="G646" s="1">
        <v>27.0</v>
      </c>
      <c r="H646" s="1">
        <v>3.0</v>
      </c>
      <c r="I646" s="1">
        <v>7.0</v>
      </c>
      <c r="J646" s="1">
        <v>10.0</v>
      </c>
      <c r="K646" s="1">
        <v>31.0</v>
      </c>
      <c r="L646" s="1">
        <v>0.0</v>
      </c>
      <c r="M646" s="1">
        <v>0.0</v>
      </c>
      <c r="N646" s="1">
        <v>0.0</v>
      </c>
      <c r="O646" s="1">
        <v>0.0</v>
      </c>
      <c r="P646" s="1">
        <v>43.0</v>
      </c>
      <c r="Q646" s="1">
        <v>23.0</v>
      </c>
    </row>
    <row r="647">
      <c r="A647" s="1">
        <f t="shared" si="1"/>
        <v>645</v>
      </c>
      <c r="B647" s="1" t="s">
        <v>2383</v>
      </c>
      <c r="C647" s="1" t="s">
        <v>1052</v>
      </c>
      <c r="D647" s="1" t="s">
        <v>66</v>
      </c>
      <c r="E647" s="1">
        <f t="shared" si="2"/>
        <v>72</v>
      </c>
      <c r="F647" s="1">
        <f t="shared" si="3"/>
        <v>2</v>
      </c>
      <c r="G647" s="1">
        <v>36.0</v>
      </c>
      <c r="H647" s="1">
        <v>1.0</v>
      </c>
      <c r="I647" s="1">
        <v>6.0</v>
      </c>
      <c r="J647" s="1">
        <v>7.0</v>
      </c>
      <c r="K647" s="1">
        <v>38.0</v>
      </c>
      <c r="L647" s="1">
        <v>0.0</v>
      </c>
      <c r="M647" s="1">
        <v>2.0</v>
      </c>
      <c r="N647" s="1">
        <v>0.0</v>
      </c>
      <c r="O647" s="1">
        <v>0.0</v>
      </c>
      <c r="P647" s="1">
        <v>74.0</v>
      </c>
      <c r="Q647" s="1">
        <v>24.0</v>
      </c>
    </row>
    <row r="648">
      <c r="A648" s="1">
        <f t="shared" si="1"/>
        <v>645</v>
      </c>
      <c r="B648" s="1" t="s">
        <v>2325</v>
      </c>
      <c r="C648" s="1" t="s">
        <v>1097</v>
      </c>
      <c r="D648" s="1" t="s">
        <v>31</v>
      </c>
      <c r="E648" s="1">
        <f t="shared" si="2"/>
        <v>72</v>
      </c>
      <c r="F648" s="1">
        <f t="shared" si="3"/>
        <v>2.48</v>
      </c>
      <c r="G648" s="1">
        <v>29.0</v>
      </c>
      <c r="H648" s="1">
        <v>4.0</v>
      </c>
      <c r="I648" s="1">
        <v>6.0</v>
      </c>
      <c r="J648" s="1">
        <v>10.0</v>
      </c>
      <c r="K648" s="1">
        <v>29.0</v>
      </c>
      <c r="L648" s="1">
        <v>0.0</v>
      </c>
      <c r="M648" s="1">
        <v>0.0</v>
      </c>
      <c r="N648" s="1">
        <v>1.0</v>
      </c>
      <c r="O648" s="1">
        <v>0.0</v>
      </c>
      <c r="P648" s="1">
        <v>42.0</v>
      </c>
      <c r="Q648" s="1">
        <v>18.0</v>
      </c>
    </row>
    <row r="649">
      <c r="A649" s="1">
        <f t="shared" si="1"/>
        <v>645</v>
      </c>
      <c r="B649" s="1" t="s">
        <v>1325</v>
      </c>
      <c r="C649" s="1" t="s">
        <v>1116</v>
      </c>
      <c r="D649" s="1" t="s">
        <v>31</v>
      </c>
      <c r="E649" s="1">
        <f t="shared" si="2"/>
        <v>72</v>
      </c>
      <c r="F649" s="1">
        <f t="shared" si="3"/>
        <v>1.57</v>
      </c>
      <c r="G649" s="1">
        <v>46.0</v>
      </c>
      <c r="H649" s="1">
        <v>5.0</v>
      </c>
      <c r="I649" s="1">
        <v>3.0</v>
      </c>
      <c r="J649" s="1">
        <v>8.0</v>
      </c>
      <c r="K649" s="1">
        <v>55.0</v>
      </c>
      <c r="L649" s="1">
        <v>0.0</v>
      </c>
      <c r="M649" s="1">
        <v>0.0</v>
      </c>
      <c r="N649" s="1">
        <v>1.0</v>
      </c>
      <c r="O649" s="1">
        <v>0.0</v>
      </c>
      <c r="P649" s="1">
        <v>20.0</v>
      </c>
      <c r="Q649" s="1">
        <v>12.0</v>
      </c>
    </row>
    <row r="650">
      <c r="A650" s="1">
        <f t="shared" si="1"/>
        <v>648</v>
      </c>
      <c r="B650" s="1" t="s">
        <v>1348</v>
      </c>
      <c r="C650" s="1" t="s">
        <v>1080</v>
      </c>
      <c r="D650" s="1" t="s">
        <v>31</v>
      </c>
      <c r="E650" s="1">
        <f t="shared" si="2"/>
        <v>71.75</v>
      </c>
      <c r="F650" s="1">
        <f t="shared" si="3"/>
        <v>2.56</v>
      </c>
      <c r="G650" s="1">
        <v>28.0</v>
      </c>
      <c r="H650" s="1">
        <v>5.0</v>
      </c>
      <c r="I650" s="1">
        <v>5.0</v>
      </c>
      <c r="J650" s="1">
        <v>10.0</v>
      </c>
      <c r="K650" s="1">
        <v>42.0</v>
      </c>
      <c r="L650" s="1">
        <v>1.0</v>
      </c>
      <c r="M650" s="1">
        <v>0.0</v>
      </c>
      <c r="N650" s="1">
        <v>0.0</v>
      </c>
      <c r="O650" s="1">
        <v>0.0</v>
      </c>
      <c r="P650" s="1">
        <v>39.0</v>
      </c>
      <c r="Q650" s="1">
        <v>7.0</v>
      </c>
    </row>
    <row r="651">
      <c r="A651" s="1">
        <f t="shared" si="1"/>
        <v>649</v>
      </c>
      <c r="B651" s="1" t="s">
        <v>2037</v>
      </c>
      <c r="C651" s="1" t="s">
        <v>1111</v>
      </c>
      <c r="D651" s="1" t="s">
        <v>31</v>
      </c>
      <c r="E651" s="1">
        <f t="shared" si="2"/>
        <v>71.25</v>
      </c>
      <c r="F651" s="1">
        <f t="shared" si="3"/>
        <v>1.66</v>
      </c>
      <c r="G651" s="1">
        <v>43.0</v>
      </c>
      <c r="H651" s="1">
        <v>3.0</v>
      </c>
      <c r="I651" s="1">
        <v>1.0</v>
      </c>
      <c r="J651" s="1">
        <v>4.0</v>
      </c>
      <c r="K651" s="1">
        <v>39.0</v>
      </c>
      <c r="L651" s="1">
        <v>0.0</v>
      </c>
      <c r="M651" s="1">
        <v>0.0</v>
      </c>
      <c r="N651" s="1">
        <v>0.0</v>
      </c>
      <c r="O651" s="1">
        <v>0.0</v>
      </c>
      <c r="P651" s="1">
        <v>87.0</v>
      </c>
      <c r="Q651" s="1">
        <v>27.0</v>
      </c>
    </row>
    <row r="652">
      <c r="A652" s="1">
        <f t="shared" si="1"/>
        <v>650</v>
      </c>
      <c r="B652" s="1" t="s">
        <v>2472</v>
      </c>
      <c r="C652" s="1" t="s">
        <v>1120</v>
      </c>
      <c r="D652" s="1" t="s">
        <v>36</v>
      </c>
      <c r="E652" s="1">
        <f t="shared" si="2"/>
        <v>69.75</v>
      </c>
      <c r="F652" s="1">
        <f t="shared" si="3"/>
        <v>2.91</v>
      </c>
      <c r="G652" s="1">
        <v>24.0</v>
      </c>
      <c r="H652" s="1">
        <v>5.0</v>
      </c>
      <c r="I652" s="1">
        <v>3.0</v>
      </c>
      <c r="J652" s="1">
        <v>8.0</v>
      </c>
      <c r="K652" s="1">
        <v>43.0</v>
      </c>
      <c r="L652" s="1">
        <v>0.0</v>
      </c>
      <c r="M652" s="1">
        <v>0.0</v>
      </c>
      <c r="N652" s="1">
        <v>0.0</v>
      </c>
      <c r="O652" s="1">
        <v>0.0</v>
      </c>
      <c r="P652" s="1">
        <v>41.0</v>
      </c>
      <c r="Q652" s="1">
        <v>13.0</v>
      </c>
    </row>
    <row r="653">
      <c r="A653" s="1">
        <f t="shared" si="1"/>
        <v>651</v>
      </c>
      <c r="B653" s="1" t="s">
        <v>1129</v>
      </c>
      <c r="C653" s="1" t="s">
        <v>1044</v>
      </c>
      <c r="D653" s="1" t="s">
        <v>36</v>
      </c>
      <c r="E653" s="1">
        <f t="shared" si="2"/>
        <v>68.75</v>
      </c>
      <c r="F653" s="1">
        <f t="shared" si="3"/>
        <v>2.99</v>
      </c>
      <c r="G653" s="1">
        <v>23.0</v>
      </c>
      <c r="H653" s="1">
        <v>3.0</v>
      </c>
      <c r="I653" s="1">
        <v>7.0</v>
      </c>
      <c r="J653" s="1">
        <v>10.0</v>
      </c>
      <c r="K653" s="1">
        <v>32.0</v>
      </c>
      <c r="L653" s="1">
        <v>1.0</v>
      </c>
      <c r="M653" s="1">
        <v>5.0</v>
      </c>
      <c r="N653" s="1">
        <v>0.0</v>
      </c>
      <c r="O653" s="1">
        <v>0.0</v>
      </c>
      <c r="P653" s="1">
        <v>51.0</v>
      </c>
      <c r="Q653" s="1">
        <v>11.0</v>
      </c>
    </row>
    <row r="654">
      <c r="A654" s="1">
        <f t="shared" si="1"/>
        <v>651</v>
      </c>
      <c r="B654" s="1" t="s">
        <v>2612</v>
      </c>
      <c r="C654" s="1" t="s">
        <v>1570</v>
      </c>
      <c r="D654" s="1" t="s">
        <v>31</v>
      </c>
      <c r="E654" s="1">
        <f t="shared" si="2"/>
        <v>68.75</v>
      </c>
      <c r="F654" s="1">
        <f t="shared" si="3"/>
        <v>1.09</v>
      </c>
      <c r="G654" s="1">
        <v>63.0</v>
      </c>
      <c r="H654" s="1">
        <v>3.0</v>
      </c>
      <c r="I654" s="1">
        <v>3.0</v>
      </c>
      <c r="J654" s="1">
        <v>6.0</v>
      </c>
      <c r="K654" s="1">
        <v>45.0</v>
      </c>
      <c r="L654" s="1">
        <v>0.0</v>
      </c>
      <c r="M654" s="1">
        <v>0.0</v>
      </c>
      <c r="N654" s="1">
        <v>0.0</v>
      </c>
      <c r="O654" s="1">
        <v>0.0</v>
      </c>
      <c r="P654" s="1">
        <v>55.0</v>
      </c>
      <c r="Q654" s="1">
        <v>20.0</v>
      </c>
    </row>
    <row r="655">
      <c r="A655" s="1">
        <f t="shared" si="1"/>
        <v>653</v>
      </c>
      <c r="B655" s="1" t="s">
        <v>1397</v>
      </c>
      <c r="C655" s="1" t="s">
        <v>1097</v>
      </c>
      <c r="D655" s="1" t="s">
        <v>36</v>
      </c>
      <c r="E655" s="1">
        <f t="shared" si="2"/>
        <v>68.5</v>
      </c>
      <c r="F655" s="1">
        <f t="shared" si="3"/>
        <v>2.63</v>
      </c>
      <c r="G655" s="1">
        <v>26.0</v>
      </c>
      <c r="H655" s="1">
        <v>1.0</v>
      </c>
      <c r="I655" s="1">
        <v>3.0</v>
      </c>
      <c r="J655" s="1">
        <v>4.0</v>
      </c>
      <c r="K655" s="1">
        <v>63.0</v>
      </c>
      <c r="L655" s="1">
        <v>0.0</v>
      </c>
      <c r="M655" s="1">
        <v>0.0</v>
      </c>
      <c r="N655" s="1">
        <v>0.0</v>
      </c>
      <c r="O655" s="1">
        <v>0.0</v>
      </c>
      <c r="P655" s="1">
        <v>68.0</v>
      </c>
      <c r="Q655" s="1">
        <v>13.0</v>
      </c>
    </row>
    <row r="656">
      <c r="A656" s="1">
        <f t="shared" si="1"/>
        <v>653</v>
      </c>
      <c r="B656" s="1" t="s">
        <v>1740</v>
      </c>
      <c r="C656" s="1" t="s">
        <v>1069</v>
      </c>
      <c r="D656" s="1" t="s">
        <v>66</v>
      </c>
      <c r="E656" s="1">
        <f t="shared" si="2"/>
        <v>68.5</v>
      </c>
      <c r="F656" s="1">
        <f t="shared" si="3"/>
        <v>1.43</v>
      </c>
      <c r="G656" s="1">
        <v>48.0</v>
      </c>
      <c r="H656" s="1">
        <v>2.0</v>
      </c>
      <c r="I656" s="1">
        <v>5.0</v>
      </c>
      <c r="J656" s="1">
        <v>7.0</v>
      </c>
      <c r="K656" s="1">
        <v>37.0</v>
      </c>
      <c r="L656" s="1">
        <v>0.0</v>
      </c>
      <c r="M656" s="1">
        <v>0.0</v>
      </c>
      <c r="N656" s="1">
        <v>0.0</v>
      </c>
      <c r="O656" s="1">
        <v>0.0</v>
      </c>
      <c r="P656" s="1">
        <v>36.0</v>
      </c>
      <c r="Q656" s="1">
        <v>34.0</v>
      </c>
    </row>
    <row r="657">
      <c r="A657" s="1">
        <f t="shared" si="1"/>
        <v>655</v>
      </c>
      <c r="B657" s="1" t="s">
        <v>2497</v>
      </c>
      <c r="C657" s="1" t="s">
        <v>1046</v>
      </c>
      <c r="D657" s="1" t="s">
        <v>31</v>
      </c>
      <c r="E657" s="1">
        <f t="shared" si="2"/>
        <v>68.25</v>
      </c>
      <c r="F657" s="1">
        <f t="shared" si="3"/>
        <v>2.63</v>
      </c>
      <c r="G657" s="1">
        <v>26.0</v>
      </c>
      <c r="H657" s="1">
        <v>3.0</v>
      </c>
      <c r="I657" s="1">
        <v>7.0</v>
      </c>
      <c r="J657" s="1">
        <v>10.0</v>
      </c>
      <c r="K657" s="1">
        <v>26.0</v>
      </c>
      <c r="L657" s="1">
        <v>0.0</v>
      </c>
      <c r="M657" s="1">
        <v>0.0</v>
      </c>
      <c r="N657" s="1">
        <v>0.0</v>
      </c>
      <c r="O657" s="1">
        <v>0.0</v>
      </c>
      <c r="P657" s="1">
        <v>65.0</v>
      </c>
      <c r="Q657" s="1">
        <v>9.0</v>
      </c>
    </row>
    <row r="658">
      <c r="A658" s="1">
        <f t="shared" si="1"/>
        <v>656</v>
      </c>
      <c r="B658" s="1" t="s">
        <v>2613</v>
      </c>
      <c r="C658" s="1" t="s">
        <v>1570</v>
      </c>
      <c r="D658" s="1" t="s">
        <v>28</v>
      </c>
      <c r="E658" s="1">
        <f t="shared" si="2"/>
        <v>67.75</v>
      </c>
      <c r="F658" s="1">
        <f t="shared" si="3"/>
        <v>1.38</v>
      </c>
      <c r="G658" s="1">
        <v>49.0</v>
      </c>
      <c r="H658" s="1">
        <v>0.0</v>
      </c>
      <c r="I658" s="1">
        <v>3.0</v>
      </c>
      <c r="J658" s="1">
        <v>3.0</v>
      </c>
      <c r="K658" s="1">
        <v>40.0</v>
      </c>
      <c r="L658" s="1">
        <v>0.0</v>
      </c>
      <c r="M658" s="1">
        <v>0.0</v>
      </c>
      <c r="N658" s="1">
        <v>0.0</v>
      </c>
      <c r="O658" s="1">
        <v>0.0</v>
      </c>
      <c r="P658" s="1">
        <v>103.0</v>
      </c>
      <c r="Q658" s="1">
        <v>26.0</v>
      </c>
    </row>
    <row r="659">
      <c r="A659" s="1">
        <f t="shared" si="1"/>
        <v>657</v>
      </c>
      <c r="B659" s="1" t="s">
        <v>1727</v>
      </c>
      <c r="C659" s="1" t="s">
        <v>1052</v>
      </c>
      <c r="D659" s="1" t="s">
        <v>31</v>
      </c>
      <c r="E659" s="1">
        <f t="shared" si="2"/>
        <v>67.5</v>
      </c>
      <c r="F659" s="1">
        <f t="shared" si="3"/>
        <v>1.21</v>
      </c>
      <c r="G659" s="1">
        <v>56.0</v>
      </c>
      <c r="H659" s="1">
        <v>5.0</v>
      </c>
      <c r="I659" s="1">
        <v>2.0</v>
      </c>
      <c r="J659" s="1">
        <v>7.0</v>
      </c>
      <c r="K659" s="1">
        <v>38.0</v>
      </c>
      <c r="L659" s="1">
        <v>0.0</v>
      </c>
      <c r="M659" s="1">
        <v>0.0</v>
      </c>
      <c r="N659" s="1">
        <v>0.0</v>
      </c>
      <c r="O659" s="1">
        <v>0.0</v>
      </c>
      <c r="P659" s="1">
        <v>14.0</v>
      </c>
      <c r="Q659" s="1">
        <v>33.0</v>
      </c>
    </row>
    <row r="660">
      <c r="A660" s="1">
        <f t="shared" si="1"/>
        <v>658</v>
      </c>
      <c r="B660" s="1" t="s">
        <v>2503</v>
      </c>
      <c r="C660" s="1" t="s">
        <v>1034</v>
      </c>
      <c r="D660" s="1" t="s">
        <v>66</v>
      </c>
      <c r="E660" s="1">
        <f t="shared" si="2"/>
        <v>64.25</v>
      </c>
      <c r="F660" s="1">
        <f t="shared" si="3"/>
        <v>1.61</v>
      </c>
      <c r="G660" s="1">
        <v>40.0</v>
      </c>
      <c r="H660" s="1">
        <v>1.0</v>
      </c>
      <c r="I660" s="1">
        <v>3.0</v>
      </c>
      <c r="J660" s="1">
        <v>4.0</v>
      </c>
      <c r="K660" s="1">
        <v>44.0</v>
      </c>
      <c r="L660" s="1">
        <v>0.0</v>
      </c>
      <c r="M660" s="1">
        <v>0.0</v>
      </c>
      <c r="N660" s="1">
        <v>0.0</v>
      </c>
      <c r="O660" s="1">
        <v>0.0</v>
      </c>
      <c r="P660" s="1">
        <v>59.0</v>
      </c>
      <c r="Q660" s="1">
        <v>28.0</v>
      </c>
    </row>
    <row r="661">
      <c r="A661" s="1">
        <f t="shared" si="1"/>
        <v>658</v>
      </c>
      <c r="B661" s="1" t="s">
        <v>1579</v>
      </c>
      <c r="C661" s="1" t="s">
        <v>1042</v>
      </c>
      <c r="D661" s="1" t="s">
        <v>66</v>
      </c>
      <c r="E661" s="1">
        <f t="shared" si="2"/>
        <v>64.25</v>
      </c>
      <c r="F661" s="1">
        <f t="shared" si="3"/>
        <v>2.29</v>
      </c>
      <c r="G661" s="1">
        <v>28.0</v>
      </c>
      <c r="H661" s="1">
        <v>1.0</v>
      </c>
      <c r="I661" s="1">
        <v>4.0</v>
      </c>
      <c r="J661" s="1">
        <v>5.0</v>
      </c>
      <c r="K661" s="1">
        <v>20.0</v>
      </c>
      <c r="L661" s="1">
        <v>0.0</v>
      </c>
      <c r="M661" s="1">
        <v>0.0</v>
      </c>
      <c r="N661" s="1">
        <v>0.0</v>
      </c>
      <c r="O661" s="1">
        <v>1.0</v>
      </c>
      <c r="P661" s="1">
        <v>71.0</v>
      </c>
      <c r="Q661" s="1">
        <v>36.0</v>
      </c>
    </row>
    <row r="662">
      <c r="A662" s="1">
        <f t="shared" si="1"/>
        <v>660</v>
      </c>
      <c r="B662" s="1" t="s">
        <v>2614</v>
      </c>
      <c r="C662" s="1" t="s">
        <v>1570</v>
      </c>
      <c r="D662" s="1" t="s">
        <v>66</v>
      </c>
      <c r="E662" s="1">
        <f t="shared" si="2"/>
        <v>63.75</v>
      </c>
      <c r="F662" s="1">
        <f t="shared" si="3"/>
        <v>1.48</v>
      </c>
      <c r="G662" s="1">
        <v>43.0</v>
      </c>
      <c r="H662" s="1">
        <v>0.0</v>
      </c>
      <c r="I662" s="1">
        <v>7.0</v>
      </c>
      <c r="J662" s="1">
        <v>7.0</v>
      </c>
      <c r="K662" s="1">
        <v>37.0</v>
      </c>
      <c r="L662" s="1">
        <v>0.0</v>
      </c>
      <c r="M662" s="1">
        <v>2.0</v>
      </c>
      <c r="N662" s="1">
        <v>0.0</v>
      </c>
      <c r="O662" s="1">
        <v>0.0</v>
      </c>
      <c r="P662" s="1">
        <v>9.0</v>
      </c>
      <c r="Q662" s="1">
        <v>44.0</v>
      </c>
    </row>
    <row r="663">
      <c r="A663" s="1">
        <f t="shared" si="1"/>
        <v>661</v>
      </c>
      <c r="B663" s="1" t="s">
        <v>2228</v>
      </c>
      <c r="C663" s="1" t="s">
        <v>1085</v>
      </c>
      <c r="D663" s="1" t="s">
        <v>66</v>
      </c>
      <c r="E663" s="1">
        <f t="shared" si="2"/>
        <v>63.5</v>
      </c>
      <c r="F663" s="1">
        <f t="shared" si="3"/>
        <v>2.35</v>
      </c>
      <c r="G663" s="1">
        <v>27.0</v>
      </c>
      <c r="H663" s="1">
        <v>2.0</v>
      </c>
      <c r="I663" s="1">
        <v>7.0</v>
      </c>
      <c r="J663" s="1">
        <v>9.0</v>
      </c>
      <c r="K663" s="1">
        <v>40.0</v>
      </c>
      <c r="L663" s="1">
        <v>0.0</v>
      </c>
      <c r="M663" s="1">
        <v>0.0</v>
      </c>
      <c r="N663" s="1">
        <v>0.0</v>
      </c>
      <c r="O663" s="1">
        <v>0.0</v>
      </c>
      <c r="P663" s="1">
        <v>16.0</v>
      </c>
      <c r="Q663" s="1">
        <v>19.0</v>
      </c>
    </row>
    <row r="664">
      <c r="A664" s="1">
        <f t="shared" si="1"/>
        <v>662</v>
      </c>
      <c r="B664" s="1" t="s">
        <v>1339</v>
      </c>
      <c r="C664" s="1" t="s">
        <v>1034</v>
      </c>
      <c r="D664" s="1" t="s">
        <v>36</v>
      </c>
      <c r="E664" s="1">
        <f t="shared" si="2"/>
        <v>63.25</v>
      </c>
      <c r="F664" s="1">
        <f t="shared" si="3"/>
        <v>1.71</v>
      </c>
      <c r="G664" s="1">
        <v>37.0</v>
      </c>
      <c r="H664" s="1">
        <v>4.0</v>
      </c>
      <c r="I664" s="1">
        <v>3.0</v>
      </c>
      <c r="J664" s="1">
        <v>7.0</v>
      </c>
      <c r="K664" s="1">
        <v>35.0</v>
      </c>
      <c r="L664" s="1">
        <v>0.0</v>
      </c>
      <c r="M664" s="1">
        <v>0.0</v>
      </c>
      <c r="N664" s="1">
        <v>0.0</v>
      </c>
      <c r="O664" s="1">
        <v>1.0</v>
      </c>
      <c r="P664" s="1">
        <v>47.0</v>
      </c>
      <c r="Q664" s="1">
        <v>10.0</v>
      </c>
    </row>
    <row r="665">
      <c r="A665" s="1">
        <f t="shared" si="1"/>
        <v>663</v>
      </c>
      <c r="B665" s="1" t="s">
        <v>1093</v>
      </c>
      <c r="C665" s="1" t="s">
        <v>1087</v>
      </c>
      <c r="D665" s="1" t="s">
        <v>66</v>
      </c>
      <c r="E665" s="1">
        <f t="shared" si="2"/>
        <v>62.75</v>
      </c>
      <c r="F665" s="1">
        <f t="shared" si="3"/>
        <v>1.85</v>
      </c>
      <c r="G665" s="1">
        <v>34.0</v>
      </c>
      <c r="H665" s="1">
        <v>1.0</v>
      </c>
      <c r="I665" s="1">
        <v>6.0</v>
      </c>
      <c r="J665" s="1">
        <v>7.0</v>
      </c>
      <c r="K665" s="1">
        <v>37.0</v>
      </c>
      <c r="L665" s="1">
        <v>0.0</v>
      </c>
      <c r="M665" s="1">
        <v>1.0</v>
      </c>
      <c r="N665" s="1">
        <v>0.0</v>
      </c>
      <c r="O665" s="1">
        <v>0.0</v>
      </c>
      <c r="P665" s="1">
        <v>25.0</v>
      </c>
      <c r="Q665" s="1">
        <v>31.0</v>
      </c>
    </row>
    <row r="666">
      <c r="A666" s="1">
        <f t="shared" si="1"/>
        <v>664</v>
      </c>
      <c r="B666" s="1" t="s">
        <v>2319</v>
      </c>
      <c r="C666" s="1" t="s">
        <v>1156</v>
      </c>
      <c r="D666" s="1" t="s">
        <v>66</v>
      </c>
      <c r="E666" s="1">
        <f t="shared" si="2"/>
        <v>62</v>
      </c>
      <c r="F666" s="1">
        <f t="shared" si="3"/>
        <v>1.88</v>
      </c>
      <c r="G666" s="1">
        <v>33.0</v>
      </c>
      <c r="H666" s="1">
        <v>1.0</v>
      </c>
      <c r="I666" s="1">
        <v>4.0</v>
      </c>
      <c r="J666" s="1">
        <v>5.0</v>
      </c>
      <c r="K666" s="1">
        <v>51.0</v>
      </c>
      <c r="L666" s="1">
        <v>1.0</v>
      </c>
      <c r="M666" s="1">
        <v>0.0</v>
      </c>
      <c r="N666" s="1">
        <v>0.0</v>
      </c>
      <c r="O666" s="1">
        <v>0.0</v>
      </c>
      <c r="P666" s="1">
        <v>24.0</v>
      </c>
      <c r="Q666" s="1">
        <v>28.0</v>
      </c>
    </row>
    <row r="667">
      <c r="A667" s="1">
        <f t="shared" si="1"/>
        <v>665</v>
      </c>
      <c r="B667" s="1" t="s">
        <v>2116</v>
      </c>
      <c r="C667" s="1" t="s">
        <v>1570</v>
      </c>
      <c r="D667" s="1" t="s">
        <v>36</v>
      </c>
      <c r="E667" s="1">
        <f t="shared" si="2"/>
        <v>61.75</v>
      </c>
      <c r="F667" s="1">
        <f t="shared" si="3"/>
        <v>2.29</v>
      </c>
      <c r="G667" s="1">
        <v>27.0</v>
      </c>
      <c r="H667" s="1">
        <v>2.0</v>
      </c>
      <c r="I667" s="1">
        <v>4.0</v>
      </c>
      <c r="J667" s="1">
        <v>6.0</v>
      </c>
      <c r="K667" s="1">
        <v>34.0</v>
      </c>
      <c r="L667" s="1">
        <v>0.0</v>
      </c>
      <c r="M667" s="1">
        <v>1.0</v>
      </c>
      <c r="N667" s="1">
        <v>0.0</v>
      </c>
      <c r="O667" s="1">
        <v>0.0</v>
      </c>
      <c r="P667" s="1">
        <v>89.0</v>
      </c>
      <c r="Q667" s="1">
        <v>3.0</v>
      </c>
    </row>
    <row r="668">
      <c r="A668" s="1">
        <f t="shared" si="1"/>
        <v>666</v>
      </c>
      <c r="B668" s="1" t="s">
        <v>1996</v>
      </c>
      <c r="C668" s="1" t="s">
        <v>1032</v>
      </c>
      <c r="D668" s="1" t="s">
        <v>5</v>
      </c>
      <c r="E668" s="1">
        <f t="shared" si="2"/>
        <v>61.5</v>
      </c>
      <c r="F668" s="1">
        <f t="shared" si="3"/>
        <v>3.84</v>
      </c>
      <c r="G668" s="1">
        <v>16.0</v>
      </c>
      <c r="R668" s="1">
        <v>5.0</v>
      </c>
      <c r="S668" s="1">
        <v>49.0</v>
      </c>
      <c r="T668" s="1">
        <v>390.0</v>
      </c>
      <c r="U668" s="1">
        <v>1.0</v>
      </c>
    </row>
    <row r="669">
      <c r="A669" s="1">
        <f t="shared" si="1"/>
        <v>667</v>
      </c>
      <c r="B669" s="1" t="s">
        <v>2564</v>
      </c>
      <c r="C669" s="1" t="s">
        <v>1570</v>
      </c>
      <c r="D669" s="1" t="s">
        <v>66</v>
      </c>
      <c r="E669" s="1">
        <f t="shared" si="2"/>
        <v>61.25</v>
      </c>
      <c r="F669" s="1">
        <f t="shared" si="3"/>
        <v>1.49</v>
      </c>
      <c r="G669" s="1">
        <v>41.0</v>
      </c>
      <c r="H669" s="1">
        <v>1.0</v>
      </c>
      <c r="I669" s="1">
        <v>2.0</v>
      </c>
      <c r="J669" s="1">
        <v>3.0</v>
      </c>
      <c r="K669" s="1">
        <v>45.0</v>
      </c>
      <c r="L669" s="1">
        <v>0.0</v>
      </c>
      <c r="M669" s="1">
        <v>0.0</v>
      </c>
      <c r="N669" s="1">
        <v>0.0</v>
      </c>
      <c r="O669" s="1">
        <v>0.0</v>
      </c>
      <c r="P669" s="1">
        <v>37.0</v>
      </c>
      <c r="Q669" s="1">
        <v>38.0</v>
      </c>
    </row>
    <row r="670">
      <c r="A670" s="1">
        <f t="shared" si="1"/>
        <v>668</v>
      </c>
      <c r="B670" s="1" t="s">
        <v>1994</v>
      </c>
      <c r="C670" s="1" t="s">
        <v>1032</v>
      </c>
      <c r="D670" s="1" t="s">
        <v>36</v>
      </c>
      <c r="E670" s="1">
        <f t="shared" si="2"/>
        <v>60.5</v>
      </c>
      <c r="F670" s="1">
        <f t="shared" si="3"/>
        <v>1.73</v>
      </c>
      <c r="G670" s="1">
        <v>35.0</v>
      </c>
      <c r="H670" s="1">
        <v>2.0</v>
      </c>
      <c r="I670" s="1">
        <v>4.0</v>
      </c>
      <c r="J670" s="1">
        <v>6.0</v>
      </c>
      <c r="K670" s="1">
        <v>29.0</v>
      </c>
      <c r="L670" s="1">
        <v>0.0</v>
      </c>
      <c r="M670" s="1">
        <v>0.0</v>
      </c>
      <c r="N670" s="1">
        <v>0.0</v>
      </c>
      <c r="O670" s="1">
        <v>0.0</v>
      </c>
      <c r="P670" s="1">
        <v>74.0</v>
      </c>
      <c r="Q670" s="1">
        <v>13.0</v>
      </c>
    </row>
    <row r="671">
      <c r="A671" s="1">
        <f t="shared" si="1"/>
        <v>669</v>
      </c>
      <c r="B671" s="1" t="s">
        <v>1533</v>
      </c>
      <c r="C671" s="1" t="s">
        <v>1032</v>
      </c>
      <c r="D671" s="1" t="s">
        <v>66</v>
      </c>
      <c r="E671" s="1">
        <f t="shared" si="2"/>
        <v>60</v>
      </c>
      <c r="F671" s="1">
        <f t="shared" si="3"/>
        <v>2.22</v>
      </c>
      <c r="G671" s="1">
        <v>27.0</v>
      </c>
      <c r="H671" s="1">
        <v>1.0</v>
      </c>
      <c r="I671" s="1">
        <v>6.0</v>
      </c>
      <c r="J671" s="1">
        <v>7.0</v>
      </c>
      <c r="K671" s="1">
        <v>29.0</v>
      </c>
      <c r="L671" s="1">
        <v>0.0</v>
      </c>
      <c r="M671" s="1">
        <v>0.0</v>
      </c>
      <c r="N671" s="1">
        <v>0.0</v>
      </c>
      <c r="O671" s="1">
        <v>1.0</v>
      </c>
      <c r="P671" s="1">
        <v>30.0</v>
      </c>
      <c r="Q671" s="1">
        <v>27.0</v>
      </c>
    </row>
    <row r="672">
      <c r="A672" s="1">
        <f t="shared" si="1"/>
        <v>670</v>
      </c>
      <c r="B672" s="1" t="s">
        <v>2544</v>
      </c>
      <c r="C672" s="1" t="s">
        <v>1036</v>
      </c>
      <c r="D672" s="1" t="s">
        <v>28</v>
      </c>
      <c r="E672" s="1">
        <f t="shared" si="2"/>
        <v>59.5</v>
      </c>
      <c r="F672" s="1">
        <f t="shared" si="3"/>
        <v>1.8</v>
      </c>
      <c r="G672" s="1">
        <v>33.0</v>
      </c>
      <c r="H672" s="1">
        <v>3.0</v>
      </c>
      <c r="I672" s="1">
        <v>6.0</v>
      </c>
      <c r="J672" s="1">
        <v>9.0</v>
      </c>
      <c r="K672" s="1">
        <v>39.0</v>
      </c>
      <c r="L672" s="1">
        <v>1.0</v>
      </c>
      <c r="M672" s="1">
        <v>0.0</v>
      </c>
      <c r="N672" s="1">
        <v>0.0</v>
      </c>
      <c r="O672" s="1">
        <v>0.0</v>
      </c>
      <c r="P672" s="1">
        <v>18.0</v>
      </c>
      <c r="Q672" s="1">
        <v>8.0</v>
      </c>
    </row>
    <row r="673">
      <c r="A673" s="1">
        <f t="shared" si="1"/>
        <v>671</v>
      </c>
      <c r="B673" s="1" t="s">
        <v>2569</v>
      </c>
      <c r="C673" s="1" t="s">
        <v>1044</v>
      </c>
      <c r="D673" s="1" t="s">
        <v>31</v>
      </c>
      <c r="E673" s="1">
        <f t="shared" si="2"/>
        <v>59.25</v>
      </c>
      <c r="F673" s="1">
        <f t="shared" si="3"/>
        <v>1.91</v>
      </c>
      <c r="G673" s="1">
        <v>31.0</v>
      </c>
      <c r="H673" s="1">
        <v>3.0</v>
      </c>
      <c r="I673" s="1">
        <v>3.0</v>
      </c>
      <c r="J673" s="1">
        <v>6.0</v>
      </c>
      <c r="K673" s="1">
        <v>27.0</v>
      </c>
      <c r="L673" s="1">
        <v>0.0</v>
      </c>
      <c r="M673" s="1">
        <v>0.0</v>
      </c>
      <c r="N673" s="1">
        <v>0.0</v>
      </c>
      <c r="O673" s="1">
        <v>0.0</v>
      </c>
      <c r="P673" s="1">
        <v>71.0</v>
      </c>
      <c r="Q673" s="1">
        <v>11.0</v>
      </c>
    </row>
    <row r="674">
      <c r="A674" s="1">
        <f t="shared" si="1"/>
        <v>671</v>
      </c>
      <c r="B674" s="1" t="s">
        <v>1501</v>
      </c>
      <c r="C674" s="1" t="s">
        <v>1570</v>
      </c>
      <c r="D674" s="1" t="s">
        <v>66</v>
      </c>
      <c r="E674" s="1">
        <f t="shared" si="2"/>
        <v>59.25</v>
      </c>
      <c r="F674" s="1">
        <f t="shared" si="3"/>
        <v>1.8</v>
      </c>
      <c r="G674" s="1">
        <v>33.0</v>
      </c>
      <c r="H674" s="1">
        <v>1.0</v>
      </c>
      <c r="I674" s="1">
        <v>6.0</v>
      </c>
      <c r="J674" s="1">
        <v>7.0</v>
      </c>
      <c r="K674" s="1">
        <v>43.0</v>
      </c>
      <c r="L674" s="1">
        <v>0.0</v>
      </c>
      <c r="M674" s="1">
        <v>0.0</v>
      </c>
      <c r="N674" s="1">
        <v>0.0</v>
      </c>
      <c r="O674" s="1">
        <v>0.0</v>
      </c>
      <c r="P674" s="1">
        <v>19.0</v>
      </c>
      <c r="Q674" s="1">
        <v>21.0</v>
      </c>
    </row>
    <row r="675">
      <c r="A675" s="1">
        <f t="shared" si="1"/>
        <v>673</v>
      </c>
      <c r="B675" s="1" t="s">
        <v>2517</v>
      </c>
      <c r="C675" s="1" t="s">
        <v>1175</v>
      </c>
      <c r="D675" s="1" t="s">
        <v>31</v>
      </c>
      <c r="E675" s="1">
        <f t="shared" si="2"/>
        <v>59</v>
      </c>
      <c r="F675" s="1">
        <f t="shared" si="3"/>
        <v>1.9</v>
      </c>
      <c r="G675" s="1">
        <v>31.0</v>
      </c>
      <c r="H675" s="1">
        <v>3.0</v>
      </c>
      <c r="I675" s="1">
        <v>4.0</v>
      </c>
      <c r="J675" s="1">
        <v>7.0</v>
      </c>
      <c r="K675" s="1">
        <v>31.0</v>
      </c>
      <c r="L675" s="1">
        <v>0.0</v>
      </c>
      <c r="M675" s="1">
        <v>0.0</v>
      </c>
      <c r="N675" s="1">
        <v>0.0</v>
      </c>
      <c r="O675" s="1">
        <v>1.0</v>
      </c>
      <c r="P675" s="1">
        <v>28.0</v>
      </c>
      <c r="Q675" s="1">
        <v>18.0</v>
      </c>
    </row>
    <row r="676">
      <c r="A676" s="1">
        <f t="shared" si="1"/>
        <v>674</v>
      </c>
      <c r="B676" s="1" t="s">
        <v>2579</v>
      </c>
      <c r="C676" s="1" t="s">
        <v>1038</v>
      </c>
      <c r="D676" s="1" t="s">
        <v>31</v>
      </c>
      <c r="E676" s="1">
        <f t="shared" si="2"/>
        <v>58.75</v>
      </c>
      <c r="F676" s="1">
        <f t="shared" si="3"/>
        <v>1.47</v>
      </c>
      <c r="G676" s="1">
        <v>40.0</v>
      </c>
      <c r="H676" s="1">
        <v>3.0</v>
      </c>
      <c r="I676" s="1">
        <v>3.0</v>
      </c>
      <c r="J676" s="1">
        <v>6.0</v>
      </c>
      <c r="K676" s="1">
        <v>35.0</v>
      </c>
      <c r="L676" s="1">
        <v>0.0</v>
      </c>
      <c r="M676" s="1">
        <v>0.0</v>
      </c>
      <c r="N676" s="1">
        <v>0.0</v>
      </c>
      <c r="O676" s="1">
        <v>0.0</v>
      </c>
      <c r="P676" s="1">
        <v>23.0</v>
      </c>
      <c r="Q676" s="1">
        <v>26.0</v>
      </c>
    </row>
    <row r="677">
      <c r="A677" s="1">
        <f t="shared" si="1"/>
        <v>675</v>
      </c>
      <c r="B677" s="1" t="s">
        <v>1461</v>
      </c>
      <c r="C677" s="1" t="s">
        <v>1111</v>
      </c>
      <c r="D677" s="1" t="s">
        <v>5</v>
      </c>
      <c r="E677" s="1">
        <f t="shared" si="2"/>
        <v>58.5</v>
      </c>
      <c r="F677" s="1">
        <f t="shared" si="3"/>
        <v>4.5</v>
      </c>
      <c r="G677" s="1">
        <v>13.0</v>
      </c>
      <c r="R677" s="1">
        <v>2.0</v>
      </c>
      <c r="S677" s="1">
        <v>28.0</v>
      </c>
      <c r="T677" s="1">
        <v>315.0</v>
      </c>
      <c r="U677" s="1">
        <v>0.0</v>
      </c>
    </row>
    <row r="678">
      <c r="A678" s="1">
        <f t="shared" si="1"/>
        <v>675</v>
      </c>
      <c r="B678" s="1" t="s">
        <v>1125</v>
      </c>
      <c r="C678" s="1" t="s">
        <v>1106</v>
      </c>
      <c r="D678" s="1" t="s">
        <v>36</v>
      </c>
      <c r="E678" s="1">
        <f t="shared" si="2"/>
        <v>58.5</v>
      </c>
      <c r="F678" s="1">
        <f t="shared" si="3"/>
        <v>2.09</v>
      </c>
      <c r="G678" s="1">
        <v>28.0</v>
      </c>
      <c r="H678" s="1">
        <v>4.0</v>
      </c>
      <c r="I678" s="1">
        <v>5.0</v>
      </c>
      <c r="J678" s="1">
        <v>9.0</v>
      </c>
      <c r="K678" s="1">
        <v>39.0</v>
      </c>
      <c r="L678" s="1">
        <v>0.0</v>
      </c>
      <c r="M678" s="1">
        <v>1.0</v>
      </c>
      <c r="N678" s="1">
        <v>0.0</v>
      </c>
      <c r="O678" s="1">
        <v>0.0</v>
      </c>
      <c r="P678" s="1">
        <v>8.0</v>
      </c>
      <c r="Q678" s="1">
        <v>8.0</v>
      </c>
    </row>
    <row r="679">
      <c r="A679" s="1">
        <f t="shared" si="1"/>
        <v>677</v>
      </c>
      <c r="B679" s="1" t="s">
        <v>2229</v>
      </c>
      <c r="C679" s="1" t="s">
        <v>1076</v>
      </c>
      <c r="D679" s="1" t="s">
        <v>66</v>
      </c>
      <c r="E679" s="1">
        <f t="shared" si="2"/>
        <v>58.25</v>
      </c>
      <c r="F679" s="1">
        <f t="shared" si="3"/>
        <v>2.01</v>
      </c>
      <c r="G679" s="1">
        <v>29.0</v>
      </c>
      <c r="H679" s="1">
        <v>1.0</v>
      </c>
      <c r="I679" s="1">
        <v>5.0</v>
      </c>
      <c r="J679" s="1">
        <v>6.0</v>
      </c>
      <c r="K679" s="1">
        <v>25.0</v>
      </c>
      <c r="L679" s="1">
        <v>0.0</v>
      </c>
      <c r="M679" s="1">
        <v>0.0</v>
      </c>
      <c r="N679" s="1">
        <v>0.0</v>
      </c>
      <c r="O679" s="1">
        <v>0.0</v>
      </c>
      <c r="P679" s="1">
        <v>27.0</v>
      </c>
      <c r="Q679" s="1">
        <v>39.0</v>
      </c>
    </row>
    <row r="680">
      <c r="A680" s="1">
        <f t="shared" si="1"/>
        <v>678</v>
      </c>
      <c r="B680" s="1" t="s">
        <v>1388</v>
      </c>
      <c r="C680" s="1" t="s">
        <v>1038</v>
      </c>
      <c r="D680" s="1" t="s">
        <v>66</v>
      </c>
      <c r="E680" s="1">
        <f t="shared" si="2"/>
        <v>58</v>
      </c>
      <c r="F680" s="1">
        <f t="shared" si="3"/>
        <v>1.87</v>
      </c>
      <c r="G680" s="1">
        <v>31.0</v>
      </c>
      <c r="H680" s="1">
        <v>2.0</v>
      </c>
      <c r="I680" s="1">
        <v>0.0</v>
      </c>
      <c r="J680" s="1">
        <v>2.0</v>
      </c>
      <c r="K680" s="1">
        <v>20.0</v>
      </c>
      <c r="L680" s="1">
        <v>0.0</v>
      </c>
      <c r="M680" s="1">
        <v>0.0</v>
      </c>
      <c r="N680" s="1">
        <v>0.0</v>
      </c>
      <c r="O680" s="1">
        <v>0.0</v>
      </c>
      <c r="P680" s="1">
        <v>90.0</v>
      </c>
      <c r="Q680" s="1">
        <v>33.0</v>
      </c>
    </row>
    <row r="681">
      <c r="A681" s="1">
        <f t="shared" si="1"/>
        <v>678</v>
      </c>
      <c r="B681" s="1" t="s">
        <v>2615</v>
      </c>
      <c r="C681" s="1" t="s">
        <v>1030</v>
      </c>
      <c r="D681" s="1" t="s">
        <v>31</v>
      </c>
      <c r="E681" s="1">
        <f t="shared" si="2"/>
        <v>58</v>
      </c>
      <c r="F681" s="1">
        <f t="shared" si="3"/>
        <v>1.53</v>
      </c>
      <c r="G681" s="1">
        <v>38.0</v>
      </c>
      <c r="H681" s="1">
        <v>1.0</v>
      </c>
      <c r="I681" s="1">
        <v>7.0</v>
      </c>
      <c r="J681" s="1">
        <v>8.0</v>
      </c>
      <c r="K681" s="1">
        <v>32.0</v>
      </c>
      <c r="L681" s="1">
        <v>0.0</v>
      </c>
      <c r="M681" s="1">
        <v>2.0</v>
      </c>
      <c r="N681" s="1">
        <v>0.0</v>
      </c>
      <c r="O681" s="1">
        <v>0.0</v>
      </c>
      <c r="P681" s="1">
        <v>34.0</v>
      </c>
      <c r="Q681" s="1">
        <v>16.0</v>
      </c>
    </row>
    <row r="682">
      <c r="A682" s="1">
        <f t="shared" si="1"/>
        <v>680</v>
      </c>
      <c r="B682" s="1" t="s">
        <v>1937</v>
      </c>
      <c r="C682" s="1" t="s">
        <v>1078</v>
      </c>
      <c r="D682" s="1" t="s">
        <v>5</v>
      </c>
      <c r="E682" s="1">
        <f t="shared" si="2"/>
        <v>57.9</v>
      </c>
      <c r="F682" s="1">
        <f t="shared" si="3"/>
        <v>7.24</v>
      </c>
      <c r="G682" s="1">
        <v>8.0</v>
      </c>
      <c r="R682" s="1">
        <v>5.0</v>
      </c>
      <c r="S682" s="1">
        <v>21.0</v>
      </c>
      <c r="T682" s="1">
        <v>248.0</v>
      </c>
      <c r="U682" s="1">
        <v>0.0</v>
      </c>
    </row>
    <row r="683">
      <c r="A683" s="1">
        <f t="shared" si="1"/>
        <v>681</v>
      </c>
      <c r="B683" s="1" t="s">
        <v>1889</v>
      </c>
      <c r="C683" s="1" t="s">
        <v>1034</v>
      </c>
      <c r="D683" s="1" t="s">
        <v>31</v>
      </c>
      <c r="E683" s="1">
        <f t="shared" si="2"/>
        <v>57.5</v>
      </c>
      <c r="F683" s="1">
        <f t="shared" si="3"/>
        <v>1.51</v>
      </c>
      <c r="G683" s="1">
        <v>38.0</v>
      </c>
      <c r="H683" s="1">
        <v>3.0</v>
      </c>
      <c r="I683" s="1">
        <v>3.0</v>
      </c>
      <c r="J683" s="1">
        <v>6.0</v>
      </c>
      <c r="K683" s="1">
        <v>43.0</v>
      </c>
      <c r="L683" s="1">
        <v>0.0</v>
      </c>
      <c r="M683" s="1">
        <v>0.0</v>
      </c>
      <c r="N683" s="1">
        <v>0.0</v>
      </c>
      <c r="O683" s="1">
        <v>0.0</v>
      </c>
      <c r="P683" s="1">
        <v>36.0</v>
      </c>
      <c r="Q683" s="1">
        <v>9.0</v>
      </c>
    </row>
    <row r="684">
      <c r="A684" s="1">
        <f t="shared" si="1"/>
        <v>681</v>
      </c>
      <c r="B684" s="1" t="s">
        <v>2616</v>
      </c>
      <c r="C684" s="1" t="s">
        <v>1570</v>
      </c>
      <c r="D684" s="1" t="s">
        <v>66</v>
      </c>
      <c r="E684" s="1">
        <f t="shared" si="2"/>
        <v>57.5</v>
      </c>
      <c r="F684" s="1">
        <f t="shared" si="3"/>
        <v>1.51</v>
      </c>
      <c r="G684" s="1">
        <v>38.0</v>
      </c>
      <c r="H684" s="1">
        <v>1.0</v>
      </c>
      <c r="I684" s="1">
        <v>4.0</v>
      </c>
      <c r="J684" s="1">
        <v>5.0</v>
      </c>
      <c r="K684" s="1">
        <v>44.0</v>
      </c>
      <c r="L684" s="1">
        <v>0.0</v>
      </c>
      <c r="M684" s="1">
        <v>1.0</v>
      </c>
      <c r="N684" s="1">
        <v>0.0</v>
      </c>
      <c r="O684" s="1">
        <v>0.0</v>
      </c>
      <c r="P684" s="1">
        <v>16.0</v>
      </c>
      <c r="Q684" s="1">
        <v>30.0</v>
      </c>
    </row>
    <row r="685">
      <c r="A685" s="1">
        <f t="shared" si="1"/>
        <v>683</v>
      </c>
      <c r="B685" s="1" t="s">
        <v>1526</v>
      </c>
      <c r="C685" s="1" t="s">
        <v>1034</v>
      </c>
      <c r="D685" s="1" t="s">
        <v>66</v>
      </c>
      <c r="E685" s="1">
        <f t="shared" si="2"/>
        <v>57.25</v>
      </c>
      <c r="F685" s="1">
        <f t="shared" si="3"/>
        <v>2.29</v>
      </c>
      <c r="G685" s="1">
        <v>25.0</v>
      </c>
      <c r="H685" s="1">
        <v>1.0</v>
      </c>
      <c r="I685" s="1">
        <v>2.0</v>
      </c>
      <c r="J685" s="1">
        <v>3.0</v>
      </c>
      <c r="K685" s="1">
        <v>31.0</v>
      </c>
      <c r="L685" s="1">
        <v>0.0</v>
      </c>
      <c r="M685" s="1">
        <v>0.0</v>
      </c>
      <c r="N685" s="1">
        <v>0.0</v>
      </c>
      <c r="O685" s="1">
        <v>0.0</v>
      </c>
      <c r="P685" s="1">
        <v>83.0</v>
      </c>
      <c r="Q685" s="1">
        <v>21.0</v>
      </c>
    </row>
    <row r="686">
      <c r="A686" s="1">
        <f t="shared" si="1"/>
        <v>683</v>
      </c>
      <c r="B686" s="1" t="s">
        <v>2617</v>
      </c>
      <c r="C686" s="1" t="s">
        <v>1570</v>
      </c>
      <c r="D686" s="1" t="s">
        <v>36</v>
      </c>
      <c r="E686" s="1">
        <f t="shared" si="2"/>
        <v>57.25</v>
      </c>
      <c r="F686" s="1">
        <f t="shared" si="3"/>
        <v>2.04</v>
      </c>
      <c r="G686" s="1">
        <v>28.0</v>
      </c>
      <c r="H686" s="1">
        <v>3.0</v>
      </c>
      <c r="I686" s="1">
        <v>3.0</v>
      </c>
      <c r="J686" s="1">
        <v>6.0</v>
      </c>
      <c r="K686" s="1">
        <v>28.0</v>
      </c>
      <c r="L686" s="1">
        <v>0.0</v>
      </c>
      <c r="M686" s="1">
        <v>0.0</v>
      </c>
      <c r="N686" s="1">
        <v>0.0</v>
      </c>
      <c r="O686" s="1">
        <v>1.0</v>
      </c>
      <c r="P686" s="1">
        <v>31.0</v>
      </c>
      <c r="Q686" s="1">
        <v>22.0</v>
      </c>
    </row>
    <row r="687">
      <c r="A687" s="1">
        <f t="shared" si="1"/>
        <v>685</v>
      </c>
      <c r="B687" s="1" t="s">
        <v>1265</v>
      </c>
      <c r="C687" s="1" t="s">
        <v>1067</v>
      </c>
      <c r="D687" s="1" t="s">
        <v>31</v>
      </c>
      <c r="E687" s="1">
        <f t="shared" si="2"/>
        <v>56.75</v>
      </c>
      <c r="F687" s="1">
        <f t="shared" si="3"/>
        <v>1.83</v>
      </c>
      <c r="G687" s="1">
        <v>31.0</v>
      </c>
      <c r="H687" s="1">
        <v>4.0</v>
      </c>
      <c r="I687" s="1">
        <v>5.0</v>
      </c>
      <c r="J687" s="1">
        <v>9.0</v>
      </c>
      <c r="K687" s="1">
        <v>34.0</v>
      </c>
      <c r="L687" s="1">
        <v>1.0</v>
      </c>
      <c r="M687" s="1">
        <v>1.0</v>
      </c>
      <c r="N687" s="1">
        <v>0.0</v>
      </c>
      <c r="O687" s="1">
        <v>0.0</v>
      </c>
      <c r="P687" s="1">
        <v>11.0</v>
      </c>
      <c r="Q687" s="1">
        <v>8.0</v>
      </c>
    </row>
    <row r="688">
      <c r="A688" s="1">
        <f t="shared" si="1"/>
        <v>685</v>
      </c>
      <c r="B688" s="1" t="s">
        <v>2618</v>
      </c>
      <c r="C688" s="1" t="s">
        <v>1570</v>
      </c>
      <c r="D688" s="1" t="s">
        <v>31</v>
      </c>
      <c r="E688" s="1">
        <f t="shared" si="2"/>
        <v>56.75</v>
      </c>
      <c r="F688" s="1">
        <f t="shared" si="3"/>
        <v>1.05</v>
      </c>
      <c r="G688" s="1">
        <v>54.0</v>
      </c>
      <c r="H688" s="1">
        <v>2.0</v>
      </c>
      <c r="I688" s="1">
        <v>2.0</v>
      </c>
      <c r="J688" s="1">
        <v>4.0</v>
      </c>
      <c r="K688" s="1">
        <v>36.0</v>
      </c>
      <c r="L688" s="1">
        <v>0.0</v>
      </c>
      <c r="M688" s="1">
        <v>0.0</v>
      </c>
      <c r="N688" s="1">
        <v>0.0</v>
      </c>
      <c r="O688" s="1">
        <v>0.0</v>
      </c>
      <c r="P688" s="1">
        <v>59.0</v>
      </c>
      <c r="Q688" s="1">
        <v>18.0</v>
      </c>
    </row>
    <row r="689">
      <c r="A689" s="1">
        <f t="shared" si="1"/>
        <v>687</v>
      </c>
      <c r="B689" s="1" t="s">
        <v>1478</v>
      </c>
      <c r="C689" s="1" t="s">
        <v>1032</v>
      </c>
      <c r="D689" s="1" t="s">
        <v>66</v>
      </c>
      <c r="E689" s="1">
        <f t="shared" si="2"/>
        <v>55.75</v>
      </c>
      <c r="F689" s="1">
        <f t="shared" si="3"/>
        <v>1.99</v>
      </c>
      <c r="G689" s="1">
        <v>28.0</v>
      </c>
      <c r="H689" s="1">
        <v>1.0</v>
      </c>
      <c r="I689" s="1">
        <v>7.0</v>
      </c>
      <c r="J689" s="1">
        <v>8.0</v>
      </c>
      <c r="K689" s="1">
        <v>22.0</v>
      </c>
      <c r="L689" s="1">
        <v>0.0</v>
      </c>
      <c r="M689" s="1">
        <v>2.0</v>
      </c>
      <c r="N689" s="1">
        <v>0.0</v>
      </c>
      <c r="O689" s="1">
        <v>0.0</v>
      </c>
      <c r="P689" s="1">
        <v>33.0</v>
      </c>
      <c r="Q689" s="1">
        <v>22.0</v>
      </c>
    </row>
    <row r="690">
      <c r="A690" s="1">
        <f t="shared" si="1"/>
        <v>687</v>
      </c>
      <c r="B690" s="1" t="s">
        <v>1683</v>
      </c>
      <c r="C690" s="1" t="s">
        <v>1076</v>
      </c>
      <c r="D690" s="1" t="s">
        <v>31</v>
      </c>
      <c r="E690" s="1">
        <f t="shared" si="2"/>
        <v>55.75</v>
      </c>
      <c r="F690" s="1">
        <f t="shared" si="3"/>
        <v>1.59</v>
      </c>
      <c r="G690" s="1">
        <v>35.0</v>
      </c>
      <c r="H690" s="1">
        <v>4.0</v>
      </c>
      <c r="I690" s="1">
        <v>0.0</v>
      </c>
      <c r="J690" s="1">
        <v>4.0</v>
      </c>
      <c r="K690" s="1">
        <v>41.0</v>
      </c>
      <c r="L690" s="1">
        <v>1.0</v>
      </c>
      <c r="M690" s="1">
        <v>0.0</v>
      </c>
      <c r="N690" s="1">
        <v>0.0</v>
      </c>
      <c r="O690" s="1">
        <v>0.0</v>
      </c>
      <c r="P690" s="1">
        <v>37.0</v>
      </c>
      <c r="Q690" s="1">
        <v>16.0</v>
      </c>
    </row>
    <row r="691">
      <c r="A691" s="1">
        <f t="shared" si="1"/>
        <v>689</v>
      </c>
      <c r="B691" s="1" t="s">
        <v>2619</v>
      </c>
      <c r="C691" s="1" t="s">
        <v>1085</v>
      </c>
      <c r="D691" s="1" t="s">
        <v>66</v>
      </c>
      <c r="E691" s="1">
        <f t="shared" si="2"/>
        <v>55.5</v>
      </c>
      <c r="F691" s="1">
        <f t="shared" si="3"/>
        <v>3.26</v>
      </c>
      <c r="G691" s="1">
        <v>17.0</v>
      </c>
      <c r="H691" s="1">
        <v>2.0</v>
      </c>
      <c r="I691" s="1">
        <v>3.0</v>
      </c>
      <c r="J691" s="1">
        <v>5.0</v>
      </c>
      <c r="K691" s="1">
        <v>30.0</v>
      </c>
      <c r="L691" s="1">
        <v>0.0</v>
      </c>
      <c r="M691" s="1">
        <v>0.0</v>
      </c>
      <c r="N691" s="1">
        <v>0.0</v>
      </c>
      <c r="O691" s="1">
        <v>0.0</v>
      </c>
      <c r="P691" s="1">
        <v>50.0</v>
      </c>
      <c r="Q691" s="1">
        <v>20.0</v>
      </c>
    </row>
    <row r="692">
      <c r="A692" s="1">
        <f t="shared" si="1"/>
        <v>689</v>
      </c>
      <c r="B692" s="1" t="s">
        <v>1838</v>
      </c>
      <c r="C692" s="1" t="s">
        <v>1032</v>
      </c>
      <c r="D692" s="1" t="s">
        <v>31</v>
      </c>
      <c r="E692" s="1">
        <f t="shared" si="2"/>
        <v>55.5</v>
      </c>
      <c r="F692" s="1">
        <f t="shared" si="3"/>
        <v>2.31</v>
      </c>
      <c r="G692" s="1">
        <v>24.0</v>
      </c>
      <c r="H692" s="1">
        <v>3.0</v>
      </c>
      <c r="I692" s="1">
        <v>7.0</v>
      </c>
      <c r="J692" s="1">
        <v>10.0</v>
      </c>
      <c r="K692" s="1">
        <v>26.0</v>
      </c>
      <c r="L692" s="1">
        <v>0.0</v>
      </c>
      <c r="M692" s="1">
        <v>1.0</v>
      </c>
      <c r="N692" s="1">
        <v>0.0</v>
      </c>
      <c r="O692" s="1">
        <v>0.0</v>
      </c>
      <c r="P692" s="1">
        <v>14.0</v>
      </c>
      <c r="Q692" s="1">
        <v>9.0</v>
      </c>
    </row>
    <row r="693">
      <c r="A693" s="1">
        <f t="shared" si="1"/>
        <v>691</v>
      </c>
      <c r="B693" s="1" t="s">
        <v>1199</v>
      </c>
      <c r="C693" s="1" t="s">
        <v>1106</v>
      </c>
      <c r="D693" s="1" t="s">
        <v>36</v>
      </c>
      <c r="E693" s="1">
        <f t="shared" si="2"/>
        <v>55.25</v>
      </c>
      <c r="F693" s="1">
        <f t="shared" si="3"/>
        <v>5.53</v>
      </c>
      <c r="G693" s="1">
        <v>10.0</v>
      </c>
      <c r="H693" s="1">
        <v>3.0</v>
      </c>
      <c r="I693" s="1">
        <v>7.0</v>
      </c>
      <c r="J693" s="1">
        <v>10.0</v>
      </c>
      <c r="K693" s="1">
        <v>26.0</v>
      </c>
      <c r="L693" s="1">
        <v>1.0</v>
      </c>
      <c r="M693" s="1">
        <v>2.0</v>
      </c>
      <c r="N693" s="1">
        <v>0.0</v>
      </c>
      <c r="O693" s="1">
        <v>0.0</v>
      </c>
      <c r="P693" s="1">
        <v>17.0</v>
      </c>
      <c r="Q693" s="1">
        <v>7.0</v>
      </c>
    </row>
    <row r="694">
      <c r="A694" s="1">
        <f t="shared" si="1"/>
        <v>692</v>
      </c>
      <c r="B694" s="1" t="s">
        <v>2131</v>
      </c>
      <c r="C694" s="1" t="s">
        <v>1038</v>
      </c>
      <c r="D694" s="1" t="s">
        <v>31</v>
      </c>
      <c r="E694" s="1">
        <f t="shared" si="2"/>
        <v>55</v>
      </c>
      <c r="F694" s="1">
        <f t="shared" si="3"/>
        <v>2.2</v>
      </c>
      <c r="G694" s="1">
        <v>25.0</v>
      </c>
      <c r="H694" s="1">
        <v>1.0</v>
      </c>
      <c r="I694" s="1">
        <v>5.0</v>
      </c>
      <c r="J694" s="1">
        <v>6.0</v>
      </c>
      <c r="K694" s="1">
        <v>45.0</v>
      </c>
      <c r="L694" s="1">
        <v>1.0</v>
      </c>
      <c r="M694" s="1">
        <v>0.0</v>
      </c>
      <c r="N694" s="1">
        <v>0.0</v>
      </c>
      <c r="O694" s="1">
        <v>0.0</v>
      </c>
      <c r="P694" s="1">
        <v>36.0</v>
      </c>
      <c r="Q694" s="1">
        <v>8.0</v>
      </c>
    </row>
    <row r="695">
      <c r="A695" s="1">
        <f t="shared" si="1"/>
        <v>692</v>
      </c>
      <c r="B695" s="1" t="s">
        <v>2486</v>
      </c>
      <c r="C695" s="1" t="s">
        <v>1111</v>
      </c>
      <c r="D695" s="1" t="s">
        <v>66</v>
      </c>
      <c r="E695" s="1">
        <f t="shared" si="2"/>
        <v>55</v>
      </c>
      <c r="F695" s="1">
        <f t="shared" si="3"/>
        <v>2.04</v>
      </c>
      <c r="G695" s="1">
        <v>27.0</v>
      </c>
      <c r="H695" s="1">
        <v>1.0</v>
      </c>
      <c r="I695" s="1">
        <v>4.0</v>
      </c>
      <c r="J695" s="1">
        <v>5.0</v>
      </c>
      <c r="K695" s="1">
        <v>18.0</v>
      </c>
      <c r="L695" s="1">
        <v>0.0</v>
      </c>
      <c r="M695" s="1">
        <v>0.0</v>
      </c>
      <c r="N695" s="1">
        <v>0.0</v>
      </c>
      <c r="O695" s="1">
        <v>1.0</v>
      </c>
      <c r="P695" s="1">
        <v>20.0</v>
      </c>
      <c r="Q695" s="1">
        <v>45.0</v>
      </c>
    </row>
    <row r="696">
      <c r="A696" s="1">
        <f t="shared" si="1"/>
        <v>694</v>
      </c>
      <c r="B696" s="1" t="s">
        <v>1713</v>
      </c>
      <c r="C696" s="1" t="s">
        <v>1087</v>
      </c>
      <c r="D696" s="1" t="s">
        <v>28</v>
      </c>
      <c r="E696" s="1">
        <f t="shared" si="2"/>
        <v>54.75</v>
      </c>
      <c r="F696" s="1">
        <f t="shared" si="3"/>
        <v>1.71</v>
      </c>
      <c r="G696" s="1">
        <v>32.0</v>
      </c>
      <c r="H696" s="1">
        <v>3.0</v>
      </c>
      <c r="I696" s="1">
        <v>1.0</v>
      </c>
      <c r="J696" s="1">
        <v>4.0</v>
      </c>
      <c r="K696" s="1">
        <v>16.0</v>
      </c>
      <c r="L696" s="1">
        <v>0.0</v>
      </c>
      <c r="M696" s="1">
        <v>0.0</v>
      </c>
      <c r="N696" s="1">
        <v>0.0</v>
      </c>
      <c r="O696" s="1">
        <v>0.0</v>
      </c>
      <c r="P696" s="1">
        <v>93.0</v>
      </c>
      <c r="Q696" s="1">
        <v>14.0</v>
      </c>
    </row>
    <row r="697">
      <c r="A697" s="1">
        <f t="shared" si="1"/>
        <v>695</v>
      </c>
      <c r="B697" s="1" t="s">
        <v>2620</v>
      </c>
      <c r="C697" s="1" t="s">
        <v>1032</v>
      </c>
      <c r="D697" s="1" t="s">
        <v>66</v>
      </c>
      <c r="E697" s="1">
        <f t="shared" si="2"/>
        <v>54.5</v>
      </c>
      <c r="F697" s="1">
        <f t="shared" si="3"/>
        <v>2.1</v>
      </c>
      <c r="G697" s="1">
        <v>26.0</v>
      </c>
      <c r="H697" s="1">
        <v>1.0</v>
      </c>
      <c r="I697" s="1">
        <v>3.0</v>
      </c>
      <c r="J697" s="1">
        <v>4.0</v>
      </c>
      <c r="K697" s="1">
        <v>28.0</v>
      </c>
      <c r="L697" s="1">
        <v>0.0</v>
      </c>
      <c r="M697" s="1">
        <v>0.0</v>
      </c>
      <c r="N697" s="1">
        <v>0.0</v>
      </c>
      <c r="O697" s="1">
        <v>0.0</v>
      </c>
      <c r="P697" s="1">
        <v>22.0</v>
      </c>
      <c r="Q697" s="1">
        <v>43.0</v>
      </c>
    </row>
    <row r="698">
      <c r="A698" s="1">
        <f t="shared" si="1"/>
        <v>695</v>
      </c>
      <c r="B698" s="1" t="s">
        <v>2169</v>
      </c>
      <c r="C698" s="1" t="s">
        <v>1040</v>
      </c>
      <c r="D698" s="1" t="s">
        <v>66</v>
      </c>
      <c r="E698" s="1">
        <f t="shared" si="2"/>
        <v>54.5</v>
      </c>
      <c r="F698" s="1">
        <f t="shared" si="3"/>
        <v>1.95</v>
      </c>
      <c r="G698" s="1">
        <v>28.0</v>
      </c>
      <c r="H698" s="1">
        <v>0.0</v>
      </c>
      <c r="I698" s="1">
        <v>5.0</v>
      </c>
      <c r="J698" s="1">
        <v>5.0</v>
      </c>
      <c r="K698" s="1">
        <v>23.0</v>
      </c>
      <c r="L698" s="1">
        <v>0.0</v>
      </c>
      <c r="M698" s="1">
        <v>0.0</v>
      </c>
      <c r="N698" s="1">
        <v>0.0</v>
      </c>
      <c r="O698" s="1">
        <v>0.0</v>
      </c>
      <c r="P698" s="1">
        <v>24.0</v>
      </c>
      <c r="Q698" s="1">
        <v>44.0</v>
      </c>
    </row>
    <row r="699">
      <c r="A699" s="1">
        <f t="shared" si="1"/>
        <v>697</v>
      </c>
      <c r="B699" s="1" t="s">
        <v>1513</v>
      </c>
      <c r="C699" s="1" t="s">
        <v>1044</v>
      </c>
      <c r="D699" s="1" t="s">
        <v>66</v>
      </c>
      <c r="E699" s="1">
        <f t="shared" si="2"/>
        <v>52.75</v>
      </c>
      <c r="F699" s="1">
        <f t="shared" si="3"/>
        <v>1.7</v>
      </c>
      <c r="G699" s="1">
        <v>31.0</v>
      </c>
      <c r="H699" s="1">
        <v>0.0</v>
      </c>
      <c r="I699" s="1">
        <v>4.0</v>
      </c>
      <c r="J699" s="1">
        <v>4.0</v>
      </c>
      <c r="K699" s="1">
        <v>38.0</v>
      </c>
      <c r="L699" s="1">
        <v>0.0</v>
      </c>
      <c r="M699" s="1">
        <v>1.0</v>
      </c>
      <c r="N699" s="1">
        <v>0.0</v>
      </c>
      <c r="O699" s="1">
        <v>0.0</v>
      </c>
      <c r="P699" s="1">
        <v>15.0</v>
      </c>
      <c r="Q699" s="1">
        <v>36.0</v>
      </c>
    </row>
    <row r="700">
      <c r="A700" s="1">
        <f t="shared" si="1"/>
        <v>698</v>
      </c>
      <c r="B700" s="1" t="s">
        <v>1961</v>
      </c>
      <c r="C700" s="1" t="s">
        <v>1172</v>
      </c>
      <c r="D700" s="1" t="s">
        <v>31</v>
      </c>
      <c r="E700" s="1">
        <f t="shared" si="2"/>
        <v>52.5</v>
      </c>
      <c r="F700" s="1">
        <f t="shared" si="3"/>
        <v>1.46</v>
      </c>
      <c r="G700" s="1">
        <v>36.0</v>
      </c>
      <c r="H700" s="1">
        <v>2.0</v>
      </c>
      <c r="I700" s="1">
        <v>4.0</v>
      </c>
      <c r="J700" s="1">
        <v>6.0</v>
      </c>
      <c r="K700" s="1">
        <v>35.0</v>
      </c>
      <c r="L700" s="1">
        <v>0.0</v>
      </c>
      <c r="M700" s="1">
        <v>0.0</v>
      </c>
      <c r="N700" s="1">
        <v>0.0</v>
      </c>
      <c r="O700" s="1">
        <v>0.0</v>
      </c>
      <c r="P700" s="1">
        <v>38.0</v>
      </c>
      <c r="Q700" s="1">
        <v>9.0</v>
      </c>
    </row>
    <row r="701">
      <c r="A701" s="1">
        <f t="shared" si="1"/>
        <v>699</v>
      </c>
      <c r="B701" s="1" t="s">
        <v>2621</v>
      </c>
      <c r="C701" s="1" t="s">
        <v>1048</v>
      </c>
      <c r="D701" s="1" t="s">
        <v>5</v>
      </c>
      <c r="E701" s="1">
        <f t="shared" si="2"/>
        <v>51.6</v>
      </c>
      <c r="F701" s="1">
        <f t="shared" si="3"/>
        <v>3.69</v>
      </c>
      <c r="G701" s="1">
        <v>14.0</v>
      </c>
      <c r="R701" s="1">
        <v>5.0</v>
      </c>
      <c r="S701" s="1">
        <v>39.0</v>
      </c>
      <c r="T701" s="1">
        <v>317.0</v>
      </c>
      <c r="U701" s="1">
        <v>0.0</v>
      </c>
    </row>
    <row r="702">
      <c r="A702" s="1">
        <f t="shared" si="1"/>
        <v>700</v>
      </c>
      <c r="B702" s="1" t="s">
        <v>1749</v>
      </c>
      <c r="C702" s="1" t="s">
        <v>1030</v>
      </c>
      <c r="D702" s="1" t="s">
        <v>66</v>
      </c>
      <c r="E702" s="1">
        <f t="shared" si="2"/>
        <v>51.5</v>
      </c>
      <c r="F702" s="1">
        <f t="shared" si="3"/>
        <v>2.45</v>
      </c>
      <c r="G702" s="1">
        <v>21.0</v>
      </c>
      <c r="H702" s="1">
        <v>1.0</v>
      </c>
      <c r="I702" s="1">
        <v>2.0</v>
      </c>
      <c r="J702" s="1">
        <v>3.0</v>
      </c>
      <c r="K702" s="1">
        <v>12.0</v>
      </c>
      <c r="L702" s="1">
        <v>0.0</v>
      </c>
      <c r="M702" s="1">
        <v>0.0</v>
      </c>
      <c r="N702" s="1">
        <v>0.0</v>
      </c>
      <c r="O702" s="1">
        <v>0.0</v>
      </c>
      <c r="P702" s="1">
        <v>74.0</v>
      </c>
      <c r="Q702" s="1">
        <v>33.0</v>
      </c>
    </row>
    <row r="703">
      <c r="A703" s="1">
        <f t="shared" si="1"/>
        <v>700</v>
      </c>
      <c r="B703" s="1" t="s">
        <v>1541</v>
      </c>
      <c r="C703" s="1" t="s">
        <v>1175</v>
      </c>
      <c r="D703" s="1" t="s">
        <v>31</v>
      </c>
      <c r="E703" s="1">
        <f t="shared" si="2"/>
        <v>51.5</v>
      </c>
      <c r="F703" s="1">
        <f t="shared" si="3"/>
        <v>1.84</v>
      </c>
      <c r="G703" s="1">
        <v>28.0</v>
      </c>
      <c r="H703" s="1">
        <v>3.0</v>
      </c>
      <c r="I703" s="1">
        <v>2.0</v>
      </c>
      <c r="J703" s="1">
        <v>5.0</v>
      </c>
      <c r="K703" s="1">
        <v>33.0</v>
      </c>
      <c r="L703" s="1">
        <v>1.0</v>
      </c>
      <c r="M703" s="1">
        <v>1.0</v>
      </c>
      <c r="N703" s="1">
        <v>0.0</v>
      </c>
      <c r="O703" s="1">
        <v>0.0</v>
      </c>
      <c r="P703" s="1">
        <v>50.0</v>
      </c>
      <c r="Q703" s="1">
        <v>6.0</v>
      </c>
    </row>
    <row r="704">
      <c r="A704" s="1">
        <f t="shared" si="1"/>
        <v>702</v>
      </c>
      <c r="B704" s="1" t="s">
        <v>2364</v>
      </c>
      <c r="C704" s="1" t="s">
        <v>1078</v>
      </c>
      <c r="D704" s="1" t="s">
        <v>36</v>
      </c>
      <c r="E704" s="1">
        <f t="shared" si="2"/>
        <v>51</v>
      </c>
      <c r="F704" s="1">
        <f t="shared" si="3"/>
        <v>3</v>
      </c>
      <c r="G704" s="1">
        <v>17.0</v>
      </c>
      <c r="H704" s="1">
        <v>6.0</v>
      </c>
      <c r="I704" s="1">
        <v>2.0</v>
      </c>
      <c r="J704" s="1">
        <v>8.0</v>
      </c>
      <c r="K704" s="1">
        <v>26.0</v>
      </c>
      <c r="L704" s="1">
        <v>1.0</v>
      </c>
      <c r="M704" s="1">
        <v>0.0</v>
      </c>
      <c r="N704" s="1">
        <v>0.0</v>
      </c>
      <c r="O704" s="1">
        <v>0.0</v>
      </c>
      <c r="P704" s="1">
        <v>14.0</v>
      </c>
      <c r="Q704" s="1">
        <v>3.0</v>
      </c>
    </row>
    <row r="705">
      <c r="A705" s="1">
        <f t="shared" si="1"/>
        <v>702</v>
      </c>
      <c r="B705" s="1" t="s">
        <v>2370</v>
      </c>
      <c r="C705" s="1" t="s">
        <v>1038</v>
      </c>
      <c r="D705" s="1" t="s">
        <v>66</v>
      </c>
      <c r="E705" s="1">
        <f t="shared" si="2"/>
        <v>51</v>
      </c>
      <c r="F705" s="1">
        <f t="shared" si="3"/>
        <v>2.13</v>
      </c>
      <c r="G705" s="1">
        <v>24.0</v>
      </c>
      <c r="H705" s="1">
        <v>2.0</v>
      </c>
      <c r="I705" s="1">
        <v>1.0</v>
      </c>
      <c r="J705" s="1">
        <v>3.0</v>
      </c>
      <c r="K705" s="1">
        <v>33.0</v>
      </c>
      <c r="L705" s="1">
        <v>0.0</v>
      </c>
      <c r="M705" s="1">
        <v>0.0</v>
      </c>
      <c r="N705" s="1">
        <v>0.0</v>
      </c>
      <c r="O705" s="1">
        <v>0.0</v>
      </c>
      <c r="P705" s="1">
        <v>36.0</v>
      </c>
      <c r="Q705" s="1">
        <v>27.0</v>
      </c>
    </row>
    <row r="706">
      <c r="A706" s="1">
        <f t="shared" si="1"/>
        <v>704</v>
      </c>
      <c r="B706" s="1" t="s">
        <v>1685</v>
      </c>
      <c r="C706" s="1" t="s">
        <v>1040</v>
      </c>
      <c r="D706" s="1" t="s">
        <v>28</v>
      </c>
      <c r="E706" s="1">
        <f t="shared" si="2"/>
        <v>50.5</v>
      </c>
      <c r="F706" s="1">
        <f t="shared" si="3"/>
        <v>2.53</v>
      </c>
      <c r="G706" s="1">
        <v>20.0</v>
      </c>
      <c r="H706" s="1">
        <v>1.0</v>
      </c>
      <c r="I706" s="1">
        <v>3.0</v>
      </c>
      <c r="J706" s="1">
        <v>4.0</v>
      </c>
      <c r="K706" s="1">
        <v>35.0</v>
      </c>
      <c r="L706" s="1">
        <v>0.0</v>
      </c>
      <c r="M706" s="1">
        <v>0.0</v>
      </c>
      <c r="N706" s="1">
        <v>0.0</v>
      </c>
      <c r="O706" s="1">
        <v>0.0</v>
      </c>
      <c r="P706" s="1">
        <v>38.0</v>
      </c>
      <c r="Q706" s="1">
        <v>20.0</v>
      </c>
    </row>
    <row r="707">
      <c r="A707" s="1">
        <f t="shared" si="1"/>
        <v>705</v>
      </c>
      <c r="B707" s="1" t="s">
        <v>2546</v>
      </c>
      <c r="C707" s="1" t="s">
        <v>1069</v>
      </c>
      <c r="D707" s="1" t="s">
        <v>31</v>
      </c>
      <c r="E707" s="1">
        <f t="shared" si="2"/>
        <v>50.25</v>
      </c>
      <c r="F707" s="1">
        <f t="shared" si="3"/>
        <v>2.64</v>
      </c>
      <c r="G707" s="1">
        <v>19.0</v>
      </c>
      <c r="H707" s="1">
        <v>3.0</v>
      </c>
      <c r="I707" s="1">
        <v>2.0</v>
      </c>
      <c r="J707" s="1">
        <v>5.0</v>
      </c>
      <c r="K707" s="1">
        <v>19.0</v>
      </c>
      <c r="L707" s="1">
        <v>0.0</v>
      </c>
      <c r="M707" s="1">
        <v>0.0</v>
      </c>
      <c r="N707" s="1">
        <v>0.0</v>
      </c>
      <c r="O707" s="1">
        <v>0.0</v>
      </c>
      <c r="P707" s="1">
        <v>69.0</v>
      </c>
      <c r="Q707" s="1">
        <v>8.0</v>
      </c>
    </row>
    <row r="708">
      <c r="A708" s="1">
        <f t="shared" si="1"/>
        <v>706</v>
      </c>
      <c r="B708" s="1" t="s">
        <v>2493</v>
      </c>
      <c r="C708" s="1" t="s">
        <v>1065</v>
      </c>
      <c r="D708" s="1" t="s">
        <v>36</v>
      </c>
      <c r="E708" s="1">
        <f t="shared" si="2"/>
        <v>50</v>
      </c>
      <c r="F708" s="1">
        <f t="shared" si="3"/>
        <v>2.27</v>
      </c>
      <c r="G708" s="1">
        <v>22.0</v>
      </c>
      <c r="H708" s="1">
        <v>1.0</v>
      </c>
      <c r="I708" s="1">
        <v>5.0</v>
      </c>
      <c r="J708" s="1">
        <v>6.0</v>
      </c>
      <c r="K708" s="1">
        <v>34.0</v>
      </c>
      <c r="L708" s="1">
        <v>1.0</v>
      </c>
      <c r="M708" s="1">
        <v>0.0</v>
      </c>
      <c r="N708" s="1">
        <v>0.0</v>
      </c>
      <c r="O708" s="1">
        <v>0.0</v>
      </c>
      <c r="P708" s="1">
        <v>38.0</v>
      </c>
      <c r="Q708" s="1">
        <v>8.0</v>
      </c>
    </row>
    <row r="709">
      <c r="A709" s="1">
        <f t="shared" si="1"/>
        <v>707</v>
      </c>
      <c r="B709" s="1" t="s">
        <v>1403</v>
      </c>
      <c r="C709" s="1" t="s">
        <v>1042</v>
      </c>
      <c r="D709" s="1" t="s">
        <v>31</v>
      </c>
      <c r="E709" s="1">
        <f t="shared" si="2"/>
        <v>49.5</v>
      </c>
      <c r="F709" s="1">
        <f t="shared" si="3"/>
        <v>2.36</v>
      </c>
      <c r="G709" s="1">
        <v>21.0</v>
      </c>
      <c r="H709" s="1">
        <v>2.0</v>
      </c>
      <c r="I709" s="1">
        <v>4.0</v>
      </c>
      <c r="J709" s="1">
        <v>6.0</v>
      </c>
      <c r="K709" s="1">
        <v>25.0</v>
      </c>
      <c r="L709" s="1">
        <v>0.0</v>
      </c>
      <c r="M709" s="1">
        <v>0.0</v>
      </c>
      <c r="N709" s="1">
        <v>0.0</v>
      </c>
      <c r="O709" s="1">
        <v>0.0</v>
      </c>
      <c r="P709" s="1">
        <v>46.0</v>
      </c>
      <c r="Q709" s="1">
        <v>9.0</v>
      </c>
    </row>
    <row r="710">
      <c r="A710" s="1">
        <f t="shared" si="1"/>
        <v>708</v>
      </c>
      <c r="B710" s="1" t="s">
        <v>1981</v>
      </c>
      <c r="C710" s="1" t="s">
        <v>1085</v>
      </c>
      <c r="D710" s="1" t="s">
        <v>31</v>
      </c>
      <c r="E710" s="1">
        <f t="shared" si="2"/>
        <v>49.25</v>
      </c>
      <c r="F710" s="1">
        <f t="shared" si="3"/>
        <v>1.7</v>
      </c>
      <c r="G710" s="1">
        <v>29.0</v>
      </c>
      <c r="H710" s="1">
        <v>3.0</v>
      </c>
      <c r="I710" s="1">
        <v>3.0</v>
      </c>
      <c r="J710" s="1">
        <v>6.0</v>
      </c>
      <c r="K710" s="1">
        <v>29.0</v>
      </c>
      <c r="L710" s="1">
        <v>0.0</v>
      </c>
      <c r="M710" s="1">
        <v>0.0</v>
      </c>
      <c r="N710" s="1">
        <v>0.0</v>
      </c>
      <c r="O710" s="1">
        <v>0.0</v>
      </c>
      <c r="P710" s="1">
        <v>25.0</v>
      </c>
      <c r="Q710" s="1">
        <v>12.0</v>
      </c>
    </row>
    <row r="711">
      <c r="A711" s="1">
        <f t="shared" si="1"/>
        <v>709</v>
      </c>
      <c r="B711" s="1" t="s">
        <v>2343</v>
      </c>
      <c r="C711" s="1" t="s">
        <v>1570</v>
      </c>
      <c r="D711" s="1" t="s">
        <v>28</v>
      </c>
      <c r="E711" s="1">
        <f t="shared" si="2"/>
        <v>48</v>
      </c>
      <c r="F711" s="1">
        <f t="shared" si="3"/>
        <v>1.2</v>
      </c>
      <c r="G711" s="1">
        <v>40.0</v>
      </c>
      <c r="H711" s="1">
        <v>1.0</v>
      </c>
      <c r="I711" s="1">
        <v>3.0</v>
      </c>
      <c r="J711" s="1">
        <v>4.0</v>
      </c>
      <c r="K711" s="1">
        <v>48.0</v>
      </c>
      <c r="L711" s="1">
        <v>0.0</v>
      </c>
      <c r="M711" s="1">
        <v>0.0</v>
      </c>
      <c r="N711" s="1">
        <v>0.0</v>
      </c>
      <c r="O711" s="1">
        <v>0.0</v>
      </c>
      <c r="P711" s="1">
        <v>22.0</v>
      </c>
      <c r="Q711" s="1">
        <v>10.0</v>
      </c>
    </row>
    <row r="712">
      <c r="A712" s="1">
        <f t="shared" si="1"/>
        <v>710</v>
      </c>
      <c r="B712" s="1" t="s">
        <v>1964</v>
      </c>
      <c r="C712" s="1" t="s">
        <v>1069</v>
      </c>
      <c r="D712" s="1" t="s">
        <v>5</v>
      </c>
      <c r="E712" s="1">
        <f t="shared" si="2"/>
        <v>47.1</v>
      </c>
      <c r="F712" s="1">
        <f t="shared" si="3"/>
        <v>2.77</v>
      </c>
      <c r="G712" s="1">
        <v>17.0</v>
      </c>
      <c r="R712" s="1">
        <v>3.0</v>
      </c>
      <c r="S712" s="1">
        <v>51.0</v>
      </c>
      <c r="T712" s="1">
        <v>382.0</v>
      </c>
      <c r="U712" s="1">
        <v>0.0</v>
      </c>
    </row>
    <row r="713">
      <c r="A713" s="1">
        <f t="shared" si="1"/>
        <v>711</v>
      </c>
      <c r="B713" s="1" t="s">
        <v>1836</v>
      </c>
      <c r="C713" s="1" t="s">
        <v>1046</v>
      </c>
      <c r="D713" s="1" t="s">
        <v>31</v>
      </c>
      <c r="E713" s="1">
        <f t="shared" si="2"/>
        <v>46.75</v>
      </c>
      <c r="F713" s="1">
        <f t="shared" si="3"/>
        <v>2.75</v>
      </c>
      <c r="G713" s="1">
        <v>17.0</v>
      </c>
      <c r="H713" s="1">
        <v>5.0</v>
      </c>
      <c r="I713" s="1">
        <v>1.0</v>
      </c>
      <c r="J713" s="1">
        <v>6.0</v>
      </c>
      <c r="K713" s="1">
        <v>17.0</v>
      </c>
      <c r="L713" s="1">
        <v>0.0</v>
      </c>
      <c r="M713" s="1">
        <v>0.0</v>
      </c>
      <c r="N713" s="1">
        <v>0.0</v>
      </c>
      <c r="O713" s="1">
        <v>0.0</v>
      </c>
      <c r="P713" s="1">
        <v>41.0</v>
      </c>
      <c r="Q713" s="1">
        <v>5.0</v>
      </c>
    </row>
    <row r="714">
      <c r="A714" s="1">
        <f t="shared" si="1"/>
        <v>712</v>
      </c>
      <c r="B714" s="1" t="s">
        <v>2400</v>
      </c>
      <c r="C714" s="1" t="s">
        <v>1087</v>
      </c>
      <c r="D714" s="1" t="s">
        <v>5</v>
      </c>
      <c r="E714" s="1">
        <f t="shared" si="2"/>
        <v>46.5</v>
      </c>
      <c r="F714" s="1">
        <f t="shared" si="3"/>
        <v>3.58</v>
      </c>
      <c r="G714" s="1">
        <v>13.0</v>
      </c>
      <c r="R714" s="1">
        <v>3.0</v>
      </c>
      <c r="S714" s="1">
        <v>40.0</v>
      </c>
      <c r="T714" s="1">
        <v>315.0</v>
      </c>
      <c r="U714" s="1">
        <v>1.0</v>
      </c>
    </row>
    <row r="715">
      <c r="A715" s="1">
        <f t="shared" si="1"/>
        <v>712</v>
      </c>
      <c r="B715" s="1" t="s">
        <v>2622</v>
      </c>
      <c r="C715" s="1" t="s">
        <v>1570</v>
      </c>
      <c r="D715" s="1" t="s">
        <v>36</v>
      </c>
      <c r="E715" s="1">
        <f t="shared" si="2"/>
        <v>46.5</v>
      </c>
      <c r="F715" s="1">
        <f t="shared" si="3"/>
        <v>2.02</v>
      </c>
      <c r="G715" s="1">
        <v>23.0</v>
      </c>
      <c r="H715" s="1">
        <v>1.0</v>
      </c>
      <c r="I715" s="1">
        <v>4.0</v>
      </c>
      <c r="J715" s="1">
        <v>5.0</v>
      </c>
      <c r="K715" s="1">
        <v>15.0</v>
      </c>
      <c r="L715" s="1">
        <v>0.0</v>
      </c>
      <c r="M715" s="1">
        <v>0.0</v>
      </c>
      <c r="N715" s="1">
        <v>0.0</v>
      </c>
      <c r="O715" s="1">
        <v>0.0</v>
      </c>
      <c r="P715" s="1">
        <v>70.0</v>
      </c>
      <c r="Q715" s="1">
        <v>10.0</v>
      </c>
    </row>
    <row r="716">
      <c r="A716" s="1">
        <f t="shared" si="1"/>
        <v>712</v>
      </c>
      <c r="B716" s="1" t="s">
        <v>2623</v>
      </c>
      <c r="C716" s="1" t="s">
        <v>1570</v>
      </c>
      <c r="D716" s="1" t="s">
        <v>28</v>
      </c>
      <c r="E716" s="1">
        <f t="shared" si="2"/>
        <v>46.5</v>
      </c>
      <c r="F716" s="1">
        <f t="shared" si="3"/>
        <v>1.26</v>
      </c>
      <c r="G716" s="1">
        <v>37.0</v>
      </c>
      <c r="H716" s="1">
        <v>2.0</v>
      </c>
      <c r="I716" s="1">
        <v>3.0</v>
      </c>
      <c r="J716" s="1">
        <v>5.0</v>
      </c>
      <c r="K716" s="1">
        <v>23.0</v>
      </c>
      <c r="L716" s="1">
        <v>0.0</v>
      </c>
      <c r="M716" s="1">
        <v>0.0</v>
      </c>
      <c r="N716" s="1">
        <v>0.0</v>
      </c>
      <c r="O716" s="1">
        <v>0.0</v>
      </c>
      <c r="P716" s="1">
        <v>18.0</v>
      </c>
      <c r="Q716" s="1">
        <v>25.0</v>
      </c>
    </row>
    <row r="717">
      <c r="A717" s="1">
        <f t="shared" si="1"/>
        <v>715</v>
      </c>
      <c r="B717" s="1" t="s">
        <v>2146</v>
      </c>
      <c r="C717" s="1" t="s">
        <v>1044</v>
      </c>
      <c r="D717" s="1" t="s">
        <v>31</v>
      </c>
      <c r="E717" s="1">
        <f t="shared" si="2"/>
        <v>45.75</v>
      </c>
      <c r="F717" s="1">
        <f t="shared" si="3"/>
        <v>1.99</v>
      </c>
      <c r="G717" s="1">
        <v>23.0</v>
      </c>
      <c r="H717" s="1">
        <v>1.0</v>
      </c>
      <c r="I717" s="1">
        <v>7.0</v>
      </c>
      <c r="J717" s="1">
        <v>8.0</v>
      </c>
      <c r="K717" s="1">
        <v>23.0</v>
      </c>
      <c r="L717" s="1">
        <v>1.0</v>
      </c>
      <c r="M717" s="1">
        <v>2.0</v>
      </c>
      <c r="N717" s="1">
        <v>0.0</v>
      </c>
      <c r="O717" s="1">
        <v>0.0</v>
      </c>
      <c r="P717" s="1">
        <v>13.0</v>
      </c>
      <c r="Q717" s="1">
        <v>11.0</v>
      </c>
    </row>
    <row r="718">
      <c r="A718" s="1">
        <f t="shared" si="1"/>
        <v>715</v>
      </c>
      <c r="B718" s="1" t="s">
        <v>2249</v>
      </c>
      <c r="C718" s="1" t="s">
        <v>1120</v>
      </c>
      <c r="D718" s="1" t="s">
        <v>28</v>
      </c>
      <c r="E718" s="1">
        <f t="shared" si="2"/>
        <v>45.75</v>
      </c>
      <c r="F718" s="1">
        <f t="shared" si="3"/>
        <v>1.76</v>
      </c>
      <c r="G718" s="1">
        <v>26.0</v>
      </c>
      <c r="H718" s="1">
        <v>2.0</v>
      </c>
      <c r="I718" s="1">
        <v>5.0</v>
      </c>
      <c r="J718" s="1">
        <v>7.0</v>
      </c>
      <c r="K718" s="1">
        <v>21.0</v>
      </c>
      <c r="L718" s="1">
        <v>0.0</v>
      </c>
      <c r="M718" s="1">
        <v>5.0</v>
      </c>
      <c r="N718" s="1">
        <v>0.0</v>
      </c>
      <c r="O718" s="1">
        <v>0.0</v>
      </c>
      <c r="P718" s="1">
        <v>13.0</v>
      </c>
      <c r="Q718" s="1">
        <v>16.0</v>
      </c>
    </row>
    <row r="719">
      <c r="A719" s="1">
        <f t="shared" si="1"/>
        <v>717</v>
      </c>
      <c r="B719" s="1" t="s">
        <v>1800</v>
      </c>
      <c r="C719" s="1" t="s">
        <v>1116</v>
      </c>
      <c r="D719" s="1" t="s">
        <v>31</v>
      </c>
      <c r="E719" s="1">
        <f t="shared" si="2"/>
        <v>45.5</v>
      </c>
      <c r="F719" s="1">
        <f t="shared" si="3"/>
        <v>1.57</v>
      </c>
      <c r="G719" s="1">
        <v>29.0</v>
      </c>
      <c r="H719" s="1">
        <v>2.0</v>
      </c>
      <c r="I719" s="1">
        <v>5.0</v>
      </c>
      <c r="J719" s="1">
        <v>7.0</v>
      </c>
      <c r="K719" s="1">
        <v>29.0</v>
      </c>
      <c r="L719" s="1">
        <v>0.0</v>
      </c>
      <c r="M719" s="1">
        <v>0.0</v>
      </c>
      <c r="N719" s="1">
        <v>0.0</v>
      </c>
      <c r="O719" s="1">
        <v>0.0</v>
      </c>
      <c r="P719" s="1">
        <v>8.0</v>
      </c>
      <c r="Q719" s="1">
        <v>10.0</v>
      </c>
    </row>
    <row r="720">
      <c r="A720" s="1">
        <f t="shared" si="1"/>
        <v>718</v>
      </c>
      <c r="B720" s="1" t="s">
        <v>1318</v>
      </c>
      <c r="C720" s="1" t="s">
        <v>1091</v>
      </c>
      <c r="D720" s="1" t="s">
        <v>31</v>
      </c>
      <c r="E720" s="1">
        <f t="shared" si="2"/>
        <v>44.5</v>
      </c>
      <c r="F720" s="1">
        <f t="shared" si="3"/>
        <v>2.23</v>
      </c>
      <c r="G720" s="1">
        <v>20.0</v>
      </c>
      <c r="H720" s="1">
        <v>2.0</v>
      </c>
      <c r="I720" s="1">
        <v>5.0</v>
      </c>
      <c r="J720" s="1">
        <v>7.0</v>
      </c>
      <c r="K720" s="1">
        <v>31.0</v>
      </c>
      <c r="L720" s="1">
        <v>0.0</v>
      </c>
      <c r="M720" s="1">
        <v>0.0</v>
      </c>
      <c r="N720" s="1">
        <v>1.0</v>
      </c>
      <c r="O720" s="1">
        <v>0.0</v>
      </c>
      <c r="P720" s="1">
        <v>4.0</v>
      </c>
      <c r="Q720" s="1">
        <v>4.0</v>
      </c>
    </row>
    <row r="721">
      <c r="A721" s="1">
        <f t="shared" si="1"/>
        <v>719</v>
      </c>
      <c r="B721" s="1" t="s">
        <v>2624</v>
      </c>
      <c r="C721" s="1" t="s">
        <v>1570</v>
      </c>
      <c r="D721" s="1" t="s">
        <v>31</v>
      </c>
      <c r="E721" s="1">
        <f t="shared" si="2"/>
        <v>42.25</v>
      </c>
      <c r="F721" s="1">
        <f t="shared" si="3"/>
        <v>1.24</v>
      </c>
      <c r="G721" s="1">
        <v>34.0</v>
      </c>
      <c r="H721" s="1">
        <v>3.0</v>
      </c>
      <c r="I721" s="1">
        <v>1.0</v>
      </c>
      <c r="J721" s="1">
        <v>4.0</v>
      </c>
      <c r="K721" s="1">
        <v>26.0</v>
      </c>
      <c r="L721" s="1">
        <v>0.0</v>
      </c>
      <c r="M721" s="1">
        <v>0.0</v>
      </c>
      <c r="N721" s="1">
        <v>0.0</v>
      </c>
      <c r="O721" s="1">
        <v>0.0</v>
      </c>
      <c r="P721" s="1">
        <v>15.0</v>
      </c>
      <c r="Q721" s="1">
        <v>18.0</v>
      </c>
    </row>
    <row r="722">
      <c r="A722" s="1">
        <f t="shared" si="1"/>
        <v>720</v>
      </c>
      <c r="B722" s="1" t="s">
        <v>2348</v>
      </c>
      <c r="C722" s="1" t="s">
        <v>1116</v>
      </c>
      <c r="D722" s="1" t="s">
        <v>66</v>
      </c>
      <c r="E722" s="1">
        <f t="shared" si="2"/>
        <v>42</v>
      </c>
      <c r="F722" s="1">
        <f t="shared" si="3"/>
        <v>2.47</v>
      </c>
      <c r="G722" s="1">
        <v>17.0</v>
      </c>
      <c r="H722" s="1">
        <v>0.0</v>
      </c>
      <c r="I722" s="1">
        <v>5.0</v>
      </c>
      <c r="J722" s="1">
        <v>5.0</v>
      </c>
      <c r="K722" s="1">
        <v>27.0</v>
      </c>
      <c r="L722" s="1">
        <v>0.0</v>
      </c>
      <c r="M722" s="1">
        <v>0.0</v>
      </c>
      <c r="N722" s="1">
        <v>0.0</v>
      </c>
      <c r="O722" s="1">
        <v>0.0</v>
      </c>
      <c r="P722" s="1">
        <v>16.0</v>
      </c>
      <c r="Q722" s="1">
        <v>19.0</v>
      </c>
    </row>
    <row r="723">
      <c r="A723" s="1">
        <f t="shared" si="1"/>
        <v>720</v>
      </c>
      <c r="B723" s="1" t="s">
        <v>2357</v>
      </c>
      <c r="C723" s="1" t="s">
        <v>1044</v>
      </c>
      <c r="D723" s="1" t="s">
        <v>36</v>
      </c>
      <c r="E723" s="1">
        <f t="shared" si="2"/>
        <v>42</v>
      </c>
      <c r="F723" s="1">
        <f t="shared" si="3"/>
        <v>1.2</v>
      </c>
      <c r="G723" s="1">
        <v>35.0</v>
      </c>
      <c r="H723" s="1">
        <v>3.0</v>
      </c>
      <c r="I723" s="1">
        <v>2.0</v>
      </c>
      <c r="J723" s="1">
        <v>5.0</v>
      </c>
      <c r="K723" s="1">
        <v>20.0</v>
      </c>
      <c r="L723" s="1">
        <v>0.0</v>
      </c>
      <c r="M723" s="1">
        <v>1.0</v>
      </c>
      <c r="N723" s="1">
        <v>0.0</v>
      </c>
      <c r="O723" s="1">
        <v>0.0</v>
      </c>
      <c r="P723" s="1">
        <v>24.0</v>
      </c>
      <c r="Q723" s="1">
        <v>13.0</v>
      </c>
    </row>
    <row r="724">
      <c r="A724" s="1">
        <f t="shared" si="1"/>
        <v>722</v>
      </c>
      <c r="B724" s="1" t="s">
        <v>1674</v>
      </c>
      <c r="C724" s="1" t="s">
        <v>1032</v>
      </c>
      <c r="D724" s="1" t="s">
        <v>36</v>
      </c>
      <c r="E724" s="1">
        <f t="shared" si="2"/>
        <v>41.5</v>
      </c>
      <c r="F724" s="1">
        <f t="shared" si="3"/>
        <v>2.31</v>
      </c>
      <c r="G724" s="1">
        <v>18.0</v>
      </c>
      <c r="H724" s="1">
        <v>4.0</v>
      </c>
      <c r="I724" s="1">
        <v>2.0</v>
      </c>
      <c r="J724" s="1">
        <v>6.0</v>
      </c>
      <c r="K724" s="1">
        <v>21.0</v>
      </c>
      <c r="L724" s="1">
        <v>0.0</v>
      </c>
      <c r="M724" s="1">
        <v>0.0</v>
      </c>
      <c r="N724" s="1">
        <v>0.0</v>
      </c>
      <c r="O724" s="1">
        <v>0.0</v>
      </c>
      <c r="P724" s="1">
        <v>16.0</v>
      </c>
      <c r="Q724" s="1">
        <v>6.0</v>
      </c>
    </row>
    <row r="725">
      <c r="A725" s="1">
        <f t="shared" si="1"/>
        <v>723</v>
      </c>
      <c r="B725" s="1" t="s">
        <v>2359</v>
      </c>
      <c r="C725" s="1" t="s">
        <v>1054</v>
      </c>
      <c r="D725" s="1" t="s">
        <v>66</v>
      </c>
      <c r="E725" s="1">
        <f t="shared" si="2"/>
        <v>41.25</v>
      </c>
      <c r="F725" s="1">
        <f t="shared" si="3"/>
        <v>2.06</v>
      </c>
      <c r="G725" s="1">
        <v>20.0</v>
      </c>
      <c r="H725" s="1">
        <v>0.0</v>
      </c>
      <c r="I725" s="1">
        <v>3.0</v>
      </c>
      <c r="J725" s="1">
        <v>3.0</v>
      </c>
      <c r="K725" s="1">
        <v>22.0</v>
      </c>
      <c r="L725" s="1">
        <v>0.0</v>
      </c>
      <c r="M725" s="1">
        <v>0.0</v>
      </c>
      <c r="N725" s="1">
        <v>0.0</v>
      </c>
      <c r="O725" s="1">
        <v>0.0</v>
      </c>
      <c r="P725" s="1">
        <v>25.0</v>
      </c>
      <c r="Q725" s="1">
        <v>30.0</v>
      </c>
    </row>
    <row r="726">
      <c r="A726" s="1">
        <f t="shared" si="1"/>
        <v>723</v>
      </c>
      <c r="B726" s="1" t="s">
        <v>1759</v>
      </c>
      <c r="C726" s="1" t="s">
        <v>1111</v>
      </c>
      <c r="D726" s="1" t="s">
        <v>28</v>
      </c>
      <c r="E726" s="1">
        <f t="shared" si="2"/>
        <v>41.25</v>
      </c>
      <c r="F726" s="1">
        <f t="shared" si="3"/>
        <v>1.96</v>
      </c>
      <c r="G726" s="1">
        <v>21.0</v>
      </c>
      <c r="H726" s="1">
        <v>0.0</v>
      </c>
      <c r="I726" s="1">
        <v>4.0</v>
      </c>
      <c r="J726" s="1">
        <v>4.0</v>
      </c>
      <c r="K726" s="1">
        <v>33.0</v>
      </c>
      <c r="L726" s="1">
        <v>0.0</v>
      </c>
      <c r="M726" s="1">
        <v>0.0</v>
      </c>
      <c r="N726" s="1">
        <v>0.0</v>
      </c>
      <c r="O726" s="1">
        <v>0.0</v>
      </c>
      <c r="P726" s="1">
        <v>37.0</v>
      </c>
      <c r="Q726" s="1">
        <v>7.0</v>
      </c>
    </row>
    <row r="727">
      <c r="A727" s="1">
        <f t="shared" si="1"/>
        <v>725</v>
      </c>
      <c r="B727" s="1" t="s">
        <v>2539</v>
      </c>
      <c r="C727" s="1" t="s">
        <v>1175</v>
      </c>
      <c r="D727" s="1" t="s">
        <v>31</v>
      </c>
      <c r="E727" s="1">
        <f t="shared" si="2"/>
        <v>40.75</v>
      </c>
      <c r="F727" s="1">
        <f t="shared" si="3"/>
        <v>2.04</v>
      </c>
      <c r="G727" s="1">
        <v>20.0</v>
      </c>
      <c r="H727" s="1">
        <v>1.0</v>
      </c>
      <c r="I727" s="1">
        <v>6.0</v>
      </c>
      <c r="J727" s="1">
        <v>7.0</v>
      </c>
      <c r="K727" s="1">
        <v>18.0</v>
      </c>
      <c r="L727" s="1">
        <v>0.0</v>
      </c>
      <c r="M727" s="1">
        <v>0.0</v>
      </c>
      <c r="N727" s="1">
        <v>0.0</v>
      </c>
      <c r="O727" s="1">
        <v>0.0</v>
      </c>
      <c r="P727" s="1">
        <v>27.0</v>
      </c>
      <c r="Q727" s="1">
        <v>5.0</v>
      </c>
    </row>
    <row r="728">
      <c r="A728" s="1">
        <f t="shared" si="1"/>
        <v>726</v>
      </c>
      <c r="B728" s="1" t="s">
        <v>2625</v>
      </c>
      <c r="C728" s="1" t="s">
        <v>1570</v>
      </c>
      <c r="D728" s="1" t="s">
        <v>66</v>
      </c>
      <c r="E728" s="1">
        <f t="shared" si="2"/>
        <v>39.75</v>
      </c>
      <c r="F728" s="1">
        <f t="shared" si="3"/>
        <v>1.53</v>
      </c>
      <c r="G728" s="1">
        <v>26.0</v>
      </c>
      <c r="H728" s="1">
        <v>1.0</v>
      </c>
      <c r="I728" s="1">
        <v>1.0</v>
      </c>
      <c r="J728" s="1">
        <v>2.0</v>
      </c>
      <c r="K728" s="1">
        <v>18.0</v>
      </c>
      <c r="L728" s="1">
        <v>0.0</v>
      </c>
      <c r="M728" s="1">
        <v>0.0</v>
      </c>
      <c r="N728" s="1">
        <v>0.0</v>
      </c>
      <c r="O728" s="1">
        <v>0.0</v>
      </c>
      <c r="P728" s="1">
        <v>45.0</v>
      </c>
      <c r="Q728" s="1">
        <v>24.0</v>
      </c>
    </row>
    <row r="729">
      <c r="A729" s="1">
        <f t="shared" si="1"/>
        <v>727</v>
      </c>
      <c r="B729" s="1" t="s">
        <v>2133</v>
      </c>
      <c r="C729" s="1" t="s">
        <v>1067</v>
      </c>
      <c r="D729" s="1" t="s">
        <v>31</v>
      </c>
      <c r="E729" s="1">
        <f t="shared" si="2"/>
        <v>39</v>
      </c>
      <c r="F729" s="1">
        <f t="shared" si="3"/>
        <v>1.34</v>
      </c>
      <c r="G729" s="1">
        <v>29.0</v>
      </c>
      <c r="H729" s="1">
        <v>1.0</v>
      </c>
      <c r="I729" s="1">
        <v>2.0</v>
      </c>
      <c r="J729" s="1">
        <v>3.0</v>
      </c>
      <c r="K729" s="1">
        <v>36.0</v>
      </c>
      <c r="L729" s="1">
        <v>0.0</v>
      </c>
      <c r="M729" s="1">
        <v>0.0</v>
      </c>
      <c r="N729" s="1">
        <v>0.0</v>
      </c>
      <c r="O729" s="1">
        <v>1.0</v>
      </c>
      <c r="P729" s="1">
        <v>20.0</v>
      </c>
      <c r="Q729" s="1">
        <v>7.0</v>
      </c>
    </row>
    <row r="730">
      <c r="A730" s="1">
        <f t="shared" si="1"/>
        <v>728</v>
      </c>
      <c r="B730" s="1" t="s">
        <v>1652</v>
      </c>
      <c r="C730" s="1" t="s">
        <v>1156</v>
      </c>
      <c r="D730" s="1" t="s">
        <v>66</v>
      </c>
      <c r="E730" s="1">
        <f t="shared" si="2"/>
        <v>38.75</v>
      </c>
      <c r="F730" s="1">
        <f t="shared" si="3"/>
        <v>1.76</v>
      </c>
      <c r="G730" s="1">
        <v>22.0</v>
      </c>
      <c r="H730" s="1">
        <v>1.0</v>
      </c>
      <c r="I730" s="1">
        <v>2.0</v>
      </c>
      <c r="J730" s="1">
        <v>3.0</v>
      </c>
      <c r="K730" s="1">
        <v>23.0</v>
      </c>
      <c r="L730" s="1">
        <v>0.0</v>
      </c>
      <c r="M730" s="1">
        <v>0.0</v>
      </c>
      <c r="N730" s="1">
        <v>0.0</v>
      </c>
      <c r="O730" s="1">
        <v>0.0</v>
      </c>
      <c r="P730" s="1">
        <v>25.0</v>
      </c>
      <c r="Q730" s="1">
        <v>21.0</v>
      </c>
    </row>
    <row r="731">
      <c r="A731" s="1">
        <f t="shared" si="1"/>
        <v>729</v>
      </c>
      <c r="B731" s="1" t="s">
        <v>1748</v>
      </c>
      <c r="C731" s="1" t="s">
        <v>1116</v>
      </c>
      <c r="D731" s="1" t="s">
        <v>66</v>
      </c>
      <c r="E731" s="1">
        <f t="shared" si="2"/>
        <v>37.75</v>
      </c>
      <c r="F731" s="1">
        <f t="shared" si="3"/>
        <v>1.89</v>
      </c>
      <c r="G731" s="1">
        <v>20.0</v>
      </c>
      <c r="H731" s="1">
        <v>0.0</v>
      </c>
      <c r="I731" s="1">
        <v>1.0</v>
      </c>
      <c r="J731" s="1">
        <v>1.0</v>
      </c>
      <c r="K731" s="1">
        <v>22.0</v>
      </c>
      <c r="L731" s="1">
        <v>0.0</v>
      </c>
      <c r="M731" s="1">
        <v>0.0</v>
      </c>
      <c r="N731" s="1">
        <v>0.0</v>
      </c>
      <c r="O731" s="1">
        <v>0.0</v>
      </c>
      <c r="P731" s="1">
        <v>35.0</v>
      </c>
      <c r="Q731" s="1">
        <v>30.0</v>
      </c>
    </row>
    <row r="732">
      <c r="A732" s="1">
        <f t="shared" si="1"/>
        <v>730</v>
      </c>
      <c r="B732" s="1" t="s">
        <v>1717</v>
      </c>
      <c r="C732" s="1" t="s">
        <v>1054</v>
      </c>
      <c r="D732" s="1" t="s">
        <v>66</v>
      </c>
      <c r="E732" s="1">
        <f t="shared" si="2"/>
        <v>37.5</v>
      </c>
      <c r="F732" s="1">
        <f t="shared" si="3"/>
        <v>3.75</v>
      </c>
      <c r="G732" s="1">
        <v>10.0</v>
      </c>
      <c r="H732" s="1">
        <v>1.0</v>
      </c>
      <c r="I732" s="1">
        <v>3.0</v>
      </c>
      <c r="J732" s="1">
        <v>4.0</v>
      </c>
      <c r="K732" s="1">
        <v>17.0</v>
      </c>
      <c r="L732" s="1">
        <v>0.0</v>
      </c>
      <c r="M732" s="1">
        <v>0.0</v>
      </c>
      <c r="N732" s="1">
        <v>0.0</v>
      </c>
      <c r="O732" s="1">
        <v>0.0</v>
      </c>
      <c r="P732" s="1">
        <v>20.0</v>
      </c>
      <c r="Q732" s="1">
        <v>21.0</v>
      </c>
    </row>
    <row r="733">
      <c r="A733" s="1">
        <f t="shared" si="1"/>
        <v>731</v>
      </c>
      <c r="B733" s="1" t="s">
        <v>1410</v>
      </c>
      <c r="C733" s="1" t="s">
        <v>1078</v>
      </c>
      <c r="D733" s="1" t="s">
        <v>31</v>
      </c>
      <c r="E733" s="1">
        <f t="shared" si="2"/>
        <v>37.25</v>
      </c>
      <c r="F733" s="1">
        <f t="shared" si="3"/>
        <v>3.73</v>
      </c>
      <c r="G733" s="1">
        <v>10.0</v>
      </c>
      <c r="H733" s="1">
        <v>3.0</v>
      </c>
      <c r="I733" s="1">
        <v>4.0</v>
      </c>
      <c r="J733" s="1">
        <v>7.0</v>
      </c>
      <c r="K733" s="1">
        <v>19.0</v>
      </c>
      <c r="L733" s="1">
        <v>1.0</v>
      </c>
      <c r="M733" s="1">
        <v>1.0</v>
      </c>
      <c r="N733" s="1">
        <v>0.0</v>
      </c>
      <c r="O733" s="1">
        <v>0.0</v>
      </c>
      <c r="P733" s="1">
        <v>1.0</v>
      </c>
      <c r="Q733" s="1">
        <v>4.0</v>
      </c>
    </row>
    <row r="734">
      <c r="A734" s="1">
        <f t="shared" si="1"/>
        <v>732</v>
      </c>
      <c r="B734" s="1" t="s">
        <v>1253</v>
      </c>
      <c r="C734" s="1" t="s">
        <v>1038</v>
      </c>
      <c r="D734" s="1" t="s">
        <v>66</v>
      </c>
      <c r="E734" s="1">
        <f t="shared" si="2"/>
        <v>37</v>
      </c>
      <c r="F734" s="1">
        <f t="shared" si="3"/>
        <v>1.95</v>
      </c>
      <c r="G734" s="1">
        <v>19.0</v>
      </c>
      <c r="H734" s="1">
        <v>1.0</v>
      </c>
      <c r="I734" s="1">
        <v>1.0</v>
      </c>
      <c r="J734" s="1">
        <v>2.0</v>
      </c>
      <c r="K734" s="1">
        <v>20.0</v>
      </c>
      <c r="L734" s="1">
        <v>0.0</v>
      </c>
      <c r="M734" s="1">
        <v>0.0</v>
      </c>
      <c r="N734" s="1">
        <v>0.0</v>
      </c>
      <c r="O734" s="1">
        <v>0.0</v>
      </c>
      <c r="P734" s="1">
        <v>32.0</v>
      </c>
      <c r="Q734" s="1">
        <v>23.0</v>
      </c>
    </row>
    <row r="735">
      <c r="A735" s="1">
        <f t="shared" si="1"/>
        <v>732</v>
      </c>
      <c r="B735" s="1" t="s">
        <v>2626</v>
      </c>
      <c r="C735" s="1" t="s">
        <v>1570</v>
      </c>
      <c r="D735" s="1" t="s">
        <v>28</v>
      </c>
      <c r="E735" s="1">
        <f t="shared" si="2"/>
        <v>37</v>
      </c>
      <c r="F735" s="1">
        <f t="shared" si="3"/>
        <v>1.85</v>
      </c>
      <c r="G735" s="1">
        <v>20.0</v>
      </c>
      <c r="H735" s="1">
        <v>2.0</v>
      </c>
      <c r="I735" s="1">
        <v>2.0</v>
      </c>
      <c r="J735" s="1">
        <v>4.0</v>
      </c>
      <c r="K735" s="1">
        <v>29.0</v>
      </c>
      <c r="L735" s="1">
        <v>0.0</v>
      </c>
      <c r="M735" s="1">
        <v>0.0</v>
      </c>
      <c r="N735" s="1">
        <v>1.0</v>
      </c>
      <c r="O735" s="1">
        <v>0.0</v>
      </c>
      <c r="P735" s="1">
        <v>12.0</v>
      </c>
      <c r="Q735" s="1">
        <v>5.0</v>
      </c>
    </row>
    <row r="736">
      <c r="A736" s="1">
        <f t="shared" si="1"/>
        <v>734</v>
      </c>
      <c r="B736" s="1" t="s">
        <v>1555</v>
      </c>
      <c r="C736" s="1" t="s">
        <v>1570</v>
      </c>
      <c r="D736" s="1" t="s">
        <v>66</v>
      </c>
      <c r="E736" s="1">
        <f t="shared" si="2"/>
        <v>36.5</v>
      </c>
      <c r="F736" s="1">
        <f t="shared" si="3"/>
        <v>1.52</v>
      </c>
      <c r="G736" s="1">
        <v>24.0</v>
      </c>
      <c r="H736" s="1">
        <v>0.0</v>
      </c>
      <c r="I736" s="1">
        <v>3.0</v>
      </c>
      <c r="J736" s="1">
        <v>3.0</v>
      </c>
      <c r="K736" s="1">
        <v>10.0</v>
      </c>
      <c r="L736" s="1">
        <v>0.0</v>
      </c>
      <c r="M736" s="1">
        <v>0.0</v>
      </c>
      <c r="N736" s="1">
        <v>0.0</v>
      </c>
      <c r="O736" s="1">
        <v>0.0</v>
      </c>
      <c r="P736" s="1">
        <v>58.0</v>
      </c>
      <c r="Q736" s="1">
        <v>16.0</v>
      </c>
    </row>
    <row r="737">
      <c r="A737" s="1">
        <f t="shared" si="1"/>
        <v>735</v>
      </c>
      <c r="B737" s="1" t="s">
        <v>2155</v>
      </c>
      <c r="C737" s="1" t="s">
        <v>1078</v>
      </c>
      <c r="D737" s="1" t="s">
        <v>36</v>
      </c>
      <c r="E737" s="1">
        <f t="shared" si="2"/>
        <v>35.5</v>
      </c>
      <c r="F737" s="1">
        <f t="shared" si="3"/>
        <v>1.97</v>
      </c>
      <c r="G737" s="1">
        <v>18.0</v>
      </c>
      <c r="H737" s="1">
        <v>1.0</v>
      </c>
      <c r="I737" s="1">
        <v>4.0</v>
      </c>
      <c r="J737" s="1">
        <v>5.0</v>
      </c>
      <c r="K737" s="1">
        <v>25.0</v>
      </c>
      <c r="L737" s="1">
        <v>0.0</v>
      </c>
      <c r="M737" s="1">
        <v>0.0</v>
      </c>
      <c r="N737" s="1">
        <v>0.0</v>
      </c>
      <c r="O737" s="1">
        <v>0.0</v>
      </c>
      <c r="P737" s="1">
        <v>16.0</v>
      </c>
      <c r="Q737" s="1">
        <v>5.0</v>
      </c>
    </row>
    <row r="738">
      <c r="A738" s="1">
        <f t="shared" si="1"/>
        <v>736</v>
      </c>
      <c r="B738" s="1" t="s">
        <v>2627</v>
      </c>
      <c r="C738" s="1" t="s">
        <v>1046</v>
      </c>
      <c r="D738" s="1" t="s">
        <v>28</v>
      </c>
      <c r="E738" s="1">
        <f t="shared" si="2"/>
        <v>35</v>
      </c>
      <c r="F738" s="1">
        <f t="shared" si="3"/>
        <v>2.5</v>
      </c>
      <c r="G738" s="1">
        <v>14.0</v>
      </c>
      <c r="H738" s="1">
        <v>1.0</v>
      </c>
      <c r="I738" s="1">
        <v>4.0</v>
      </c>
      <c r="J738" s="1">
        <v>5.0</v>
      </c>
      <c r="K738" s="1">
        <v>15.0</v>
      </c>
      <c r="L738" s="1">
        <v>0.0</v>
      </c>
      <c r="M738" s="1">
        <v>0.0</v>
      </c>
      <c r="N738" s="1">
        <v>0.0</v>
      </c>
      <c r="O738" s="1">
        <v>0.0</v>
      </c>
      <c r="P738" s="1">
        <v>40.0</v>
      </c>
      <c r="Q738" s="1">
        <v>2.0</v>
      </c>
    </row>
    <row r="739">
      <c r="A739" s="1">
        <f t="shared" si="1"/>
        <v>736</v>
      </c>
      <c r="B739" s="1" t="s">
        <v>2628</v>
      </c>
      <c r="C739" s="1" t="s">
        <v>1097</v>
      </c>
      <c r="D739" s="1" t="s">
        <v>31</v>
      </c>
      <c r="E739" s="1">
        <f t="shared" si="2"/>
        <v>35</v>
      </c>
      <c r="F739" s="1">
        <f t="shared" si="3"/>
        <v>1.67</v>
      </c>
      <c r="G739" s="1">
        <v>21.0</v>
      </c>
      <c r="H739" s="1">
        <v>2.0</v>
      </c>
      <c r="I739" s="1">
        <v>3.0</v>
      </c>
      <c r="J739" s="1">
        <v>5.0</v>
      </c>
      <c r="K739" s="1">
        <v>12.0</v>
      </c>
      <c r="L739" s="1">
        <v>0.0</v>
      </c>
      <c r="M739" s="1">
        <v>0.0</v>
      </c>
      <c r="N739" s="1">
        <v>0.0</v>
      </c>
      <c r="O739" s="1">
        <v>0.0</v>
      </c>
      <c r="P739" s="1">
        <v>26.0</v>
      </c>
      <c r="Q739" s="1">
        <v>9.0</v>
      </c>
    </row>
    <row r="740">
      <c r="A740" s="1">
        <f t="shared" si="1"/>
        <v>736</v>
      </c>
      <c r="B740" s="1" t="s">
        <v>1790</v>
      </c>
      <c r="C740" s="1" t="s">
        <v>1120</v>
      </c>
      <c r="D740" s="1" t="s">
        <v>28</v>
      </c>
      <c r="E740" s="1">
        <f t="shared" si="2"/>
        <v>35</v>
      </c>
      <c r="F740" s="1">
        <f t="shared" si="3"/>
        <v>1.67</v>
      </c>
      <c r="G740" s="1">
        <v>21.0</v>
      </c>
      <c r="H740" s="1">
        <v>2.0</v>
      </c>
      <c r="I740" s="1">
        <v>1.0</v>
      </c>
      <c r="J740" s="1">
        <v>3.0</v>
      </c>
      <c r="K740" s="1">
        <v>22.0</v>
      </c>
      <c r="L740" s="1">
        <v>0.0</v>
      </c>
      <c r="M740" s="1">
        <v>0.0</v>
      </c>
      <c r="N740" s="1">
        <v>0.0</v>
      </c>
      <c r="O740" s="1">
        <v>0.0</v>
      </c>
      <c r="P740" s="1">
        <v>42.0</v>
      </c>
      <c r="Q740" s="1">
        <v>3.0</v>
      </c>
    </row>
    <row r="741">
      <c r="A741" s="1">
        <f t="shared" si="1"/>
        <v>736</v>
      </c>
      <c r="B741" s="1" t="s">
        <v>1368</v>
      </c>
      <c r="C741" s="1" t="s">
        <v>1097</v>
      </c>
      <c r="D741" s="1" t="s">
        <v>31</v>
      </c>
      <c r="E741" s="1">
        <f t="shared" si="2"/>
        <v>35</v>
      </c>
      <c r="F741" s="1">
        <f t="shared" si="3"/>
        <v>1.3</v>
      </c>
      <c r="G741" s="1">
        <v>27.0</v>
      </c>
      <c r="H741" s="1">
        <v>1.0</v>
      </c>
      <c r="I741" s="1">
        <v>1.0</v>
      </c>
      <c r="J741" s="1">
        <v>2.0</v>
      </c>
      <c r="K741" s="1">
        <v>26.0</v>
      </c>
      <c r="L741" s="1">
        <v>0.0</v>
      </c>
      <c r="M741" s="1">
        <v>0.0</v>
      </c>
      <c r="N741" s="1">
        <v>0.0</v>
      </c>
      <c r="O741" s="1">
        <v>0.0</v>
      </c>
      <c r="P741" s="1">
        <v>38.0</v>
      </c>
      <c r="Q741" s="1">
        <v>10.0</v>
      </c>
    </row>
    <row r="742">
      <c r="A742" s="1">
        <f t="shared" si="1"/>
        <v>740</v>
      </c>
      <c r="B742" s="1" t="s">
        <v>2629</v>
      </c>
      <c r="C742" s="1" t="s">
        <v>1570</v>
      </c>
      <c r="D742" s="1" t="s">
        <v>66</v>
      </c>
      <c r="E742" s="1">
        <f t="shared" si="2"/>
        <v>34</v>
      </c>
      <c r="F742" s="1">
        <f t="shared" si="3"/>
        <v>2.13</v>
      </c>
      <c r="G742" s="1">
        <v>16.0</v>
      </c>
      <c r="H742" s="1">
        <v>1.0</v>
      </c>
      <c r="I742" s="1">
        <v>1.0</v>
      </c>
      <c r="J742" s="1">
        <v>2.0</v>
      </c>
      <c r="K742" s="1">
        <v>13.0</v>
      </c>
      <c r="L742" s="1">
        <v>0.0</v>
      </c>
      <c r="M742" s="1">
        <v>0.0</v>
      </c>
      <c r="N742" s="1">
        <v>0.0</v>
      </c>
      <c r="O742" s="1">
        <v>0.0</v>
      </c>
      <c r="P742" s="1">
        <v>38.0</v>
      </c>
      <c r="Q742" s="1">
        <v>21.0</v>
      </c>
    </row>
    <row r="743">
      <c r="A743" s="1">
        <f t="shared" si="1"/>
        <v>741</v>
      </c>
      <c r="B743" s="1" t="s">
        <v>1567</v>
      </c>
      <c r="C743" s="1" t="s">
        <v>1054</v>
      </c>
      <c r="D743" s="1" t="s">
        <v>5</v>
      </c>
      <c r="E743" s="1">
        <f t="shared" si="2"/>
        <v>33.6</v>
      </c>
      <c r="F743" s="1">
        <f t="shared" si="3"/>
        <v>6.72</v>
      </c>
      <c r="G743" s="1">
        <v>5.0</v>
      </c>
      <c r="R743" s="1">
        <v>3.0</v>
      </c>
      <c r="S743" s="1">
        <v>15.0</v>
      </c>
      <c r="T743" s="1">
        <v>157.0</v>
      </c>
      <c r="U743" s="1">
        <v>0.0</v>
      </c>
    </row>
    <row r="744">
      <c r="A744" s="1">
        <f t="shared" si="1"/>
        <v>742</v>
      </c>
      <c r="B744" s="1" t="s">
        <v>2630</v>
      </c>
      <c r="C744" s="1" t="s">
        <v>1570</v>
      </c>
      <c r="D744" s="1" t="s">
        <v>66</v>
      </c>
      <c r="E744" s="1">
        <f t="shared" si="2"/>
        <v>33.25</v>
      </c>
      <c r="F744" s="1">
        <f t="shared" si="3"/>
        <v>1.58</v>
      </c>
      <c r="G744" s="1">
        <v>21.0</v>
      </c>
      <c r="H744" s="1">
        <v>0.0</v>
      </c>
      <c r="I744" s="1">
        <v>2.0</v>
      </c>
      <c r="J744" s="1">
        <v>2.0</v>
      </c>
      <c r="K744" s="1">
        <v>29.0</v>
      </c>
      <c r="L744" s="1">
        <v>0.0</v>
      </c>
      <c r="M744" s="1">
        <v>0.0</v>
      </c>
      <c r="N744" s="1">
        <v>0.0</v>
      </c>
      <c r="O744" s="1">
        <v>0.0</v>
      </c>
      <c r="P744" s="1">
        <v>13.0</v>
      </c>
      <c r="Q744" s="1">
        <v>19.0</v>
      </c>
    </row>
    <row r="745">
      <c r="A745" s="1">
        <f t="shared" si="1"/>
        <v>743</v>
      </c>
      <c r="B745" s="1" t="s">
        <v>2460</v>
      </c>
      <c r="C745" s="1" t="s">
        <v>1156</v>
      </c>
      <c r="D745" s="1" t="s">
        <v>36</v>
      </c>
      <c r="E745" s="1">
        <f t="shared" si="2"/>
        <v>32.75</v>
      </c>
      <c r="F745" s="1">
        <f t="shared" si="3"/>
        <v>3.64</v>
      </c>
      <c r="G745" s="1">
        <v>9.0</v>
      </c>
      <c r="H745" s="1">
        <v>2.0</v>
      </c>
      <c r="I745" s="1">
        <v>1.0</v>
      </c>
      <c r="J745" s="1">
        <v>3.0</v>
      </c>
      <c r="K745" s="1">
        <v>18.0</v>
      </c>
      <c r="L745" s="1">
        <v>0.0</v>
      </c>
      <c r="M745" s="1">
        <v>0.0</v>
      </c>
      <c r="N745" s="1">
        <v>0.0</v>
      </c>
      <c r="O745" s="1">
        <v>0.0</v>
      </c>
      <c r="P745" s="1">
        <v>27.0</v>
      </c>
      <c r="Q745" s="1">
        <v>10.0</v>
      </c>
    </row>
    <row r="746">
      <c r="A746" s="1">
        <f t="shared" si="1"/>
        <v>744</v>
      </c>
      <c r="B746" s="1" t="s">
        <v>2631</v>
      </c>
      <c r="C746" s="1" t="s">
        <v>1570</v>
      </c>
      <c r="D746" s="1" t="s">
        <v>31</v>
      </c>
      <c r="E746" s="1">
        <f t="shared" si="2"/>
        <v>32</v>
      </c>
      <c r="F746" s="1">
        <f t="shared" si="3"/>
        <v>2</v>
      </c>
      <c r="G746" s="1">
        <v>16.0</v>
      </c>
      <c r="H746" s="1">
        <v>1.0</v>
      </c>
      <c r="I746" s="1">
        <v>2.0</v>
      </c>
      <c r="J746" s="1">
        <v>3.0</v>
      </c>
      <c r="K746" s="1">
        <v>23.0</v>
      </c>
      <c r="L746" s="1">
        <v>0.0</v>
      </c>
      <c r="M746" s="1">
        <v>0.0</v>
      </c>
      <c r="N746" s="1">
        <v>0.0</v>
      </c>
      <c r="O746" s="1">
        <v>0.0</v>
      </c>
      <c r="P746" s="1">
        <v>26.0</v>
      </c>
      <c r="Q746" s="1">
        <v>7.0</v>
      </c>
    </row>
    <row r="747">
      <c r="A747" s="1">
        <f t="shared" si="1"/>
        <v>744</v>
      </c>
      <c r="B747" s="1" t="s">
        <v>1746</v>
      </c>
      <c r="C747" s="1" t="s">
        <v>1111</v>
      </c>
      <c r="D747" s="1" t="s">
        <v>31</v>
      </c>
      <c r="E747" s="1">
        <f t="shared" si="2"/>
        <v>32</v>
      </c>
      <c r="F747" s="1">
        <f t="shared" si="3"/>
        <v>1.6</v>
      </c>
      <c r="G747" s="1">
        <v>20.0</v>
      </c>
      <c r="H747" s="1">
        <v>1.0</v>
      </c>
      <c r="I747" s="1">
        <v>3.0</v>
      </c>
      <c r="J747" s="1">
        <v>4.0</v>
      </c>
      <c r="K747" s="1">
        <v>27.0</v>
      </c>
      <c r="L747" s="1">
        <v>0.0</v>
      </c>
      <c r="M747" s="1">
        <v>0.0</v>
      </c>
      <c r="N747" s="1">
        <v>0.0</v>
      </c>
      <c r="O747" s="1">
        <v>0.0</v>
      </c>
      <c r="P747" s="1">
        <v>14.0</v>
      </c>
      <c r="Q747" s="1">
        <v>3.0</v>
      </c>
    </row>
    <row r="748">
      <c r="A748" s="1">
        <f t="shared" si="1"/>
        <v>746</v>
      </c>
      <c r="B748" s="1" t="s">
        <v>2369</v>
      </c>
      <c r="C748" s="1" t="s">
        <v>1076</v>
      </c>
      <c r="D748" s="1" t="s">
        <v>66</v>
      </c>
      <c r="E748" s="1">
        <f t="shared" si="2"/>
        <v>31.75</v>
      </c>
      <c r="F748" s="1">
        <f t="shared" si="3"/>
        <v>1.59</v>
      </c>
      <c r="G748" s="1">
        <v>20.0</v>
      </c>
      <c r="H748" s="1">
        <v>0.0</v>
      </c>
      <c r="I748" s="1">
        <v>3.0</v>
      </c>
      <c r="J748" s="1">
        <v>3.0</v>
      </c>
      <c r="K748" s="1">
        <v>14.0</v>
      </c>
      <c r="L748" s="1">
        <v>0.0</v>
      </c>
      <c r="M748" s="1">
        <v>0.0</v>
      </c>
      <c r="N748" s="1">
        <v>0.0</v>
      </c>
      <c r="O748" s="1">
        <v>0.0</v>
      </c>
      <c r="P748" s="1">
        <v>27.0</v>
      </c>
      <c r="Q748" s="1">
        <v>18.0</v>
      </c>
    </row>
    <row r="749">
      <c r="A749" s="1">
        <f t="shared" si="1"/>
        <v>747</v>
      </c>
      <c r="B749" s="1" t="s">
        <v>2154</v>
      </c>
      <c r="C749" s="1" t="s">
        <v>1044</v>
      </c>
      <c r="D749" s="1" t="s">
        <v>28</v>
      </c>
      <c r="E749" s="1">
        <f t="shared" si="2"/>
        <v>30.25</v>
      </c>
      <c r="F749" s="1">
        <f t="shared" si="3"/>
        <v>2.02</v>
      </c>
      <c r="G749" s="1">
        <v>15.0</v>
      </c>
      <c r="H749" s="1">
        <v>1.0</v>
      </c>
      <c r="I749" s="1">
        <v>2.0</v>
      </c>
      <c r="J749" s="1">
        <v>3.0</v>
      </c>
      <c r="K749" s="1">
        <v>23.0</v>
      </c>
      <c r="L749" s="1">
        <v>0.0</v>
      </c>
      <c r="M749" s="1">
        <v>0.0</v>
      </c>
      <c r="N749" s="1">
        <v>0.0</v>
      </c>
      <c r="O749" s="1">
        <v>0.0</v>
      </c>
      <c r="P749" s="1">
        <v>19.0</v>
      </c>
      <c r="Q749" s="1">
        <v>7.0</v>
      </c>
    </row>
    <row r="750">
      <c r="A750" s="1">
        <f t="shared" si="1"/>
        <v>747</v>
      </c>
      <c r="B750" s="1" t="s">
        <v>2632</v>
      </c>
      <c r="C750" s="1" t="s">
        <v>1044</v>
      </c>
      <c r="D750" s="1" t="s">
        <v>31</v>
      </c>
      <c r="E750" s="1">
        <f t="shared" si="2"/>
        <v>30.25</v>
      </c>
      <c r="F750" s="1">
        <f t="shared" si="3"/>
        <v>1.38</v>
      </c>
      <c r="G750" s="1">
        <v>22.0</v>
      </c>
      <c r="H750" s="1">
        <v>0.0</v>
      </c>
      <c r="I750" s="1">
        <v>1.0</v>
      </c>
      <c r="J750" s="1">
        <v>1.0</v>
      </c>
      <c r="K750" s="1">
        <v>18.0</v>
      </c>
      <c r="L750" s="1">
        <v>0.0</v>
      </c>
      <c r="M750" s="1">
        <v>0.0</v>
      </c>
      <c r="N750" s="1">
        <v>0.0</v>
      </c>
      <c r="O750" s="1">
        <v>0.0</v>
      </c>
      <c r="P750" s="1">
        <v>51.0</v>
      </c>
      <c r="Q750" s="1">
        <v>11.0</v>
      </c>
    </row>
    <row r="751">
      <c r="A751" s="1">
        <f t="shared" si="1"/>
        <v>749</v>
      </c>
      <c r="B751" s="1" t="s">
        <v>2633</v>
      </c>
      <c r="C751" s="1" t="s">
        <v>1570</v>
      </c>
      <c r="D751" s="1" t="s">
        <v>36</v>
      </c>
      <c r="E751" s="1">
        <f t="shared" si="2"/>
        <v>29.5</v>
      </c>
      <c r="F751" s="1">
        <f t="shared" si="3"/>
        <v>1.97</v>
      </c>
      <c r="G751" s="1">
        <v>15.0</v>
      </c>
      <c r="H751" s="1">
        <v>1.0</v>
      </c>
      <c r="I751" s="1">
        <v>3.0</v>
      </c>
      <c r="J751" s="1">
        <v>4.0</v>
      </c>
      <c r="K751" s="1">
        <v>19.0</v>
      </c>
      <c r="L751" s="1">
        <v>1.0</v>
      </c>
      <c r="M751" s="1">
        <v>0.0</v>
      </c>
      <c r="N751" s="1">
        <v>0.0</v>
      </c>
      <c r="O751" s="1">
        <v>0.0</v>
      </c>
      <c r="P751" s="1">
        <v>20.0</v>
      </c>
      <c r="Q751" s="1">
        <v>3.0</v>
      </c>
    </row>
    <row r="752">
      <c r="A752" s="1">
        <f t="shared" si="1"/>
        <v>750</v>
      </c>
      <c r="B752" s="1" t="s">
        <v>1595</v>
      </c>
      <c r="C752" s="1" t="s">
        <v>1078</v>
      </c>
      <c r="D752" s="1" t="s">
        <v>28</v>
      </c>
      <c r="E752" s="1">
        <f t="shared" si="2"/>
        <v>29.25</v>
      </c>
      <c r="F752" s="1">
        <f t="shared" si="3"/>
        <v>2.25</v>
      </c>
      <c r="G752" s="1">
        <v>13.0</v>
      </c>
      <c r="H752" s="1">
        <v>0.0</v>
      </c>
      <c r="I752" s="1">
        <v>4.0</v>
      </c>
      <c r="J752" s="1">
        <v>4.0</v>
      </c>
      <c r="K752" s="1">
        <v>16.0</v>
      </c>
      <c r="L752" s="1">
        <v>0.0</v>
      </c>
      <c r="M752" s="1">
        <v>0.0</v>
      </c>
      <c r="N752" s="1">
        <v>0.0</v>
      </c>
      <c r="O752" s="1">
        <v>0.0</v>
      </c>
      <c r="P752" s="1">
        <v>29.0</v>
      </c>
      <c r="Q752" s="1">
        <v>4.0</v>
      </c>
    </row>
    <row r="753">
      <c r="A753" s="1">
        <f t="shared" si="1"/>
        <v>751</v>
      </c>
      <c r="B753" s="1" t="s">
        <v>2305</v>
      </c>
      <c r="C753" s="1" t="s">
        <v>1120</v>
      </c>
      <c r="D753" s="1" t="s">
        <v>66</v>
      </c>
      <c r="E753" s="1">
        <f t="shared" si="2"/>
        <v>28.5</v>
      </c>
      <c r="F753" s="1">
        <f t="shared" si="3"/>
        <v>3.56</v>
      </c>
      <c r="G753" s="1">
        <v>8.0</v>
      </c>
      <c r="H753" s="1">
        <v>0.0</v>
      </c>
      <c r="I753" s="1">
        <v>4.0</v>
      </c>
      <c r="J753" s="1">
        <v>4.0</v>
      </c>
      <c r="K753" s="1">
        <v>12.0</v>
      </c>
      <c r="L753" s="1">
        <v>0.0</v>
      </c>
      <c r="M753" s="1">
        <v>0.0</v>
      </c>
      <c r="N753" s="1">
        <v>0.0</v>
      </c>
      <c r="O753" s="1">
        <v>0.0</v>
      </c>
      <c r="P753" s="1">
        <v>6.0</v>
      </c>
      <c r="Q753" s="1">
        <v>18.0</v>
      </c>
    </row>
    <row r="754">
      <c r="A754" s="1">
        <f t="shared" si="1"/>
        <v>752</v>
      </c>
      <c r="B754" s="1" t="s">
        <v>2634</v>
      </c>
      <c r="C754" s="1" t="s">
        <v>1116</v>
      </c>
      <c r="D754" s="1" t="s">
        <v>31</v>
      </c>
      <c r="E754" s="1">
        <f t="shared" si="2"/>
        <v>26.75</v>
      </c>
      <c r="F754" s="1">
        <f t="shared" si="3"/>
        <v>3.82</v>
      </c>
      <c r="G754" s="1">
        <v>7.0</v>
      </c>
      <c r="H754" s="1">
        <v>2.0</v>
      </c>
      <c r="I754" s="1">
        <v>3.0</v>
      </c>
      <c r="J754" s="1">
        <v>5.0</v>
      </c>
      <c r="K754" s="1">
        <v>13.0</v>
      </c>
      <c r="L754" s="1">
        <v>0.0</v>
      </c>
      <c r="M754" s="1">
        <v>0.0</v>
      </c>
      <c r="N754" s="1">
        <v>0.0</v>
      </c>
      <c r="O754" s="1">
        <v>0.0</v>
      </c>
      <c r="P754" s="1">
        <v>3.0</v>
      </c>
      <c r="Q754" s="1">
        <v>3.0</v>
      </c>
    </row>
    <row r="755">
      <c r="A755" s="1">
        <f t="shared" si="1"/>
        <v>753</v>
      </c>
      <c r="B755" s="1" t="s">
        <v>2457</v>
      </c>
      <c r="C755" s="1" t="s">
        <v>1034</v>
      </c>
      <c r="D755" s="1" t="s">
        <v>36</v>
      </c>
      <c r="E755" s="1">
        <f t="shared" si="2"/>
        <v>26.5</v>
      </c>
      <c r="F755" s="1">
        <f t="shared" si="3"/>
        <v>2.21</v>
      </c>
      <c r="G755" s="1">
        <v>12.0</v>
      </c>
      <c r="H755" s="1">
        <v>1.0</v>
      </c>
      <c r="I755" s="1">
        <v>2.0</v>
      </c>
      <c r="J755" s="1">
        <v>3.0</v>
      </c>
      <c r="K755" s="1">
        <v>10.0</v>
      </c>
      <c r="L755" s="1">
        <v>0.0</v>
      </c>
      <c r="M755" s="1">
        <v>0.0</v>
      </c>
      <c r="N755" s="1">
        <v>0.0</v>
      </c>
      <c r="O755" s="1">
        <v>0.0</v>
      </c>
      <c r="P755" s="1">
        <v>38.0</v>
      </c>
      <c r="Q755" s="1">
        <v>3.0</v>
      </c>
    </row>
    <row r="756">
      <c r="A756" s="1">
        <f t="shared" si="1"/>
        <v>754</v>
      </c>
      <c r="B756" s="1" t="s">
        <v>2190</v>
      </c>
      <c r="C756" s="1" t="s">
        <v>1097</v>
      </c>
      <c r="D756" s="1" t="s">
        <v>28</v>
      </c>
      <c r="E756" s="1">
        <f t="shared" si="2"/>
        <v>25.75</v>
      </c>
      <c r="F756" s="1">
        <f t="shared" si="3"/>
        <v>1.72</v>
      </c>
      <c r="G756" s="1">
        <v>15.0</v>
      </c>
      <c r="H756" s="1">
        <v>1.0</v>
      </c>
      <c r="I756" s="1">
        <v>1.0</v>
      </c>
      <c r="J756" s="1">
        <v>2.0</v>
      </c>
      <c r="K756" s="1">
        <v>22.0</v>
      </c>
      <c r="L756" s="1">
        <v>0.0</v>
      </c>
      <c r="M756" s="1">
        <v>0.0</v>
      </c>
      <c r="N756" s="1">
        <v>0.0</v>
      </c>
      <c r="O756" s="1">
        <v>0.0</v>
      </c>
      <c r="P756" s="1">
        <v>25.0</v>
      </c>
      <c r="Q756" s="1">
        <v>2.0</v>
      </c>
    </row>
    <row r="757">
      <c r="A757" s="1">
        <f t="shared" si="1"/>
        <v>755</v>
      </c>
      <c r="B757" s="1" t="s">
        <v>1452</v>
      </c>
      <c r="C757" s="1" t="s">
        <v>1097</v>
      </c>
      <c r="D757" s="1" t="s">
        <v>28</v>
      </c>
      <c r="E757" s="1">
        <f t="shared" si="2"/>
        <v>25.5</v>
      </c>
      <c r="F757" s="1">
        <f t="shared" si="3"/>
        <v>1.96</v>
      </c>
      <c r="G757" s="1">
        <v>13.0</v>
      </c>
      <c r="H757" s="1">
        <v>2.0</v>
      </c>
      <c r="I757" s="1">
        <v>1.0</v>
      </c>
      <c r="J757" s="1">
        <v>3.0</v>
      </c>
      <c r="K757" s="1">
        <v>14.0</v>
      </c>
      <c r="L757" s="1">
        <v>0.0</v>
      </c>
      <c r="M757" s="1">
        <v>0.0</v>
      </c>
      <c r="N757" s="1">
        <v>0.0</v>
      </c>
      <c r="O757" s="1">
        <v>0.0</v>
      </c>
      <c r="P757" s="1">
        <v>16.0</v>
      </c>
      <c r="Q757" s="1">
        <v>5.0</v>
      </c>
    </row>
    <row r="758">
      <c r="A758" s="1">
        <f t="shared" si="1"/>
        <v>755</v>
      </c>
      <c r="B758" s="1" t="s">
        <v>2536</v>
      </c>
      <c r="C758" s="1" t="s">
        <v>1091</v>
      </c>
      <c r="D758" s="1" t="s">
        <v>28</v>
      </c>
      <c r="E758" s="1">
        <f t="shared" si="2"/>
        <v>25.5</v>
      </c>
      <c r="F758" s="1">
        <f t="shared" si="3"/>
        <v>1.7</v>
      </c>
      <c r="G758" s="1">
        <v>15.0</v>
      </c>
      <c r="H758" s="1">
        <v>1.0</v>
      </c>
      <c r="I758" s="1">
        <v>0.0</v>
      </c>
      <c r="J758" s="1">
        <v>1.0</v>
      </c>
      <c r="K758" s="1">
        <v>14.0</v>
      </c>
      <c r="L758" s="1">
        <v>0.0</v>
      </c>
      <c r="M758" s="1">
        <v>0.0</v>
      </c>
      <c r="N758" s="1">
        <v>0.0</v>
      </c>
      <c r="O758" s="1">
        <v>0.0</v>
      </c>
      <c r="P758" s="1">
        <v>40.0</v>
      </c>
      <c r="Q758" s="1">
        <v>8.0</v>
      </c>
    </row>
    <row r="759">
      <c r="A759" s="1">
        <f t="shared" si="1"/>
        <v>755</v>
      </c>
      <c r="B759" s="1" t="s">
        <v>1500</v>
      </c>
      <c r="C759" s="1" t="s">
        <v>1030</v>
      </c>
      <c r="D759" s="1" t="s">
        <v>31</v>
      </c>
      <c r="E759" s="1">
        <f t="shared" si="2"/>
        <v>25.5</v>
      </c>
      <c r="F759" s="1">
        <f t="shared" si="3"/>
        <v>1.59</v>
      </c>
      <c r="G759" s="1">
        <v>16.0</v>
      </c>
      <c r="H759" s="1">
        <v>2.0</v>
      </c>
      <c r="I759" s="1">
        <v>0.0</v>
      </c>
      <c r="J759" s="1">
        <v>2.0</v>
      </c>
      <c r="K759" s="1">
        <v>15.0</v>
      </c>
      <c r="L759" s="1">
        <v>0.0</v>
      </c>
      <c r="M759" s="1">
        <v>0.0</v>
      </c>
      <c r="N759" s="1">
        <v>0.0</v>
      </c>
      <c r="O759" s="1">
        <v>0.0</v>
      </c>
      <c r="P759" s="1">
        <v>20.0</v>
      </c>
      <c r="Q759" s="1">
        <v>8.0</v>
      </c>
    </row>
    <row r="760">
      <c r="A760" s="1">
        <f t="shared" si="1"/>
        <v>758</v>
      </c>
      <c r="B760" s="1" t="s">
        <v>2177</v>
      </c>
      <c r="C760" s="1" t="s">
        <v>1065</v>
      </c>
      <c r="D760" s="1" t="s">
        <v>28</v>
      </c>
      <c r="E760" s="1">
        <f t="shared" si="2"/>
        <v>25.25</v>
      </c>
      <c r="F760" s="1">
        <f t="shared" si="3"/>
        <v>1.15</v>
      </c>
      <c r="G760" s="1">
        <v>22.0</v>
      </c>
      <c r="H760" s="1">
        <v>1.0</v>
      </c>
      <c r="I760" s="1">
        <v>2.0</v>
      </c>
      <c r="J760" s="1">
        <v>3.0</v>
      </c>
      <c r="K760" s="1">
        <v>10.0</v>
      </c>
      <c r="L760" s="1">
        <v>0.0</v>
      </c>
      <c r="M760" s="1">
        <v>0.0</v>
      </c>
      <c r="N760" s="1">
        <v>0.0</v>
      </c>
      <c r="O760" s="1">
        <v>0.0</v>
      </c>
      <c r="P760" s="1">
        <v>25.0</v>
      </c>
      <c r="Q760" s="1">
        <v>7.0</v>
      </c>
    </row>
    <row r="761">
      <c r="A761" s="1">
        <f t="shared" si="1"/>
        <v>759</v>
      </c>
      <c r="B761" s="1" t="s">
        <v>1775</v>
      </c>
      <c r="C761" s="1" t="s">
        <v>1065</v>
      </c>
      <c r="D761" s="1" t="s">
        <v>66</v>
      </c>
      <c r="E761" s="1">
        <f t="shared" si="2"/>
        <v>25</v>
      </c>
      <c r="F761" s="1">
        <f t="shared" si="3"/>
        <v>2.27</v>
      </c>
      <c r="G761" s="1">
        <v>11.0</v>
      </c>
      <c r="H761" s="1">
        <v>1.0</v>
      </c>
      <c r="I761" s="1">
        <v>3.0</v>
      </c>
      <c r="J761" s="1">
        <v>4.0</v>
      </c>
      <c r="K761" s="1">
        <v>11.0</v>
      </c>
      <c r="L761" s="1">
        <v>0.0</v>
      </c>
      <c r="M761" s="1">
        <v>0.0</v>
      </c>
      <c r="N761" s="1">
        <v>0.0</v>
      </c>
      <c r="O761" s="1">
        <v>0.0</v>
      </c>
      <c r="P761" s="1">
        <v>2.0</v>
      </c>
      <c r="Q761" s="1">
        <v>11.0</v>
      </c>
    </row>
    <row r="762">
      <c r="A762" s="1">
        <f t="shared" si="1"/>
        <v>759</v>
      </c>
      <c r="B762" s="1" t="s">
        <v>1979</v>
      </c>
      <c r="C762" s="1" t="s">
        <v>1120</v>
      </c>
      <c r="D762" s="1" t="s">
        <v>66</v>
      </c>
      <c r="E762" s="1">
        <f t="shared" si="2"/>
        <v>25</v>
      </c>
      <c r="F762" s="1">
        <f t="shared" si="3"/>
        <v>1.56</v>
      </c>
      <c r="G762" s="1">
        <v>16.0</v>
      </c>
      <c r="H762" s="1">
        <v>0.0</v>
      </c>
      <c r="I762" s="1">
        <v>0.0</v>
      </c>
      <c r="J762" s="1">
        <v>0.0</v>
      </c>
      <c r="K762" s="1">
        <v>14.0</v>
      </c>
      <c r="L762" s="1">
        <v>0.0</v>
      </c>
      <c r="M762" s="1">
        <v>0.0</v>
      </c>
      <c r="N762" s="1">
        <v>0.0</v>
      </c>
      <c r="O762" s="1">
        <v>0.0</v>
      </c>
      <c r="P762" s="1">
        <v>48.0</v>
      </c>
      <c r="Q762" s="1">
        <v>12.0</v>
      </c>
    </row>
    <row r="763">
      <c r="A763" s="1">
        <f t="shared" si="1"/>
        <v>761</v>
      </c>
      <c r="B763" s="1" t="s">
        <v>2201</v>
      </c>
      <c r="C763" s="1" t="s">
        <v>1116</v>
      </c>
      <c r="D763" s="1" t="s">
        <v>66</v>
      </c>
      <c r="E763" s="1">
        <f t="shared" si="2"/>
        <v>24.75</v>
      </c>
      <c r="F763" s="1">
        <f t="shared" si="3"/>
        <v>3.09</v>
      </c>
      <c r="G763" s="1">
        <v>8.0</v>
      </c>
      <c r="H763" s="1">
        <v>1.0</v>
      </c>
      <c r="I763" s="1">
        <v>4.0</v>
      </c>
      <c r="J763" s="1">
        <v>5.0</v>
      </c>
      <c r="K763" s="1">
        <v>10.0</v>
      </c>
      <c r="L763" s="1">
        <v>0.0</v>
      </c>
      <c r="M763" s="1">
        <v>1.0</v>
      </c>
      <c r="N763" s="1">
        <v>0.0</v>
      </c>
      <c r="O763" s="1">
        <v>0.0</v>
      </c>
      <c r="P763" s="1">
        <v>3.0</v>
      </c>
      <c r="Q763" s="1">
        <v>5.0</v>
      </c>
    </row>
    <row r="764">
      <c r="A764" s="1">
        <f t="shared" si="1"/>
        <v>761</v>
      </c>
      <c r="B764" s="1" t="s">
        <v>2386</v>
      </c>
      <c r="C764" s="1" t="s">
        <v>1175</v>
      </c>
      <c r="D764" s="1" t="s">
        <v>28</v>
      </c>
      <c r="E764" s="1">
        <f t="shared" si="2"/>
        <v>24.75</v>
      </c>
      <c r="F764" s="1">
        <f t="shared" si="3"/>
        <v>2.06</v>
      </c>
      <c r="G764" s="1">
        <v>12.0</v>
      </c>
      <c r="H764" s="1">
        <v>0.0</v>
      </c>
      <c r="I764" s="1">
        <v>4.0</v>
      </c>
      <c r="J764" s="1">
        <v>4.0</v>
      </c>
      <c r="K764" s="1">
        <v>12.0</v>
      </c>
      <c r="L764" s="1">
        <v>0.0</v>
      </c>
      <c r="M764" s="1">
        <v>0.0</v>
      </c>
      <c r="N764" s="1">
        <v>0.0</v>
      </c>
      <c r="O764" s="1">
        <v>0.0</v>
      </c>
      <c r="P764" s="1">
        <v>23.0</v>
      </c>
      <c r="Q764" s="1">
        <v>2.0</v>
      </c>
    </row>
    <row r="765">
      <c r="A765" s="1">
        <f t="shared" si="1"/>
        <v>761</v>
      </c>
      <c r="B765" s="1" t="s">
        <v>1214</v>
      </c>
      <c r="C765" s="1" t="s">
        <v>1054</v>
      </c>
      <c r="D765" s="1" t="s">
        <v>31</v>
      </c>
      <c r="E765" s="1">
        <f t="shared" si="2"/>
        <v>24.75</v>
      </c>
      <c r="F765" s="1">
        <f t="shared" si="3"/>
        <v>1.9</v>
      </c>
      <c r="G765" s="1">
        <v>13.0</v>
      </c>
      <c r="H765" s="1">
        <v>1.0</v>
      </c>
      <c r="I765" s="1">
        <v>1.0</v>
      </c>
      <c r="J765" s="1">
        <v>2.0</v>
      </c>
      <c r="K765" s="1">
        <v>18.0</v>
      </c>
      <c r="L765" s="1">
        <v>0.0</v>
      </c>
      <c r="M765" s="1">
        <v>0.0</v>
      </c>
      <c r="N765" s="1">
        <v>0.0</v>
      </c>
      <c r="O765" s="1">
        <v>0.0</v>
      </c>
      <c r="P765" s="1">
        <v>19.0</v>
      </c>
      <c r="Q765" s="1">
        <v>7.0</v>
      </c>
    </row>
    <row r="766">
      <c r="A766" s="1">
        <f t="shared" si="1"/>
        <v>761</v>
      </c>
      <c r="B766" s="1" t="s">
        <v>2384</v>
      </c>
      <c r="C766" s="1" t="s">
        <v>1091</v>
      </c>
      <c r="D766" s="1" t="s">
        <v>31</v>
      </c>
      <c r="E766" s="1">
        <f t="shared" si="2"/>
        <v>24.75</v>
      </c>
      <c r="F766" s="1">
        <f t="shared" si="3"/>
        <v>1.18</v>
      </c>
      <c r="G766" s="1">
        <v>21.0</v>
      </c>
      <c r="H766" s="1">
        <v>1.0</v>
      </c>
      <c r="I766" s="1">
        <v>1.0</v>
      </c>
      <c r="J766" s="1">
        <v>2.0</v>
      </c>
      <c r="K766" s="1">
        <v>18.0</v>
      </c>
      <c r="L766" s="1">
        <v>0.0</v>
      </c>
      <c r="M766" s="1">
        <v>0.0</v>
      </c>
      <c r="N766" s="1">
        <v>0.0</v>
      </c>
      <c r="O766" s="1">
        <v>0.0</v>
      </c>
      <c r="P766" s="1">
        <v>29.0</v>
      </c>
      <c r="Q766" s="1">
        <v>2.0</v>
      </c>
    </row>
    <row r="767">
      <c r="A767" s="1">
        <f t="shared" si="1"/>
        <v>761</v>
      </c>
      <c r="B767" s="1" t="s">
        <v>1486</v>
      </c>
      <c r="C767" s="1" t="s">
        <v>1065</v>
      </c>
      <c r="D767" s="1" t="s">
        <v>31</v>
      </c>
      <c r="E767" s="1">
        <f t="shared" si="2"/>
        <v>24.75</v>
      </c>
      <c r="F767" s="1">
        <f t="shared" si="3"/>
        <v>2.75</v>
      </c>
      <c r="G767" s="1">
        <v>9.0</v>
      </c>
      <c r="H767" s="1">
        <v>1.0</v>
      </c>
      <c r="I767" s="1">
        <v>1.0</v>
      </c>
      <c r="J767" s="1">
        <v>2.0</v>
      </c>
      <c r="K767" s="1">
        <v>16.0</v>
      </c>
      <c r="L767" s="1">
        <v>0.0</v>
      </c>
      <c r="M767" s="1">
        <v>0.0</v>
      </c>
      <c r="N767" s="1">
        <v>1.0</v>
      </c>
      <c r="O767" s="1">
        <v>0.0</v>
      </c>
      <c r="P767" s="1">
        <v>13.0</v>
      </c>
      <c r="Q767" s="1">
        <v>8.0</v>
      </c>
    </row>
    <row r="768">
      <c r="A768" s="1">
        <f t="shared" si="1"/>
        <v>766</v>
      </c>
      <c r="B768" s="1" t="s">
        <v>2532</v>
      </c>
      <c r="C768" s="1" t="s">
        <v>1067</v>
      </c>
      <c r="D768" s="1" t="s">
        <v>66</v>
      </c>
      <c r="E768" s="1">
        <f t="shared" si="2"/>
        <v>24.5</v>
      </c>
      <c r="F768" s="1">
        <f t="shared" si="3"/>
        <v>2.04</v>
      </c>
      <c r="G768" s="1">
        <v>12.0</v>
      </c>
      <c r="H768" s="1">
        <v>0.0</v>
      </c>
      <c r="I768" s="1">
        <v>0.0</v>
      </c>
      <c r="J768" s="1">
        <v>0.0</v>
      </c>
      <c r="K768" s="1">
        <v>17.0</v>
      </c>
      <c r="L768" s="1">
        <v>0.0</v>
      </c>
      <c r="M768" s="1">
        <v>0.0</v>
      </c>
      <c r="N768" s="1">
        <v>0.0</v>
      </c>
      <c r="O768" s="1">
        <v>0.0</v>
      </c>
      <c r="P768" s="1">
        <v>24.0</v>
      </c>
      <c r="Q768" s="1">
        <v>20.0</v>
      </c>
    </row>
    <row r="769">
      <c r="A769" s="1">
        <f t="shared" si="1"/>
        <v>766</v>
      </c>
      <c r="B769" s="1" t="s">
        <v>2565</v>
      </c>
      <c r="C769" s="1" t="s">
        <v>1172</v>
      </c>
      <c r="D769" s="1" t="s">
        <v>31</v>
      </c>
      <c r="E769" s="1">
        <f t="shared" si="2"/>
        <v>24.5</v>
      </c>
      <c r="F769" s="1">
        <f t="shared" si="3"/>
        <v>1.53</v>
      </c>
      <c r="G769" s="1">
        <v>16.0</v>
      </c>
      <c r="H769" s="1">
        <v>0.0</v>
      </c>
      <c r="I769" s="1">
        <v>2.0</v>
      </c>
      <c r="J769" s="1">
        <v>2.0</v>
      </c>
      <c r="K769" s="1">
        <v>24.0</v>
      </c>
      <c r="L769" s="1">
        <v>0.0</v>
      </c>
      <c r="M769" s="1">
        <v>0.0</v>
      </c>
      <c r="N769" s="1">
        <v>0.0</v>
      </c>
      <c r="O769" s="1">
        <v>0.0</v>
      </c>
      <c r="P769" s="1">
        <v>16.0</v>
      </c>
      <c r="Q769" s="1">
        <v>5.0</v>
      </c>
    </row>
    <row r="770">
      <c r="A770" s="1">
        <f t="shared" si="1"/>
        <v>768</v>
      </c>
      <c r="B770" s="1" t="s">
        <v>2635</v>
      </c>
      <c r="C770" s="1" t="s">
        <v>1048</v>
      </c>
      <c r="D770" s="1" t="s">
        <v>31</v>
      </c>
      <c r="E770" s="1">
        <f t="shared" si="2"/>
        <v>24.25</v>
      </c>
      <c r="F770" s="1">
        <f t="shared" si="3"/>
        <v>2.69</v>
      </c>
      <c r="G770" s="1">
        <v>9.0</v>
      </c>
      <c r="H770" s="1">
        <v>2.0</v>
      </c>
      <c r="I770" s="1">
        <v>2.0</v>
      </c>
      <c r="J770" s="1">
        <v>4.0</v>
      </c>
      <c r="K770" s="1">
        <v>15.0</v>
      </c>
      <c r="L770" s="1">
        <v>0.0</v>
      </c>
      <c r="M770" s="1">
        <v>1.0</v>
      </c>
      <c r="N770" s="1">
        <v>0.0</v>
      </c>
      <c r="O770" s="1">
        <v>0.0</v>
      </c>
      <c r="P770" s="1">
        <v>1.0</v>
      </c>
      <c r="Q770" s="1">
        <v>3.0</v>
      </c>
    </row>
    <row r="771">
      <c r="A771" s="1">
        <f t="shared" si="1"/>
        <v>769</v>
      </c>
      <c r="B771" s="1" t="s">
        <v>2485</v>
      </c>
      <c r="C771" s="1" t="s">
        <v>1065</v>
      </c>
      <c r="D771" s="1" t="s">
        <v>66</v>
      </c>
      <c r="E771" s="1">
        <f t="shared" si="2"/>
        <v>23.5</v>
      </c>
      <c r="F771" s="1">
        <f t="shared" si="3"/>
        <v>2.14</v>
      </c>
      <c r="G771" s="1">
        <v>11.0</v>
      </c>
      <c r="H771" s="1">
        <v>1.0</v>
      </c>
      <c r="I771" s="1">
        <v>2.0</v>
      </c>
      <c r="J771" s="1">
        <v>3.0</v>
      </c>
      <c r="K771" s="1">
        <v>13.0</v>
      </c>
      <c r="L771" s="1">
        <v>0.0</v>
      </c>
      <c r="M771" s="1">
        <v>1.0</v>
      </c>
      <c r="N771" s="1">
        <v>0.0</v>
      </c>
      <c r="O771" s="1">
        <v>0.0</v>
      </c>
      <c r="P771" s="1">
        <v>2.0</v>
      </c>
      <c r="Q771" s="1">
        <v>12.0</v>
      </c>
    </row>
    <row r="772">
      <c r="A772" s="1">
        <f t="shared" si="1"/>
        <v>769</v>
      </c>
      <c r="B772" s="1" t="s">
        <v>2527</v>
      </c>
      <c r="C772" s="1" t="s">
        <v>1097</v>
      </c>
      <c r="D772" s="1" t="s">
        <v>66</v>
      </c>
      <c r="E772" s="1">
        <f t="shared" si="2"/>
        <v>23.5</v>
      </c>
      <c r="F772" s="1">
        <f t="shared" si="3"/>
        <v>1.96</v>
      </c>
      <c r="G772" s="1">
        <v>12.0</v>
      </c>
      <c r="H772" s="1">
        <v>0.0</v>
      </c>
      <c r="I772" s="1">
        <v>2.0</v>
      </c>
      <c r="J772" s="1">
        <v>2.0</v>
      </c>
      <c r="K772" s="1">
        <v>8.0</v>
      </c>
      <c r="L772" s="1">
        <v>0.0</v>
      </c>
      <c r="M772" s="1">
        <v>0.0</v>
      </c>
      <c r="N772" s="1">
        <v>0.0</v>
      </c>
      <c r="O772" s="1">
        <v>0.0</v>
      </c>
      <c r="P772" s="1">
        <v>24.0</v>
      </c>
      <c r="Q772" s="1">
        <v>15.0</v>
      </c>
    </row>
    <row r="773">
      <c r="A773" s="1">
        <f t="shared" si="1"/>
        <v>771</v>
      </c>
      <c r="B773" s="1" t="s">
        <v>1251</v>
      </c>
      <c r="C773" s="1" t="s">
        <v>1097</v>
      </c>
      <c r="D773" s="1" t="s">
        <v>5</v>
      </c>
      <c r="E773" s="1">
        <f t="shared" si="2"/>
        <v>23.4</v>
      </c>
      <c r="F773" s="1">
        <f t="shared" si="3"/>
        <v>3.9</v>
      </c>
      <c r="G773" s="1">
        <v>6.0</v>
      </c>
      <c r="R773" s="1">
        <v>2.0</v>
      </c>
      <c r="S773" s="1">
        <v>20.0</v>
      </c>
      <c r="T773" s="1">
        <v>158.0</v>
      </c>
      <c r="U773" s="1">
        <v>0.0</v>
      </c>
    </row>
    <row r="774">
      <c r="A774" s="1">
        <f t="shared" si="1"/>
        <v>772</v>
      </c>
      <c r="B774" s="1" t="s">
        <v>2373</v>
      </c>
      <c r="C774" s="1" t="s">
        <v>1044</v>
      </c>
      <c r="D774" s="1" t="s">
        <v>66</v>
      </c>
      <c r="E774" s="1">
        <f t="shared" si="2"/>
        <v>23</v>
      </c>
      <c r="F774" s="1">
        <f t="shared" si="3"/>
        <v>1.77</v>
      </c>
      <c r="G774" s="1">
        <v>13.0</v>
      </c>
      <c r="H774" s="1">
        <v>0.0</v>
      </c>
      <c r="I774" s="1">
        <v>3.0</v>
      </c>
      <c r="J774" s="1">
        <v>3.0</v>
      </c>
      <c r="K774" s="1">
        <v>5.0</v>
      </c>
      <c r="L774" s="1">
        <v>0.0</v>
      </c>
      <c r="M774" s="1">
        <v>0.0</v>
      </c>
      <c r="N774" s="1">
        <v>0.0</v>
      </c>
      <c r="O774" s="1">
        <v>1.0</v>
      </c>
      <c r="P774" s="1">
        <v>14.0</v>
      </c>
      <c r="Q774" s="1">
        <v>12.0</v>
      </c>
    </row>
    <row r="775">
      <c r="A775" s="1">
        <f t="shared" si="1"/>
        <v>773</v>
      </c>
      <c r="B775" s="1" t="s">
        <v>2312</v>
      </c>
      <c r="C775" s="1" t="s">
        <v>1054</v>
      </c>
      <c r="D775" s="1" t="s">
        <v>31</v>
      </c>
      <c r="E775" s="1">
        <f t="shared" si="2"/>
        <v>22.75</v>
      </c>
      <c r="F775" s="1">
        <f t="shared" si="3"/>
        <v>1.75</v>
      </c>
      <c r="G775" s="1">
        <v>13.0</v>
      </c>
      <c r="H775" s="1">
        <v>2.0</v>
      </c>
      <c r="I775" s="1">
        <v>0.0</v>
      </c>
      <c r="J775" s="1">
        <v>2.0</v>
      </c>
      <c r="K775" s="1">
        <v>16.0</v>
      </c>
      <c r="L775" s="1">
        <v>0.0</v>
      </c>
      <c r="M775" s="1">
        <v>0.0</v>
      </c>
      <c r="N775" s="1">
        <v>0.0</v>
      </c>
      <c r="O775" s="1">
        <v>0.0</v>
      </c>
      <c r="P775" s="1">
        <v>11.0</v>
      </c>
      <c r="Q775" s="1">
        <v>6.0</v>
      </c>
    </row>
    <row r="776">
      <c r="A776" s="1">
        <f t="shared" si="1"/>
        <v>773</v>
      </c>
      <c r="B776" s="1" t="s">
        <v>2566</v>
      </c>
      <c r="C776" s="1" t="s">
        <v>1111</v>
      </c>
      <c r="D776" s="1" t="s">
        <v>66</v>
      </c>
      <c r="E776" s="1">
        <f t="shared" si="2"/>
        <v>22.75</v>
      </c>
      <c r="F776" s="1">
        <f t="shared" si="3"/>
        <v>0.95</v>
      </c>
      <c r="G776" s="1">
        <v>24.0</v>
      </c>
      <c r="H776" s="1">
        <v>0.0</v>
      </c>
      <c r="I776" s="1">
        <v>1.0</v>
      </c>
      <c r="J776" s="1">
        <v>1.0</v>
      </c>
      <c r="K776" s="1">
        <v>11.0</v>
      </c>
      <c r="L776" s="1">
        <v>0.0</v>
      </c>
      <c r="M776" s="1">
        <v>0.0</v>
      </c>
      <c r="N776" s="1">
        <v>0.0</v>
      </c>
      <c r="O776" s="1">
        <v>0.0</v>
      </c>
      <c r="P776" s="1">
        <v>17.0</v>
      </c>
      <c r="Q776" s="1">
        <v>20.0</v>
      </c>
    </row>
    <row r="777">
      <c r="A777" s="1">
        <f t="shared" si="1"/>
        <v>775</v>
      </c>
      <c r="B777" s="1" t="s">
        <v>2142</v>
      </c>
      <c r="C777" s="1" t="s">
        <v>1087</v>
      </c>
      <c r="D777" s="1" t="s">
        <v>28</v>
      </c>
      <c r="E777" s="1">
        <f t="shared" si="2"/>
        <v>22.5</v>
      </c>
      <c r="F777" s="1">
        <f t="shared" si="3"/>
        <v>2.81</v>
      </c>
      <c r="G777" s="1">
        <v>8.0</v>
      </c>
      <c r="H777" s="1">
        <v>2.0</v>
      </c>
      <c r="I777" s="1">
        <v>1.0</v>
      </c>
      <c r="J777" s="1">
        <v>3.0</v>
      </c>
      <c r="K777" s="1">
        <v>11.0</v>
      </c>
      <c r="L777" s="1">
        <v>0.0</v>
      </c>
      <c r="M777" s="1">
        <v>0.0</v>
      </c>
      <c r="N777" s="1">
        <v>0.0</v>
      </c>
      <c r="O777" s="1">
        <v>0.0</v>
      </c>
      <c r="P777" s="1">
        <v>12.0</v>
      </c>
      <c r="Q777" s="1">
        <v>4.0</v>
      </c>
    </row>
    <row r="778">
      <c r="A778" s="1">
        <f t="shared" si="1"/>
        <v>776</v>
      </c>
      <c r="B778" s="1" t="s">
        <v>1720</v>
      </c>
      <c r="C778" s="1" t="s">
        <v>1065</v>
      </c>
      <c r="D778" s="1" t="s">
        <v>28</v>
      </c>
      <c r="E778" s="1">
        <f t="shared" si="2"/>
        <v>22.25</v>
      </c>
      <c r="F778" s="1">
        <f t="shared" si="3"/>
        <v>1.48</v>
      </c>
      <c r="G778" s="1">
        <v>15.0</v>
      </c>
      <c r="H778" s="1">
        <v>0.0</v>
      </c>
      <c r="I778" s="1">
        <v>4.0</v>
      </c>
      <c r="J778" s="1">
        <v>4.0</v>
      </c>
      <c r="K778" s="1">
        <v>10.0</v>
      </c>
      <c r="L778" s="1">
        <v>0.0</v>
      </c>
      <c r="M778" s="1">
        <v>1.0</v>
      </c>
      <c r="N778" s="1">
        <v>0.0</v>
      </c>
      <c r="O778" s="1">
        <v>0.0</v>
      </c>
      <c r="P778" s="1">
        <v>5.0</v>
      </c>
      <c r="Q778" s="1">
        <v>8.0</v>
      </c>
    </row>
    <row r="779">
      <c r="A779" s="1">
        <f t="shared" si="1"/>
        <v>776</v>
      </c>
      <c r="B779" s="1" t="s">
        <v>1931</v>
      </c>
      <c r="C779" s="1" t="s">
        <v>1032</v>
      </c>
      <c r="D779" s="1" t="s">
        <v>31</v>
      </c>
      <c r="E779" s="1">
        <f t="shared" si="2"/>
        <v>22.25</v>
      </c>
      <c r="F779" s="1">
        <f t="shared" si="3"/>
        <v>1.39</v>
      </c>
      <c r="G779" s="1">
        <v>16.0</v>
      </c>
      <c r="H779" s="1">
        <v>0.0</v>
      </c>
      <c r="I779" s="1">
        <v>3.0</v>
      </c>
      <c r="J779" s="1">
        <v>3.0</v>
      </c>
      <c r="K779" s="1">
        <v>19.0</v>
      </c>
      <c r="L779" s="1">
        <v>0.0</v>
      </c>
      <c r="M779" s="1">
        <v>0.0</v>
      </c>
      <c r="N779" s="1">
        <v>0.0</v>
      </c>
      <c r="O779" s="1">
        <v>0.0</v>
      </c>
      <c r="P779" s="1">
        <v>7.0</v>
      </c>
      <c r="Q779" s="1">
        <v>4.0</v>
      </c>
    </row>
    <row r="780">
      <c r="A780" s="1">
        <f t="shared" si="1"/>
        <v>778</v>
      </c>
      <c r="B780" s="1" t="s">
        <v>1745</v>
      </c>
      <c r="C780" s="1" t="s">
        <v>1040</v>
      </c>
      <c r="D780" s="1" t="s">
        <v>36</v>
      </c>
      <c r="E780" s="1">
        <f t="shared" si="2"/>
        <v>21.25</v>
      </c>
      <c r="F780" s="1">
        <f t="shared" si="3"/>
        <v>1.25</v>
      </c>
      <c r="G780" s="1">
        <v>17.0</v>
      </c>
      <c r="H780" s="1">
        <v>0.0</v>
      </c>
      <c r="I780" s="1">
        <v>3.0</v>
      </c>
      <c r="J780" s="1">
        <v>3.0</v>
      </c>
      <c r="K780" s="1">
        <v>10.0</v>
      </c>
      <c r="L780" s="1">
        <v>0.0</v>
      </c>
      <c r="M780" s="1">
        <v>0.0</v>
      </c>
      <c r="N780" s="1">
        <v>0.0</v>
      </c>
      <c r="O780" s="1">
        <v>0.0</v>
      </c>
      <c r="P780" s="1">
        <v>15.0</v>
      </c>
      <c r="Q780" s="1">
        <v>7.0</v>
      </c>
    </row>
    <row r="781">
      <c r="A781" s="1">
        <f t="shared" si="1"/>
        <v>779</v>
      </c>
      <c r="B781" s="1" t="s">
        <v>2636</v>
      </c>
      <c r="C781" s="1" t="s">
        <v>1570</v>
      </c>
      <c r="D781" s="1" t="s">
        <v>28</v>
      </c>
      <c r="E781" s="1">
        <f t="shared" si="2"/>
        <v>21</v>
      </c>
      <c r="F781" s="1">
        <f t="shared" si="3"/>
        <v>2.33</v>
      </c>
      <c r="G781" s="1">
        <v>9.0</v>
      </c>
      <c r="H781" s="1">
        <v>0.0</v>
      </c>
      <c r="I781" s="1">
        <v>4.0</v>
      </c>
      <c r="J781" s="1">
        <v>4.0</v>
      </c>
      <c r="K781" s="1">
        <v>12.0</v>
      </c>
      <c r="L781" s="1">
        <v>0.0</v>
      </c>
      <c r="M781" s="1">
        <v>0.0</v>
      </c>
      <c r="N781" s="1">
        <v>0.0</v>
      </c>
      <c r="O781" s="1">
        <v>0.0</v>
      </c>
      <c r="P781" s="1">
        <v>8.0</v>
      </c>
      <c r="Q781" s="1">
        <v>2.0</v>
      </c>
    </row>
    <row r="782">
      <c r="A782" s="1">
        <f t="shared" si="1"/>
        <v>779</v>
      </c>
      <c r="B782" s="1" t="s">
        <v>2637</v>
      </c>
      <c r="C782" s="1" t="s">
        <v>1570</v>
      </c>
      <c r="D782" s="1" t="s">
        <v>66</v>
      </c>
      <c r="E782" s="1">
        <f t="shared" si="2"/>
        <v>21</v>
      </c>
      <c r="F782" s="1">
        <f t="shared" si="3"/>
        <v>1.62</v>
      </c>
      <c r="G782" s="1">
        <v>13.0</v>
      </c>
      <c r="H782" s="1">
        <v>0.0</v>
      </c>
      <c r="I782" s="1">
        <v>2.0</v>
      </c>
      <c r="J782" s="1">
        <v>2.0</v>
      </c>
      <c r="K782" s="1">
        <v>17.0</v>
      </c>
      <c r="L782" s="1">
        <v>0.0</v>
      </c>
      <c r="M782" s="1">
        <v>0.0</v>
      </c>
      <c r="N782" s="1">
        <v>0.0</v>
      </c>
      <c r="O782" s="1">
        <v>0.0</v>
      </c>
      <c r="P782" s="1">
        <v>6.0</v>
      </c>
      <c r="Q782" s="1">
        <v>10.0</v>
      </c>
    </row>
    <row r="783">
      <c r="A783" s="1">
        <f t="shared" si="1"/>
        <v>779</v>
      </c>
      <c r="B783" s="1" t="s">
        <v>2638</v>
      </c>
      <c r="C783" s="1" t="s">
        <v>1570</v>
      </c>
      <c r="D783" s="1" t="s">
        <v>66</v>
      </c>
      <c r="E783" s="1">
        <f t="shared" si="2"/>
        <v>21</v>
      </c>
      <c r="F783" s="1">
        <f t="shared" si="3"/>
        <v>1.17</v>
      </c>
      <c r="G783" s="1">
        <v>18.0</v>
      </c>
      <c r="H783" s="1">
        <v>0.0</v>
      </c>
      <c r="I783" s="1">
        <v>0.0</v>
      </c>
      <c r="J783" s="1">
        <v>0.0</v>
      </c>
      <c r="K783" s="1">
        <v>16.0</v>
      </c>
      <c r="L783" s="1">
        <v>0.0</v>
      </c>
      <c r="M783" s="1">
        <v>0.0</v>
      </c>
      <c r="N783" s="1">
        <v>0.0</v>
      </c>
      <c r="O783" s="1">
        <v>0.0</v>
      </c>
      <c r="P783" s="1">
        <v>24.0</v>
      </c>
      <c r="Q783" s="1">
        <v>14.0</v>
      </c>
    </row>
    <row r="784">
      <c r="A784" s="1">
        <f t="shared" si="1"/>
        <v>779</v>
      </c>
      <c r="B784" s="1" t="s">
        <v>2553</v>
      </c>
      <c r="C784" s="1" t="s">
        <v>1570</v>
      </c>
      <c r="D784" s="1" t="s">
        <v>28</v>
      </c>
      <c r="E784" s="1">
        <f t="shared" si="2"/>
        <v>21</v>
      </c>
      <c r="F784" s="1">
        <f t="shared" si="3"/>
        <v>0.95</v>
      </c>
      <c r="G784" s="1">
        <v>22.0</v>
      </c>
      <c r="H784" s="1">
        <v>1.0</v>
      </c>
      <c r="I784" s="1">
        <v>0.0</v>
      </c>
      <c r="J784" s="1">
        <v>1.0</v>
      </c>
      <c r="K784" s="1">
        <v>9.0</v>
      </c>
      <c r="L784" s="1">
        <v>0.0</v>
      </c>
      <c r="M784" s="1">
        <v>0.0</v>
      </c>
      <c r="N784" s="1">
        <v>0.0</v>
      </c>
      <c r="O784" s="1">
        <v>0.0</v>
      </c>
      <c r="P784" s="1">
        <v>36.0</v>
      </c>
      <c r="Q784" s="1">
        <v>6.0</v>
      </c>
    </row>
    <row r="785">
      <c r="A785" s="1">
        <f t="shared" si="1"/>
        <v>783</v>
      </c>
      <c r="B785" s="1" t="s">
        <v>1275</v>
      </c>
      <c r="C785" s="1" t="s">
        <v>1073</v>
      </c>
      <c r="D785" s="1" t="s">
        <v>31</v>
      </c>
      <c r="E785" s="1">
        <f t="shared" si="2"/>
        <v>20.75</v>
      </c>
      <c r="F785" s="1">
        <f t="shared" si="3"/>
        <v>10.38</v>
      </c>
      <c r="G785" s="1">
        <v>2.0</v>
      </c>
      <c r="H785" s="1">
        <v>3.0</v>
      </c>
      <c r="I785" s="1">
        <v>1.0</v>
      </c>
      <c r="J785" s="1">
        <v>4.0</v>
      </c>
      <c r="K785" s="1">
        <v>4.0</v>
      </c>
      <c r="L785" s="1">
        <v>0.0</v>
      </c>
      <c r="M785" s="1">
        <v>0.0</v>
      </c>
      <c r="N785" s="1">
        <v>0.0</v>
      </c>
      <c r="O785" s="1">
        <v>0.0</v>
      </c>
      <c r="P785" s="1">
        <v>1.0</v>
      </c>
      <c r="Q785" s="1">
        <v>4.0</v>
      </c>
    </row>
    <row r="786">
      <c r="A786" s="1">
        <f t="shared" si="1"/>
        <v>783</v>
      </c>
      <c r="B786" s="1" t="s">
        <v>2137</v>
      </c>
      <c r="C786" s="1" t="s">
        <v>1030</v>
      </c>
      <c r="D786" s="1" t="s">
        <v>36</v>
      </c>
      <c r="E786" s="1">
        <f t="shared" si="2"/>
        <v>20.75</v>
      </c>
      <c r="F786" s="1">
        <f t="shared" si="3"/>
        <v>2.31</v>
      </c>
      <c r="G786" s="1">
        <v>9.0</v>
      </c>
      <c r="H786" s="1">
        <v>2.0</v>
      </c>
      <c r="I786" s="1">
        <v>1.0</v>
      </c>
      <c r="J786" s="1">
        <v>3.0</v>
      </c>
      <c r="K786" s="1">
        <v>13.0</v>
      </c>
      <c r="L786" s="1">
        <v>1.0</v>
      </c>
      <c r="M786" s="1">
        <v>0.0</v>
      </c>
      <c r="N786" s="1">
        <v>0.0</v>
      </c>
      <c r="O786" s="1">
        <v>0.0</v>
      </c>
      <c r="P786" s="1">
        <v>9.0</v>
      </c>
      <c r="Q786" s="1">
        <v>0.0</v>
      </c>
    </row>
    <row r="787">
      <c r="A787" s="1">
        <f t="shared" si="1"/>
        <v>783</v>
      </c>
      <c r="B787" s="1" t="s">
        <v>1344</v>
      </c>
      <c r="C787" s="1" t="s">
        <v>1172</v>
      </c>
      <c r="D787" s="1" t="s">
        <v>66</v>
      </c>
      <c r="E787" s="1">
        <f t="shared" si="2"/>
        <v>20.75</v>
      </c>
      <c r="F787" s="1">
        <f t="shared" si="3"/>
        <v>1.73</v>
      </c>
      <c r="G787" s="1">
        <v>12.0</v>
      </c>
      <c r="H787" s="1">
        <v>0.0</v>
      </c>
      <c r="I787" s="1">
        <v>1.0</v>
      </c>
      <c r="J787" s="1">
        <v>1.0</v>
      </c>
      <c r="K787" s="1">
        <v>5.0</v>
      </c>
      <c r="L787" s="1">
        <v>0.0</v>
      </c>
      <c r="M787" s="1">
        <v>0.0</v>
      </c>
      <c r="N787" s="1">
        <v>0.0</v>
      </c>
      <c r="O787" s="1">
        <v>0.0</v>
      </c>
      <c r="P787" s="1">
        <v>19.0</v>
      </c>
      <c r="Q787" s="1">
        <v>21.0</v>
      </c>
    </row>
    <row r="788">
      <c r="A788" s="1">
        <f t="shared" si="1"/>
        <v>786</v>
      </c>
      <c r="B788" s="1" t="s">
        <v>2639</v>
      </c>
      <c r="C788" s="1" t="s">
        <v>1091</v>
      </c>
      <c r="D788" s="1" t="s">
        <v>31</v>
      </c>
      <c r="E788" s="1">
        <f t="shared" si="2"/>
        <v>20.5</v>
      </c>
      <c r="F788" s="1">
        <f t="shared" si="3"/>
        <v>1.03</v>
      </c>
      <c r="G788" s="1">
        <v>20.0</v>
      </c>
      <c r="H788" s="1">
        <v>1.0</v>
      </c>
      <c r="I788" s="1">
        <v>2.0</v>
      </c>
      <c r="J788" s="1">
        <v>3.0</v>
      </c>
      <c r="K788" s="1">
        <v>15.0</v>
      </c>
      <c r="L788" s="1">
        <v>0.0</v>
      </c>
      <c r="M788" s="1">
        <v>0.0</v>
      </c>
      <c r="N788" s="1">
        <v>0.0</v>
      </c>
      <c r="O788" s="1">
        <v>0.0</v>
      </c>
      <c r="P788" s="1">
        <v>4.0</v>
      </c>
      <c r="Q788" s="1">
        <v>3.0</v>
      </c>
    </row>
    <row r="789">
      <c r="A789" s="1">
        <f t="shared" si="1"/>
        <v>787</v>
      </c>
      <c r="B789" s="1" t="s">
        <v>2640</v>
      </c>
      <c r="C789" s="1" t="s">
        <v>1038</v>
      </c>
      <c r="D789" s="1" t="s">
        <v>66</v>
      </c>
      <c r="E789" s="1">
        <f t="shared" si="2"/>
        <v>20.25</v>
      </c>
      <c r="F789" s="1">
        <f t="shared" si="3"/>
        <v>2.03</v>
      </c>
      <c r="G789" s="1">
        <v>10.0</v>
      </c>
      <c r="H789" s="1">
        <v>0.0</v>
      </c>
      <c r="I789" s="1">
        <v>2.0</v>
      </c>
      <c r="J789" s="1">
        <v>2.0</v>
      </c>
      <c r="K789" s="1">
        <v>13.0</v>
      </c>
      <c r="L789" s="1">
        <v>0.0</v>
      </c>
      <c r="M789" s="1">
        <v>2.0</v>
      </c>
      <c r="N789" s="1">
        <v>0.0</v>
      </c>
      <c r="O789" s="1">
        <v>0.0</v>
      </c>
      <c r="P789" s="1">
        <v>15.0</v>
      </c>
      <c r="Q789" s="1">
        <v>8.0</v>
      </c>
    </row>
    <row r="790">
      <c r="A790" s="1">
        <f t="shared" si="1"/>
        <v>787</v>
      </c>
      <c r="B790" s="1" t="s">
        <v>1958</v>
      </c>
      <c r="C790" s="1" t="s">
        <v>1032</v>
      </c>
      <c r="D790" s="1" t="s">
        <v>66</v>
      </c>
      <c r="E790" s="1">
        <f t="shared" si="2"/>
        <v>20.25</v>
      </c>
      <c r="F790" s="1">
        <f t="shared" si="3"/>
        <v>1.69</v>
      </c>
      <c r="G790" s="1">
        <v>12.0</v>
      </c>
      <c r="H790" s="1">
        <v>0.0</v>
      </c>
      <c r="I790" s="1">
        <v>3.0</v>
      </c>
      <c r="J790" s="1">
        <v>3.0</v>
      </c>
      <c r="K790" s="1">
        <v>14.0</v>
      </c>
      <c r="L790" s="1">
        <v>0.0</v>
      </c>
      <c r="M790" s="1">
        <v>0.0</v>
      </c>
      <c r="N790" s="1">
        <v>0.0</v>
      </c>
      <c r="O790" s="1">
        <v>0.0</v>
      </c>
      <c r="P790" s="1">
        <v>3.0</v>
      </c>
      <c r="Q790" s="1">
        <v>7.0</v>
      </c>
    </row>
    <row r="791">
      <c r="A791" s="1">
        <f t="shared" si="1"/>
        <v>789</v>
      </c>
      <c r="B791" s="1" t="s">
        <v>2502</v>
      </c>
      <c r="C791" s="1" t="s">
        <v>1085</v>
      </c>
      <c r="D791" s="1" t="s">
        <v>36</v>
      </c>
      <c r="E791" s="1">
        <f t="shared" si="2"/>
        <v>19.75</v>
      </c>
      <c r="F791" s="1">
        <f t="shared" si="3"/>
        <v>1.65</v>
      </c>
      <c r="G791" s="1">
        <v>12.0</v>
      </c>
      <c r="H791" s="1">
        <v>1.0</v>
      </c>
      <c r="I791" s="1">
        <v>1.0</v>
      </c>
      <c r="J791" s="1">
        <v>2.0</v>
      </c>
      <c r="K791" s="1">
        <v>13.0</v>
      </c>
      <c r="L791" s="1">
        <v>0.0</v>
      </c>
      <c r="M791" s="1">
        <v>0.0</v>
      </c>
      <c r="N791" s="1">
        <v>0.0</v>
      </c>
      <c r="O791" s="1">
        <v>0.0</v>
      </c>
      <c r="P791" s="1">
        <v>17.0</v>
      </c>
      <c r="Q791" s="1">
        <v>3.0</v>
      </c>
    </row>
    <row r="792">
      <c r="A792" s="1">
        <f t="shared" si="1"/>
        <v>789</v>
      </c>
      <c r="B792" s="1" t="s">
        <v>1701</v>
      </c>
      <c r="C792" s="1" t="s">
        <v>1120</v>
      </c>
      <c r="D792" s="1" t="s">
        <v>66</v>
      </c>
      <c r="E792" s="1">
        <f t="shared" si="2"/>
        <v>19.75</v>
      </c>
      <c r="F792" s="1">
        <f t="shared" si="3"/>
        <v>1.23</v>
      </c>
      <c r="G792" s="1">
        <v>16.0</v>
      </c>
      <c r="H792" s="1">
        <v>0.0</v>
      </c>
      <c r="I792" s="1">
        <v>1.0</v>
      </c>
      <c r="J792" s="1">
        <v>1.0</v>
      </c>
      <c r="K792" s="1">
        <v>9.0</v>
      </c>
      <c r="L792" s="1">
        <v>0.0</v>
      </c>
      <c r="M792" s="1">
        <v>1.0</v>
      </c>
      <c r="N792" s="1">
        <v>0.0</v>
      </c>
      <c r="O792" s="1">
        <v>0.0</v>
      </c>
      <c r="P792" s="1">
        <v>19.0</v>
      </c>
      <c r="Q792" s="1">
        <v>15.0</v>
      </c>
    </row>
    <row r="793">
      <c r="A793" s="1">
        <f t="shared" si="1"/>
        <v>791</v>
      </c>
      <c r="B793" s="1" t="s">
        <v>1665</v>
      </c>
      <c r="C793" s="1" t="s">
        <v>1067</v>
      </c>
      <c r="D793" s="1" t="s">
        <v>5</v>
      </c>
      <c r="E793" s="1">
        <f t="shared" si="2"/>
        <v>19.5</v>
      </c>
      <c r="F793" s="1">
        <f t="shared" si="3"/>
        <v>3.25</v>
      </c>
      <c r="G793" s="1">
        <v>6.0</v>
      </c>
      <c r="R793" s="1">
        <v>1.0</v>
      </c>
      <c r="S793" s="1">
        <v>16.0</v>
      </c>
      <c r="T793" s="1">
        <v>135.0</v>
      </c>
      <c r="U793" s="1">
        <v>0.0</v>
      </c>
    </row>
    <row r="794">
      <c r="A794" s="1">
        <f t="shared" si="1"/>
        <v>791</v>
      </c>
      <c r="B794" s="1" t="s">
        <v>1352</v>
      </c>
      <c r="C794" s="1" t="s">
        <v>1030</v>
      </c>
      <c r="D794" s="1" t="s">
        <v>28</v>
      </c>
      <c r="E794" s="1">
        <f t="shared" si="2"/>
        <v>19.5</v>
      </c>
      <c r="F794" s="1">
        <f t="shared" si="3"/>
        <v>1.95</v>
      </c>
      <c r="G794" s="1">
        <v>10.0</v>
      </c>
      <c r="H794" s="1">
        <v>0.0</v>
      </c>
      <c r="I794" s="1">
        <v>1.0</v>
      </c>
      <c r="J794" s="1">
        <v>1.0</v>
      </c>
      <c r="K794" s="1">
        <v>17.0</v>
      </c>
      <c r="L794" s="1">
        <v>0.0</v>
      </c>
      <c r="M794" s="1">
        <v>0.0</v>
      </c>
      <c r="N794" s="1">
        <v>0.0</v>
      </c>
      <c r="O794" s="1">
        <v>0.0</v>
      </c>
      <c r="P794" s="1">
        <v>24.0</v>
      </c>
      <c r="Q794" s="1">
        <v>4.0</v>
      </c>
    </row>
    <row r="795">
      <c r="A795" s="1">
        <f t="shared" si="1"/>
        <v>791</v>
      </c>
      <c r="B795" s="1" t="s">
        <v>2641</v>
      </c>
      <c r="C795" s="1" t="s">
        <v>1570</v>
      </c>
      <c r="D795" s="1" t="s">
        <v>36</v>
      </c>
      <c r="E795" s="1">
        <f t="shared" si="2"/>
        <v>19.5</v>
      </c>
      <c r="F795" s="1">
        <f t="shared" si="3"/>
        <v>1.5</v>
      </c>
      <c r="G795" s="1">
        <v>13.0</v>
      </c>
      <c r="H795" s="1">
        <v>1.0</v>
      </c>
      <c r="I795" s="1">
        <v>0.0</v>
      </c>
      <c r="J795" s="1">
        <v>1.0</v>
      </c>
      <c r="K795" s="1">
        <v>12.0</v>
      </c>
      <c r="L795" s="1">
        <v>0.0</v>
      </c>
      <c r="M795" s="1">
        <v>0.0</v>
      </c>
      <c r="N795" s="1">
        <v>0.0</v>
      </c>
      <c r="O795" s="1">
        <v>0.0</v>
      </c>
      <c r="P795" s="1">
        <v>24.0</v>
      </c>
      <c r="Q795" s="1">
        <v>6.0</v>
      </c>
    </row>
    <row r="796">
      <c r="A796" s="1">
        <f t="shared" si="1"/>
        <v>794</v>
      </c>
      <c r="B796" s="1" t="s">
        <v>1573</v>
      </c>
      <c r="C796" s="1" t="s">
        <v>1076</v>
      </c>
      <c r="D796" s="1" t="s">
        <v>31</v>
      </c>
      <c r="E796" s="1">
        <f t="shared" si="2"/>
        <v>19.25</v>
      </c>
      <c r="F796" s="1">
        <f t="shared" si="3"/>
        <v>1.6</v>
      </c>
      <c r="G796" s="1">
        <v>12.0</v>
      </c>
      <c r="H796" s="1">
        <v>0.0</v>
      </c>
      <c r="I796" s="1">
        <v>2.0</v>
      </c>
      <c r="J796" s="1">
        <v>2.0</v>
      </c>
      <c r="K796" s="1">
        <v>11.0</v>
      </c>
      <c r="L796" s="1">
        <v>0.0</v>
      </c>
      <c r="M796" s="1">
        <v>0.0</v>
      </c>
      <c r="N796" s="1">
        <v>0.0</v>
      </c>
      <c r="O796" s="1">
        <v>0.0</v>
      </c>
      <c r="P796" s="1">
        <v>19.0</v>
      </c>
      <c r="Q796" s="1">
        <v>6.0</v>
      </c>
    </row>
    <row r="797">
      <c r="A797" s="1">
        <f t="shared" si="1"/>
        <v>795</v>
      </c>
      <c r="B797" s="1" t="s">
        <v>2642</v>
      </c>
      <c r="C797" s="1" t="s">
        <v>1120</v>
      </c>
      <c r="D797" s="1" t="s">
        <v>66</v>
      </c>
      <c r="E797" s="1">
        <f t="shared" si="2"/>
        <v>19</v>
      </c>
      <c r="F797" s="1">
        <f t="shared" si="3"/>
        <v>3.17</v>
      </c>
      <c r="G797" s="1">
        <v>6.0</v>
      </c>
      <c r="H797" s="1">
        <v>0.0</v>
      </c>
      <c r="I797" s="1">
        <v>2.0</v>
      </c>
      <c r="J797" s="1">
        <v>2.0</v>
      </c>
      <c r="K797" s="1">
        <v>6.0</v>
      </c>
      <c r="L797" s="1">
        <v>0.0</v>
      </c>
      <c r="M797" s="1">
        <v>0.0</v>
      </c>
      <c r="N797" s="1">
        <v>0.0</v>
      </c>
      <c r="O797" s="1">
        <v>0.0</v>
      </c>
      <c r="P797" s="1">
        <v>14.0</v>
      </c>
      <c r="Q797" s="1">
        <v>13.0</v>
      </c>
    </row>
    <row r="798">
      <c r="A798" s="1">
        <f t="shared" si="1"/>
        <v>796</v>
      </c>
      <c r="B798" s="1" t="s">
        <v>2525</v>
      </c>
      <c r="C798" s="1" t="s">
        <v>1156</v>
      </c>
      <c r="D798" s="1" t="s">
        <v>5</v>
      </c>
      <c r="E798" s="1">
        <f t="shared" si="2"/>
        <v>18.9</v>
      </c>
      <c r="F798" s="1">
        <f t="shared" si="3"/>
        <v>3.15</v>
      </c>
      <c r="G798" s="1">
        <v>6.0</v>
      </c>
      <c r="R798" s="1">
        <v>1.0</v>
      </c>
      <c r="S798" s="1">
        <v>14.0</v>
      </c>
      <c r="T798" s="1">
        <v>123.0</v>
      </c>
      <c r="U798" s="1">
        <v>0.0</v>
      </c>
    </row>
    <row r="799">
      <c r="A799" s="1">
        <f t="shared" si="1"/>
        <v>797</v>
      </c>
      <c r="B799" s="1" t="s">
        <v>1322</v>
      </c>
      <c r="C799" s="1" t="s">
        <v>1082</v>
      </c>
      <c r="D799" s="1" t="s">
        <v>36</v>
      </c>
      <c r="E799" s="1">
        <f t="shared" si="2"/>
        <v>18.5</v>
      </c>
      <c r="F799" s="1">
        <f t="shared" si="3"/>
        <v>2.31</v>
      </c>
      <c r="G799" s="1">
        <v>8.0</v>
      </c>
      <c r="H799" s="1">
        <v>1.0</v>
      </c>
      <c r="I799" s="1">
        <v>1.0</v>
      </c>
      <c r="J799" s="1">
        <v>2.0</v>
      </c>
      <c r="K799" s="1">
        <v>17.0</v>
      </c>
      <c r="L799" s="1">
        <v>1.0</v>
      </c>
      <c r="M799" s="1">
        <v>0.0</v>
      </c>
      <c r="N799" s="1">
        <v>0.0</v>
      </c>
      <c r="O799" s="1">
        <v>0.0</v>
      </c>
      <c r="P799" s="1">
        <v>4.0</v>
      </c>
      <c r="Q799" s="1">
        <v>3.0</v>
      </c>
    </row>
    <row r="800">
      <c r="A800" s="1">
        <f t="shared" si="1"/>
        <v>797</v>
      </c>
      <c r="B800" s="1" t="s">
        <v>2259</v>
      </c>
      <c r="C800" s="1" t="s">
        <v>1078</v>
      </c>
      <c r="D800" s="1" t="s">
        <v>28</v>
      </c>
      <c r="E800" s="1">
        <f t="shared" si="2"/>
        <v>18.5</v>
      </c>
      <c r="F800" s="1">
        <f t="shared" si="3"/>
        <v>1.09</v>
      </c>
      <c r="G800" s="1">
        <v>17.0</v>
      </c>
      <c r="H800" s="1">
        <v>0.0</v>
      </c>
      <c r="I800" s="1">
        <v>1.0</v>
      </c>
      <c r="J800" s="1">
        <v>1.0</v>
      </c>
      <c r="K800" s="1">
        <v>13.0</v>
      </c>
      <c r="L800" s="1">
        <v>0.0</v>
      </c>
      <c r="M800" s="1">
        <v>0.0</v>
      </c>
      <c r="N800" s="1">
        <v>0.0</v>
      </c>
      <c r="O800" s="1">
        <v>0.0</v>
      </c>
      <c r="P800" s="1">
        <v>20.0</v>
      </c>
      <c r="Q800" s="1">
        <v>8.0</v>
      </c>
    </row>
    <row r="801">
      <c r="A801" s="1">
        <f t="shared" si="1"/>
        <v>799</v>
      </c>
      <c r="B801" s="1" t="s">
        <v>2643</v>
      </c>
      <c r="C801" s="1" t="s">
        <v>1570</v>
      </c>
      <c r="D801" s="1" t="s">
        <v>66</v>
      </c>
      <c r="E801" s="1">
        <f t="shared" si="2"/>
        <v>18.25</v>
      </c>
      <c r="F801" s="1">
        <f t="shared" si="3"/>
        <v>6.08</v>
      </c>
      <c r="G801" s="1">
        <v>3.0</v>
      </c>
      <c r="H801" s="1">
        <v>1.0</v>
      </c>
      <c r="I801" s="1">
        <v>3.0</v>
      </c>
      <c r="J801" s="1">
        <v>4.0</v>
      </c>
      <c r="K801" s="1">
        <v>5.0</v>
      </c>
      <c r="L801" s="1">
        <v>0.0</v>
      </c>
      <c r="M801" s="1">
        <v>0.0</v>
      </c>
      <c r="N801" s="1">
        <v>0.0</v>
      </c>
      <c r="O801" s="1">
        <v>0.0</v>
      </c>
      <c r="P801" s="1">
        <v>5.0</v>
      </c>
      <c r="Q801" s="1">
        <v>2.0</v>
      </c>
    </row>
    <row r="802">
      <c r="A802" s="1">
        <f t="shared" si="1"/>
        <v>799</v>
      </c>
      <c r="B802" s="1" t="s">
        <v>2264</v>
      </c>
      <c r="C802" s="1" t="s">
        <v>1087</v>
      </c>
      <c r="D802" s="1" t="s">
        <v>28</v>
      </c>
      <c r="E802" s="1">
        <f t="shared" si="2"/>
        <v>18.25</v>
      </c>
      <c r="F802" s="1">
        <f t="shared" si="3"/>
        <v>1.83</v>
      </c>
      <c r="G802" s="1">
        <v>10.0</v>
      </c>
      <c r="H802" s="1">
        <v>1.0</v>
      </c>
      <c r="I802" s="1">
        <v>1.0</v>
      </c>
      <c r="J802" s="1">
        <v>2.0</v>
      </c>
      <c r="K802" s="1">
        <v>10.0</v>
      </c>
      <c r="L802" s="1">
        <v>0.0</v>
      </c>
      <c r="M802" s="1">
        <v>0.0</v>
      </c>
      <c r="N802" s="1">
        <v>0.0</v>
      </c>
      <c r="O802" s="1">
        <v>0.0</v>
      </c>
      <c r="P802" s="1">
        <v>21.0</v>
      </c>
      <c r="Q802" s="1">
        <v>1.0</v>
      </c>
    </row>
    <row r="803">
      <c r="A803" s="1">
        <f t="shared" si="1"/>
        <v>799</v>
      </c>
      <c r="B803" s="1" t="s">
        <v>2562</v>
      </c>
      <c r="C803" s="1" t="s">
        <v>1175</v>
      </c>
      <c r="D803" s="1" t="s">
        <v>28</v>
      </c>
      <c r="E803" s="1">
        <f t="shared" si="2"/>
        <v>18.25</v>
      </c>
      <c r="F803" s="1">
        <f t="shared" si="3"/>
        <v>1.52</v>
      </c>
      <c r="G803" s="1">
        <v>12.0</v>
      </c>
      <c r="H803" s="1">
        <v>0.0</v>
      </c>
      <c r="I803" s="1">
        <v>1.0</v>
      </c>
      <c r="J803" s="1">
        <v>1.0</v>
      </c>
      <c r="K803" s="1">
        <v>11.0</v>
      </c>
      <c r="L803" s="1">
        <v>0.0</v>
      </c>
      <c r="M803" s="1">
        <v>0.0</v>
      </c>
      <c r="N803" s="1">
        <v>0.0</v>
      </c>
      <c r="O803" s="1">
        <v>0.0</v>
      </c>
      <c r="P803" s="1">
        <v>29.0</v>
      </c>
      <c r="Q803" s="1">
        <v>5.0</v>
      </c>
    </row>
    <row r="804">
      <c r="A804" s="1">
        <f t="shared" si="1"/>
        <v>802</v>
      </c>
      <c r="B804" s="1" t="s">
        <v>2176</v>
      </c>
      <c r="C804" s="1" t="s">
        <v>1111</v>
      </c>
      <c r="D804" s="1" t="s">
        <v>66</v>
      </c>
      <c r="E804" s="1">
        <f t="shared" si="2"/>
        <v>18</v>
      </c>
      <c r="F804" s="1">
        <f t="shared" si="3"/>
        <v>2</v>
      </c>
      <c r="G804" s="1">
        <v>9.0</v>
      </c>
      <c r="H804" s="1">
        <v>1.0</v>
      </c>
      <c r="I804" s="1">
        <v>0.0</v>
      </c>
      <c r="J804" s="1">
        <v>1.0</v>
      </c>
      <c r="K804" s="1">
        <v>10.0</v>
      </c>
      <c r="L804" s="1">
        <v>0.0</v>
      </c>
      <c r="M804" s="1">
        <v>0.0</v>
      </c>
      <c r="N804" s="1">
        <v>0.0</v>
      </c>
      <c r="O804" s="1">
        <v>0.0</v>
      </c>
      <c r="P804" s="1">
        <v>14.0</v>
      </c>
      <c r="Q804" s="1">
        <v>10.0</v>
      </c>
    </row>
    <row r="805">
      <c r="A805" s="1">
        <f t="shared" si="1"/>
        <v>802</v>
      </c>
      <c r="B805" s="1" t="s">
        <v>1531</v>
      </c>
      <c r="C805" s="1" t="s">
        <v>1080</v>
      </c>
      <c r="D805" s="1" t="s">
        <v>66</v>
      </c>
      <c r="E805" s="1">
        <f t="shared" si="2"/>
        <v>18</v>
      </c>
      <c r="F805" s="1">
        <f t="shared" si="3"/>
        <v>1.13</v>
      </c>
      <c r="G805" s="1">
        <v>16.0</v>
      </c>
      <c r="H805" s="1">
        <v>0.0</v>
      </c>
      <c r="I805" s="1">
        <v>1.0</v>
      </c>
      <c r="J805" s="1">
        <v>1.0</v>
      </c>
      <c r="K805" s="1">
        <v>9.0</v>
      </c>
      <c r="L805" s="1">
        <v>0.0</v>
      </c>
      <c r="M805" s="1">
        <v>0.0</v>
      </c>
      <c r="N805" s="1">
        <v>0.0</v>
      </c>
      <c r="O805" s="1">
        <v>0.0</v>
      </c>
      <c r="P805" s="1">
        <v>10.0</v>
      </c>
      <c r="Q805" s="1">
        <v>16.0</v>
      </c>
    </row>
    <row r="806">
      <c r="A806" s="1">
        <f t="shared" si="1"/>
        <v>804</v>
      </c>
      <c r="B806" s="1" t="s">
        <v>1873</v>
      </c>
      <c r="C806" s="1" t="s">
        <v>1087</v>
      </c>
      <c r="D806" s="1" t="s">
        <v>31</v>
      </c>
      <c r="E806" s="1">
        <f t="shared" si="2"/>
        <v>17.75</v>
      </c>
      <c r="F806" s="1">
        <f t="shared" si="3"/>
        <v>2.22</v>
      </c>
      <c r="G806" s="1">
        <v>8.0</v>
      </c>
      <c r="H806" s="1">
        <v>2.0</v>
      </c>
      <c r="I806" s="1">
        <v>1.0</v>
      </c>
      <c r="J806" s="1">
        <v>3.0</v>
      </c>
      <c r="K806" s="1">
        <v>9.0</v>
      </c>
      <c r="L806" s="1">
        <v>1.0</v>
      </c>
      <c r="M806" s="1">
        <v>0.0</v>
      </c>
      <c r="N806" s="1">
        <v>0.0</v>
      </c>
      <c r="O806" s="1">
        <v>0.0</v>
      </c>
      <c r="P806" s="1">
        <v>1.0</v>
      </c>
      <c r="Q806" s="1">
        <v>2.0</v>
      </c>
    </row>
    <row r="807">
      <c r="A807" s="1">
        <f t="shared" si="1"/>
        <v>805</v>
      </c>
      <c r="B807" s="1" t="s">
        <v>1308</v>
      </c>
      <c r="C807" s="1" t="s">
        <v>1175</v>
      </c>
      <c r="D807" s="1" t="s">
        <v>66</v>
      </c>
      <c r="E807" s="1">
        <f t="shared" si="2"/>
        <v>17.5</v>
      </c>
      <c r="F807" s="1">
        <f t="shared" si="3"/>
        <v>1.75</v>
      </c>
      <c r="G807" s="1">
        <v>10.0</v>
      </c>
      <c r="H807" s="1">
        <v>0.0</v>
      </c>
      <c r="I807" s="1">
        <v>2.0</v>
      </c>
      <c r="J807" s="1">
        <v>2.0</v>
      </c>
      <c r="K807" s="1">
        <v>9.0</v>
      </c>
      <c r="L807" s="1">
        <v>0.0</v>
      </c>
      <c r="M807" s="1">
        <v>0.0</v>
      </c>
      <c r="N807" s="1">
        <v>0.0</v>
      </c>
      <c r="O807" s="1">
        <v>0.0</v>
      </c>
      <c r="P807" s="1">
        <v>18.0</v>
      </c>
      <c r="Q807" s="1">
        <v>5.0</v>
      </c>
    </row>
    <row r="808">
      <c r="A808" s="1">
        <f t="shared" si="1"/>
        <v>806</v>
      </c>
      <c r="B808" s="1" t="s">
        <v>2199</v>
      </c>
      <c r="C808" s="1" t="s">
        <v>1040</v>
      </c>
      <c r="D808" s="1" t="s">
        <v>5</v>
      </c>
      <c r="E808" s="1">
        <f t="shared" si="2"/>
        <v>17.4</v>
      </c>
      <c r="F808" s="1">
        <f t="shared" si="3"/>
        <v>2.9</v>
      </c>
      <c r="G808" s="1">
        <v>6.0</v>
      </c>
      <c r="R808" s="1">
        <v>1.0</v>
      </c>
      <c r="S808" s="1">
        <v>24.0</v>
      </c>
      <c r="T808" s="1">
        <v>168.0</v>
      </c>
      <c r="U808" s="1">
        <v>0.0</v>
      </c>
    </row>
    <row r="809">
      <c r="A809" s="1">
        <f t="shared" si="1"/>
        <v>807</v>
      </c>
      <c r="B809" s="1" t="s">
        <v>2221</v>
      </c>
      <c r="C809" s="1" t="s">
        <v>1091</v>
      </c>
      <c r="D809" s="1" t="s">
        <v>31</v>
      </c>
      <c r="E809" s="1">
        <f t="shared" si="2"/>
        <v>17</v>
      </c>
      <c r="F809" s="1">
        <f t="shared" si="3"/>
        <v>1.21</v>
      </c>
      <c r="G809" s="1">
        <v>14.0</v>
      </c>
      <c r="H809" s="1">
        <v>0.0</v>
      </c>
      <c r="I809" s="1">
        <v>1.0</v>
      </c>
      <c r="J809" s="1">
        <v>1.0</v>
      </c>
      <c r="K809" s="1">
        <v>14.0</v>
      </c>
      <c r="L809" s="1">
        <v>0.0</v>
      </c>
      <c r="M809" s="1">
        <v>0.0</v>
      </c>
      <c r="N809" s="1">
        <v>0.0</v>
      </c>
      <c r="O809" s="1">
        <v>0.0</v>
      </c>
      <c r="P809" s="1">
        <v>20.0</v>
      </c>
      <c r="Q809" s="1">
        <v>4.0</v>
      </c>
    </row>
    <row r="810">
      <c r="A810" s="1">
        <f t="shared" si="1"/>
        <v>808</v>
      </c>
      <c r="B810" s="1" t="s">
        <v>1711</v>
      </c>
      <c r="C810" s="1" t="s">
        <v>1085</v>
      </c>
      <c r="D810" s="1" t="s">
        <v>36</v>
      </c>
      <c r="E810" s="1">
        <f t="shared" si="2"/>
        <v>16.75</v>
      </c>
      <c r="F810" s="1">
        <f t="shared" si="3"/>
        <v>1.52</v>
      </c>
      <c r="G810" s="1">
        <v>11.0</v>
      </c>
      <c r="H810" s="1">
        <v>1.0</v>
      </c>
      <c r="I810" s="1">
        <v>0.0</v>
      </c>
      <c r="J810" s="1">
        <v>1.0</v>
      </c>
      <c r="K810" s="1">
        <v>13.0</v>
      </c>
      <c r="L810" s="1">
        <v>0.0</v>
      </c>
      <c r="M810" s="1">
        <v>0.0</v>
      </c>
      <c r="N810" s="1">
        <v>0.0</v>
      </c>
      <c r="O810" s="1">
        <v>0.0</v>
      </c>
      <c r="P810" s="1">
        <v>17.0</v>
      </c>
      <c r="Q810" s="1">
        <v>3.0</v>
      </c>
    </row>
    <row r="811">
      <c r="A811" s="1">
        <f t="shared" si="1"/>
        <v>809</v>
      </c>
      <c r="B811" s="1" t="s">
        <v>1420</v>
      </c>
      <c r="C811" s="1" t="s">
        <v>1078</v>
      </c>
      <c r="D811" s="1" t="s">
        <v>66</v>
      </c>
      <c r="E811" s="1">
        <f t="shared" si="2"/>
        <v>16.5</v>
      </c>
      <c r="F811" s="1">
        <f t="shared" si="3"/>
        <v>2.75</v>
      </c>
      <c r="G811" s="1">
        <v>6.0</v>
      </c>
      <c r="H811" s="1">
        <v>1.0</v>
      </c>
      <c r="I811" s="1">
        <v>0.0</v>
      </c>
      <c r="J811" s="1">
        <v>1.0</v>
      </c>
      <c r="K811" s="1">
        <v>9.0</v>
      </c>
      <c r="L811" s="1">
        <v>0.0</v>
      </c>
      <c r="M811" s="1">
        <v>0.0</v>
      </c>
      <c r="N811" s="1">
        <v>0.0</v>
      </c>
      <c r="O811" s="1">
        <v>0.0</v>
      </c>
      <c r="P811" s="1">
        <v>10.0</v>
      </c>
      <c r="Q811" s="1">
        <v>10.0</v>
      </c>
    </row>
    <row r="812">
      <c r="A812" s="1">
        <f t="shared" si="1"/>
        <v>809</v>
      </c>
      <c r="B812" s="1" t="s">
        <v>2403</v>
      </c>
      <c r="C812" s="1" t="s">
        <v>1080</v>
      </c>
      <c r="D812" s="1" t="s">
        <v>28</v>
      </c>
      <c r="E812" s="1">
        <f t="shared" si="2"/>
        <v>16.5</v>
      </c>
      <c r="F812" s="1">
        <f t="shared" si="3"/>
        <v>1.83</v>
      </c>
      <c r="G812" s="1">
        <v>9.0</v>
      </c>
      <c r="H812" s="1">
        <v>1.0</v>
      </c>
      <c r="I812" s="1">
        <v>2.0</v>
      </c>
      <c r="J812" s="1">
        <v>3.0</v>
      </c>
      <c r="K812" s="1">
        <v>10.0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2.0</v>
      </c>
    </row>
    <row r="813">
      <c r="A813" s="1">
        <f t="shared" si="1"/>
        <v>811</v>
      </c>
      <c r="B813" s="1" t="s">
        <v>2644</v>
      </c>
      <c r="C813" s="1" t="s">
        <v>1570</v>
      </c>
      <c r="D813" s="1" t="s">
        <v>36</v>
      </c>
      <c r="E813" s="1">
        <f t="shared" si="2"/>
        <v>16.25</v>
      </c>
      <c r="F813" s="1">
        <f t="shared" si="3"/>
        <v>1.02</v>
      </c>
      <c r="G813" s="1">
        <v>16.0</v>
      </c>
      <c r="H813" s="1">
        <v>0.0</v>
      </c>
      <c r="I813" s="1">
        <v>1.0</v>
      </c>
      <c r="J813" s="1">
        <v>1.0</v>
      </c>
      <c r="K813" s="1">
        <v>5.0</v>
      </c>
      <c r="L813" s="1">
        <v>0.0</v>
      </c>
      <c r="M813" s="1">
        <v>0.0</v>
      </c>
      <c r="N813" s="1">
        <v>0.0</v>
      </c>
      <c r="O813" s="1">
        <v>0.0</v>
      </c>
      <c r="P813" s="1">
        <v>35.0</v>
      </c>
      <c r="Q813" s="1">
        <v>4.0</v>
      </c>
    </row>
    <row r="814">
      <c r="A814" s="1">
        <f t="shared" si="1"/>
        <v>812</v>
      </c>
      <c r="B814" s="1" t="s">
        <v>2645</v>
      </c>
      <c r="C814" s="1" t="s">
        <v>1052</v>
      </c>
      <c r="D814" s="1" t="s">
        <v>66</v>
      </c>
      <c r="E814" s="1">
        <f t="shared" si="2"/>
        <v>15.75</v>
      </c>
      <c r="F814" s="1">
        <f t="shared" si="3"/>
        <v>1.97</v>
      </c>
      <c r="G814" s="1">
        <v>8.0</v>
      </c>
      <c r="H814" s="1">
        <v>0.0</v>
      </c>
      <c r="I814" s="1">
        <v>0.0</v>
      </c>
      <c r="J814" s="1">
        <v>0.0</v>
      </c>
      <c r="K814" s="1">
        <v>11.0</v>
      </c>
      <c r="L814" s="1">
        <v>0.0</v>
      </c>
      <c r="M814" s="1">
        <v>0.0</v>
      </c>
      <c r="N814" s="1">
        <v>0.0</v>
      </c>
      <c r="O814" s="1">
        <v>0.0</v>
      </c>
      <c r="P814" s="1">
        <v>21.0</v>
      </c>
      <c r="Q814" s="1">
        <v>10.0</v>
      </c>
    </row>
    <row r="815">
      <c r="A815" s="1">
        <f t="shared" si="1"/>
        <v>813</v>
      </c>
      <c r="B815" s="1" t="s">
        <v>1636</v>
      </c>
      <c r="C815" s="1" t="s">
        <v>1097</v>
      </c>
      <c r="D815" s="1" t="s">
        <v>5</v>
      </c>
      <c r="E815" s="1">
        <f t="shared" si="2"/>
        <v>15.6</v>
      </c>
      <c r="F815" s="1">
        <f t="shared" si="3"/>
        <v>7.8</v>
      </c>
      <c r="G815" s="1">
        <v>2.0</v>
      </c>
      <c r="R815" s="1">
        <v>1.0</v>
      </c>
      <c r="S815" s="1">
        <v>5.0</v>
      </c>
      <c r="T815" s="1">
        <v>67.0</v>
      </c>
      <c r="U815" s="1">
        <v>0.0</v>
      </c>
    </row>
    <row r="816">
      <c r="A816" s="1">
        <f t="shared" si="1"/>
        <v>814</v>
      </c>
      <c r="B816" s="1" t="s">
        <v>2404</v>
      </c>
      <c r="C816" s="1" t="s">
        <v>1044</v>
      </c>
      <c r="D816" s="1" t="s">
        <v>31</v>
      </c>
      <c r="E816" s="1">
        <f t="shared" si="2"/>
        <v>15.25</v>
      </c>
      <c r="F816" s="1">
        <f t="shared" si="3"/>
        <v>1.09</v>
      </c>
      <c r="G816" s="1">
        <v>14.0</v>
      </c>
      <c r="H816" s="1">
        <v>0.0</v>
      </c>
      <c r="I816" s="1">
        <v>2.0</v>
      </c>
      <c r="J816" s="1">
        <v>2.0</v>
      </c>
      <c r="K816" s="1">
        <v>7.0</v>
      </c>
      <c r="L816" s="1">
        <v>0.0</v>
      </c>
      <c r="M816" s="1">
        <v>0.0</v>
      </c>
      <c r="N816" s="1">
        <v>0.0</v>
      </c>
      <c r="O816" s="1">
        <v>0.0</v>
      </c>
      <c r="P816" s="1">
        <v>15.0</v>
      </c>
      <c r="Q816" s="1">
        <v>4.0</v>
      </c>
    </row>
    <row r="817">
      <c r="A817" s="1">
        <f t="shared" si="1"/>
        <v>814</v>
      </c>
      <c r="B817" s="1" t="s">
        <v>2387</v>
      </c>
      <c r="C817" s="1" t="s">
        <v>1080</v>
      </c>
      <c r="D817" s="1" t="s">
        <v>66</v>
      </c>
      <c r="E817" s="1">
        <f t="shared" si="2"/>
        <v>15.25</v>
      </c>
      <c r="F817" s="1">
        <f t="shared" si="3"/>
        <v>1.02</v>
      </c>
      <c r="G817" s="1">
        <v>15.0</v>
      </c>
      <c r="H817" s="1">
        <v>0.0</v>
      </c>
      <c r="I817" s="1">
        <v>1.0</v>
      </c>
      <c r="J817" s="1">
        <v>1.0</v>
      </c>
      <c r="K817" s="1">
        <v>9.0</v>
      </c>
      <c r="L817" s="1">
        <v>0.0</v>
      </c>
      <c r="M817" s="1">
        <v>0.0</v>
      </c>
      <c r="N817" s="1">
        <v>0.0</v>
      </c>
      <c r="O817" s="1">
        <v>0.0</v>
      </c>
      <c r="P817" s="1">
        <v>5.0</v>
      </c>
      <c r="Q817" s="1">
        <v>13.0</v>
      </c>
    </row>
    <row r="818">
      <c r="A818" s="1">
        <f t="shared" si="1"/>
        <v>816</v>
      </c>
      <c r="B818" s="1" t="s">
        <v>2530</v>
      </c>
      <c r="C818" s="1" t="s">
        <v>1082</v>
      </c>
      <c r="D818" s="1" t="s">
        <v>28</v>
      </c>
      <c r="E818" s="1">
        <f t="shared" si="2"/>
        <v>15</v>
      </c>
      <c r="F818" s="1">
        <f t="shared" si="3"/>
        <v>1.36</v>
      </c>
      <c r="G818" s="1">
        <v>11.0</v>
      </c>
      <c r="H818" s="1">
        <v>1.0</v>
      </c>
      <c r="I818" s="1">
        <v>0.0</v>
      </c>
      <c r="J818" s="1">
        <v>1.0</v>
      </c>
      <c r="K818" s="1">
        <v>14.0</v>
      </c>
      <c r="L818" s="1">
        <v>0.0</v>
      </c>
      <c r="M818" s="1">
        <v>0.0</v>
      </c>
      <c r="N818" s="1">
        <v>0.0</v>
      </c>
      <c r="O818" s="1">
        <v>0.0</v>
      </c>
      <c r="P818" s="1">
        <v>10.0</v>
      </c>
      <c r="Q818" s="1">
        <v>2.0</v>
      </c>
    </row>
    <row r="819">
      <c r="A819" s="1">
        <f t="shared" si="1"/>
        <v>816</v>
      </c>
      <c r="B819" s="1" t="s">
        <v>2167</v>
      </c>
      <c r="C819" s="1" t="s">
        <v>1067</v>
      </c>
      <c r="D819" s="1" t="s">
        <v>66</v>
      </c>
      <c r="E819" s="1">
        <f t="shared" si="2"/>
        <v>15</v>
      </c>
      <c r="F819" s="1">
        <f t="shared" si="3"/>
        <v>1.15</v>
      </c>
      <c r="G819" s="1">
        <v>13.0</v>
      </c>
      <c r="H819" s="1">
        <v>0.0</v>
      </c>
      <c r="I819" s="1">
        <v>0.0</v>
      </c>
      <c r="J819" s="1">
        <v>0.0</v>
      </c>
      <c r="K819" s="1">
        <v>6.0</v>
      </c>
      <c r="L819" s="1">
        <v>0.0</v>
      </c>
      <c r="M819" s="1">
        <v>0.0</v>
      </c>
      <c r="N819" s="1">
        <v>0.0</v>
      </c>
      <c r="O819" s="1">
        <v>0.0</v>
      </c>
      <c r="P819" s="1">
        <v>10.0</v>
      </c>
      <c r="Q819" s="1">
        <v>19.0</v>
      </c>
    </row>
    <row r="820">
      <c r="A820" s="1">
        <f t="shared" si="1"/>
        <v>818</v>
      </c>
      <c r="B820" s="1" t="s">
        <v>2367</v>
      </c>
      <c r="C820" s="1" t="s">
        <v>1076</v>
      </c>
      <c r="D820" s="1" t="s">
        <v>31</v>
      </c>
      <c r="E820" s="1">
        <f t="shared" si="2"/>
        <v>14.75</v>
      </c>
      <c r="F820" s="1">
        <f t="shared" si="3"/>
        <v>3.69</v>
      </c>
      <c r="G820" s="1">
        <v>4.0</v>
      </c>
      <c r="H820" s="1">
        <v>1.0</v>
      </c>
      <c r="I820" s="1">
        <v>1.0</v>
      </c>
      <c r="J820" s="1">
        <v>2.0</v>
      </c>
      <c r="K820" s="1">
        <v>8.0</v>
      </c>
      <c r="L820" s="1">
        <v>0.0</v>
      </c>
      <c r="M820" s="1">
        <v>0.0</v>
      </c>
      <c r="N820" s="1">
        <v>0.0</v>
      </c>
      <c r="O820" s="1">
        <v>0.0</v>
      </c>
      <c r="P820" s="1">
        <v>9.0</v>
      </c>
      <c r="Q820" s="1">
        <v>2.0</v>
      </c>
    </row>
    <row r="821">
      <c r="A821" s="1">
        <f t="shared" si="1"/>
        <v>819</v>
      </c>
      <c r="B821" s="1" t="s">
        <v>2504</v>
      </c>
      <c r="C821" s="1" t="s">
        <v>1570</v>
      </c>
      <c r="D821" s="1" t="s">
        <v>31</v>
      </c>
      <c r="E821" s="1">
        <f t="shared" si="2"/>
        <v>14.5</v>
      </c>
      <c r="F821" s="1">
        <f t="shared" si="3"/>
        <v>1.81</v>
      </c>
      <c r="G821" s="1">
        <v>8.0</v>
      </c>
      <c r="H821" s="1">
        <v>2.0</v>
      </c>
      <c r="I821" s="1">
        <v>0.0</v>
      </c>
      <c r="J821" s="1">
        <v>2.0</v>
      </c>
      <c r="K821" s="1">
        <v>5.0</v>
      </c>
      <c r="L821" s="1">
        <v>2.0</v>
      </c>
      <c r="M821" s="1">
        <v>0.0</v>
      </c>
      <c r="N821" s="1">
        <v>0.0</v>
      </c>
      <c r="O821" s="1">
        <v>0.0</v>
      </c>
      <c r="P821" s="1">
        <v>6.0</v>
      </c>
      <c r="Q821" s="1">
        <v>3.0</v>
      </c>
    </row>
    <row r="822">
      <c r="A822" s="1">
        <f t="shared" si="1"/>
        <v>820</v>
      </c>
      <c r="B822" s="1" t="s">
        <v>2646</v>
      </c>
      <c r="C822" s="1" t="s">
        <v>1570</v>
      </c>
      <c r="D822" s="1" t="s">
        <v>66</v>
      </c>
      <c r="E822" s="1">
        <f t="shared" si="2"/>
        <v>14</v>
      </c>
      <c r="F822" s="1">
        <f t="shared" si="3"/>
        <v>1.56</v>
      </c>
      <c r="G822" s="1">
        <v>9.0</v>
      </c>
      <c r="H822" s="1">
        <v>1.0</v>
      </c>
      <c r="I822" s="1">
        <v>0.0</v>
      </c>
      <c r="J822" s="1">
        <v>1.0</v>
      </c>
      <c r="K822" s="1">
        <v>8.0</v>
      </c>
      <c r="L822" s="1">
        <v>0.0</v>
      </c>
      <c r="M822" s="1">
        <v>0.0</v>
      </c>
      <c r="N822" s="1">
        <v>0.0</v>
      </c>
      <c r="O822" s="1">
        <v>0.0</v>
      </c>
      <c r="P822" s="1">
        <v>10.0</v>
      </c>
      <c r="Q822" s="1">
        <v>6.0</v>
      </c>
    </row>
    <row r="823">
      <c r="A823" s="1">
        <f t="shared" si="1"/>
        <v>821</v>
      </c>
      <c r="B823" s="1" t="s">
        <v>1459</v>
      </c>
      <c r="C823" s="1" t="s">
        <v>1065</v>
      </c>
      <c r="D823" s="1" t="s">
        <v>66</v>
      </c>
      <c r="E823" s="1">
        <f t="shared" si="2"/>
        <v>13.75</v>
      </c>
      <c r="F823" s="1">
        <f t="shared" si="3"/>
        <v>2.75</v>
      </c>
      <c r="G823" s="1">
        <v>5.0</v>
      </c>
      <c r="H823" s="1">
        <v>1.0</v>
      </c>
      <c r="I823" s="1">
        <v>0.0</v>
      </c>
      <c r="J823" s="1">
        <v>1.0</v>
      </c>
      <c r="K823" s="1">
        <v>4.0</v>
      </c>
      <c r="L823" s="1">
        <v>0.0</v>
      </c>
      <c r="M823" s="1">
        <v>0.0</v>
      </c>
      <c r="N823" s="1">
        <v>0.0</v>
      </c>
      <c r="O823" s="1">
        <v>0.0</v>
      </c>
      <c r="P823" s="1">
        <v>15.0</v>
      </c>
      <c r="Q823" s="1">
        <v>7.0</v>
      </c>
    </row>
    <row r="824">
      <c r="A824" s="1">
        <f t="shared" si="1"/>
        <v>821</v>
      </c>
      <c r="B824" s="1" t="s">
        <v>2647</v>
      </c>
      <c r="C824" s="1" t="s">
        <v>1172</v>
      </c>
      <c r="D824" s="1" t="s">
        <v>31</v>
      </c>
      <c r="E824" s="1">
        <f t="shared" si="2"/>
        <v>13.75</v>
      </c>
      <c r="F824" s="1">
        <f t="shared" si="3"/>
        <v>1.53</v>
      </c>
      <c r="G824" s="1">
        <v>9.0</v>
      </c>
      <c r="H824" s="1">
        <v>0.0</v>
      </c>
      <c r="I824" s="1">
        <v>0.0</v>
      </c>
      <c r="J824" s="1">
        <v>0.0</v>
      </c>
      <c r="K824" s="1">
        <v>14.0</v>
      </c>
      <c r="L824" s="1">
        <v>0.0</v>
      </c>
      <c r="M824" s="1">
        <v>0.0</v>
      </c>
      <c r="N824" s="1">
        <v>0.0</v>
      </c>
      <c r="O824" s="1">
        <v>0.0</v>
      </c>
      <c r="P824" s="1">
        <v>21.0</v>
      </c>
      <c r="Q824" s="1">
        <v>3.0</v>
      </c>
    </row>
    <row r="825">
      <c r="A825" s="1">
        <f t="shared" si="1"/>
        <v>823</v>
      </c>
      <c r="B825" s="1" t="s">
        <v>1653</v>
      </c>
      <c r="C825" s="1" t="s">
        <v>1106</v>
      </c>
      <c r="D825" s="1" t="s">
        <v>31</v>
      </c>
      <c r="E825" s="1">
        <f t="shared" si="2"/>
        <v>13.5</v>
      </c>
      <c r="F825" s="1">
        <f t="shared" si="3"/>
        <v>2.7</v>
      </c>
      <c r="G825" s="1">
        <v>5.0</v>
      </c>
      <c r="H825" s="1">
        <v>1.0</v>
      </c>
      <c r="I825" s="1">
        <v>1.0</v>
      </c>
      <c r="J825" s="1">
        <v>2.0</v>
      </c>
      <c r="K825" s="1">
        <v>6.0</v>
      </c>
      <c r="L825" s="1">
        <v>0.0</v>
      </c>
      <c r="M825" s="1">
        <v>0.0</v>
      </c>
      <c r="N825" s="1">
        <v>0.0</v>
      </c>
      <c r="O825" s="1">
        <v>0.0</v>
      </c>
      <c r="P825" s="1">
        <v>10.0</v>
      </c>
      <c r="Q825" s="1">
        <v>1.0</v>
      </c>
    </row>
    <row r="826">
      <c r="A826" s="1">
        <f t="shared" si="1"/>
        <v>823</v>
      </c>
      <c r="B826" s="1" t="s">
        <v>2174</v>
      </c>
      <c r="C826" s="1" t="s">
        <v>1069</v>
      </c>
      <c r="D826" s="1" t="s">
        <v>36</v>
      </c>
      <c r="E826" s="1">
        <f t="shared" si="2"/>
        <v>13.5</v>
      </c>
      <c r="F826" s="1">
        <f t="shared" si="3"/>
        <v>2.7</v>
      </c>
      <c r="G826" s="1">
        <v>5.0</v>
      </c>
      <c r="H826" s="1">
        <v>1.0</v>
      </c>
      <c r="I826" s="1">
        <v>0.0</v>
      </c>
      <c r="J826" s="1">
        <v>1.0</v>
      </c>
      <c r="K826" s="1">
        <v>6.0</v>
      </c>
      <c r="L826" s="1">
        <v>0.0</v>
      </c>
      <c r="M826" s="1">
        <v>0.0</v>
      </c>
      <c r="N826" s="1">
        <v>0.0</v>
      </c>
      <c r="O826" s="1">
        <v>0.0</v>
      </c>
      <c r="P826" s="1">
        <v>14.0</v>
      </c>
      <c r="Q826" s="1">
        <v>5.0</v>
      </c>
    </row>
    <row r="827">
      <c r="A827" s="1">
        <f t="shared" si="1"/>
        <v>823</v>
      </c>
      <c r="B827" s="1" t="s">
        <v>2648</v>
      </c>
      <c r="C827" s="1" t="s">
        <v>1120</v>
      </c>
      <c r="D827" s="1" t="s">
        <v>66</v>
      </c>
      <c r="E827" s="1">
        <f t="shared" si="2"/>
        <v>13.5</v>
      </c>
      <c r="F827" s="1">
        <f t="shared" si="3"/>
        <v>1.5</v>
      </c>
      <c r="G827" s="1">
        <v>9.0</v>
      </c>
      <c r="H827" s="1">
        <v>0.0</v>
      </c>
      <c r="I827" s="1">
        <v>1.0</v>
      </c>
      <c r="J827" s="1">
        <v>1.0</v>
      </c>
      <c r="K827" s="1">
        <v>6.0</v>
      </c>
      <c r="L827" s="1">
        <v>0.0</v>
      </c>
      <c r="M827" s="1">
        <v>0.0</v>
      </c>
      <c r="N827" s="1">
        <v>0.0</v>
      </c>
      <c r="O827" s="1">
        <v>0.0</v>
      </c>
      <c r="P827" s="1">
        <v>16.0</v>
      </c>
      <c r="Q827" s="1">
        <v>7.0</v>
      </c>
    </row>
    <row r="828">
      <c r="A828" s="1">
        <f t="shared" si="1"/>
        <v>826</v>
      </c>
      <c r="B828" s="1" t="s">
        <v>2649</v>
      </c>
      <c r="C828" s="1" t="s">
        <v>1036</v>
      </c>
      <c r="D828" s="1" t="s">
        <v>31</v>
      </c>
      <c r="E828" s="1">
        <f t="shared" si="2"/>
        <v>13</v>
      </c>
      <c r="F828" s="1">
        <f t="shared" si="3"/>
        <v>1.44</v>
      </c>
      <c r="G828" s="1">
        <v>9.0</v>
      </c>
      <c r="H828" s="1">
        <v>1.0</v>
      </c>
      <c r="I828" s="1">
        <v>0.0</v>
      </c>
      <c r="J828" s="1">
        <v>1.0</v>
      </c>
      <c r="K828" s="1">
        <v>12.0</v>
      </c>
      <c r="L828" s="1">
        <v>0.0</v>
      </c>
      <c r="M828" s="1">
        <v>0.0</v>
      </c>
      <c r="N828" s="1">
        <v>0.0</v>
      </c>
      <c r="O828" s="1">
        <v>0.0</v>
      </c>
      <c r="P828" s="1">
        <v>6.0</v>
      </c>
      <c r="Q828" s="1">
        <v>2.0</v>
      </c>
    </row>
    <row r="829">
      <c r="A829" s="1">
        <f t="shared" si="1"/>
        <v>826</v>
      </c>
      <c r="B829" s="1" t="s">
        <v>2444</v>
      </c>
      <c r="C829" s="1" t="s">
        <v>1156</v>
      </c>
      <c r="D829" s="1" t="s">
        <v>31</v>
      </c>
      <c r="E829" s="1">
        <f t="shared" si="2"/>
        <v>13</v>
      </c>
      <c r="F829" s="1">
        <f t="shared" si="3"/>
        <v>1.3</v>
      </c>
      <c r="G829" s="1">
        <v>10.0</v>
      </c>
      <c r="H829" s="1">
        <v>0.0</v>
      </c>
      <c r="I829" s="1">
        <v>1.0</v>
      </c>
      <c r="J829" s="1">
        <v>1.0</v>
      </c>
      <c r="K829" s="1">
        <v>13.0</v>
      </c>
      <c r="L829" s="1">
        <v>0.0</v>
      </c>
      <c r="M829" s="1">
        <v>0.0</v>
      </c>
      <c r="N829" s="1">
        <v>0.0</v>
      </c>
      <c r="O829" s="1">
        <v>0.0</v>
      </c>
      <c r="P829" s="1">
        <v>8.0</v>
      </c>
      <c r="Q829" s="1">
        <v>3.0</v>
      </c>
    </row>
    <row r="830">
      <c r="A830" s="1">
        <f t="shared" si="1"/>
        <v>828</v>
      </c>
      <c r="B830" s="1" t="s">
        <v>2311</v>
      </c>
      <c r="C830" s="1" t="s">
        <v>1087</v>
      </c>
      <c r="D830" s="1" t="s">
        <v>28</v>
      </c>
      <c r="E830" s="1">
        <f t="shared" si="2"/>
        <v>12.75</v>
      </c>
      <c r="F830" s="1">
        <f t="shared" si="3"/>
        <v>3.19</v>
      </c>
      <c r="G830" s="1">
        <v>4.0</v>
      </c>
      <c r="H830" s="1">
        <v>1.0</v>
      </c>
      <c r="I830" s="1">
        <v>0.0</v>
      </c>
      <c r="J830" s="1">
        <v>1.0</v>
      </c>
      <c r="K830" s="1">
        <v>5.0</v>
      </c>
      <c r="L830" s="1">
        <v>0.0</v>
      </c>
      <c r="M830" s="1">
        <v>0.0</v>
      </c>
      <c r="N830" s="1">
        <v>0.0</v>
      </c>
      <c r="O830" s="1">
        <v>0.0</v>
      </c>
      <c r="P830" s="1">
        <v>23.0</v>
      </c>
      <c r="Q830" s="1">
        <v>0.0</v>
      </c>
    </row>
    <row r="831">
      <c r="A831" s="1">
        <f t="shared" si="1"/>
        <v>828</v>
      </c>
      <c r="B831" s="1" t="s">
        <v>2391</v>
      </c>
      <c r="C831" s="1" t="s">
        <v>1570</v>
      </c>
      <c r="D831" s="1" t="s">
        <v>66</v>
      </c>
      <c r="E831" s="1">
        <f t="shared" si="2"/>
        <v>12.75</v>
      </c>
      <c r="F831" s="1">
        <f t="shared" si="3"/>
        <v>2.55</v>
      </c>
      <c r="G831" s="1">
        <v>5.0</v>
      </c>
      <c r="H831" s="1">
        <v>1.0</v>
      </c>
      <c r="I831" s="1">
        <v>1.0</v>
      </c>
      <c r="J831" s="1">
        <v>2.0</v>
      </c>
      <c r="K831" s="1">
        <v>1.0</v>
      </c>
      <c r="L831" s="1">
        <v>0.0</v>
      </c>
      <c r="M831" s="1">
        <v>0.0</v>
      </c>
      <c r="N831" s="1">
        <v>0.0</v>
      </c>
      <c r="O831" s="1">
        <v>0.0</v>
      </c>
      <c r="P831" s="1">
        <v>5.0</v>
      </c>
      <c r="Q831" s="1">
        <v>7.0</v>
      </c>
    </row>
    <row r="832">
      <c r="A832" s="1">
        <f t="shared" si="1"/>
        <v>828</v>
      </c>
      <c r="B832" s="1" t="s">
        <v>1786</v>
      </c>
      <c r="C832" s="1" t="s">
        <v>1085</v>
      </c>
      <c r="D832" s="1" t="s">
        <v>66</v>
      </c>
      <c r="E832" s="1">
        <f t="shared" si="2"/>
        <v>12.75</v>
      </c>
      <c r="F832" s="1">
        <f t="shared" si="3"/>
        <v>1.59</v>
      </c>
      <c r="G832" s="1">
        <v>8.0</v>
      </c>
      <c r="H832" s="1">
        <v>0.0</v>
      </c>
      <c r="I832" s="1">
        <v>2.0</v>
      </c>
      <c r="J832" s="1">
        <v>2.0</v>
      </c>
      <c r="K832" s="1">
        <v>4.0</v>
      </c>
      <c r="L832" s="1">
        <v>0.0</v>
      </c>
      <c r="M832" s="1">
        <v>0.0</v>
      </c>
      <c r="N832" s="1">
        <v>0.0</v>
      </c>
      <c r="O832" s="1">
        <v>0.0</v>
      </c>
      <c r="P832" s="1">
        <v>3.0</v>
      </c>
      <c r="Q832" s="1">
        <v>8.0</v>
      </c>
    </row>
    <row r="833">
      <c r="A833" s="1">
        <f t="shared" si="1"/>
        <v>828</v>
      </c>
      <c r="B833" s="1" t="s">
        <v>2409</v>
      </c>
      <c r="C833" s="1" t="s">
        <v>1052</v>
      </c>
      <c r="D833" s="1" t="s">
        <v>31</v>
      </c>
      <c r="E833" s="1">
        <f t="shared" si="2"/>
        <v>12.75</v>
      </c>
      <c r="F833" s="1">
        <f t="shared" si="3"/>
        <v>1.59</v>
      </c>
      <c r="G833" s="1">
        <v>8.0</v>
      </c>
      <c r="H833" s="1">
        <v>1.0</v>
      </c>
      <c r="I833" s="1">
        <v>0.0</v>
      </c>
      <c r="J833" s="1">
        <v>1.0</v>
      </c>
      <c r="K833" s="1">
        <v>5.0</v>
      </c>
      <c r="L833" s="1">
        <v>0.0</v>
      </c>
      <c r="M833" s="1">
        <v>0.0</v>
      </c>
      <c r="N833" s="1">
        <v>0.0</v>
      </c>
      <c r="O833" s="1">
        <v>0.0</v>
      </c>
      <c r="P833" s="1">
        <v>13.0</v>
      </c>
      <c r="Q833" s="1">
        <v>5.0</v>
      </c>
    </row>
    <row r="834">
      <c r="A834" s="1">
        <f t="shared" si="1"/>
        <v>828</v>
      </c>
      <c r="B834" s="1" t="s">
        <v>2650</v>
      </c>
      <c r="C834" s="1" t="s">
        <v>1570</v>
      </c>
      <c r="D834" s="1" t="s">
        <v>31</v>
      </c>
      <c r="E834" s="1">
        <f t="shared" si="2"/>
        <v>12.75</v>
      </c>
      <c r="F834" s="1">
        <f t="shared" si="3"/>
        <v>1.16</v>
      </c>
      <c r="G834" s="1">
        <v>11.0</v>
      </c>
      <c r="H834" s="1">
        <v>1.0</v>
      </c>
      <c r="I834" s="1">
        <v>0.0</v>
      </c>
      <c r="J834" s="1">
        <v>1.0</v>
      </c>
      <c r="K834" s="1">
        <v>5.0</v>
      </c>
      <c r="L834" s="1">
        <v>0.0</v>
      </c>
      <c r="M834" s="1">
        <v>0.0</v>
      </c>
      <c r="N834" s="1">
        <v>0.0</v>
      </c>
      <c r="O834" s="1">
        <v>0.0</v>
      </c>
      <c r="P834" s="1">
        <v>17.0</v>
      </c>
      <c r="Q834" s="1">
        <v>3.0</v>
      </c>
    </row>
    <row r="835">
      <c r="A835" s="1">
        <f t="shared" si="1"/>
        <v>833</v>
      </c>
      <c r="B835" s="1" t="s">
        <v>2651</v>
      </c>
      <c r="C835" s="1" t="s">
        <v>1570</v>
      </c>
      <c r="D835" s="1" t="s">
        <v>31</v>
      </c>
      <c r="E835" s="1">
        <f t="shared" si="2"/>
        <v>12.5</v>
      </c>
      <c r="F835" s="1">
        <f t="shared" si="3"/>
        <v>1.79</v>
      </c>
      <c r="G835" s="1">
        <v>7.0</v>
      </c>
      <c r="H835" s="1">
        <v>1.0</v>
      </c>
      <c r="I835" s="1">
        <v>1.0</v>
      </c>
      <c r="J835" s="1">
        <v>2.0</v>
      </c>
      <c r="K835" s="1">
        <v>5.0</v>
      </c>
      <c r="L835" s="1">
        <v>0.0</v>
      </c>
      <c r="M835" s="1">
        <v>0.0</v>
      </c>
      <c r="N835" s="1">
        <v>0.0</v>
      </c>
      <c r="O835" s="1">
        <v>0.0</v>
      </c>
      <c r="P835" s="1">
        <v>4.0</v>
      </c>
      <c r="Q835" s="1">
        <v>3.0</v>
      </c>
    </row>
    <row r="836">
      <c r="A836" s="1">
        <f t="shared" si="1"/>
        <v>834</v>
      </c>
      <c r="B836" s="1" t="s">
        <v>1495</v>
      </c>
      <c r="C836" s="1" t="s">
        <v>1073</v>
      </c>
      <c r="D836" s="1" t="s">
        <v>5</v>
      </c>
      <c r="E836" s="1">
        <f t="shared" si="2"/>
        <v>12.3</v>
      </c>
      <c r="F836" s="1">
        <f t="shared" si="3"/>
        <v>3.08</v>
      </c>
      <c r="G836" s="1">
        <v>4.0</v>
      </c>
      <c r="R836" s="1">
        <v>1.0</v>
      </c>
      <c r="S836" s="1">
        <v>11.0</v>
      </c>
      <c r="T836" s="1">
        <v>86.0</v>
      </c>
      <c r="U836" s="1">
        <v>0.0</v>
      </c>
    </row>
    <row r="837">
      <c r="A837" s="1">
        <f t="shared" si="1"/>
        <v>835</v>
      </c>
      <c r="B837" s="1" t="s">
        <v>2652</v>
      </c>
      <c r="C837" s="1" t="s">
        <v>1048</v>
      </c>
      <c r="D837" s="1" t="s">
        <v>28</v>
      </c>
      <c r="E837" s="1">
        <f t="shared" si="2"/>
        <v>12.25</v>
      </c>
      <c r="F837" s="1">
        <f t="shared" si="3"/>
        <v>2.04</v>
      </c>
      <c r="G837" s="1">
        <v>6.0</v>
      </c>
      <c r="H837" s="1">
        <v>1.0</v>
      </c>
      <c r="I837" s="1">
        <v>1.0</v>
      </c>
      <c r="J837" s="1">
        <v>2.0</v>
      </c>
      <c r="K837" s="1">
        <v>8.0</v>
      </c>
      <c r="L837" s="1">
        <v>0.0</v>
      </c>
      <c r="M837" s="1">
        <v>0.0</v>
      </c>
      <c r="N837" s="1">
        <v>0.0</v>
      </c>
      <c r="O837" s="1">
        <v>0.0</v>
      </c>
      <c r="P837" s="1">
        <v>3.0</v>
      </c>
      <c r="Q837" s="1">
        <v>0.0</v>
      </c>
    </row>
    <row r="838">
      <c r="A838" s="1">
        <f t="shared" si="1"/>
        <v>836</v>
      </c>
      <c r="B838" s="1" t="s">
        <v>1638</v>
      </c>
      <c r="C838" s="1" t="s">
        <v>1036</v>
      </c>
      <c r="D838" s="1" t="s">
        <v>5</v>
      </c>
      <c r="E838" s="1">
        <f t="shared" si="2"/>
        <v>12</v>
      </c>
      <c r="F838" s="1">
        <f t="shared" si="3"/>
        <v>4</v>
      </c>
      <c r="G838" s="1">
        <v>3.0</v>
      </c>
      <c r="R838" s="1">
        <v>1.0</v>
      </c>
      <c r="S838" s="1">
        <v>8.0</v>
      </c>
      <c r="T838" s="1">
        <v>70.0</v>
      </c>
      <c r="U838" s="1">
        <v>0.0</v>
      </c>
    </row>
    <row r="839">
      <c r="A839" s="1">
        <f t="shared" si="1"/>
        <v>836</v>
      </c>
      <c r="B839" s="1" t="s">
        <v>2058</v>
      </c>
      <c r="C839" s="1" t="s">
        <v>1038</v>
      </c>
      <c r="D839" s="1" t="s">
        <v>28</v>
      </c>
      <c r="E839" s="1">
        <f t="shared" si="2"/>
        <v>12</v>
      </c>
      <c r="F839" s="1">
        <f t="shared" si="3"/>
        <v>1.71</v>
      </c>
      <c r="G839" s="1">
        <v>7.0</v>
      </c>
      <c r="H839" s="1">
        <v>0.0</v>
      </c>
      <c r="I839" s="1">
        <v>0.0</v>
      </c>
      <c r="J839" s="1">
        <v>0.0</v>
      </c>
      <c r="K839" s="1">
        <v>9.0</v>
      </c>
      <c r="L839" s="1">
        <v>0.0</v>
      </c>
      <c r="M839" s="1">
        <v>0.0</v>
      </c>
      <c r="N839" s="1">
        <v>0.0</v>
      </c>
      <c r="O839" s="1">
        <v>0.0</v>
      </c>
      <c r="P839" s="1">
        <v>20.0</v>
      </c>
      <c r="Q839" s="1">
        <v>5.0</v>
      </c>
    </row>
    <row r="840">
      <c r="A840" s="1">
        <f t="shared" si="1"/>
        <v>836</v>
      </c>
      <c r="B840" s="1" t="s">
        <v>2528</v>
      </c>
      <c r="C840" s="1" t="s">
        <v>1080</v>
      </c>
      <c r="D840" s="1" t="s">
        <v>36</v>
      </c>
      <c r="E840" s="1">
        <f t="shared" si="2"/>
        <v>12</v>
      </c>
      <c r="F840" s="1">
        <f t="shared" si="3"/>
        <v>1</v>
      </c>
      <c r="G840" s="1">
        <v>12.0</v>
      </c>
      <c r="H840" s="1">
        <v>0.0</v>
      </c>
      <c r="I840" s="1">
        <v>2.0</v>
      </c>
      <c r="J840" s="1">
        <v>2.0</v>
      </c>
      <c r="K840" s="1">
        <v>7.0</v>
      </c>
      <c r="L840" s="1">
        <v>0.0</v>
      </c>
      <c r="M840" s="1">
        <v>0.0</v>
      </c>
      <c r="N840" s="1">
        <v>0.0</v>
      </c>
      <c r="O840" s="1">
        <v>0.0</v>
      </c>
      <c r="P840" s="1">
        <v>4.0</v>
      </c>
      <c r="Q840" s="1">
        <v>3.0</v>
      </c>
    </row>
    <row r="841">
      <c r="A841" s="1">
        <f t="shared" si="1"/>
        <v>839</v>
      </c>
      <c r="B841" s="1" t="s">
        <v>2376</v>
      </c>
      <c r="C841" s="1" t="s">
        <v>1097</v>
      </c>
      <c r="D841" s="1" t="s">
        <v>31</v>
      </c>
      <c r="E841" s="1">
        <f t="shared" si="2"/>
        <v>11.5</v>
      </c>
      <c r="F841" s="1">
        <f t="shared" si="3"/>
        <v>1.64</v>
      </c>
      <c r="G841" s="1">
        <v>7.0</v>
      </c>
      <c r="H841" s="1">
        <v>1.0</v>
      </c>
      <c r="I841" s="1">
        <v>0.0</v>
      </c>
      <c r="J841" s="1">
        <v>1.0</v>
      </c>
      <c r="K841" s="1">
        <v>7.0</v>
      </c>
      <c r="L841" s="1">
        <v>0.0</v>
      </c>
      <c r="M841" s="1">
        <v>0.0</v>
      </c>
      <c r="N841" s="1">
        <v>0.0</v>
      </c>
      <c r="O841" s="1">
        <v>0.0</v>
      </c>
      <c r="P841" s="1">
        <v>8.0</v>
      </c>
      <c r="Q841" s="1">
        <v>3.0</v>
      </c>
    </row>
    <row r="842">
      <c r="A842" s="1">
        <f t="shared" si="1"/>
        <v>840</v>
      </c>
      <c r="B842" s="1" t="s">
        <v>2653</v>
      </c>
      <c r="C842" s="1" t="s">
        <v>1030</v>
      </c>
      <c r="D842" s="1" t="s">
        <v>5</v>
      </c>
      <c r="E842" s="1">
        <f t="shared" si="2"/>
        <v>11.4</v>
      </c>
      <c r="F842" s="1">
        <f t="shared" si="3"/>
        <v>5.7</v>
      </c>
      <c r="G842" s="1">
        <v>2.0</v>
      </c>
      <c r="R842" s="1">
        <v>1.0</v>
      </c>
      <c r="S842" s="1">
        <v>5.0</v>
      </c>
      <c r="T842" s="1">
        <v>53.0</v>
      </c>
      <c r="U842" s="1">
        <v>0.0</v>
      </c>
    </row>
    <row r="843">
      <c r="A843" s="1">
        <f t="shared" si="1"/>
        <v>841</v>
      </c>
      <c r="B843" s="1" t="s">
        <v>1639</v>
      </c>
      <c r="C843" s="1" t="s">
        <v>1054</v>
      </c>
      <c r="D843" s="1" t="s">
        <v>31</v>
      </c>
      <c r="E843" s="1">
        <f t="shared" si="2"/>
        <v>11</v>
      </c>
      <c r="F843" s="1">
        <f t="shared" si="3"/>
        <v>1.83</v>
      </c>
      <c r="G843" s="1">
        <v>6.0</v>
      </c>
      <c r="H843" s="1">
        <v>0.0</v>
      </c>
      <c r="I843" s="1">
        <v>2.0</v>
      </c>
      <c r="J843" s="1">
        <v>2.0</v>
      </c>
      <c r="K843" s="1">
        <v>2.0</v>
      </c>
      <c r="L843" s="1">
        <v>0.0</v>
      </c>
      <c r="M843" s="1">
        <v>0.0</v>
      </c>
      <c r="N843" s="1">
        <v>0.0</v>
      </c>
      <c r="O843" s="1">
        <v>0.0</v>
      </c>
      <c r="P843" s="1">
        <v>6.0</v>
      </c>
      <c r="Q843" s="1">
        <v>5.0</v>
      </c>
    </row>
    <row r="844">
      <c r="A844" s="1">
        <f t="shared" si="1"/>
        <v>841</v>
      </c>
      <c r="B844" s="1" t="s">
        <v>1441</v>
      </c>
      <c r="C844" s="1" t="s">
        <v>1082</v>
      </c>
      <c r="D844" s="1" t="s">
        <v>66</v>
      </c>
      <c r="E844" s="1">
        <f t="shared" si="2"/>
        <v>11</v>
      </c>
      <c r="F844" s="1">
        <f t="shared" si="3"/>
        <v>1.83</v>
      </c>
      <c r="G844" s="1">
        <v>6.0</v>
      </c>
      <c r="H844" s="1">
        <v>0.0</v>
      </c>
      <c r="I844" s="1">
        <v>1.0</v>
      </c>
      <c r="J844" s="1">
        <v>1.0</v>
      </c>
      <c r="K844" s="1">
        <v>7.0</v>
      </c>
      <c r="L844" s="1">
        <v>0.0</v>
      </c>
      <c r="M844" s="1">
        <v>0.0</v>
      </c>
      <c r="N844" s="1">
        <v>0.0</v>
      </c>
      <c r="O844" s="1">
        <v>0.0</v>
      </c>
      <c r="P844" s="1">
        <v>14.0</v>
      </c>
      <c r="Q844" s="1">
        <v>2.0</v>
      </c>
    </row>
    <row r="845">
      <c r="A845" s="1">
        <f t="shared" si="1"/>
        <v>841</v>
      </c>
      <c r="B845" s="1" t="s">
        <v>1752</v>
      </c>
      <c r="C845" s="1" t="s">
        <v>1036</v>
      </c>
      <c r="D845" s="1" t="s">
        <v>66</v>
      </c>
      <c r="E845" s="1">
        <f t="shared" si="2"/>
        <v>11</v>
      </c>
      <c r="F845" s="1">
        <f t="shared" si="3"/>
        <v>1.38</v>
      </c>
      <c r="G845" s="1">
        <v>8.0</v>
      </c>
      <c r="H845" s="1">
        <v>0.0</v>
      </c>
      <c r="I845" s="1">
        <v>0.0</v>
      </c>
      <c r="J845" s="1">
        <v>0.0</v>
      </c>
      <c r="K845" s="1">
        <v>8.0</v>
      </c>
      <c r="L845" s="1">
        <v>0.0</v>
      </c>
      <c r="M845" s="1">
        <v>0.0</v>
      </c>
      <c r="N845" s="1">
        <v>0.0</v>
      </c>
      <c r="O845" s="1">
        <v>0.0</v>
      </c>
      <c r="P845" s="1">
        <v>4.0</v>
      </c>
      <c r="Q845" s="1">
        <v>12.0</v>
      </c>
    </row>
    <row r="846">
      <c r="A846" s="1">
        <f t="shared" si="1"/>
        <v>841</v>
      </c>
      <c r="B846" s="1" t="s">
        <v>1460</v>
      </c>
      <c r="C846" s="1" t="s">
        <v>1032</v>
      </c>
      <c r="D846" s="1" t="s">
        <v>66</v>
      </c>
      <c r="E846" s="1">
        <f t="shared" si="2"/>
        <v>11</v>
      </c>
      <c r="F846" s="1">
        <f t="shared" si="3"/>
        <v>1</v>
      </c>
      <c r="G846" s="1">
        <v>11.0</v>
      </c>
      <c r="H846" s="1">
        <v>0.0</v>
      </c>
      <c r="I846" s="1">
        <v>1.0</v>
      </c>
      <c r="J846" s="1">
        <v>1.0</v>
      </c>
      <c r="K846" s="1">
        <v>2.0</v>
      </c>
      <c r="L846" s="1">
        <v>0.0</v>
      </c>
      <c r="M846" s="1">
        <v>0.0</v>
      </c>
      <c r="N846" s="1">
        <v>0.0</v>
      </c>
      <c r="O846" s="1">
        <v>0.0</v>
      </c>
      <c r="P846" s="1">
        <v>8.0</v>
      </c>
      <c r="Q846" s="1">
        <v>10.0</v>
      </c>
    </row>
    <row r="847">
      <c r="A847" s="1">
        <f t="shared" si="1"/>
        <v>841</v>
      </c>
      <c r="B847" s="1" t="s">
        <v>2654</v>
      </c>
      <c r="C847" s="1" t="s">
        <v>1175</v>
      </c>
      <c r="D847" s="1" t="s">
        <v>28</v>
      </c>
      <c r="E847" s="1">
        <f t="shared" si="2"/>
        <v>11</v>
      </c>
      <c r="F847" s="1">
        <f t="shared" si="3"/>
        <v>0.79</v>
      </c>
      <c r="G847" s="1">
        <v>14.0</v>
      </c>
      <c r="H847" s="1">
        <v>0.0</v>
      </c>
      <c r="I847" s="1">
        <v>0.0</v>
      </c>
      <c r="J847" s="1">
        <v>0.0</v>
      </c>
      <c r="K847" s="1">
        <v>12.0</v>
      </c>
      <c r="L847" s="1">
        <v>0.0</v>
      </c>
      <c r="M847" s="1">
        <v>0.0</v>
      </c>
      <c r="N847" s="1">
        <v>0.0</v>
      </c>
      <c r="O847" s="1">
        <v>0.0</v>
      </c>
      <c r="P847" s="1">
        <v>16.0</v>
      </c>
      <c r="Q847" s="1">
        <v>2.0</v>
      </c>
    </row>
    <row r="848">
      <c r="A848" s="1">
        <f t="shared" si="1"/>
        <v>841</v>
      </c>
      <c r="B848" s="1" t="s">
        <v>2193</v>
      </c>
      <c r="C848" s="1" t="s">
        <v>1116</v>
      </c>
      <c r="D848" s="1" t="s">
        <v>36</v>
      </c>
      <c r="E848" s="1">
        <f t="shared" si="2"/>
        <v>11</v>
      </c>
      <c r="F848" s="1">
        <f t="shared" si="3"/>
        <v>0.69</v>
      </c>
      <c r="G848" s="1">
        <v>16.0</v>
      </c>
      <c r="H848" s="1">
        <v>0.0</v>
      </c>
      <c r="I848" s="1">
        <v>0.0</v>
      </c>
      <c r="J848" s="1">
        <v>0.0</v>
      </c>
      <c r="K848" s="1">
        <v>9.0</v>
      </c>
      <c r="L848" s="1">
        <v>0.0</v>
      </c>
      <c r="M848" s="1">
        <v>0.0</v>
      </c>
      <c r="N848" s="1">
        <v>0.0</v>
      </c>
      <c r="O848" s="1">
        <v>0.0</v>
      </c>
      <c r="P848" s="1">
        <v>10.0</v>
      </c>
      <c r="Q848" s="1">
        <v>8.0</v>
      </c>
    </row>
    <row r="849">
      <c r="A849" s="1">
        <f t="shared" si="1"/>
        <v>847</v>
      </c>
      <c r="B849" s="1" t="s">
        <v>1371</v>
      </c>
      <c r="C849" s="1" t="s">
        <v>1106</v>
      </c>
      <c r="D849" s="1" t="s">
        <v>66</v>
      </c>
      <c r="E849" s="1">
        <f t="shared" si="2"/>
        <v>10.75</v>
      </c>
      <c r="F849" s="1">
        <f t="shared" si="3"/>
        <v>2.15</v>
      </c>
      <c r="G849" s="1">
        <v>5.0</v>
      </c>
      <c r="H849" s="1">
        <v>0.0</v>
      </c>
      <c r="I849" s="1">
        <v>1.0</v>
      </c>
      <c r="J849" s="1">
        <v>1.0</v>
      </c>
      <c r="K849" s="1">
        <v>10.0</v>
      </c>
      <c r="L849" s="1">
        <v>0.0</v>
      </c>
      <c r="M849" s="1">
        <v>0.0</v>
      </c>
      <c r="N849" s="1">
        <v>0.0</v>
      </c>
      <c r="O849" s="1">
        <v>0.0</v>
      </c>
      <c r="P849" s="1">
        <v>5.0</v>
      </c>
      <c r="Q849" s="1">
        <v>3.0</v>
      </c>
    </row>
    <row r="850">
      <c r="A850" s="1">
        <f t="shared" si="1"/>
        <v>847</v>
      </c>
      <c r="B850" s="1" t="s">
        <v>2454</v>
      </c>
      <c r="C850" s="1" t="s">
        <v>1046</v>
      </c>
      <c r="D850" s="1" t="s">
        <v>28</v>
      </c>
      <c r="E850" s="1">
        <f t="shared" si="2"/>
        <v>10.75</v>
      </c>
      <c r="F850" s="1">
        <f t="shared" si="3"/>
        <v>1.79</v>
      </c>
      <c r="G850" s="1">
        <v>6.0</v>
      </c>
      <c r="H850" s="1">
        <v>0.0</v>
      </c>
      <c r="I850" s="1">
        <v>2.0</v>
      </c>
      <c r="J850" s="1">
        <v>2.0</v>
      </c>
      <c r="K850" s="1">
        <v>7.0</v>
      </c>
      <c r="L850" s="1">
        <v>0.0</v>
      </c>
      <c r="M850" s="1">
        <v>2.0</v>
      </c>
      <c r="N850" s="1">
        <v>0.0</v>
      </c>
      <c r="O850" s="1">
        <v>0.0</v>
      </c>
      <c r="P850" s="1">
        <v>5.0</v>
      </c>
      <c r="Q850" s="1">
        <v>0.0</v>
      </c>
    </row>
    <row r="851">
      <c r="A851" s="1">
        <f t="shared" si="1"/>
        <v>847</v>
      </c>
      <c r="B851" s="1" t="s">
        <v>1373</v>
      </c>
      <c r="C851" s="1" t="s">
        <v>1048</v>
      </c>
      <c r="D851" s="1" t="s">
        <v>28</v>
      </c>
      <c r="E851" s="1">
        <f t="shared" si="2"/>
        <v>10.75</v>
      </c>
      <c r="F851" s="1">
        <f t="shared" si="3"/>
        <v>1.34</v>
      </c>
      <c r="G851" s="1">
        <v>8.0</v>
      </c>
      <c r="H851" s="1">
        <v>0.0</v>
      </c>
      <c r="I851" s="1">
        <v>1.0</v>
      </c>
      <c r="J851" s="1">
        <v>1.0</v>
      </c>
      <c r="K851" s="1">
        <v>9.0</v>
      </c>
      <c r="L851" s="1">
        <v>0.0</v>
      </c>
      <c r="M851" s="1">
        <v>0.0</v>
      </c>
      <c r="N851" s="1">
        <v>0.0</v>
      </c>
      <c r="O851" s="1">
        <v>0.0</v>
      </c>
      <c r="P851" s="1">
        <v>9.0</v>
      </c>
      <c r="Q851" s="1">
        <v>2.0</v>
      </c>
    </row>
    <row r="852">
      <c r="A852" s="1">
        <f t="shared" si="1"/>
        <v>847</v>
      </c>
      <c r="B852" s="1" t="s">
        <v>1587</v>
      </c>
      <c r="C852" s="1" t="s">
        <v>1042</v>
      </c>
      <c r="D852" s="1" t="s">
        <v>36</v>
      </c>
      <c r="E852" s="1">
        <f t="shared" si="2"/>
        <v>10.75</v>
      </c>
      <c r="F852" s="1">
        <f t="shared" si="3"/>
        <v>1.34</v>
      </c>
      <c r="G852" s="1">
        <v>8.0</v>
      </c>
      <c r="H852" s="1">
        <v>0.0</v>
      </c>
      <c r="I852" s="1">
        <v>1.0</v>
      </c>
      <c r="J852" s="1">
        <v>1.0</v>
      </c>
      <c r="K852" s="1">
        <v>6.0</v>
      </c>
      <c r="L852" s="1">
        <v>0.0</v>
      </c>
      <c r="M852" s="1">
        <v>0.0</v>
      </c>
      <c r="N852" s="1">
        <v>0.0</v>
      </c>
      <c r="O852" s="1">
        <v>0.0</v>
      </c>
      <c r="P852" s="1">
        <v>17.0</v>
      </c>
      <c r="Q852" s="1">
        <v>1.0</v>
      </c>
    </row>
    <row r="853">
      <c r="A853" s="1">
        <f t="shared" si="1"/>
        <v>847</v>
      </c>
      <c r="B853" s="1" t="s">
        <v>2655</v>
      </c>
      <c r="C853" s="1" t="s">
        <v>1570</v>
      </c>
      <c r="D853" s="1" t="s">
        <v>31</v>
      </c>
      <c r="E853" s="1">
        <f t="shared" si="2"/>
        <v>10.75</v>
      </c>
      <c r="F853" s="1">
        <f t="shared" si="3"/>
        <v>0.72</v>
      </c>
      <c r="G853" s="1">
        <v>15.0</v>
      </c>
      <c r="H853" s="1">
        <v>0.0</v>
      </c>
      <c r="I853" s="1">
        <v>0.0</v>
      </c>
      <c r="J853" s="1">
        <v>0.0</v>
      </c>
      <c r="K853" s="1">
        <v>9.0</v>
      </c>
      <c r="L853" s="1">
        <v>0.0</v>
      </c>
      <c r="M853" s="1">
        <v>0.0</v>
      </c>
      <c r="N853" s="1">
        <v>0.0</v>
      </c>
      <c r="O853" s="1">
        <v>0.0</v>
      </c>
      <c r="P853" s="1">
        <v>7.0</v>
      </c>
      <c r="Q853" s="1">
        <v>9.0</v>
      </c>
    </row>
    <row r="854">
      <c r="A854" s="1">
        <f t="shared" si="1"/>
        <v>847</v>
      </c>
      <c r="B854" s="1" t="s">
        <v>1806</v>
      </c>
      <c r="C854" s="1" t="s">
        <v>1116</v>
      </c>
      <c r="D854" s="1" t="s">
        <v>31</v>
      </c>
      <c r="E854" s="1">
        <f t="shared" si="2"/>
        <v>10.75</v>
      </c>
      <c r="F854" s="1">
        <f t="shared" si="3"/>
        <v>0.49</v>
      </c>
      <c r="G854" s="1">
        <v>22.0</v>
      </c>
      <c r="H854" s="1">
        <v>1.0</v>
      </c>
      <c r="I854" s="1">
        <v>0.0</v>
      </c>
      <c r="J854" s="1">
        <v>1.0</v>
      </c>
      <c r="K854" s="1">
        <v>4.0</v>
      </c>
      <c r="L854" s="1">
        <v>0.0</v>
      </c>
      <c r="M854" s="1">
        <v>0.0</v>
      </c>
      <c r="N854" s="1">
        <v>0.0</v>
      </c>
      <c r="O854" s="1">
        <v>0.0</v>
      </c>
      <c r="P854" s="1">
        <v>5.0</v>
      </c>
      <c r="Q854" s="1">
        <v>6.0</v>
      </c>
    </row>
    <row r="855">
      <c r="A855" s="1">
        <f t="shared" si="1"/>
        <v>853</v>
      </c>
      <c r="B855" s="1" t="s">
        <v>1362</v>
      </c>
      <c r="C855" s="1" t="s">
        <v>1091</v>
      </c>
      <c r="D855" s="1" t="s">
        <v>5</v>
      </c>
      <c r="E855" s="1">
        <f t="shared" si="2"/>
        <v>10.5</v>
      </c>
      <c r="F855" s="1">
        <f t="shared" si="3"/>
        <v>3.5</v>
      </c>
      <c r="G855" s="1">
        <v>3.0</v>
      </c>
      <c r="R855" s="1">
        <v>1.0</v>
      </c>
      <c r="S855" s="1">
        <v>8.0</v>
      </c>
      <c r="T855" s="1">
        <v>65.0</v>
      </c>
      <c r="U855" s="1">
        <v>0.0</v>
      </c>
    </row>
    <row r="856">
      <c r="A856" s="1">
        <f t="shared" si="1"/>
        <v>853</v>
      </c>
      <c r="B856" s="1" t="s">
        <v>2356</v>
      </c>
      <c r="C856" s="1" t="s">
        <v>1032</v>
      </c>
      <c r="D856" s="1" t="s">
        <v>31</v>
      </c>
      <c r="E856" s="1">
        <f t="shared" si="2"/>
        <v>10.5</v>
      </c>
      <c r="F856" s="1">
        <f t="shared" si="3"/>
        <v>1.5</v>
      </c>
      <c r="G856" s="1">
        <v>7.0</v>
      </c>
      <c r="H856" s="1">
        <v>0.0</v>
      </c>
      <c r="I856" s="1">
        <v>3.0</v>
      </c>
      <c r="J856" s="1">
        <v>3.0</v>
      </c>
      <c r="K856" s="1">
        <v>2.0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1.0</v>
      </c>
    </row>
    <row r="857">
      <c r="A857" s="1">
        <f t="shared" si="1"/>
        <v>855</v>
      </c>
      <c r="B857" s="1" t="s">
        <v>2248</v>
      </c>
      <c r="C857" s="1" t="s">
        <v>1172</v>
      </c>
      <c r="D857" s="1" t="s">
        <v>66</v>
      </c>
      <c r="E857" s="1">
        <f t="shared" si="2"/>
        <v>10.25</v>
      </c>
      <c r="F857" s="1">
        <f t="shared" si="3"/>
        <v>1.71</v>
      </c>
      <c r="G857" s="1">
        <v>6.0</v>
      </c>
      <c r="H857" s="1">
        <v>0.0</v>
      </c>
      <c r="I857" s="1">
        <v>1.0</v>
      </c>
      <c r="J857" s="1">
        <v>1.0</v>
      </c>
      <c r="K857" s="1">
        <v>3.0</v>
      </c>
      <c r="L857" s="1">
        <v>0.0</v>
      </c>
      <c r="M857" s="1">
        <v>0.0</v>
      </c>
      <c r="N857" s="1">
        <v>0.0</v>
      </c>
      <c r="O857" s="1">
        <v>0.0</v>
      </c>
      <c r="P857" s="1">
        <v>11.0</v>
      </c>
      <c r="Q857" s="1">
        <v>6.0</v>
      </c>
    </row>
    <row r="858">
      <c r="A858" s="1">
        <f t="shared" si="1"/>
        <v>856</v>
      </c>
      <c r="B858" s="1" t="s">
        <v>2475</v>
      </c>
      <c r="C858" s="1" t="s">
        <v>1034</v>
      </c>
      <c r="D858" s="1" t="s">
        <v>28</v>
      </c>
      <c r="E858" s="1">
        <f t="shared" si="2"/>
        <v>10</v>
      </c>
      <c r="F858" s="1">
        <f t="shared" si="3"/>
        <v>1.11</v>
      </c>
      <c r="G858" s="1">
        <v>9.0</v>
      </c>
      <c r="H858" s="1">
        <v>0.0</v>
      </c>
      <c r="I858" s="1">
        <v>1.0</v>
      </c>
      <c r="J858" s="1">
        <v>1.0</v>
      </c>
      <c r="K858" s="1">
        <v>7.0</v>
      </c>
      <c r="L858" s="1">
        <v>0.0</v>
      </c>
      <c r="M858" s="1">
        <v>0.0</v>
      </c>
      <c r="N858" s="1">
        <v>0.0</v>
      </c>
      <c r="O858" s="1">
        <v>0.0</v>
      </c>
      <c r="P858" s="1">
        <v>10.0</v>
      </c>
      <c r="Q858" s="1">
        <v>2.0</v>
      </c>
    </row>
    <row r="859">
      <c r="A859" s="1">
        <f t="shared" si="1"/>
        <v>857</v>
      </c>
      <c r="B859" s="1" t="s">
        <v>2420</v>
      </c>
      <c r="C859" s="1" t="s">
        <v>1030</v>
      </c>
      <c r="D859" s="1" t="s">
        <v>31</v>
      </c>
      <c r="E859" s="1">
        <f t="shared" si="2"/>
        <v>9.75</v>
      </c>
      <c r="F859" s="1">
        <f t="shared" si="3"/>
        <v>0.61</v>
      </c>
      <c r="G859" s="1">
        <v>16.0</v>
      </c>
      <c r="H859" s="1">
        <v>0.0</v>
      </c>
      <c r="I859" s="1">
        <v>1.0</v>
      </c>
      <c r="J859" s="1">
        <v>1.0</v>
      </c>
      <c r="K859" s="1">
        <v>7.0</v>
      </c>
      <c r="L859" s="1">
        <v>0.0</v>
      </c>
      <c r="M859" s="1">
        <v>0.0</v>
      </c>
      <c r="N859" s="1">
        <v>0.0</v>
      </c>
      <c r="O859" s="1">
        <v>0.0</v>
      </c>
      <c r="P859" s="1">
        <v>7.0</v>
      </c>
      <c r="Q859" s="1">
        <v>3.0</v>
      </c>
    </row>
    <row r="860">
      <c r="A860" s="1">
        <f t="shared" si="1"/>
        <v>858</v>
      </c>
      <c r="B860" s="1" t="s">
        <v>2656</v>
      </c>
      <c r="C860" s="1" t="s">
        <v>1030</v>
      </c>
      <c r="D860" s="1" t="s">
        <v>36</v>
      </c>
      <c r="E860" s="1">
        <f t="shared" si="2"/>
        <v>9.25</v>
      </c>
      <c r="F860" s="1">
        <f t="shared" si="3"/>
        <v>1.85</v>
      </c>
      <c r="G860" s="1">
        <v>5.0</v>
      </c>
      <c r="H860" s="1">
        <v>1.0</v>
      </c>
      <c r="I860" s="1">
        <v>0.0</v>
      </c>
      <c r="J860" s="1">
        <v>1.0</v>
      </c>
      <c r="K860" s="1">
        <v>2.0</v>
      </c>
      <c r="L860" s="1">
        <v>0.0</v>
      </c>
      <c r="M860" s="1">
        <v>0.0</v>
      </c>
      <c r="N860" s="1">
        <v>0.0</v>
      </c>
      <c r="O860" s="1">
        <v>0.0</v>
      </c>
      <c r="P860" s="1">
        <v>9.0</v>
      </c>
      <c r="Q860" s="1">
        <v>3.0</v>
      </c>
    </row>
    <row r="861">
      <c r="A861" s="1">
        <f t="shared" si="1"/>
        <v>859</v>
      </c>
      <c r="B861" s="1" t="s">
        <v>2657</v>
      </c>
      <c r="C861" s="1" t="s">
        <v>1080</v>
      </c>
      <c r="D861" s="1" t="s">
        <v>66</v>
      </c>
      <c r="E861" s="1">
        <f t="shared" si="2"/>
        <v>9</v>
      </c>
      <c r="F861" s="1">
        <f t="shared" si="3"/>
        <v>2.25</v>
      </c>
      <c r="G861" s="1">
        <v>4.0</v>
      </c>
      <c r="H861" s="1">
        <v>0.0</v>
      </c>
      <c r="I861" s="1">
        <v>0.0</v>
      </c>
      <c r="J861" s="1">
        <v>0.0</v>
      </c>
      <c r="K861" s="1">
        <v>6.0</v>
      </c>
      <c r="L861" s="1">
        <v>0.0</v>
      </c>
      <c r="M861" s="1">
        <v>0.0</v>
      </c>
      <c r="N861" s="1">
        <v>0.0</v>
      </c>
      <c r="O861" s="1">
        <v>0.0</v>
      </c>
      <c r="P861" s="1">
        <v>8.0</v>
      </c>
      <c r="Q861" s="1">
        <v>8.0</v>
      </c>
    </row>
    <row r="862">
      <c r="A862" s="1">
        <f t="shared" si="1"/>
        <v>859</v>
      </c>
      <c r="B862" s="1" t="s">
        <v>1795</v>
      </c>
      <c r="C862" s="1" t="s">
        <v>1087</v>
      </c>
      <c r="D862" s="1" t="s">
        <v>36</v>
      </c>
      <c r="E862" s="1">
        <f t="shared" si="2"/>
        <v>9</v>
      </c>
      <c r="F862" s="1">
        <f t="shared" si="3"/>
        <v>1</v>
      </c>
      <c r="G862" s="1">
        <v>9.0</v>
      </c>
      <c r="H862" s="1">
        <v>0.0</v>
      </c>
      <c r="I862" s="1">
        <v>0.0</v>
      </c>
      <c r="J862" s="1">
        <v>0.0</v>
      </c>
      <c r="K862" s="1">
        <v>9.0</v>
      </c>
      <c r="L862" s="1">
        <v>0.0</v>
      </c>
      <c r="M862" s="1">
        <v>0.0</v>
      </c>
      <c r="N862" s="1">
        <v>0.0</v>
      </c>
      <c r="O862" s="1">
        <v>0.0</v>
      </c>
      <c r="P862" s="1">
        <v>10.0</v>
      </c>
      <c r="Q862" s="1">
        <v>4.0</v>
      </c>
    </row>
    <row r="863">
      <c r="A863" s="1">
        <f t="shared" si="1"/>
        <v>861</v>
      </c>
      <c r="B863" s="1" t="s">
        <v>1655</v>
      </c>
      <c r="C863" s="1" t="s">
        <v>1106</v>
      </c>
      <c r="D863" s="1" t="s">
        <v>36</v>
      </c>
      <c r="E863" s="1">
        <f t="shared" si="2"/>
        <v>8.5</v>
      </c>
      <c r="F863" s="1">
        <f t="shared" si="3"/>
        <v>2.13</v>
      </c>
      <c r="G863" s="1">
        <v>4.0</v>
      </c>
      <c r="H863" s="1">
        <v>1.0</v>
      </c>
      <c r="I863" s="1">
        <v>0.0</v>
      </c>
      <c r="J863" s="1">
        <v>1.0</v>
      </c>
      <c r="K863" s="1">
        <v>5.0</v>
      </c>
      <c r="L863" s="1">
        <v>0.0</v>
      </c>
      <c r="M863" s="1">
        <v>0.0</v>
      </c>
      <c r="N863" s="1">
        <v>0.0</v>
      </c>
      <c r="O863" s="1">
        <v>0.0</v>
      </c>
      <c r="P863" s="1">
        <v>6.0</v>
      </c>
      <c r="Q863" s="1">
        <v>0.0</v>
      </c>
    </row>
    <row r="864">
      <c r="A864" s="1">
        <f t="shared" si="1"/>
        <v>861</v>
      </c>
      <c r="B864" s="1" t="s">
        <v>2571</v>
      </c>
      <c r="C864" s="1" t="s">
        <v>1091</v>
      </c>
      <c r="D864" s="1" t="s">
        <v>36</v>
      </c>
      <c r="E864" s="1">
        <f t="shared" si="2"/>
        <v>8.5</v>
      </c>
      <c r="F864" s="1">
        <f t="shared" si="3"/>
        <v>1.42</v>
      </c>
      <c r="G864" s="1">
        <v>6.0</v>
      </c>
      <c r="H864" s="1">
        <v>1.0</v>
      </c>
      <c r="I864" s="1">
        <v>0.0</v>
      </c>
      <c r="J864" s="1">
        <v>1.0</v>
      </c>
      <c r="K864" s="1">
        <v>5.0</v>
      </c>
      <c r="L864" s="1">
        <v>0.0</v>
      </c>
      <c r="M864" s="1">
        <v>0.0</v>
      </c>
      <c r="N864" s="1">
        <v>0.0</v>
      </c>
      <c r="O864" s="1">
        <v>0.0</v>
      </c>
      <c r="P864" s="1">
        <v>4.0</v>
      </c>
      <c r="Q864" s="1">
        <v>1.0</v>
      </c>
    </row>
    <row r="865">
      <c r="A865" s="1">
        <f t="shared" si="1"/>
        <v>861</v>
      </c>
      <c r="B865" s="1" t="s">
        <v>1841</v>
      </c>
      <c r="C865" s="1" t="s">
        <v>1091</v>
      </c>
      <c r="D865" s="1" t="s">
        <v>66</v>
      </c>
      <c r="E865" s="1">
        <f t="shared" si="2"/>
        <v>8.5</v>
      </c>
      <c r="F865" s="1">
        <f t="shared" si="3"/>
        <v>1.42</v>
      </c>
      <c r="G865" s="1">
        <v>6.0</v>
      </c>
      <c r="H865" s="1">
        <v>0.0</v>
      </c>
      <c r="I865" s="1">
        <v>1.0</v>
      </c>
      <c r="J865" s="1">
        <v>1.0</v>
      </c>
      <c r="K865" s="1">
        <v>2.0</v>
      </c>
      <c r="L865" s="1">
        <v>0.0</v>
      </c>
      <c r="M865" s="1">
        <v>0.0</v>
      </c>
      <c r="N865" s="1">
        <v>0.0</v>
      </c>
      <c r="O865" s="1">
        <v>0.0</v>
      </c>
      <c r="P865" s="1">
        <v>8.0</v>
      </c>
      <c r="Q865" s="1">
        <v>5.0</v>
      </c>
    </row>
    <row r="866">
      <c r="A866" s="1">
        <f t="shared" si="1"/>
        <v>864</v>
      </c>
      <c r="B866" s="1" t="s">
        <v>2426</v>
      </c>
      <c r="C866" s="1" t="s">
        <v>1042</v>
      </c>
      <c r="D866" s="1" t="s">
        <v>66</v>
      </c>
      <c r="E866" s="1">
        <f t="shared" si="2"/>
        <v>7.75</v>
      </c>
      <c r="F866" s="1">
        <f t="shared" si="3"/>
        <v>1.29</v>
      </c>
      <c r="G866" s="1">
        <v>6.0</v>
      </c>
      <c r="H866" s="1">
        <v>0.0</v>
      </c>
      <c r="I866" s="1">
        <v>0.0</v>
      </c>
      <c r="J866" s="1">
        <v>0.0</v>
      </c>
      <c r="K866" s="1">
        <v>2.0</v>
      </c>
      <c r="L866" s="1">
        <v>0.0</v>
      </c>
      <c r="M866" s="1">
        <v>0.0</v>
      </c>
      <c r="N866" s="1">
        <v>0.0</v>
      </c>
      <c r="O866" s="1">
        <v>0.0</v>
      </c>
      <c r="P866" s="1">
        <v>13.0</v>
      </c>
      <c r="Q866" s="1">
        <v>7.0</v>
      </c>
    </row>
    <row r="867">
      <c r="A867" s="1">
        <f t="shared" si="1"/>
        <v>865</v>
      </c>
      <c r="B867" s="1" t="s">
        <v>2449</v>
      </c>
      <c r="C867" s="1" t="s">
        <v>1038</v>
      </c>
      <c r="D867" s="1" t="s">
        <v>36</v>
      </c>
      <c r="E867" s="1">
        <f t="shared" si="2"/>
        <v>7.5</v>
      </c>
      <c r="F867" s="1">
        <f t="shared" si="3"/>
        <v>1.88</v>
      </c>
      <c r="G867" s="1">
        <v>4.0</v>
      </c>
      <c r="H867" s="1">
        <v>0.0</v>
      </c>
      <c r="I867" s="1">
        <v>2.0</v>
      </c>
      <c r="J867" s="1">
        <v>2.0</v>
      </c>
      <c r="K867" s="1">
        <v>1.0</v>
      </c>
      <c r="L867" s="1">
        <v>0.0</v>
      </c>
      <c r="M867" s="1">
        <v>0.0</v>
      </c>
      <c r="N867" s="1">
        <v>0.0</v>
      </c>
      <c r="O867" s="1">
        <v>0.0</v>
      </c>
      <c r="P867" s="1">
        <v>2.0</v>
      </c>
      <c r="Q867" s="1">
        <v>1.0</v>
      </c>
    </row>
    <row r="868">
      <c r="A868" s="1">
        <f t="shared" si="1"/>
        <v>866</v>
      </c>
      <c r="B868" s="1" t="s">
        <v>2658</v>
      </c>
      <c r="C868" s="1" t="s">
        <v>1172</v>
      </c>
      <c r="D868" s="1" t="s">
        <v>66</v>
      </c>
      <c r="E868" s="1">
        <f t="shared" si="2"/>
        <v>7.25</v>
      </c>
      <c r="F868" s="1">
        <f t="shared" si="3"/>
        <v>1.81</v>
      </c>
      <c r="G868" s="1">
        <v>4.0</v>
      </c>
      <c r="H868" s="1">
        <v>0.0</v>
      </c>
      <c r="I868" s="1">
        <v>1.0</v>
      </c>
      <c r="J868" s="1">
        <v>1.0</v>
      </c>
      <c r="K868" s="1">
        <v>1.0</v>
      </c>
      <c r="L868" s="1">
        <v>0.0</v>
      </c>
      <c r="M868" s="1">
        <v>0.0</v>
      </c>
      <c r="N868" s="1">
        <v>0.0</v>
      </c>
      <c r="O868" s="1">
        <v>0.0</v>
      </c>
      <c r="P868" s="1">
        <v>5.0</v>
      </c>
      <c r="Q868" s="1">
        <v>5.0</v>
      </c>
    </row>
    <row r="869">
      <c r="A869" s="1">
        <f t="shared" si="1"/>
        <v>866</v>
      </c>
      <c r="B869" s="1" t="s">
        <v>2417</v>
      </c>
      <c r="C869" s="1" t="s">
        <v>1120</v>
      </c>
      <c r="D869" s="1" t="s">
        <v>36</v>
      </c>
      <c r="E869" s="1">
        <f t="shared" si="2"/>
        <v>7.25</v>
      </c>
      <c r="F869" s="1">
        <f t="shared" si="3"/>
        <v>0.81</v>
      </c>
      <c r="G869" s="1">
        <v>9.0</v>
      </c>
      <c r="H869" s="1">
        <v>0.0</v>
      </c>
      <c r="I869" s="1">
        <v>0.0</v>
      </c>
      <c r="J869" s="1">
        <v>0.0</v>
      </c>
      <c r="K869" s="1">
        <v>6.0</v>
      </c>
      <c r="L869" s="1">
        <v>0.0</v>
      </c>
      <c r="M869" s="1">
        <v>0.0</v>
      </c>
      <c r="N869" s="1">
        <v>0.0</v>
      </c>
      <c r="O869" s="1">
        <v>0.0</v>
      </c>
      <c r="P869" s="1">
        <v>15.0</v>
      </c>
      <c r="Q869" s="1">
        <v>1.0</v>
      </c>
    </row>
    <row r="870">
      <c r="A870" s="1">
        <f t="shared" si="1"/>
        <v>868</v>
      </c>
      <c r="B870" s="1" t="s">
        <v>1919</v>
      </c>
      <c r="C870" s="1" t="s">
        <v>1080</v>
      </c>
      <c r="D870" s="1" t="s">
        <v>31</v>
      </c>
      <c r="E870" s="1">
        <f t="shared" si="2"/>
        <v>7</v>
      </c>
      <c r="F870" s="1">
        <f t="shared" si="3"/>
        <v>7</v>
      </c>
      <c r="G870" s="1">
        <v>1.0</v>
      </c>
      <c r="H870" s="1">
        <v>1.0</v>
      </c>
      <c r="I870" s="1">
        <v>0.0</v>
      </c>
      <c r="J870" s="1">
        <v>1.0</v>
      </c>
      <c r="K870" s="1">
        <v>2.0</v>
      </c>
      <c r="L870" s="1">
        <v>0.0</v>
      </c>
      <c r="M870" s="1">
        <v>0.0</v>
      </c>
      <c r="N870" s="1">
        <v>0.0</v>
      </c>
      <c r="O870" s="1">
        <v>0.0</v>
      </c>
      <c r="P870" s="1">
        <v>6.0</v>
      </c>
      <c r="Q870" s="1">
        <v>0.0</v>
      </c>
    </row>
    <row r="871">
      <c r="A871" s="1">
        <f t="shared" si="1"/>
        <v>868</v>
      </c>
      <c r="B871" s="1" t="s">
        <v>2062</v>
      </c>
      <c r="C871" s="1" t="s">
        <v>1085</v>
      </c>
      <c r="D871" s="1" t="s">
        <v>31</v>
      </c>
      <c r="E871" s="1">
        <f t="shared" si="2"/>
        <v>7</v>
      </c>
      <c r="F871" s="1">
        <f t="shared" si="3"/>
        <v>0.88</v>
      </c>
      <c r="G871" s="1">
        <v>8.0</v>
      </c>
      <c r="H871" s="1">
        <v>0.0</v>
      </c>
      <c r="I871" s="1">
        <v>0.0</v>
      </c>
      <c r="J871" s="1">
        <v>0.0</v>
      </c>
      <c r="K871" s="1">
        <v>8.0</v>
      </c>
      <c r="L871" s="1">
        <v>0.0</v>
      </c>
      <c r="M871" s="1">
        <v>0.0</v>
      </c>
      <c r="N871" s="1">
        <v>0.0</v>
      </c>
      <c r="O871" s="1">
        <v>0.0</v>
      </c>
      <c r="P871" s="1">
        <v>8.0</v>
      </c>
      <c r="Q871" s="1">
        <v>2.0</v>
      </c>
    </row>
    <row r="872">
      <c r="A872" s="1">
        <f t="shared" si="1"/>
        <v>868</v>
      </c>
      <c r="B872" s="1" t="s">
        <v>2076</v>
      </c>
      <c r="C872" s="1" t="s">
        <v>1030</v>
      </c>
      <c r="D872" s="1" t="s">
        <v>28</v>
      </c>
      <c r="E872" s="1">
        <f t="shared" si="2"/>
        <v>7</v>
      </c>
      <c r="F872" s="1">
        <f t="shared" si="3"/>
        <v>0.88</v>
      </c>
      <c r="G872" s="1">
        <v>8.0</v>
      </c>
      <c r="H872" s="1">
        <v>0.0</v>
      </c>
      <c r="I872" s="1">
        <v>0.0</v>
      </c>
      <c r="J872" s="1">
        <v>0.0</v>
      </c>
      <c r="K872" s="1">
        <v>4.0</v>
      </c>
      <c r="L872" s="1">
        <v>0.0</v>
      </c>
      <c r="M872" s="1">
        <v>0.0</v>
      </c>
      <c r="N872" s="1">
        <v>0.0</v>
      </c>
      <c r="O872" s="1">
        <v>0.0</v>
      </c>
      <c r="P872" s="1">
        <v>10.0</v>
      </c>
      <c r="Q872" s="1">
        <v>5.0</v>
      </c>
    </row>
    <row r="873">
      <c r="A873" s="1">
        <f t="shared" si="1"/>
        <v>868</v>
      </c>
      <c r="B873" s="1" t="s">
        <v>2195</v>
      </c>
      <c r="C873" s="1" t="s">
        <v>1087</v>
      </c>
      <c r="D873" s="1" t="s">
        <v>31</v>
      </c>
      <c r="E873" s="1">
        <f t="shared" si="2"/>
        <v>7</v>
      </c>
      <c r="F873" s="1">
        <f t="shared" si="3"/>
        <v>0.58</v>
      </c>
      <c r="G873" s="1">
        <v>12.0</v>
      </c>
      <c r="H873" s="1">
        <v>0.0</v>
      </c>
      <c r="I873" s="1">
        <v>0.0</v>
      </c>
      <c r="J873" s="1">
        <v>0.0</v>
      </c>
      <c r="K873" s="1">
        <v>4.0</v>
      </c>
      <c r="L873" s="1">
        <v>0.0</v>
      </c>
      <c r="M873" s="1">
        <v>0.0</v>
      </c>
      <c r="N873" s="1">
        <v>0.0</v>
      </c>
      <c r="O873" s="1">
        <v>0.0</v>
      </c>
      <c r="P873" s="1">
        <v>12.0</v>
      </c>
      <c r="Q873" s="1">
        <v>4.0</v>
      </c>
    </row>
    <row r="874">
      <c r="A874" s="1">
        <f t="shared" si="1"/>
        <v>872</v>
      </c>
      <c r="B874" s="1" t="s">
        <v>1537</v>
      </c>
      <c r="C874" s="1" t="s">
        <v>1065</v>
      </c>
      <c r="D874" s="1" t="s">
        <v>5</v>
      </c>
      <c r="E874" s="1">
        <f t="shared" si="2"/>
        <v>6.9</v>
      </c>
      <c r="F874" s="1">
        <f t="shared" si="3"/>
        <v>6.9</v>
      </c>
      <c r="G874" s="1">
        <v>1.0</v>
      </c>
      <c r="R874" s="1">
        <v>0.0</v>
      </c>
      <c r="S874" s="1">
        <v>2.0</v>
      </c>
      <c r="T874" s="1">
        <v>33.0</v>
      </c>
      <c r="U874" s="1">
        <v>0.0</v>
      </c>
    </row>
    <row r="875">
      <c r="A875" s="1">
        <f t="shared" si="1"/>
        <v>873</v>
      </c>
      <c r="B875" s="1" t="s">
        <v>2659</v>
      </c>
      <c r="C875" s="1" t="s">
        <v>1570</v>
      </c>
      <c r="D875" s="1" t="s">
        <v>28</v>
      </c>
      <c r="E875" s="1">
        <f t="shared" si="2"/>
        <v>6.75</v>
      </c>
      <c r="F875" s="1">
        <f t="shared" si="3"/>
        <v>1.69</v>
      </c>
      <c r="G875" s="1">
        <v>4.0</v>
      </c>
      <c r="H875" s="1">
        <v>0.0</v>
      </c>
      <c r="I875" s="1">
        <v>1.0</v>
      </c>
      <c r="J875" s="1">
        <v>1.0</v>
      </c>
      <c r="K875" s="1">
        <v>5.0</v>
      </c>
      <c r="L875" s="1">
        <v>0.0</v>
      </c>
      <c r="M875" s="1">
        <v>0.0</v>
      </c>
      <c r="N875" s="1">
        <v>0.0</v>
      </c>
      <c r="O875" s="1">
        <v>0.0</v>
      </c>
      <c r="P875" s="1">
        <v>3.0</v>
      </c>
      <c r="Q875" s="1">
        <v>1.0</v>
      </c>
    </row>
    <row r="876">
      <c r="A876" s="1">
        <f t="shared" si="1"/>
        <v>873</v>
      </c>
      <c r="B876" s="1" t="s">
        <v>2268</v>
      </c>
      <c r="C876" s="1" t="s">
        <v>1036</v>
      </c>
      <c r="D876" s="1" t="s">
        <v>28</v>
      </c>
      <c r="E876" s="1">
        <f t="shared" si="2"/>
        <v>6.75</v>
      </c>
      <c r="F876" s="1">
        <f t="shared" si="3"/>
        <v>0.96</v>
      </c>
      <c r="G876" s="1">
        <v>7.0</v>
      </c>
      <c r="H876" s="1">
        <v>0.0</v>
      </c>
      <c r="I876" s="1">
        <v>1.0</v>
      </c>
      <c r="J876" s="1">
        <v>1.0</v>
      </c>
      <c r="K876" s="1">
        <v>5.0</v>
      </c>
      <c r="L876" s="1">
        <v>0.0</v>
      </c>
      <c r="M876" s="1">
        <v>0.0</v>
      </c>
      <c r="N876" s="1">
        <v>0.0</v>
      </c>
      <c r="O876" s="1">
        <v>0.0</v>
      </c>
      <c r="P876" s="1">
        <v>3.0</v>
      </c>
      <c r="Q876" s="1">
        <v>1.0</v>
      </c>
    </row>
    <row r="877">
      <c r="A877" s="1">
        <f t="shared" si="1"/>
        <v>875</v>
      </c>
      <c r="B877" s="1" t="s">
        <v>2660</v>
      </c>
      <c r="C877" s="1" t="s">
        <v>1073</v>
      </c>
      <c r="D877" s="1" t="s">
        <v>5</v>
      </c>
      <c r="E877" s="1">
        <f t="shared" si="2"/>
        <v>6.6</v>
      </c>
      <c r="F877" s="1">
        <f t="shared" si="3"/>
        <v>3.3</v>
      </c>
      <c r="G877" s="1">
        <v>2.0</v>
      </c>
      <c r="R877" s="1">
        <v>1.0</v>
      </c>
      <c r="S877" s="1">
        <v>5.0</v>
      </c>
      <c r="T877" s="1">
        <v>37.0</v>
      </c>
      <c r="U877" s="1">
        <v>0.0</v>
      </c>
    </row>
    <row r="878">
      <c r="A878" s="1">
        <f t="shared" si="1"/>
        <v>876</v>
      </c>
      <c r="B878" s="1" t="s">
        <v>2661</v>
      </c>
      <c r="C878" s="1" t="s">
        <v>1175</v>
      </c>
      <c r="D878" s="1" t="s">
        <v>31</v>
      </c>
      <c r="E878" s="1">
        <f t="shared" si="2"/>
        <v>6.5</v>
      </c>
      <c r="F878" s="1">
        <f t="shared" si="3"/>
        <v>2.17</v>
      </c>
      <c r="G878" s="1">
        <v>3.0</v>
      </c>
      <c r="H878" s="1">
        <v>1.0</v>
      </c>
      <c r="I878" s="1">
        <v>0.0</v>
      </c>
      <c r="J878" s="1">
        <v>1.0</v>
      </c>
      <c r="K878" s="1">
        <v>3.0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1.0</v>
      </c>
    </row>
    <row r="879">
      <c r="A879" s="1">
        <f t="shared" si="1"/>
        <v>876</v>
      </c>
      <c r="B879" s="1" t="s">
        <v>2329</v>
      </c>
      <c r="C879" s="1" t="s">
        <v>1570</v>
      </c>
      <c r="D879" s="1" t="s">
        <v>66</v>
      </c>
      <c r="E879" s="1">
        <f t="shared" si="2"/>
        <v>6.5</v>
      </c>
      <c r="F879" s="1">
        <f t="shared" si="3"/>
        <v>1.63</v>
      </c>
      <c r="G879" s="1">
        <v>4.0</v>
      </c>
      <c r="H879" s="1">
        <v>0.0</v>
      </c>
      <c r="I879" s="1">
        <v>0.0</v>
      </c>
      <c r="J879" s="1">
        <v>0.0</v>
      </c>
      <c r="K879" s="1">
        <v>4.0</v>
      </c>
      <c r="L879" s="1">
        <v>0.0</v>
      </c>
      <c r="M879" s="1">
        <v>0.0</v>
      </c>
      <c r="N879" s="1">
        <v>0.0</v>
      </c>
      <c r="O879" s="1">
        <v>0.0</v>
      </c>
      <c r="P879" s="1">
        <v>6.0</v>
      </c>
      <c r="Q879" s="1">
        <v>6.0</v>
      </c>
    </row>
    <row r="880">
      <c r="A880" s="1">
        <f t="shared" si="1"/>
        <v>878</v>
      </c>
      <c r="B880" s="1" t="s">
        <v>2394</v>
      </c>
      <c r="C880" s="1" t="s">
        <v>1040</v>
      </c>
      <c r="D880" s="1" t="s">
        <v>28</v>
      </c>
      <c r="E880" s="1">
        <f t="shared" si="2"/>
        <v>6.25</v>
      </c>
      <c r="F880" s="1">
        <f t="shared" si="3"/>
        <v>3.13</v>
      </c>
      <c r="G880" s="1">
        <v>2.0</v>
      </c>
      <c r="H880" s="1">
        <v>0.0</v>
      </c>
      <c r="I880" s="1">
        <v>1.0</v>
      </c>
      <c r="J880" s="1">
        <v>1.0</v>
      </c>
      <c r="K880" s="1">
        <v>3.0</v>
      </c>
      <c r="L880" s="1">
        <v>0.0</v>
      </c>
      <c r="M880" s="1">
        <v>0.0</v>
      </c>
      <c r="N880" s="1">
        <v>0.0</v>
      </c>
      <c r="O880" s="1">
        <v>0.0</v>
      </c>
      <c r="P880" s="1">
        <v>5.0</v>
      </c>
      <c r="Q880" s="1">
        <v>1.0</v>
      </c>
    </row>
    <row r="881">
      <c r="A881" s="1">
        <f t="shared" si="1"/>
        <v>878</v>
      </c>
      <c r="B881" s="1" t="s">
        <v>2411</v>
      </c>
      <c r="C881" s="1" t="s">
        <v>1034</v>
      </c>
      <c r="D881" s="1" t="s">
        <v>31</v>
      </c>
      <c r="E881" s="1">
        <f t="shared" si="2"/>
        <v>6.25</v>
      </c>
      <c r="F881" s="1">
        <f t="shared" si="3"/>
        <v>2.08</v>
      </c>
      <c r="G881" s="1">
        <v>3.0</v>
      </c>
      <c r="H881" s="1">
        <v>1.0</v>
      </c>
      <c r="I881" s="1">
        <v>0.0</v>
      </c>
      <c r="J881" s="1">
        <v>1.0</v>
      </c>
      <c r="K881" s="1">
        <v>1.0</v>
      </c>
      <c r="L881" s="1">
        <v>0.0</v>
      </c>
      <c r="M881" s="1">
        <v>0.0</v>
      </c>
      <c r="N881" s="1">
        <v>0.0</v>
      </c>
      <c r="O881" s="1">
        <v>0.0</v>
      </c>
      <c r="P881" s="1">
        <v>1.0</v>
      </c>
      <c r="Q881" s="1">
        <v>2.0</v>
      </c>
    </row>
    <row r="882">
      <c r="A882" s="1">
        <f t="shared" si="1"/>
        <v>878</v>
      </c>
      <c r="B882" s="1" t="s">
        <v>2516</v>
      </c>
      <c r="C882" s="1" t="s">
        <v>1085</v>
      </c>
      <c r="D882" s="1" t="s">
        <v>31</v>
      </c>
      <c r="E882" s="1">
        <f t="shared" si="2"/>
        <v>6.25</v>
      </c>
      <c r="F882" s="1">
        <f t="shared" si="3"/>
        <v>2.08</v>
      </c>
      <c r="G882" s="1">
        <v>3.0</v>
      </c>
      <c r="H882" s="1">
        <v>1.0</v>
      </c>
      <c r="I882" s="1">
        <v>0.0</v>
      </c>
      <c r="J882" s="1">
        <v>1.0</v>
      </c>
      <c r="K882" s="1">
        <v>2.0</v>
      </c>
      <c r="L882" s="1">
        <v>0.0</v>
      </c>
      <c r="M882" s="1">
        <v>0.0</v>
      </c>
      <c r="N882" s="1">
        <v>0.0</v>
      </c>
      <c r="O882" s="1">
        <v>0.0</v>
      </c>
      <c r="P882" s="1">
        <v>1.0</v>
      </c>
      <c r="Q882" s="1">
        <v>1.0</v>
      </c>
    </row>
    <row r="883">
      <c r="A883" s="1">
        <f t="shared" si="1"/>
        <v>878</v>
      </c>
      <c r="B883" s="1" t="s">
        <v>1627</v>
      </c>
      <c r="C883" s="1" t="s">
        <v>1040</v>
      </c>
      <c r="D883" s="1" t="s">
        <v>36</v>
      </c>
      <c r="E883" s="1">
        <f t="shared" si="2"/>
        <v>6.25</v>
      </c>
      <c r="F883" s="1">
        <f t="shared" si="3"/>
        <v>2.08</v>
      </c>
      <c r="G883" s="1">
        <v>3.0</v>
      </c>
      <c r="H883" s="1">
        <v>0.0</v>
      </c>
      <c r="I883" s="1">
        <v>1.0</v>
      </c>
      <c r="J883" s="1">
        <v>1.0</v>
      </c>
      <c r="K883" s="1">
        <v>5.0</v>
      </c>
      <c r="L883" s="1">
        <v>0.0</v>
      </c>
      <c r="M883" s="1">
        <v>0.0</v>
      </c>
      <c r="N883" s="1">
        <v>0.0</v>
      </c>
      <c r="O883" s="1">
        <v>0.0</v>
      </c>
      <c r="P883" s="1">
        <v>3.0</v>
      </c>
      <c r="Q883" s="1">
        <v>0.0</v>
      </c>
    </row>
    <row r="884">
      <c r="A884" s="1">
        <f t="shared" si="1"/>
        <v>878</v>
      </c>
      <c r="B884" s="1" t="s">
        <v>2662</v>
      </c>
      <c r="C884" s="1" t="s">
        <v>1044</v>
      </c>
      <c r="D884" s="1" t="s">
        <v>31</v>
      </c>
      <c r="E884" s="1">
        <f t="shared" si="2"/>
        <v>6.25</v>
      </c>
      <c r="F884" s="1">
        <f t="shared" si="3"/>
        <v>2.08</v>
      </c>
      <c r="G884" s="1">
        <v>3.0</v>
      </c>
      <c r="H884" s="1">
        <v>0.0</v>
      </c>
      <c r="I884" s="1">
        <v>0.0</v>
      </c>
      <c r="J884" s="1">
        <v>0.0</v>
      </c>
      <c r="K884" s="1">
        <v>9.0</v>
      </c>
      <c r="L884" s="1">
        <v>0.0</v>
      </c>
      <c r="M884" s="1">
        <v>0.0</v>
      </c>
      <c r="N884" s="1">
        <v>0.0</v>
      </c>
      <c r="O884" s="1">
        <v>0.0</v>
      </c>
      <c r="P884" s="1">
        <v>3.0</v>
      </c>
      <c r="Q884" s="1">
        <v>2.0</v>
      </c>
    </row>
    <row r="885">
      <c r="A885" s="1">
        <f t="shared" si="1"/>
        <v>878</v>
      </c>
      <c r="B885" s="1" t="s">
        <v>2380</v>
      </c>
      <c r="C885" s="1" t="s">
        <v>1073</v>
      </c>
      <c r="D885" s="1" t="s">
        <v>31</v>
      </c>
      <c r="E885" s="1">
        <f t="shared" si="2"/>
        <v>6.25</v>
      </c>
      <c r="F885" s="1">
        <f t="shared" si="3"/>
        <v>1.25</v>
      </c>
      <c r="G885" s="1">
        <v>5.0</v>
      </c>
      <c r="H885" s="1">
        <v>0.0</v>
      </c>
      <c r="I885" s="1">
        <v>1.0</v>
      </c>
      <c r="J885" s="1">
        <v>1.0</v>
      </c>
      <c r="K885" s="1">
        <v>4.0</v>
      </c>
      <c r="L885" s="1">
        <v>0.0</v>
      </c>
      <c r="M885" s="1">
        <v>0.0</v>
      </c>
      <c r="N885" s="1">
        <v>0.0</v>
      </c>
      <c r="O885" s="1">
        <v>0.0</v>
      </c>
      <c r="P885" s="1">
        <v>5.0</v>
      </c>
      <c r="Q885" s="1">
        <v>0.0</v>
      </c>
    </row>
    <row r="886">
      <c r="A886" s="1">
        <f t="shared" si="1"/>
        <v>878</v>
      </c>
      <c r="B886" s="1" t="s">
        <v>2663</v>
      </c>
      <c r="C886" s="1" t="s">
        <v>1044</v>
      </c>
      <c r="D886" s="1" t="s">
        <v>36</v>
      </c>
      <c r="E886" s="1">
        <f t="shared" si="2"/>
        <v>6.25</v>
      </c>
      <c r="F886" s="1">
        <f t="shared" si="3"/>
        <v>1.04</v>
      </c>
      <c r="G886" s="1">
        <v>6.0</v>
      </c>
      <c r="H886" s="1">
        <v>0.0</v>
      </c>
      <c r="I886" s="1">
        <v>1.0</v>
      </c>
      <c r="J886" s="1">
        <v>1.0</v>
      </c>
      <c r="K886" s="1">
        <v>3.0</v>
      </c>
      <c r="L886" s="1">
        <v>0.0</v>
      </c>
      <c r="M886" s="1">
        <v>0.0</v>
      </c>
      <c r="N886" s="1">
        <v>0.0</v>
      </c>
      <c r="O886" s="1">
        <v>0.0</v>
      </c>
      <c r="P886" s="1">
        <v>5.0</v>
      </c>
      <c r="Q886" s="1">
        <v>1.0</v>
      </c>
    </row>
    <row r="887">
      <c r="A887" s="1">
        <f t="shared" si="1"/>
        <v>885</v>
      </c>
      <c r="B887" s="1" t="s">
        <v>2577</v>
      </c>
      <c r="C887" s="1" t="s">
        <v>1044</v>
      </c>
      <c r="D887" s="1" t="s">
        <v>36</v>
      </c>
      <c r="E887" s="1">
        <f t="shared" si="2"/>
        <v>6</v>
      </c>
      <c r="F887" s="1">
        <f t="shared" si="3"/>
        <v>3</v>
      </c>
      <c r="G887" s="1">
        <v>2.0</v>
      </c>
      <c r="H887" s="1">
        <v>1.0</v>
      </c>
      <c r="I887" s="1">
        <v>0.0</v>
      </c>
      <c r="J887" s="1">
        <v>1.0</v>
      </c>
      <c r="K887" s="1">
        <v>3.0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</row>
    <row r="888">
      <c r="A888" s="1">
        <f t="shared" si="1"/>
        <v>885</v>
      </c>
      <c r="B888" s="1" t="s">
        <v>2438</v>
      </c>
      <c r="C888" s="1" t="s">
        <v>1082</v>
      </c>
      <c r="D888" s="1" t="s">
        <v>66</v>
      </c>
      <c r="E888" s="1">
        <f t="shared" si="2"/>
        <v>6</v>
      </c>
      <c r="F888" s="1">
        <f t="shared" si="3"/>
        <v>3</v>
      </c>
      <c r="G888" s="1">
        <v>2.0</v>
      </c>
      <c r="H888" s="1">
        <v>0.0</v>
      </c>
      <c r="I888" s="1">
        <v>1.0</v>
      </c>
      <c r="J888" s="1">
        <v>1.0</v>
      </c>
      <c r="K888" s="1">
        <v>2.0</v>
      </c>
      <c r="L888" s="1">
        <v>0.0</v>
      </c>
      <c r="M888" s="1">
        <v>0.0</v>
      </c>
      <c r="N888" s="1">
        <v>0.0</v>
      </c>
      <c r="O888" s="1">
        <v>0.0</v>
      </c>
      <c r="P888" s="1">
        <v>2.0</v>
      </c>
      <c r="Q888" s="1">
        <v>3.0</v>
      </c>
    </row>
    <row r="889">
      <c r="A889" s="1">
        <f t="shared" si="1"/>
        <v>885</v>
      </c>
      <c r="B889" s="1" t="s">
        <v>2432</v>
      </c>
      <c r="C889" s="1" t="s">
        <v>1156</v>
      </c>
      <c r="D889" s="1" t="s">
        <v>31</v>
      </c>
      <c r="E889" s="1">
        <f t="shared" si="2"/>
        <v>6</v>
      </c>
      <c r="F889" s="1">
        <f t="shared" si="3"/>
        <v>2</v>
      </c>
      <c r="G889" s="1">
        <v>3.0</v>
      </c>
      <c r="H889" s="1">
        <v>0.0</v>
      </c>
      <c r="I889" s="1">
        <v>0.0</v>
      </c>
      <c r="J889" s="1">
        <v>0.0</v>
      </c>
      <c r="K889" s="1">
        <v>6.0</v>
      </c>
      <c r="L889" s="1">
        <v>0.0</v>
      </c>
      <c r="M889" s="1">
        <v>0.0</v>
      </c>
      <c r="N889" s="1">
        <v>0.0</v>
      </c>
      <c r="O889" s="1">
        <v>0.0</v>
      </c>
      <c r="P889" s="1">
        <v>10.0</v>
      </c>
      <c r="Q889" s="1">
        <v>1.0</v>
      </c>
    </row>
    <row r="890">
      <c r="A890" s="1">
        <f t="shared" si="1"/>
        <v>885</v>
      </c>
      <c r="B890" s="1" t="s">
        <v>2095</v>
      </c>
      <c r="C890" s="1" t="s">
        <v>1030</v>
      </c>
      <c r="D890" s="1" t="s">
        <v>31</v>
      </c>
      <c r="E890" s="1">
        <f t="shared" si="2"/>
        <v>6</v>
      </c>
      <c r="F890" s="1">
        <f t="shared" si="3"/>
        <v>1.2</v>
      </c>
      <c r="G890" s="1">
        <v>5.0</v>
      </c>
      <c r="H890" s="1">
        <v>0.0</v>
      </c>
      <c r="I890" s="1">
        <v>0.0</v>
      </c>
      <c r="J890" s="1">
        <v>0.0</v>
      </c>
      <c r="K890" s="1">
        <v>2.0</v>
      </c>
      <c r="L890" s="1">
        <v>0.0</v>
      </c>
      <c r="M890" s="1">
        <v>0.0</v>
      </c>
      <c r="N890" s="1">
        <v>0.0</v>
      </c>
      <c r="O890" s="1">
        <v>0.0</v>
      </c>
      <c r="P890" s="1">
        <v>16.0</v>
      </c>
      <c r="Q890" s="1">
        <v>2.0</v>
      </c>
    </row>
    <row r="891">
      <c r="A891" s="1">
        <f t="shared" si="1"/>
        <v>889</v>
      </c>
      <c r="B891" s="1" t="s">
        <v>2664</v>
      </c>
      <c r="C891" s="1" t="s">
        <v>1076</v>
      </c>
      <c r="D891" s="1" t="s">
        <v>31</v>
      </c>
      <c r="E891" s="1">
        <f t="shared" si="2"/>
        <v>5.75</v>
      </c>
      <c r="F891" s="1">
        <f t="shared" si="3"/>
        <v>1.92</v>
      </c>
      <c r="G891" s="1">
        <v>3.0</v>
      </c>
      <c r="H891" s="1">
        <v>0.0</v>
      </c>
      <c r="I891" s="1">
        <v>1.0</v>
      </c>
      <c r="J891" s="1">
        <v>1.0</v>
      </c>
      <c r="K891" s="1">
        <v>4.0</v>
      </c>
      <c r="L891" s="1">
        <v>0.0</v>
      </c>
      <c r="M891" s="1">
        <v>0.0</v>
      </c>
      <c r="N891" s="1">
        <v>0.0</v>
      </c>
      <c r="O891" s="1">
        <v>0.0</v>
      </c>
      <c r="P891" s="1">
        <v>3.0</v>
      </c>
      <c r="Q891" s="1">
        <v>0.0</v>
      </c>
    </row>
    <row r="892">
      <c r="A892" s="1">
        <f t="shared" si="1"/>
        <v>889</v>
      </c>
      <c r="B892" s="1" t="s">
        <v>2665</v>
      </c>
      <c r="C892" s="1" t="s">
        <v>1052</v>
      </c>
      <c r="D892" s="1" t="s">
        <v>28</v>
      </c>
      <c r="E892" s="1">
        <f t="shared" si="2"/>
        <v>5.75</v>
      </c>
      <c r="F892" s="1">
        <f t="shared" si="3"/>
        <v>1.15</v>
      </c>
      <c r="G892" s="1">
        <v>5.0</v>
      </c>
      <c r="H892" s="1">
        <v>0.0</v>
      </c>
      <c r="I892" s="1">
        <v>1.0</v>
      </c>
      <c r="J892" s="1">
        <v>1.0</v>
      </c>
      <c r="K892" s="1">
        <v>4.0</v>
      </c>
      <c r="L892" s="1">
        <v>0.0</v>
      </c>
      <c r="M892" s="1">
        <v>0.0</v>
      </c>
      <c r="N892" s="1">
        <v>0.0</v>
      </c>
      <c r="O892" s="1">
        <v>0.0</v>
      </c>
      <c r="P892" s="1">
        <v>1.0</v>
      </c>
      <c r="Q892" s="1">
        <v>1.0</v>
      </c>
    </row>
    <row r="893">
      <c r="A893" s="1">
        <f t="shared" si="1"/>
        <v>889</v>
      </c>
      <c r="B893" s="1" t="s">
        <v>2666</v>
      </c>
      <c r="C893" s="1" t="s">
        <v>1570</v>
      </c>
      <c r="D893" s="1" t="s">
        <v>31</v>
      </c>
      <c r="E893" s="1">
        <f t="shared" si="2"/>
        <v>5.75</v>
      </c>
      <c r="F893" s="1">
        <f t="shared" si="3"/>
        <v>0.82</v>
      </c>
      <c r="G893" s="1">
        <v>7.0</v>
      </c>
      <c r="H893" s="1">
        <v>0.0</v>
      </c>
      <c r="I893" s="1">
        <v>0.0</v>
      </c>
      <c r="J893" s="1">
        <v>0.0</v>
      </c>
      <c r="K893" s="1">
        <v>5.0</v>
      </c>
      <c r="L893" s="1">
        <v>0.0</v>
      </c>
      <c r="M893" s="1">
        <v>0.0</v>
      </c>
      <c r="N893" s="1">
        <v>0.0</v>
      </c>
      <c r="O893" s="1">
        <v>0.0</v>
      </c>
      <c r="P893" s="1">
        <v>3.0</v>
      </c>
      <c r="Q893" s="1">
        <v>5.0</v>
      </c>
    </row>
    <row r="894">
      <c r="A894" s="1">
        <f t="shared" si="1"/>
        <v>892</v>
      </c>
      <c r="B894" s="1" t="s">
        <v>2667</v>
      </c>
      <c r="C894" s="1" t="s">
        <v>1032</v>
      </c>
      <c r="D894" s="1" t="s">
        <v>36</v>
      </c>
      <c r="E894" s="1">
        <f t="shared" si="2"/>
        <v>5.25</v>
      </c>
      <c r="F894" s="1">
        <f t="shared" si="3"/>
        <v>5.25</v>
      </c>
      <c r="G894" s="1">
        <v>1.0</v>
      </c>
      <c r="H894" s="1">
        <v>1.0</v>
      </c>
      <c r="I894" s="1">
        <v>0.0</v>
      </c>
      <c r="J894" s="1">
        <v>1.0</v>
      </c>
      <c r="K894" s="1">
        <v>1.0</v>
      </c>
      <c r="L894" s="1">
        <v>0.0</v>
      </c>
      <c r="M894" s="1">
        <v>0.0</v>
      </c>
      <c r="N894" s="1">
        <v>0.0</v>
      </c>
      <c r="O894" s="1">
        <v>0.0</v>
      </c>
      <c r="P894" s="1">
        <v>1.0</v>
      </c>
      <c r="Q894" s="1">
        <v>0.0</v>
      </c>
    </row>
    <row r="895">
      <c r="A895" s="1">
        <f t="shared" si="1"/>
        <v>892</v>
      </c>
      <c r="B895" s="1" t="s">
        <v>1917</v>
      </c>
      <c r="C895" s="1" t="s">
        <v>1156</v>
      </c>
      <c r="D895" s="1" t="s">
        <v>31</v>
      </c>
      <c r="E895" s="1">
        <f t="shared" si="2"/>
        <v>5.25</v>
      </c>
      <c r="F895" s="1">
        <f t="shared" si="3"/>
        <v>2.63</v>
      </c>
      <c r="G895" s="1">
        <v>2.0</v>
      </c>
      <c r="H895" s="1">
        <v>0.0</v>
      </c>
      <c r="I895" s="1">
        <v>1.0</v>
      </c>
      <c r="J895" s="1">
        <v>1.0</v>
      </c>
      <c r="K895" s="1">
        <v>3.0</v>
      </c>
      <c r="L895" s="1">
        <v>0.0</v>
      </c>
      <c r="M895" s="1">
        <v>0.0</v>
      </c>
      <c r="N895" s="1">
        <v>0.0</v>
      </c>
      <c r="O895" s="1">
        <v>0.0</v>
      </c>
      <c r="P895" s="1">
        <v>3.0</v>
      </c>
      <c r="Q895" s="1">
        <v>0.0</v>
      </c>
    </row>
    <row r="896">
      <c r="A896" s="1">
        <f t="shared" si="1"/>
        <v>892</v>
      </c>
      <c r="B896" s="1" t="s">
        <v>1084</v>
      </c>
      <c r="C896" s="1" t="s">
        <v>1085</v>
      </c>
      <c r="D896" s="1" t="s">
        <v>28</v>
      </c>
      <c r="E896" s="1">
        <f t="shared" si="2"/>
        <v>5.25</v>
      </c>
      <c r="F896" s="1">
        <f t="shared" si="3"/>
        <v>1.75</v>
      </c>
      <c r="G896" s="1">
        <v>3.0</v>
      </c>
      <c r="H896" s="1">
        <v>0.0</v>
      </c>
      <c r="I896" s="1">
        <v>1.0</v>
      </c>
      <c r="J896" s="1">
        <v>1.0</v>
      </c>
      <c r="K896" s="1">
        <v>4.0</v>
      </c>
      <c r="L896" s="1">
        <v>0.0</v>
      </c>
      <c r="M896" s="1">
        <v>1.0</v>
      </c>
      <c r="N896" s="1">
        <v>0.0</v>
      </c>
      <c r="O896" s="1">
        <v>0.0</v>
      </c>
      <c r="P896" s="1">
        <v>1.0</v>
      </c>
      <c r="Q896" s="1">
        <v>0.0</v>
      </c>
    </row>
    <row r="897">
      <c r="A897" s="1">
        <f t="shared" si="1"/>
        <v>892</v>
      </c>
      <c r="B897" s="1" t="s">
        <v>1209</v>
      </c>
      <c r="C897" s="1" t="s">
        <v>1048</v>
      </c>
      <c r="D897" s="1" t="s">
        <v>28</v>
      </c>
      <c r="E897" s="1">
        <f t="shared" si="2"/>
        <v>5.25</v>
      </c>
      <c r="F897" s="1">
        <f t="shared" si="3"/>
        <v>1.31</v>
      </c>
      <c r="G897" s="1">
        <v>4.0</v>
      </c>
      <c r="H897" s="1">
        <v>0.0</v>
      </c>
      <c r="I897" s="1">
        <v>1.0</v>
      </c>
      <c r="J897" s="1">
        <v>1.0</v>
      </c>
      <c r="K897" s="1">
        <v>3.0</v>
      </c>
      <c r="L897" s="1">
        <v>0.0</v>
      </c>
      <c r="M897" s="1">
        <v>0.0</v>
      </c>
      <c r="N897" s="1">
        <v>0.0</v>
      </c>
      <c r="O897" s="1">
        <v>0.0</v>
      </c>
      <c r="P897" s="1">
        <v>3.0</v>
      </c>
      <c r="Q897" s="1">
        <v>0.0</v>
      </c>
    </row>
    <row r="898">
      <c r="A898" s="1">
        <f t="shared" si="1"/>
        <v>892</v>
      </c>
      <c r="B898" s="1" t="s">
        <v>2108</v>
      </c>
      <c r="C898" s="1" t="s">
        <v>1120</v>
      </c>
      <c r="D898" s="1" t="s">
        <v>28</v>
      </c>
      <c r="E898" s="1">
        <f t="shared" si="2"/>
        <v>5.25</v>
      </c>
      <c r="F898" s="1">
        <f t="shared" si="3"/>
        <v>1.31</v>
      </c>
      <c r="G898" s="1">
        <v>4.0</v>
      </c>
      <c r="H898" s="1">
        <v>0.0</v>
      </c>
      <c r="I898" s="1">
        <v>0.0</v>
      </c>
      <c r="J898" s="1">
        <v>0.0</v>
      </c>
      <c r="K898" s="1">
        <v>7.0</v>
      </c>
      <c r="L898" s="1">
        <v>0.0</v>
      </c>
      <c r="M898" s="1">
        <v>0.0</v>
      </c>
      <c r="N898" s="1">
        <v>0.0</v>
      </c>
      <c r="O898" s="1">
        <v>0.0</v>
      </c>
      <c r="P898" s="1">
        <v>5.0</v>
      </c>
      <c r="Q898" s="1">
        <v>1.0</v>
      </c>
    </row>
    <row r="899">
      <c r="A899" s="1">
        <f t="shared" si="1"/>
        <v>897</v>
      </c>
      <c r="B899" s="1" t="s">
        <v>2668</v>
      </c>
      <c r="C899" s="1" t="s">
        <v>1076</v>
      </c>
      <c r="D899" s="1" t="s">
        <v>5</v>
      </c>
      <c r="E899" s="1">
        <f t="shared" si="2"/>
        <v>5.1</v>
      </c>
      <c r="F899" s="1">
        <f t="shared" si="3"/>
        <v>2.55</v>
      </c>
      <c r="G899" s="1">
        <v>2.0</v>
      </c>
      <c r="R899" s="1">
        <v>0.0</v>
      </c>
      <c r="S899" s="1">
        <v>4.0</v>
      </c>
      <c r="T899" s="1">
        <v>37.0</v>
      </c>
      <c r="U899" s="1">
        <v>0.0</v>
      </c>
    </row>
    <row r="900">
      <c r="A900" s="1">
        <f t="shared" si="1"/>
        <v>898</v>
      </c>
      <c r="B900" s="1" t="s">
        <v>1862</v>
      </c>
      <c r="C900" s="1" t="s">
        <v>1038</v>
      </c>
      <c r="D900" s="1" t="s">
        <v>31</v>
      </c>
      <c r="E900" s="1">
        <f t="shared" si="2"/>
        <v>5</v>
      </c>
      <c r="F900" s="1">
        <f t="shared" si="3"/>
        <v>2.5</v>
      </c>
      <c r="G900" s="1">
        <v>2.0</v>
      </c>
      <c r="H900" s="1">
        <v>0.0</v>
      </c>
      <c r="I900" s="1">
        <v>1.0</v>
      </c>
      <c r="J900" s="1">
        <v>1.0</v>
      </c>
      <c r="K900" s="1">
        <v>3.0</v>
      </c>
      <c r="L900" s="1">
        <v>0.0</v>
      </c>
      <c r="M900" s="1">
        <v>0.0</v>
      </c>
      <c r="N900" s="1">
        <v>0.0</v>
      </c>
      <c r="O900" s="1">
        <v>0.0</v>
      </c>
      <c r="P900" s="1">
        <v>2.0</v>
      </c>
      <c r="Q900" s="1">
        <v>0.0</v>
      </c>
    </row>
    <row r="901">
      <c r="A901" s="1">
        <f t="shared" si="1"/>
        <v>898</v>
      </c>
      <c r="B901" s="1" t="s">
        <v>2153</v>
      </c>
      <c r="C901" s="1" t="s">
        <v>1111</v>
      </c>
      <c r="D901" s="1" t="s">
        <v>66</v>
      </c>
      <c r="E901" s="1">
        <f t="shared" si="2"/>
        <v>5</v>
      </c>
      <c r="F901" s="1">
        <f t="shared" si="3"/>
        <v>2.5</v>
      </c>
      <c r="G901" s="1">
        <v>2.0</v>
      </c>
      <c r="H901" s="1">
        <v>0.0</v>
      </c>
      <c r="I901" s="1">
        <v>1.0</v>
      </c>
      <c r="J901" s="1">
        <v>1.0</v>
      </c>
      <c r="K901" s="1">
        <v>3.0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1.0</v>
      </c>
    </row>
    <row r="902">
      <c r="A902" s="1">
        <f t="shared" si="1"/>
        <v>900</v>
      </c>
      <c r="B902" s="1" t="s">
        <v>2669</v>
      </c>
      <c r="C902" s="1" t="s">
        <v>1054</v>
      </c>
      <c r="D902" s="1" t="s">
        <v>31</v>
      </c>
      <c r="E902" s="1">
        <f t="shared" si="2"/>
        <v>4.75</v>
      </c>
      <c r="F902" s="1">
        <f t="shared" si="3"/>
        <v>1.58</v>
      </c>
      <c r="G902" s="1">
        <v>3.0</v>
      </c>
      <c r="H902" s="1">
        <v>0.0</v>
      </c>
      <c r="I902" s="1">
        <v>0.0</v>
      </c>
      <c r="J902" s="1">
        <v>0.0</v>
      </c>
      <c r="K902" s="1">
        <v>3.0</v>
      </c>
      <c r="L902" s="1">
        <v>0.0</v>
      </c>
      <c r="M902" s="1">
        <v>0.0</v>
      </c>
      <c r="N902" s="1">
        <v>0.0</v>
      </c>
      <c r="O902" s="1">
        <v>0.0</v>
      </c>
      <c r="P902" s="1">
        <v>9.0</v>
      </c>
      <c r="Q902" s="1">
        <v>2.0</v>
      </c>
    </row>
    <row r="903">
      <c r="A903" s="1">
        <f t="shared" si="1"/>
        <v>900</v>
      </c>
      <c r="B903" s="1" t="s">
        <v>2670</v>
      </c>
      <c r="C903" s="1" t="s">
        <v>1570</v>
      </c>
      <c r="D903" s="1" t="s">
        <v>66</v>
      </c>
      <c r="E903" s="1">
        <f t="shared" si="2"/>
        <v>4.75</v>
      </c>
      <c r="F903" s="1">
        <f t="shared" si="3"/>
        <v>1.19</v>
      </c>
      <c r="G903" s="1">
        <v>4.0</v>
      </c>
      <c r="H903" s="1">
        <v>0.0</v>
      </c>
      <c r="I903" s="1">
        <v>0.0</v>
      </c>
      <c r="J903" s="1">
        <v>0.0</v>
      </c>
      <c r="K903" s="1">
        <v>5.0</v>
      </c>
      <c r="L903" s="1">
        <v>0.0</v>
      </c>
      <c r="M903" s="1">
        <v>0.0</v>
      </c>
      <c r="N903" s="1">
        <v>0.0</v>
      </c>
      <c r="O903" s="1">
        <v>0.0</v>
      </c>
      <c r="P903" s="1">
        <v>3.0</v>
      </c>
      <c r="Q903" s="1">
        <v>3.0</v>
      </c>
    </row>
    <row r="904">
      <c r="A904" s="1">
        <f t="shared" si="1"/>
        <v>900</v>
      </c>
      <c r="B904" s="1" t="s">
        <v>2573</v>
      </c>
      <c r="C904" s="1" t="s">
        <v>1097</v>
      </c>
      <c r="D904" s="1" t="s">
        <v>66</v>
      </c>
      <c r="E904" s="1">
        <f t="shared" si="2"/>
        <v>4.75</v>
      </c>
      <c r="F904" s="1">
        <f t="shared" si="3"/>
        <v>0.95</v>
      </c>
      <c r="G904" s="1">
        <v>5.0</v>
      </c>
      <c r="H904" s="1">
        <v>0.0</v>
      </c>
      <c r="I904" s="1">
        <v>0.0</v>
      </c>
      <c r="J904" s="1">
        <v>0.0</v>
      </c>
      <c r="K904" s="1">
        <v>2.0</v>
      </c>
      <c r="L904" s="1">
        <v>0.0</v>
      </c>
      <c r="M904" s="1">
        <v>0.0</v>
      </c>
      <c r="N904" s="1">
        <v>0.0</v>
      </c>
      <c r="O904" s="1">
        <v>0.0</v>
      </c>
      <c r="P904" s="1">
        <v>13.0</v>
      </c>
      <c r="Q904" s="1">
        <v>1.0</v>
      </c>
    </row>
    <row r="905">
      <c r="A905" s="1">
        <f t="shared" si="1"/>
        <v>903</v>
      </c>
      <c r="B905" s="1" t="s">
        <v>2671</v>
      </c>
      <c r="C905" s="1" t="s">
        <v>1080</v>
      </c>
      <c r="D905" s="1" t="s">
        <v>28</v>
      </c>
      <c r="E905" s="1">
        <f t="shared" si="2"/>
        <v>4.5</v>
      </c>
      <c r="F905" s="1">
        <f t="shared" si="3"/>
        <v>1.5</v>
      </c>
      <c r="G905" s="1">
        <v>3.0</v>
      </c>
      <c r="H905" s="1">
        <v>0.0</v>
      </c>
      <c r="I905" s="1">
        <v>1.0</v>
      </c>
      <c r="J905" s="1">
        <v>1.0</v>
      </c>
      <c r="K905" s="1">
        <v>2.0</v>
      </c>
      <c r="L905" s="1">
        <v>0.0</v>
      </c>
      <c r="M905" s="1">
        <v>0.0</v>
      </c>
      <c r="N905" s="1">
        <v>0.0</v>
      </c>
      <c r="O905" s="1">
        <v>0.0</v>
      </c>
      <c r="P905" s="1">
        <v>2.0</v>
      </c>
      <c r="Q905" s="1">
        <v>0.0</v>
      </c>
    </row>
    <row r="906">
      <c r="A906" s="1">
        <f t="shared" si="1"/>
        <v>903</v>
      </c>
      <c r="B906" s="1" t="s">
        <v>2672</v>
      </c>
      <c r="C906" s="1" t="s">
        <v>1038</v>
      </c>
      <c r="D906" s="1" t="s">
        <v>28</v>
      </c>
      <c r="E906" s="1">
        <f t="shared" si="2"/>
        <v>4.5</v>
      </c>
      <c r="F906" s="1">
        <f t="shared" si="3"/>
        <v>1.5</v>
      </c>
      <c r="G906" s="1">
        <v>3.0</v>
      </c>
      <c r="H906" s="1">
        <v>0.0</v>
      </c>
      <c r="I906" s="1">
        <v>1.0</v>
      </c>
      <c r="J906" s="1">
        <v>1.0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2.0</v>
      </c>
      <c r="Q906" s="1">
        <v>2.0</v>
      </c>
    </row>
    <row r="907">
      <c r="A907" s="1">
        <f t="shared" si="1"/>
        <v>903</v>
      </c>
      <c r="B907" s="1" t="s">
        <v>2673</v>
      </c>
      <c r="C907" s="1" t="s">
        <v>1054</v>
      </c>
      <c r="D907" s="1" t="s">
        <v>66</v>
      </c>
      <c r="E907" s="1">
        <f t="shared" si="2"/>
        <v>4.5</v>
      </c>
      <c r="F907" s="1">
        <f t="shared" si="3"/>
        <v>0.9</v>
      </c>
      <c r="G907" s="1">
        <v>5.0</v>
      </c>
      <c r="H907" s="1">
        <v>0.0</v>
      </c>
      <c r="I907" s="1">
        <v>0.0</v>
      </c>
      <c r="J907" s="1">
        <v>0.0</v>
      </c>
      <c r="K907" s="1">
        <v>4.0</v>
      </c>
      <c r="L907" s="1">
        <v>0.0</v>
      </c>
      <c r="M907" s="1">
        <v>0.0</v>
      </c>
      <c r="N907" s="1">
        <v>0.0</v>
      </c>
      <c r="O907" s="1">
        <v>0.0</v>
      </c>
      <c r="P907" s="1">
        <v>2.0</v>
      </c>
      <c r="Q907" s="1">
        <v>4.0</v>
      </c>
    </row>
    <row r="908">
      <c r="A908" s="1">
        <f t="shared" si="1"/>
        <v>903</v>
      </c>
      <c r="B908" s="1" t="s">
        <v>1615</v>
      </c>
      <c r="C908" s="1" t="s">
        <v>1038</v>
      </c>
      <c r="D908" s="1" t="s">
        <v>66</v>
      </c>
      <c r="E908" s="1">
        <f t="shared" si="2"/>
        <v>4.5</v>
      </c>
      <c r="F908" s="1">
        <f t="shared" si="3"/>
        <v>0.9</v>
      </c>
      <c r="G908" s="1">
        <v>5.0</v>
      </c>
      <c r="H908" s="1">
        <v>0.0</v>
      </c>
      <c r="I908" s="1">
        <v>0.0</v>
      </c>
      <c r="J908" s="1">
        <v>0.0</v>
      </c>
      <c r="K908" s="1">
        <v>2.0</v>
      </c>
      <c r="L908" s="1">
        <v>0.0</v>
      </c>
      <c r="M908" s="1">
        <v>0.0</v>
      </c>
      <c r="N908" s="1">
        <v>0.0</v>
      </c>
      <c r="O908" s="1">
        <v>0.0</v>
      </c>
      <c r="P908" s="1">
        <v>8.0</v>
      </c>
      <c r="Q908" s="1">
        <v>3.0</v>
      </c>
    </row>
    <row r="909">
      <c r="A909" s="1">
        <f t="shared" si="1"/>
        <v>907</v>
      </c>
      <c r="B909" s="1" t="s">
        <v>2674</v>
      </c>
      <c r="C909" s="1" t="s">
        <v>1076</v>
      </c>
      <c r="D909" s="1" t="s">
        <v>66</v>
      </c>
      <c r="E909" s="1">
        <f t="shared" si="2"/>
        <v>4.25</v>
      </c>
      <c r="F909" s="1">
        <f t="shared" si="3"/>
        <v>2.13</v>
      </c>
      <c r="G909" s="1">
        <v>2.0</v>
      </c>
      <c r="H909" s="1">
        <v>0.0</v>
      </c>
      <c r="I909" s="1">
        <v>0.0</v>
      </c>
      <c r="J909" s="1">
        <v>0.0</v>
      </c>
      <c r="K909" s="1">
        <v>3.0</v>
      </c>
      <c r="L909" s="1">
        <v>0.0</v>
      </c>
      <c r="M909" s="1">
        <v>0.0</v>
      </c>
      <c r="N909" s="1">
        <v>0.0</v>
      </c>
      <c r="O909" s="1">
        <v>0.0</v>
      </c>
      <c r="P909" s="1">
        <v>3.0</v>
      </c>
      <c r="Q909" s="1">
        <v>4.0</v>
      </c>
    </row>
    <row r="910">
      <c r="A910" s="1">
        <f t="shared" si="1"/>
        <v>907</v>
      </c>
      <c r="B910" s="1" t="s">
        <v>2535</v>
      </c>
      <c r="C910" s="1" t="s">
        <v>1175</v>
      </c>
      <c r="D910" s="1" t="s">
        <v>28</v>
      </c>
      <c r="E910" s="1">
        <f t="shared" si="2"/>
        <v>4.25</v>
      </c>
      <c r="F910" s="1">
        <f t="shared" si="3"/>
        <v>1.42</v>
      </c>
      <c r="G910" s="1">
        <v>3.0</v>
      </c>
      <c r="H910" s="1">
        <v>0.0</v>
      </c>
      <c r="I910" s="1">
        <v>0.0</v>
      </c>
      <c r="J910" s="1">
        <v>0.0</v>
      </c>
      <c r="K910" s="1">
        <v>3.0</v>
      </c>
      <c r="L910" s="1">
        <v>0.0</v>
      </c>
      <c r="M910" s="1">
        <v>0.0</v>
      </c>
      <c r="N910" s="1">
        <v>0.0</v>
      </c>
      <c r="O910" s="1">
        <v>0.0</v>
      </c>
      <c r="P910" s="1">
        <v>3.0</v>
      </c>
      <c r="Q910" s="1">
        <v>4.0</v>
      </c>
    </row>
    <row r="911">
      <c r="A911" s="1">
        <f t="shared" si="1"/>
        <v>907</v>
      </c>
      <c r="B911" s="1" t="s">
        <v>2050</v>
      </c>
      <c r="C911" s="1" t="s">
        <v>1097</v>
      </c>
      <c r="D911" s="1" t="s">
        <v>66</v>
      </c>
      <c r="E911" s="1">
        <f t="shared" si="2"/>
        <v>4.25</v>
      </c>
      <c r="F911" s="1">
        <f t="shared" si="3"/>
        <v>1.42</v>
      </c>
      <c r="G911" s="1">
        <v>3.0</v>
      </c>
      <c r="H911" s="1">
        <v>0.0</v>
      </c>
      <c r="I911" s="1">
        <v>0.0</v>
      </c>
      <c r="J911" s="1">
        <v>0.0</v>
      </c>
      <c r="K911" s="1">
        <v>2.0</v>
      </c>
      <c r="L911" s="1">
        <v>0.0</v>
      </c>
      <c r="M911" s="1">
        <v>0.0</v>
      </c>
      <c r="N911" s="1">
        <v>0.0</v>
      </c>
      <c r="O911" s="1">
        <v>0.0</v>
      </c>
      <c r="P911" s="1">
        <v>1.0</v>
      </c>
      <c r="Q911" s="1">
        <v>6.0</v>
      </c>
    </row>
    <row r="912">
      <c r="A912" s="1">
        <f t="shared" si="1"/>
        <v>907</v>
      </c>
      <c r="B912" s="1" t="s">
        <v>2675</v>
      </c>
      <c r="C912" s="1" t="s">
        <v>1069</v>
      </c>
      <c r="D912" s="1" t="s">
        <v>66</v>
      </c>
      <c r="E912" s="1">
        <f t="shared" si="2"/>
        <v>4.25</v>
      </c>
      <c r="F912" s="1">
        <f t="shared" si="3"/>
        <v>1.06</v>
      </c>
      <c r="G912" s="1">
        <v>4.0</v>
      </c>
      <c r="H912" s="1">
        <v>0.0</v>
      </c>
      <c r="I912" s="1">
        <v>0.0</v>
      </c>
      <c r="J912" s="1">
        <v>0.0</v>
      </c>
      <c r="K912" s="1">
        <v>2.0</v>
      </c>
      <c r="L912" s="1">
        <v>0.0</v>
      </c>
      <c r="M912" s="1">
        <v>0.0</v>
      </c>
      <c r="N912" s="1">
        <v>0.0</v>
      </c>
      <c r="O912" s="1">
        <v>0.0</v>
      </c>
      <c r="P912" s="1">
        <v>13.0</v>
      </c>
      <c r="Q912" s="1">
        <v>0.0</v>
      </c>
    </row>
    <row r="913">
      <c r="A913" s="1">
        <f t="shared" si="1"/>
        <v>907</v>
      </c>
      <c r="B913" s="1" t="s">
        <v>2676</v>
      </c>
      <c r="C913" s="1" t="s">
        <v>1570</v>
      </c>
      <c r="D913" s="1" t="s">
        <v>66</v>
      </c>
      <c r="E913" s="1">
        <f t="shared" si="2"/>
        <v>4.25</v>
      </c>
      <c r="F913" s="1">
        <f t="shared" si="3"/>
        <v>1.06</v>
      </c>
      <c r="G913" s="1">
        <v>4.0</v>
      </c>
      <c r="H913" s="1">
        <v>0.0</v>
      </c>
      <c r="I913" s="1">
        <v>0.0</v>
      </c>
      <c r="J913" s="1">
        <v>0.0</v>
      </c>
      <c r="K913" s="1">
        <v>4.0</v>
      </c>
      <c r="L913" s="1">
        <v>0.0</v>
      </c>
      <c r="M913" s="1">
        <v>0.0</v>
      </c>
      <c r="N913" s="1">
        <v>0.0</v>
      </c>
      <c r="O913" s="1">
        <v>0.0</v>
      </c>
      <c r="P913" s="1">
        <v>1.0</v>
      </c>
      <c r="Q913" s="1">
        <v>4.0</v>
      </c>
    </row>
    <row r="914">
      <c r="A914" s="1">
        <f t="shared" si="1"/>
        <v>912</v>
      </c>
      <c r="B914" s="1" t="s">
        <v>2172</v>
      </c>
      <c r="C914" s="1" t="s">
        <v>1044</v>
      </c>
      <c r="D914" s="1" t="s">
        <v>66</v>
      </c>
      <c r="E914" s="1">
        <f t="shared" si="2"/>
        <v>4</v>
      </c>
      <c r="F914" s="1">
        <f t="shared" si="3"/>
        <v>1.33</v>
      </c>
      <c r="G914" s="1">
        <v>3.0</v>
      </c>
      <c r="H914" s="1">
        <v>0.0</v>
      </c>
      <c r="I914" s="1">
        <v>0.0</v>
      </c>
      <c r="J914" s="1">
        <v>0.0</v>
      </c>
      <c r="K914" s="1">
        <v>4.0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4.0</v>
      </c>
    </row>
    <row r="915">
      <c r="A915" s="1">
        <f t="shared" si="1"/>
        <v>912</v>
      </c>
      <c r="B915" s="1" t="s">
        <v>2263</v>
      </c>
      <c r="C915" s="1" t="s">
        <v>1067</v>
      </c>
      <c r="D915" s="1" t="s">
        <v>31</v>
      </c>
      <c r="E915" s="1">
        <f t="shared" si="2"/>
        <v>4</v>
      </c>
      <c r="F915" s="1">
        <f t="shared" si="3"/>
        <v>0.57</v>
      </c>
      <c r="G915" s="1">
        <v>7.0</v>
      </c>
      <c r="H915" s="1">
        <v>0.0</v>
      </c>
      <c r="I915" s="1">
        <v>0.0</v>
      </c>
      <c r="J915" s="1">
        <v>0.0</v>
      </c>
      <c r="K915" s="1">
        <v>2.0</v>
      </c>
      <c r="L915" s="1">
        <v>0.0</v>
      </c>
      <c r="M915" s="1">
        <v>0.0</v>
      </c>
      <c r="N915" s="1">
        <v>0.0</v>
      </c>
      <c r="O915" s="1">
        <v>0.0</v>
      </c>
      <c r="P915" s="1">
        <v>4.0</v>
      </c>
      <c r="Q915" s="1">
        <v>4.0</v>
      </c>
    </row>
    <row r="916">
      <c r="A916" s="1">
        <f t="shared" si="1"/>
        <v>914</v>
      </c>
      <c r="B916" s="1" t="s">
        <v>2677</v>
      </c>
      <c r="C916" s="1" t="s">
        <v>1116</v>
      </c>
      <c r="D916" s="1" t="s">
        <v>31</v>
      </c>
      <c r="E916" s="1">
        <f t="shared" si="2"/>
        <v>3.75</v>
      </c>
      <c r="F916" s="1">
        <f t="shared" si="3"/>
        <v>1.25</v>
      </c>
      <c r="G916" s="1">
        <v>3.0</v>
      </c>
      <c r="H916" s="1">
        <v>0.0</v>
      </c>
      <c r="I916" s="1">
        <v>0.0</v>
      </c>
      <c r="J916" s="1">
        <v>0.0</v>
      </c>
      <c r="K916" s="1">
        <v>2.0</v>
      </c>
      <c r="L916" s="1">
        <v>0.0</v>
      </c>
      <c r="M916" s="1">
        <v>0.0</v>
      </c>
      <c r="N916" s="1">
        <v>0.0</v>
      </c>
      <c r="O916" s="1">
        <v>0.0</v>
      </c>
      <c r="P916" s="1">
        <v>5.0</v>
      </c>
      <c r="Q916" s="1">
        <v>3.0</v>
      </c>
    </row>
    <row r="917">
      <c r="A917" s="1">
        <f t="shared" si="1"/>
        <v>914</v>
      </c>
      <c r="B917" s="1" t="s">
        <v>1323</v>
      </c>
      <c r="C917" s="1" t="s">
        <v>1082</v>
      </c>
      <c r="D917" s="1" t="s">
        <v>31</v>
      </c>
      <c r="E917" s="1">
        <f t="shared" si="2"/>
        <v>3.75</v>
      </c>
      <c r="F917" s="1">
        <f t="shared" si="3"/>
        <v>1.25</v>
      </c>
      <c r="G917" s="1">
        <v>3.0</v>
      </c>
      <c r="H917" s="1">
        <v>0.0</v>
      </c>
      <c r="I917" s="1">
        <v>0.0</v>
      </c>
      <c r="J917" s="1">
        <v>0.0</v>
      </c>
      <c r="K917" s="1">
        <v>4.0</v>
      </c>
      <c r="L917" s="1">
        <v>0.0</v>
      </c>
      <c r="M917" s="1">
        <v>0.0</v>
      </c>
      <c r="N917" s="1">
        <v>0.0</v>
      </c>
      <c r="O917" s="1">
        <v>0.0</v>
      </c>
      <c r="P917" s="1">
        <v>5.0</v>
      </c>
      <c r="Q917" s="1">
        <v>1.0</v>
      </c>
    </row>
    <row r="918">
      <c r="A918" s="1">
        <f t="shared" si="1"/>
        <v>914</v>
      </c>
      <c r="B918" s="1" t="s">
        <v>2138</v>
      </c>
      <c r="C918" s="1" t="s">
        <v>1076</v>
      </c>
      <c r="D918" s="1" t="s">
        <v>66</v>
      </c>
      <c r="E918" s="1">
        <f t="shared" si="2"/>
        <v>3.75</v>
      </c>
      <c r="F918" s="1">
        <f t="shared" si="3"/>
        <v>0.63</v>
      </c>
      <c r="G918" s="1">
        <v>6.0</v>
      </c>
      <c r="H918" s="1">
        <v>0.0</v>
      </c>
      <c r="I918" s="1">
        <v>0.0</v>
      </c>
      <c r="J918" s="1">
        <v>0.0</v>
      </c>
      <c r="K918" s="1">
        <v>2.0</v>
      </c>
      <c r="L918" s="1">
        <v>0.0</v>
      </c>
      <c r="M918" s="1">
        <v>0.0</v>
      </c>
      <c r="N918" s="1">
        <v>0.0</v>
      </c>
      <c r="O918" s="1">
        <v>0.0</v>
      </c>
      <c r="P918" s="1">
        <v>3.0</v>
      </c>
      <c r="Q918" s="1">
        <v>4.0</v>
      </c>
    </row>
    <row r="919">
      <c r="A919" s="1">
        <f t="shared" si="1"/>
        <v>917</v>
      </c>
      <c r="B919" s="1" t="s">
        <v>1895</v>
      </c>
      <c r="C919" s="1" t="s">
        <v>1116</v>
      </c>
      <c r="D919" s="1" t="s">
        <v>5</v>
      </c>
      <c r="E919" s="1">
        <f t="shared" si="2"/>
        <v>3.6</v>
      </c>
      <c r="F919" s="1">
        <f t="shared" si="3"/>
        <v>1.2</v>
      </c>
      <c r="G919" s="1">
        <v>3.0</v>
      </c>
      <c r="R919" s="1">
        <v>0.0</v>
      </c>
      <c r="S919" s="1">
        <v>9.0</v>
      </c>
      <c r="T919" s="1">
        <v>57.0</v>
      </c>
      <c r="U919" s="1">
        <v>0.0</v>
      </c>
    </row>
    <row r="920">
      <c r="A920" s="1">
        <f t="shared" si="1"/>
        <v>918</v>
      </c>
      <c r="B920" s="1" t="s">
        <v>1825</v>
      </c>
      <c r="C920" s="1" t="s">
        <v>1570</v>
      </c>
      <c r="D920" s="1" t="s">
        <v>31</v>
      </c>
      <c r="E920" s="1">
        <f t="shared" si="2"/>
        <v>3.5</v>
      </c>
      <c r="F920" s="1">
        <f t="shared" si="3"/>
        <v>3.5</v>
      </c>
      <c r="G920" s="1">
        <v>1.0</v>
      </c>
      <c r="H920" s="1">
        <v>0.0</v>
      </c>
      <c r="I920" s="1">
        <v>1.0</v>
      </c>
      <c r="J920" s="1">
        <v>1.0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2.0</v>
      </c>
      <c r="Q920" s="1">
        <v>0.0</v>
      </c>
    </row>
    <row r="921">
      <c r="A921" s="1">
        <f t="shared" si="1"/>
        <v>918</v>
      </c>
      <c r="B921" s="1" t="s">
        <v>2678</v>
      </c>
      <c r="C921" s="1" t="s">
        <v>1091</v>
      </c>
      <c r="D921" s="1" t="s">
        <v>31</v>
      </c>
      <c r="E921" s="1">
        <f t="shared" si="2"/>
        <v>3.5</v>
      </c>
      <c r="F921" s="1">
        <f t="shared" si="3"/>
        <v>0.88</v>
      </c>
      <c r="G921" s="1">
        <v>4.0</v>
      </c>
      <c r="H921" s="1">
        <v>0.0</v>
      </c>
      <c r="I921" s="1">
        <v>0.0</v>
      </c>
      <c r="J921" s="1">
        <v>0.0</v>
      </c>
      <c r="K921" s="1">
        <v>1.0</v>
      </c>
      <c r="L921" s="1">
        <v>0.0</v>
      </c>
      <c r="M921" s="1">
        <v>0.0</v>
      </c>
      <c r="N921" s="1">
        <v>0.0</v>
      </c>
      <c r="O921" s="1">
        <v>0.0</v>
      </c>
      <c r="P921" s="1">
        <v>4.0</v>
      </c>
      <c r="Q921" s="1">
        <v>4.0</v>
      </c>
    </row>
    <row r="922">
      <c r="A922" s="1">
        <f t="shared" si="1"/>
        <v>918</v>
      </c>
      <c r="B922" s="1" t="s">
        <v>1947</v>
      </c>
      <c r="C922" s="1" t="s">
        <v>1044</v>
      </c>
      <c r="D922" s="1" t="s">
        <v>66</v>
      </c>
      <c r="E922" s="1">
        <f t="shared" si="2"/>
        <v>3.5</v>
      </c>
      <c r="F922" s="1">
        <f t="shared" si="3"/>
        <v>0.58</v>
      </c>
      <c r="G922" s="1">
        <v>6.0</v>
      </c>
      <c r="H922" s="1">
        <v>0.0</v>
      </c>
      <c r="I922" s="1">
        <v>0.0</v>
      </c>
      <c r="J922" s="1">
        <v>0.0</v>
      </c>
      <c r="K922" s="1">
        <v>3.0</v>
      </c>
      <c r="L922" s="1">
        <v>0.0</v>
      </c>
      <c r="M922" s="1">
        <v>0.0</v>
      </c>
      <c r="N922" s="1">
        <v>0.0</v>
      </c>
      <c r="O922" s="1">
        <v>0.0</v>
      </c>
      <c r="P922" s="1">
        <v>2.0</v>
      </c>
      <c r="Q922" s="1">
        <v>3.0</v>
      </c>
    </row>
    <row r="923">
      <c r="A923" s="1">
        <f t="shared" si="1"/>
        <v>921</v>
      </c>
      <c r="B923" s="1" t="s">
        <v>2679</v>
      </c>
      <c r="C923" s="1" t="s">
        <v>1570</v>
      </c>
      <c r="D923" s="1" t="s">
        <v>66</v>
      </c>
      <c r="E923" s="1">
        <f t="shared" si="2"/>
        <v>3.25</v>
      </c>
      <c r="F923" s="1">
        <f t="shared" si="3"/>
        <v>1.63</v>
      </c>
      <c r="G923" s="1">
        <v>2.0</v>
      </c>
      <c r="H923" s="1">
        <v>0.0</v>
      </c>
      <c r="I923" s="1">
        <v>0.0</v>
      </c>
      <c r="J923" s="1">
        <v>0.0</v>
      </c>
      <c r="K923" s="1">
        <v>2.0</v>
      </c>
      <c r="L923" s="1">
        <v>0.0</v>
      </c>
      <c r="M923" s="1">
        <v>0.0</v>
      </c>
      <c r="N923" s="1">
        <v>0.0</v>
      </c>
      <c r="O923" s="1">
        <v>0.0</v>
      </c>
      <c r="P923" s="1">
        <v>3.0</v>
      </c>
      <c r="Q923" s="1">
        <v>3.0</v>
      </c>
    </row>
    <row r="924">
      <c r="A924" s="1">
        <f t="shared" si="1"/>
        <v>921</v>
      </c>
      <c r="B924" s="1" t="s">
        <v>2009</v>
      </c>
      <c r="C924" s="1" t="s">
        <v>1078</v>
      </c>
      <c r="D924" s="1" t="s">
        <v>66</v>
      </c>
      <c r="E924" s="1">
        <f t="shared" si="2"/>
        <v>3.25</v>
      </c>
      <c r="F924" s="1">
        <f t="shared" si="3"/>
        <v>0.81</v>
      </c>
      <c r="G924" s="1">
        <v>4.0</v>
      </c>
      <c r="H924" s="1">
        <v>0.0</v>
      </c>
      <c r="I924" s="1">
        <v>0.0</v>
      </c>
      <c r="J924" s="1">
        <v>0.0</v>
      </c>
      <c r="K924" s="1">
        <v>2.0</v>
      </c>
      <c r="L924" s="1">
        <v>0.0</v>
      </c>
      <c r="M924" s="1">
        <v>0.0</v>
      </c>
      <c r="N924" s="1">
        <v>0.0</v>
      </c>
      <c r="O924" s="1">
        <v>0.0</v>
      </c>
      <c r="P924" s="1">
        <v>1.0</v>
      </c>
      <c r="Q924" s="1">
        <v>4.0</v>
      </c>
    </row>
    <row r="925">
      <c r="A925" s="1">
        <f t="shared" si="1"/>
        <v>923</v>
      </c>
      <c r="B925" s="1" t="s">
        <v>1911</v>
      </c>
      <c r="C925" s="1" t="s">
        <v>1175</v>
      </c>
      <c r="D925" s="1" t="s">
        <v>66</v>
      </c>
      <c r="E925" s="1">
        <f t="shared" si="2"/>
        <v>3</v>
      </c>
      <c r="F925" s="1">
        <f t="shared" si="3"/>
        <v>1</v>
      </c>
      <c r="G925" s="1">
        <v>3.0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4.0</v>
      </c>
      <c r="Q925" s="1">
        <v>4.0</v>
      </c>
    </row>
    <row r="926">
      <c r="A926" s="1">
        <f t="shared" si="1"/>
        <v>923</v>
      </c>
      <c r="B926" s="1" t="s">
        <v>2680</v>
      </c>
      <c r="C926" s="1" t="s">
        <v>1570</v>
      </c>
      <c r="D926" s="1" t="s">
        <v>36</v>
      </c>
      <c r="E926" s="1">
        <f t="shared" si="2"/>
        <v>3</v>
      </c>
      <c r="F926" s="1">
        <f t="shared" si="3"/>
        <v>1</v>
      </c>
      <c r="G926" s="1">
        <v>3.0</v>
      </c>
      <c r="H926" s="1">
        <v>0.0</v>
      </c>
      <c r="I926" s="1">
        <v>0.0</v>
      </c>
      <c r="J926" s="1">
        <v>0.0</v>
      </c>
      <c r="K926" s="1">
        <v>2.0</v>
      </c>
      <c r="L926" s="1">
        <v>0.0</v>
      </c>
      <c r="M926" s="1">
        <v>0.0</v>
      </c>
      <c r="N926" s="1">
        <v>0.0</v>
      </c>
      <c r="O926" s="1">
        <v>0.0</v>
      </c>
      <c r="P926" s="1">
        <v>6.0</v>
      </c>
      <c r="Q926" s="1">
        <v>1.0</v>
      </c>
    </row>
    <row r="927">
      <c r="A927" s="1">
        <f t="shared" si="1"/>
        <v>923</v>
      </c>
      <c r="B927" s="1" t="s">
        <v>2151</v>
      </c>
      <c r="C927" s="1" t="s">
        <v>1570</v>
      </c>
      <c r="D927" s="1" t="s">
        <v>66</v>
      </c>
      <c r="E927" s="1">
        <f t="shared" si="2"/>
        <v>3</v>
      </c>
      <c r="F927" s="1">
        <f t="shared" si="3"/>
        <v>1</v>
      </c>
      <c r="G927" s="1">
        <v>3.0</v>
      </c>
      <c r="H927" s="1">
        <v>0.0</v>
      </c>
      <c r="I927" s="1">
        <v>0.0</v>
      </c>
      <c r="J927" s="1">
        <v>0.0</v>
      </c>
      <c r="K927" s="1">
        <v>2.0</v>
      </c>
      <c r="L927" s="1">
        <v>0.0</v>
      </c>
      <c r="M927" s="1">
        <v>0.0</v>
      </c>
      <c r="N927" s="1">
        <v>0.0</v>
      </c>
      <c r="O927" s="1">
        <v>0.0</v>
      </c>
      <c r="P927" s="1">
        <v>2.0</v>
      </c>
      <c r="Q927" s="1">
        <v>3.0</v>
      </c>
    </row>
    <row r="928">
      <c r="A928" s="1">
        <f t="shared" si="1"/>
        <v>923</v>
      </c>
      <c r="B928" s="1" t="s">
        <v>2681</v>
      </c>
      <c r="C928" s="1" t="s">
        <v>1570</v>
      </c>
      <c r="D928" s="1" t="s">
        <v>36</v>
      </c>
      <c r="E928" s="1">
        <f t="shared" si="2"/>
        <v>3</v>
      </c>
      <c r="F928" s="1">
        <f t="shared" si="3"/>
        <v>0.75</v>
      </c>
      <c r="G928" s="1">
        <v>4.0</v>
      </c>
      <c r="H928" s="1">
        <v>0.0</v>
      </c>
      <c r="I928" s="1">
        <v>0.0</v>
      </c>
      <c r="J928" s="1">
        <v>0.0</v>
      </c>
      <c r="K928" s="1">
        <v>3.0</v>
      </c>
      <c r="L928" s="1">
        <v>0.0</v>
      </c>
      <c r="M928" s="1">
        <v>0.0</v>
      </c>
      <c r="N928" s="1">
        <v>0.0</v>
      </c>
      <c r="O928" s="1">
        <v>0.0</v>
      </c>
      <c r="P928" s="1">
        <v>2.0</v>
      </c>
      <c r="Q928" s="1">
        <v>2.0</v>
      </c>
    </row>
    <row r="929">
      <c r="A929" s="1">
        <f t="shared" si="1"/>
        <v>927</v>
      </c>
      <c r="B929" s="1" t="s">
        <v>1122</v>
      </c>
      <c r="C929" s="1" t="s">
        <v>1172</v>
      </c>
      <c r="D929" s="1" t="s">
        <v>28</v>
      </c>
      <c r="E929" s="1">
        <f t="shared" si="2"/>
        <v>2.75</v>
      </c>
      <c r="F929" s="1">
        <f t="shared" si="3"/>
        <v>2.75</v>
      </c>
      <c r="G929" s="1">
        <v>1.0</v>
      </c>
      <c r="H929" s="1">
        <v>0.0</v>
      </c>
      <c r="I929" s="1">
        <v>0.0</v>
      </c>
      <c r="J929" s="1">
        <v>0.0</v>
      </c>
      <c r="K929" s="1">
        <v>4.0</v>
      </c>
      <c r="L929" s="1">
        <v>0.0</v>
      </c>
      <c r="M929" s="1">
        <v>0.0</v>
      </c>
      <c r="N929" s="1">
        <v>0.0</v>
      </c>
      <c r="O929" s="1">
        <v>0.0</v>
      </c>
      <c r="P929" s="1">
        <v>1.0</v>
      </c>
      <c r="Q929" s="1">
        <v>1.0</v>
      </c>
    </row>
    <row r="930">
      <c r="A930" s="1">
        <f t="shared" si="1"/>
        <v>927</v>
      </c>
      <c r="B930" s="1" t="s">
        <v>2529</v>
      </c>
      <c r="C930" s="1" t="s">
        <v>1111</v>
      </c>
      <c r="D930" s="1" t="s">
        <v>31</v>
      </c>
      <c r="E930" s="1">
        <f t="shared" si="2"/>
        <v>2.75</v>
      </c>
      <c r="F930" s="1">
        <f t="shared" si="3"/>
        <v>1.38</v>
      </c>
      <c r="G930" s="1">
        <v>2.0</v>
      </c>
      <c r="H930" s="1">
        <v>0.0</v>
      </c>
      <c r="I930" s="1">
        <v>0.0</v>
      </c>
      <c r="J930" s="1">
        <v>0.0</v>
      </c>
      <c r="K930" s="1">
        <v>2.0</v>
      </c>
      <c r="L930" s="1">
        <v>0.0</v>
      </c>
      <c r="M930" s="1">
        <v>0.0</v>
      </c>
      <c r="N930" s="1">
        <v>0.0</v>
      </c>
      <c r="O930" s="1">
        <v>0.0</v>
      </c>
      <c r="P930" s="1">
        <v>3.0</v>
      </c>
      <c r="Q930" s="1">
        <v>2.0</v>
      </c>
    </row>
    <row r="931">
      <c r="A931" s="1">
        <f t="shared" si="1"/>
        <v>927</v>
      </c>
      <c r="B931" s="1" t="s">
        <v>1462</v>
      </c>
      <c r="C931" s="1" t="s">
        <v>1042</v>
      </c>
      <c r="D931" s="1" t="s">
        <v>66</v>
      </c>
      <c r="E931" s="1">
        <f t="shared" si="2"/>
        <v>2.75</v>
      </c>
      <c r="F931" s="1">
        <f t="shared" si="3"/>
        <v>0.92</v>
      </c>
      <c r="G931" s="1">
        <v>3.0</v>
      </c>
      <c r="H931" s="1">
        <v>0.0</v>
      </c>
      <c r="I931" s="1">
        <v>0.0</v>
      </c>
      <c r="J931" s="1">
        <v>0.0</v>
      </c>
      <c r="K931" s="1">
        <v>4.0</v>
      </c>
      <c r="L931" s="1">
        <v>0.0</v>
      </c>
      <c r="M931" s="1">
        <v>0.0</v>
      </c>
      <c r="N931" s="1">
        <v>0.0</v>
      </c>
      <c r="O931" s="1">
        <v>0.0</v>
      </c>
      <c r="P931" s="1">
        <v>3.0</v>
      </c>
      <c r="Q931" s="1">
        <v>0.0</v>
      </c>
    </row>
    <row r="932">
      <c r="A932" s="1">
        <f t="shared" si="1"/>
        <v>927</v>
      </c>
      <c r="B932" s="1" t="s">
        <v>2682</v>
      </c>
      <c r="C932" s="1" t="s">
        <v>1570</v>
      </c>
      <c r="D932" s="1" t="s">
        <v>31</v>
      </c>
      <c r="E932" s="1">
        <f t="shared" si="2"/>
        <v>2.75</v>
      </c>
      <c r="F932" s="1">
        <f t="shared" si="3"/>
        <v>0.69</v>
      </c>
      <c r="G932" s="1">
        <v>4.0</v>
      </c>
      <c r="H932" s="1">
        <v>0.0</v>
      </c>
      <c r="I932" s="1">
        <v>0.0</v>
      </c>
      <c r="J932" s="1">
        <v>0.0</v>
      </c>
      <c r="K932" s="1">
        <v>2.0</v>
      </c>
      <c r="L932" s="1">
        <v>0.0</v>
      </c>
      <c r="M932" s="1">
        <v>0.0</v>
      </c>
      <c r="N932" s="1">
        <v>0.0</v>
      </c>
      <c r="O932" s="1">
        <v>0.0</v>
      </c>
      <c r="P932" s="1">
        <v>3.0</v>
      </c>
      <c r="Q932" s="1">
        <v>2.0</v>
      </c>
    </row>
    <row r="933">
      <c r="A933" s="1">
        <f t="shared" si="1"/>
        <v>927</v>
      </c>
      <c r="B933" s="1" t="s">
        <v>2683</v>
      </c>
      <c r="C933" s="1" t="s">
        <v>1175</v>
      </c>
      <c r="D933" s="1" t="s">
        <v>28</v>
      </c>
      <c r="E933" s="1">
        <f t="shared" si="2"/>
        <v>2.75</v>
      </c>
      <c r="F933" s="1">
        <f t="shared" si="3"/>
        <v>0.69</v>
      </c>
      <c r="G933" s="1">
        <v>4.0</v>
      </c>
      <c r="H933" s="1">
        <v>0.0</v>
      </c>
      <c r="I933" s="1">
        <v>0.0</v>
      </c>
      <c r="J933" s="1">
        <v>0.0</v>
      </c>
      <c r="K933" s="1">
        <v>2.0</v>
      </c>
      <c r="L933" s="1">
        <v>0.0</v>
      </c>
      <c r="M933" s="1">
        <v>0.0</v>
      </c>
      <c r="N933" s="1">
        <v>0.0</v>
      </c>
      <c r="O933" s="1">
        <v>0.0</v>
      </c>
      <c r="P933" s="1">
        <v>3.0</v>
      </c>
      <c r="Q933" s="1">
        <v>2.0</v>
      </c>
    </row>
    <row r="934">
      <c r="A934" s="1">
        <f t="shared" si="1"/>
        <v>927</v>
      </c>
      <c r="B934" s="1" t="s">
        <v>2684</v>
      </c>
      <c r="C934" s="1" t="s">
        <v>1570</v>
      </c>
      <c r="D934" s="1" t="s">
        <v>28</v>
      </c>
      <c r="E934" s="1">
        <f t="shared" si="2"/>
        <v>2.75</v>
      </c>
      <c r="F934" s="1">
        <f t="shared" si="3"/>
        <v>0.69</v>
      </c>
      <c r="G934" s="1">
        <v>4.0</v>
      </c>
      <c r="H934" s="1">
        <v>0.0</v>
      </c>
      <c r="I934" s="1">
        <v>0.0</v>
      </c>
      <c r="J934" s="1">
        <v>0.0</v>
      </c>
      <c r="K934" s="1">
        <v>2.0</v>
      </c>
      <c r="L934" s="1">
        <v>0.0</v>
      </c>
      <c r="M934" s="1">
        <v>0.0</v>
      </c>
      <c r="N934" s="1">
        <v>0.0</v>
      </c>
      <c r="O934" s="1">
        <v>0.0</v>
      </c>
      <c r="P934" s="1">
        <v>5.0</v>
      </c>
      <c r="Q934" s="1">
        <v>1.0</v>
      </c>
    </row>
    <row r="935">
      <c r="A935" s="1">
        <f t="shared" si="1"/>
        <v>927</v>
      </c>
      <c r="B935" s="1" t="s">
        <v>2207</v>
      </c>
      <c r="C935" s="1" t="s">
        <v>1156</v>
      </c>
      <c r="D935" s="1" t="s">
        <v>66</v>
      </c>
      <c r="E935" s="1">
        <f t="shared" si="2"/>
        <v>2.75</v>
      </c>
      <c r="F935" s="1">
        <f t="shared" si="3"/>
        <v>0.46</v>
      </c>
      <c r="G935" s="1">
        <v>6.0</v>
      </c>
      <c r="H935" s="1">
        <v>0.0</v>
      </c>
      <c r="I935" s="1">
        <v>0.0</v>
      </c>
      <c r="J935" s="1">
        <v>0.0</v>
      </c>
      <c r="K935" s="1">
        <v>3.0</v>
      </c>
      <c r="L935" s="1">
        <v>0.0</v>
      </c>
      <c r="M935" s="1">
        <v>0.0</v>
      </c>
      <c r="N935" s="1">
        <v>0.0</v>
      </c>
      <c r="O935" s="1">
        <v>0.0</v>
      </c>
      <c r="P935" s="1">
        <v>5.0</v>
      </c>
      <c r="Q935" s="1">
        <v>0.0</v>
      </c>
    </row>
    <row r="936">
      <c r="A936" s="1">
        <f t="shared" si="1"/>
        <v>934</v>
      </c>
      <c r="B936" s="1" t="s">
        <v>2446</v>
      </c>
      <c r="C936" s="1" t="s">
        <v>1172</v>
      </c>
      <c r="D936" s="1" t="s">
        <v>66</v>
      </c>
      <c r="E936" s="1">
        <f t="shared" si="2"/>
        <v>2.5</v>
      </c>
      <c r="F936" s="1">
        <f t="shared" si="3"/>
        <v>2.5</v>
      </c>
      <c r="G936" s="1">
        <v>1.0</v>
      </c>
      <c r="H936" s="1">
        <v>0.0</v>
      </c>
      <c r="I936" s="1">
        <v>0.0</v>
      </c>
      <c r="J936" s="1">
        <v>0.0</v>
      </c>
      <c r="K936" s="1">
        <v>2.0</v>
      </c>
      <c r="L936" s="1">
        <v>0.0</v>
      </c>
      <c r="M936" s="1">
        <v>0.0</v>
      </c>
      <c r="N936" s="1">
        <v>0.0</v>
      </c>
      <c r="O936" s="1">
        <v>0.0</v>
      </c>
      <c r="P936" s="1">
        <v>2.0</v>
      </c>
      <c r="Q936" s="1">
        <v>2.0</v>
      </c>
    </row>
    <row r="937">
      <c r="A937" s="1">
        <f t="shared" si="1"/>
        <v>934</v>
      </c>
      <c r="B937" s="1" t="s">
        <v>2685</v>
      </c>
      <c r="C937" s="1" t="s">
        <v>1570</v>
      </c>
      <c r="D937" s="1" t="s">
        <v>31</v>
      </c>
      <c r="E937" s="1">
        <f t="shared" si="2"/>
        <v>2.5</v>
      </c>
      <c r="F937" s="1">
        <f t="shared" si="3"/>
        <v>1.25</v>
      </c>
      <c r="G937" s="1">
        <v>2.0</v>
      </c>
      <c r="H937" s="1">
        <v>0.0</v>
      </c>
      <c r="I937" s="1">
        <v>0.0</v>
      </c>
      <c r="J937" s="1">
        <v>0.0</v>
      </c>
      <c r="K937" s="1">
        <v>2.0</v>
      </c>
      <c r="L937" s="1">
        <v>0.0</v>
      </c>
      <c r="M937" s="1">
        <v>0.0</v>
      </c>
      <c r="N937" s="1">
        <v>0.0</v>
      </c>
      <c r="O937" s="1">
        <v>0.0</v>
      </c>
      <c r="P937" s="1">
        <v>4.0</v>
      </c>
      <c r="Q937" s="1">
        <v>1.0</v>
      </c>
    </row>
    <row r="938">
      <c r="A938" s="1">
        <f t="shared" si="1"/>
        <v>934</v>
      </c>
      <c r="B938" s="1" t="s">
        <v>1227</v>
      </c>
      <c r="C938" s="1" t="s">
        <v>1038</v>
      </c>
      <c r="D938" s="1" t="s">
        <v>31</v>
      </c>
      <c r="E938" s="1">
        <f t="shared" si="2"/>
        <v>2.5</v>
      </c>
      <c r="F938" s="1">
        <f t="shared" si="3"/>
        <v>1.25</v>
      </c>
      <c r="G938" s="1">
        <v>2.0</v>
      </c>
      <c r="H938" s="1">
        <v>0.0</v>
      </c>
      <c r="I938" s="1">
        <v>0.0</v>
      </c>
      <c r="J938" s="1">
        <v>0.0</v>
      </c>
      <c r="K938" s="1">
        <v>1.0</v>
      </c>
      <c r="L938" s="1">
        <v>0.0</v>
      </c>
      <c r="M938" s="1">
        <v>0.0</v>
      </c>
      <c r="N938" s="1">
        <v>0.0</v>
      </c>
      <c r="O938" s="1">
        <v>0.0</v>
      </c>
      <c r="P938" s="1">
        <v>8.0</v>
      </c>
      <c r="Q938" s="1">
        <v>0.0</v>
      </c>
    </row>
    <row r="939">
      <c r="A939" s="1">
        <f t="shared" si="1"/>
        <v>937</v>
      </c>
      <c r="B939" s="1" t="s">
        <v>2514</v>
      </c>
      <c r="C939" s="1" t="s">
        <v>1054</v>
      </c>
      <c r="D939" s="1" t="s">
        <v>31</v>
      </c>
      <c r="E939" s="1">
        <f t="shared" si="2"/>
        <v>2</v>
      </c>
      <c r="F939" s="1">
        <f t="shared" si="3"/>
        <v>0.67</v>
      </c>
      <c r="G939" s="1">
        <v>3.0</v>
      </c>
      <c r="H939" s="1">
        <v>0.0</v>
      </c>
      <c r="I939" s="1">
        <v>0.0</v>
      </c>
      <c r="J939" s="1">
        <v>0.0</v>
      </c>
      <c r="K939" s="1">
        <v>1.0</v>
      </c>
      <c r="L939" s="1">
        <v>0.0</v>
      </c>
      <c r="M939" s="1">
        <v>0.0</v>
      </c>
      <c r="N939" s="1">
        <v>0.0</v>
      </c>
      <c r="O939" s="1">
        <v>0.0</v>
      </c>
      <c r="P939" s="1">
        <v>6.0</v>
      </c>
      <c r="Q939" s="1">
        <v>0.0</v>
      </c>
    </row>
    <row r="940">
      <c r="A940" s="1">
        <f t="shared" si="1"/>
        <v>938</v>
      </c>
      <c r="B940" s="1" t="s">
        <v>2686</v>
      </c>
      <c r="C940" s="1" t="s">
        <v>1156</v>
      </c>
      <c r="D940" s="1" t="s">
        <v>28</v>
      </c>
      <c r="E940" s="1">
        <f t="shared" si="2"/>
        <v>1.75</v>
      </c>
      <c r="F940" s="1">
        <f t="shared" si="3"/>
        <v>0.58</v>
      </c>
      <c r="G940" s="1">
        <v>3.0</v>
      </c>
      <c r="H940" s="1">
        <v>0.0</v>
      </c>
      <c r="I940" s="1">
        <v>0.0</v>
      </c>
      <c r="J940" s="1">
        <v>0.0</v>
      </c>
      <c r="K940" s="1">
        <v>1.0</v>
      </c>
      <c r="L940" s="1">
        <v>0.0</v>
      </c>
      <c r="M940" s="1">
        <v>0.0</v>
      </c>
      <c r="N940" s="1">
        <v>0.0</v>
      </c>
      <c r="O940" s="1">
        <v>0.0</v>
      </c>
      <c r="P940" s="1">
        <v>5.0</v>
      </c>
      <c r="Q940" s="1">
        <v>0.0</v>
      </c>
    </row>
    <row r="941">
      <c r="A941" s="1">
        <f t="shared" si="1"/>
        <v>938</v>
      </c>
      <c r="B941" s="1" t="s">
        <v>1803</v>
      </c>
      <c r="C941" s="1" t="s">
        <v>1078</v>
      </c>
      <c r="D941" s="1" t="s">
        <v>31</v>
      </c>
      <c r="E941" s="1">
        <f t="shared" si="2"/>
        <v>1.75</v>
      </c>
      <c r="F941" s="1">
        <f t="shared" si="3"/>
        <v>0.44</v>
      </c>
      <c r="G941" s="1">
        <v>4.0</v>
      </c>
      <c r="H941" s="1">
        <v>0.0</v>
      </c>
      <c r="I941" s="1">
        <v>0.0</v>
      </c>
      <c r="J941" s="1">
        <v>0.0</v>
      </c>
      <c r="K941" s="1">
        <v>2.0</v>
      </c>
      <c r="L941" s="1">
        <v>0.0</v>
      </c>
      <c r="M941" s="1">
        <v>0.0</v>
      </c>
      <c r="N941" s="1">
        <v>0.0</v>
      </c>
      <c r="O941" s="1">
        <v>0.0</v>
      </c>
      <c r="P941" s="1">
        <v>3.0</v>
      </c>
      <c r="Q941" s="1">
        <v>0.0</v>
      </c>
    </row>
    <row r="942">
      <c r="A942" s="1">
        <f t="shared" si="1"/>
        <v>938</v>
      </c>
      <c r="B942" s="1" t="s">
        <v>2277</v>
      </c>
      <c r="C942" s="1" t="s">
        <v>1048</v>
      </c>
      <c r="D942" s="1" t="s">
        <v>31</v>
      </c>
      <c r="E942" s="1">
        <f t="shared" si="2"/>
        <v>1.75</v>
      </c>
      <c r="F942" s="1">
        <f t="shared" si="3"/>
        <v>0.44</v>
      </c>
      <c r="G942" s="1">
        <v>4.0</v>
      </c>
      <c r="H942" s="1">
        <v>0.0</v>
      </c>
      <c r="I942" s="1">
        <v>0.0</v>
      </c>
      <c r="J942" s="1">
        <v>0.0</v>
      </c>
      <c r="K942" s="1">
        <v>3.0</v>
      </c>
      <c r="L942" s="1">
        <v>0.0</v>
      </c>
      <c r="M942" s="1">
        <v>0.0</v>
      </c>
      <c r="N942" s="1">
        <v>0.0</v>
      </c>
      <c r="O942" s="1">
        <v>0.0</v>
      </c>
      <c r="P942" s="1">
        <v>1.0</v>
      </c>
      <c r="Q942" s="1">
        <v>0.0</v>
      </c>
    </row>
    <row r="943">
      <c r="A943" s="1">
        <f t="shared" si="1"/>
        <v>941</v>
      </c>
      <c r="B943" s="1" t="s">
        <v>1983</v>
      </c>
      <c r="C943" s="1" t="s">
        <v>1091</v>
      </c>
      <c r="D943" s="1" t="s">
        <v>66</v>
      </c>
      <c r="E943" s="1">
        <f t="shared" si="2"/>
        <v>1.5</v>
      </c>
      <c r="F943" s="1">
        <f t="shared" si="3"/>
        <v>0.75</v>
      </c>
      <c r="G943" s="1">
        <v>2.0</v>
      </c>
      <c r="H943" s="1">
        <v>0.0</v>
      </c>
      <c r="I943" s="1">
        <v>0.0</v>
      </c>
      <c r="J943" s="1">
        <v>0.0</v>
      </c>
      <c r="K943" s="1">
        <v>1.0</v>
      </c>
      <c r="L943" s="1">
        <v>0.0</v>
      </c>
      <c r="M943" s="1">
        <v>0.0</v>
      </c>
      <c r="N943" s="1">
        <v>0.0</v>
      </c>
      <c r="O943" s="1">
        <v>0.0</v>
      </c>
      <c r="P943" s="1">
        <v>2.0</v>
      </c>
      <c r="Q943" s="1">
        <v>1.0</v>
      </c>
    </row>
    <row r="944">
      <c r="A944" s="1">
        <f t="shared" si="1"/>
        <v>941</v>
      </c>
      <c r="B944" s="1" t="s">
        <v>1645</v>
      </c>
      <c r="C944" s="1" t="s">
        <v>1046</v>
      </c>
      <c r="D944" s="1" t="s">
        <v>36</v>
      </c>
      <c r="E944" s="1">
        <f t="shared" si="2"/>
        <v>1.5</v>
      </c>
      <c r="F944" s="1">
        <f t="shared" si="3"/>
        <v>0.75</v>
      </c>
      <c r="G944" s="1">
        <v>2.0</v>
      </c>
      <c r="H944" s="1">
        <v>0.0</v>
      </c>
      <c r="I944" s="1">
        <v>0.0</v>
      </c>
      <c r="J944" s="1">
        <v>0.0</v>
      </c>
      <c r="K944" s="1">
        <v>1.0</v>
      </c>
      <c r="L944" s="1">
        <v>0.0</v>
      </c>
      <c r="M944" s="1">
        <v>0.0</v>
      </c>
      <c r="N944" s="1">
        <v>0.0</v>
      </c>
      <c r="O944" s="1">
        <v>0.0</v>
      </c>
      <c r="P944" s="1">
        <v>4.0</v>
      </c>
      <c r="Q944" s="1">
        <v>0.0</v>
      </c>
    </row>
    <row r="945">
      <c r="A945" s="1">
        <f t="shared" si="1"/>
        <v>943</v>
      </c>
      <c r="B945" s="1" t="s">
        <v>2550</v>
      </c>
      <c r="C945" s="1" t="s">
        <v>1038</v>
      </c>
      <c r="D945" s="1" t="s">
        <v>31</v>
      </c>
      <c r="E945" s="1">
        <f t="shared" si="2"/>
        <v>1.25</v>
      </c>
      <c r="F945" s="1">
        <f t="shared" si="3"/>
        <v>1.25</v>
      </c>
      <c r="G945" s="1">
        <v>1.0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1.0</v>
      </c>
      <c r="Q945" s="1">
        <v>2.0</v>
      </c>
    </row>
    <row r="946">
      <c r="A946" s="1">
        <f t="shared" si="1"/>
        <v>943</v>
      </c>
      <c r="B946" s="1" t="s">
        <v>2194</v>
      </c>
      <c r="C946" s="1" t="s">
        <v>1106</v>
      </c>
      <c r="D946" s="1" t="s">
        <v>66</v>
      </c>
      <c r="E946" s="1">
        <f t="shared" si="2"/>
        <v>1.25</v>
      </c>
      <c r="F946" s="1">
        <f t="shared" si="3"/>
        <v>0.63</v>
      </c>
      <c r="G946" s="1">
        <v>2.0</v>
      </c>
      <c r="H946" s="1">
        <v>0.0</v>
      </c>
      <c r="I946" s="1">
        <v>0.0</v>
      </c>
      <c r="J946" s="1">
        <v>0.0</v>
      </c>
      <c r="K946" s="1">
        <v>1.0</v>
      </c>
      <c r="L946" s="1">
        <v>0.0</v>
      </c>
      <c r="M946" s="1">
        <v>0.0</v>
      </c>
      <c r="N946" s="1">
        <v>0.0</v>
      </c>
      <c r="O946" s="1">
        <v>0.0</v>
      </c>
      <c r="P946" s="1">
        <v>3.0</v>
      </c>
      <c r="Q946" s="1">
        <v>0.0</v>
      </c>
    </row>
    <row r="947">
      <c r="A947" s="1">
        <f t="shared" si="1"/>
        <v>943</v>
      </c>
      <c r="B947" s="1" t="s">
        <v>1827</v>
      </c>
      <c r="C947" s="1" t="s">
        <v>1082</v>
      </c>
      <c r="D947" s="1" t="s">
        <v>28</v>
      </c>
      <c r="E947" s="1">
        <f t="shared" si="2"/>
        <v>1.25</v>
      </c>
      <c r="F947" s="1">
        <f t="shared" si="3"/>
        <v>0.63</v>
      </c>
      <c r="G947" s="1">
        <v>2.0</v>
      </c>
      <c r="H947" s="1">
        <v>0.0</v>
      </c>
      <c r="I947" s="1">
        <v>0.0</v>
      </c>
      <c r="J947" s="1">
        <v>0.0</v>
      </c>
      <c r="K947" s="1">
        <v>1.0</v>
      </c>
      <c r="L947" s="1">
        <v>0.0</v>
      </c>
      <c r="M947" s="1">
        <v>0.0</v>
      </c>
      <c r="N947" s="1">
        <v>0.0</v>
      </c>
      <c r="O947" s="1">
        <v>0.0</v>
      </c>
      <c r="P947" s="1">
        <v>3.0</v>
      </c>
      <c r="Q947" s="1">
        <v>0.0</v>
      </c>
    </row>
    <row r="948">
      <c r="A948" s="1">
        <f t="shared" si="1"/>
        <v>943</v>
      </c>
      <c r="B948" s="1" t="s">
        <v>2687</v>
      </c>
      <c r="C948" s="1" t="s">
        <v>1570</v>
      </c>
      <c r="D948" s="1" t="s">
        <v>36</v>
      </c>
      <c r="E948" s="1">
        <f t="shared" si="2"/>
        <v>1.25</v>
      </c>
      <c r="F948" s="1">
        <f t="shared" si="3"/>
        <v>0.63</v>
      </c>
      <c r="G948" s="1">
        <v>2.0</v>
      </c>
      <c r="H948" s="1">
        <v>0.0</v>
      </c>
      <c r="I948" s="1">
        <v>0.0</v>
      </c>
      <c r="J948" s="1">
        <v>0.0</v>
      </c>
      <c r="K948" s="1">
        <v>1.0</v>
      </c>
      <c r="L948" s="1">
        <v>0.0</v>
      </c>
      <c r="M948" s="1">
        <v>0.0</v>
      </c>
      <c r="N948" s="1">
        <v>0.0</v>
      </c>
      <c r="O948" s="1">
        <v>0.0</v>
      </c>
      <c r="P948" s="1">
        <v>1.0</v>
      </c>
      <c r="Q948" s="1">
        <v>1.0</v>
      </c>
    </row>
    <row r="949">
      <c r="A949" s="1">
        <f t="shared" si="1"/>
        <v>947</v>
      </c>
      <c r="B949" s="1" t="s">
        <v>1390</v>
      </c>
      <c r="C949" s="1" t="s">
        <v>1106</v>
      </c>
      <c r="D949" s="1" t="s">
        <v>66</v>
      </c>
      <c r="E949" s="1">
        <f t="shared" si="2"/>
        <v>1</v>
      </c>
      <c r="F949" s="1">
        <f t="shared" si="3"/>
        <v>1</v>
      </c>
      <c r="G949" s="1">
        <v>1.0</v>
      </c>
      <c r="H949" s="1">
        <v>0.0</v>
      </c>
      <c r="I949" s="1">
        <v>0.0</v>
      </c>
      <c r="J949" s="1">
        <v>0.0</v>
      </c>
      <c r="K949" s="1">
        <v>1.0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1.0</v>
      </c>
    </row>
    <row r="950">
      <c r="A950" s="1">
        <f t="shared" si="1"/>
        <v>947</v>
      </c>
      <c r="B950" s="1" t="s">
        <v>1396</v>
      </c>
      <c r="C950" s="1" t="s">
        <v>1080</v>
      </c>
      <c r="D950" s="1" t="s">
        <v>36</v>
      </c>
      <c r="E950" s="1">
        <f t="shared" si="2"/>
        <v>1</v>
      </c>
      <c r="F950" s="1">
        <f t="shared" si="3"/>
        <v>1</v>
      </c>
      <c r="G950" s="1">
        <v>1.0</v>
      </c>
      <c r="H950" s="1">
        <v>0.0</v>
      </c>
      <c r="I950" s="1">
        <v>0.0</v>
      </c>
      <c r="J950" s="1">
        <v>0.0</v>
      </c>
      <c r="K950" s="1">
        <v>1.0</v>
      </c>
      <c r="L950" s="1">
        <v>0.0</v>
      </c>
      <c r="M950" s="1">
        <v>0.0</v>
      </c>
      <c r="N950" s="1">
        <v>0.0</v>
      </c>
      <c r="O950" s="1">
        <v>0.0</v>
      </c>
      <c r="P950" s="1">
        <v>2.0</v>
      </c>
      <c r="Q950" s="1">
        <v>0.0</v>
      </c>
    </row>
    <row r="951">
      <c r="A951" s="1">
        <f t="shared" si="1"/>
        <v>947</v>
      </c>
      <c r="B951" s="1" t="s">
        <v>1894</v>
      </c>
      <c r="C951" s="1" t="s">
        <v>1042</v>
      </c>
      <c r="D951" s="1" t="s">
        <v>31</v>
      </c>
      <c r="E951" s="1">
        <f t="shared" si="2"/>
        <v>1</v>
      </c>
      <c r="F951" s="1">
        <f t="shared" si="3"/>
        <v>1</v>
      </c>
      <c r="G951" s="1">
        <v>1.0</v>
      </c>
      <c r="H951" s="1">
        <v>0.0</v>
      </c>
      <c r="I951" s="1">
        <v>0.0</v>
      </c>
      <c r="J951" s="1">
        <v>0.0</v>
      </c>
      <c r="K951" s="1">
        <v>2.0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</row>
    <row r="952">
      <c r="A952" s="1">
        <f t="shared" si="1"/>
        <v>947</v>
      </c>
      <c r="B952" s="1" t="s">
        <v>1982</v>
      </c>
      <c r="C952" s="1" t="s">
        <v>1076</v>
      </c>
      <c r="D952" s="1" t="s">
        <v>28</v>
      </c>
      <c r="E952" s="1">
        <f t="shared" si="2"/>
        <v>1</v>
      </c>
      <c r="F952" s="1">
        <f t="shared" si="3"/>
        <v>0.5</v>
      </c>
      <c r="G952" s="1">
        <v>2.0</v>
      </c>
      <c r="H952" s="1">
        <v>0.0</v>
      </c>
      <c r="I952" s="1">
        <v>0.0</v>
      </c>
      <c r="J952" s="1">
        <v>0.0</v>
      </c>
      <c r="K952" s="1">
        <v>1.0</v>
      </c>
      <c r="L952" s="1">
        <v>0.0</v>
      </c>
      <c r="M952" s="1">
        <v>0.0</v>
      </c>
      <c r="N952" s="1">
        <v>0.0</v>
      </c>
      <c r="O952" s="1">
        <v>0.0</v>
      </c>
      <c r="P952" s="1">
        <v>2.0</v>
      </c>
      <c r="Q952" s="1">
        <v>0.0</v>
      </c>
    </row>
    <row r="953">
      <c r="A953" s="1">
        <f t="shared" si="1"/>
        <v>951</v>
      </c>
      <c r="B953" s="1" t="s">
        <v>2425</v>
      </c>
      <c r="C953" s="1" t="s">
        <v>1065</v>
      </c>
      <c r="D953" s="1" t="s">
        <v>31</v>
      </c>
      <c r="E953" s="1">
        <f t="shared" si="2"/>
        <v>0.75</v>
      </c>
      <c r="F953" s="1">
        <f t="shared" si="3"/>
        <v>0.75</v>
      </c>
      <c r="G953" s="1">
        <v>1.0</v>
      </c>
      <c r="H953" s="1">
        <v>0.0</v>
      </c>
      <c r="I953" s="1">
        <v>0.0</v>
      </c>
      <c r="J953" s="1">
        <v>0.0</v>
      </c>
      <c r="K953" s="1">
        <v>1.0</v>
      </c>
      <c r="L953" s="1">
        <v>0.0</v>
      </c>
      <c r="M953" s="1">
        <v>0.0</v>
      </c>
      <c r="N953" s="1">
        <v>0.0</v>
      </c>
      <c r="O953" s="1">
        <v>0.0</v>
      </c>
      <c r="P953" s="1">
        <v>1.0</v>
      </c>
      <c r="Q953" s="1">
        <v>0.0</v>
      </c>
    </row>
    <row r="954">
      <c r="A954" s="1">
        <f t="shared" si="1"/>
        <v>951</v>
      </c>
      <c r="B954" s="1" t="s">
        <v>2308</v>
      </c>
      <c r="C954" s="1" t="s">
        <v>1076</v>
      </c>
      <c r="D954" s="1" t="s">
        <v>28</v>
      </c>
      <c r="E954" s="1">
        <f t="shared" si="2"/>
        <v>0.75</v>
      </c>
      <c r="F954" s="1">
        <f t="shared" si="3"/>
        <v>0.75</v>
      </c>
      <c r="G954" s="1">
        <v>1.0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3.0</v>
      </c>
      <c r="Q954" s="1">
        <v>0.0</v>
      </c>
    </row>
    <row r="955">
      <c r="A955" s="1">
        <f t="shared" si="1"/>
        <v>951</v>
      </c>
      <c r="B955" s="1" t="s">
        <v>2688</v>
      </c>
      <c r="C955" s="1" t="s">
        <v>1175</v>
      </c>
      <c r="D955" s="1" t="s">
        <v>66</v>
      </c>
      <c r="E955" s="1">
        <f t="shared" si="2"/>
        <v>0.75</v>
      </c>
      <c r="F955" s="1">
        <f t="shared" si="3"/>
        <v>0.25</v>
      </c>
      <c r="G955" s="1">
        <v>3.0</v>
      </c>
      <c r="H955" s="1">
        <v>0.0</v>
      </c>
      <c r="I955" s="1">
        <v>0.0</v>
      </c>
      <c r="J955" s="1">
        <v>0.0</v>
      </c>
      <c r="K955" s="1">
        <v>1.0</v>
      </c>
      <c r="L955" s="1">
        <v>0.0</v>
      </c>
      <c r="M955" s="1">
        <v>0.0</v>
      </c>
      <c r="N955" s="1">
        <v>0.0</v>
      </c>
      <c r="O955" s="1">
        <v>0.0</v>
      </c>
      <c r="P955" s="1">
        <v>1.0</v>
      </c>
      <c r="Q955" s="1">
        <v>0.0</v>
      </c>
    </row>
    <row r="956">
      <c r="A956" s="1">
        <f t="shared" si="1"/>
        <v>951</v>
      </c>
      <c r="B956" s="1" t="s">
        <v>2254</v>
      </c>
      <c r="C956" s="1" t="s">
        <v>1067</v>
      </c>
      <c r="D956" s="1" t="s">
        <v>31</v>
      </c>
      <c r="E956" s="1">
        <f t="shared" si="2"/>
        <v>0.75</v>
      </c>
      <c r="F956" s="1">
        <f t="shared" si="3"/>
        <v>0.25</v>
      </c>
      <c r="G956" s="1">
        <v>3.0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3.0</v>
      </c>
      <c r="Q956" s="1">
        <v>0.0</v>
      </c>
    </row>
    <row r="957">
      <c r="A957" s="1">
        <f t="shared" si="1"/>
        <v>955</v>
      </c>
      <c r="B957" s="1" t="s">
        <v>2568</v>
      </c>
      <c r="C957" s="1" t="s">
        <v>1042</v>
      </c>
      <c r="D957" s="1" t="s">
        <v>5</v>
      </c>
      <c r="E957" s="1">
        <f t="shared" si="2"/>
        <v>0.6</v>
      </c>
      <c r="F957" s="1">
        <f t="shared" si="3"/>
        <v>0.6</v>
      </c>
      <c r="G957" s="1">
        <v>1.0</v>
      </c>
      <c r="R957" s="1">
        <v>0.0</v>
      </c>
      <c r="S957" s="1">
        <v>6.0</v>
      </c>
      <c r="T957" s="1">
        <v>32.0</v>
      </c>
      <c r="U957" s="1">
        <v>0.0</v>
      </c>
    </row>
    <row r="958">
      <c r="A958" s="1">
        <f t="shared" si="1"/>
        <v>955</v>
      </c>
      <c r="B958" s="1" t="s">
        <v>2379</v>
      </c>
      <c r="C958" s="1" t="s">
        <v>1570</v>
      </c>
      <c r="D958" s="1" t="s">
        <v>5</v>
      </c>
      <c r="E958" s="1">
        <f t="shared" si="2"/>
        <v>0.6</v>
      </c>
      <c r="F958" s="1">
        <f t="shared" si="3"/>
        <v>0.6</v>
      </c>
      <c r="G958" s="1">
        <v>1.0</v>
      </c>
      <c r="R958" s="1">
        <v>0.0</v>
      </c>
      <c r="S958" s="1">
        <v>2.0</v>
      </c>
      <c r="T958" s="1">
        <v>12.0</v>
      </c>
      <c r="U958" s="1">
        <v>0.0</v>
      </c>
    </row>
    <row r="959">
      <c r="A959" s="1">
        <f t="shared" si="1"/>
        <v>957</v>
      </c>
      <c r="B959" s="1" t="s">
        <v>1135</v>
      </c>
      <c r="C959" s="1" t="s">
        <v>1067</v>
      </c>
      <c r="D959" s="1" t="s">
        <v>36</v>
      </c>
      <c r="E959" s="1">
        <f t="shared" si="2"/>
        <v>0.5</v>
      </c>
      <c r="F959" s="1">
        <f t="shared" si="3"/>
        <v>0.5</v>
      </c>
      <c r="G959" s="1">
        <v>1.0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2.0</v>
      </c>
      <c r="Q959" s="1">
        <v>0.0</v>
      </c>
    </row>
    <row r="960">
      <c r="A960" s="1">
        <f t="shared" si="1"/>
        <v>957</v>
      </c>
      <c r="B960" s="1" t="s">
        <v>2689</v>
      </c>
      <c r="C960" s="1" t="s">
        <v>1038</v>
      </c>
      <c r="D960" s="1" t="s">
        <v>36</v>
      </c>
      <c r="E960" s="1">
        <f t="shared" si="2"/>
        <v>0.5</v>
      </c>
      <c r="F960" s="1">
        <f t="shared" si="3"/>
        <v>0.5</v>
      </c>
      <c r="G960" s="1">
        <v>1.0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1.0</v>
      </c>
    </row>
    <row r="961">
      <c r="A961" s="1">
        <f t="shared" si="1"/>
        <v>957</v>
      </c>
      <c r="B961" s="1" t="s">
        <v>2690</v>
      </c>
      <c r="C961" s="1" t="s">
        <v>1046</v>
      </c>
      <c r="D961" s="1" t="s">
        <v>66</v>
      </c>
      <c r="E961" s="1">
        <f t="shared" si="2"/>
        <v>0.5</v>
      </c>
      <c r="F961" s="1">
        <f t="shared" si="3"/>
        <v>0.5</v>
      </c>
      <c r="G961" s="1">
        <v>1.0</v>
      </c>
      <c r="H961" s="1">
        <v>0.0</v>
      </c>
      <c r="I961" s="1">
        <v>0.0</v>
      </c>
      <c r="J961" s="1">
        <v>0.0</v>
      </c>
      <c r="K961" s="1">
        <v>1.0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</row>
    <row r="962">
      <c r="A962" s="1">
        <f t="shared" si="1"/>
        <v>957</v>
      </c>
      <c r="B962" s="1" t="s">
        <v>2507</v>
      </c>
      <c r="C962" s="1" t="s">
        <v>1091</v>
      </c>
      <c r="D962" s="1" t="s">
        <v>66</v>
      </c>
      <c r="E962" s="1">
        <f t="shared" si="2"/>
        <v>0.5</v>
      </c>
      <c r="F962" s="1">
        <f t="shared" si="3"/>
        <v>0.5</v>
      </c>
      <c r="G962" s="1">
        <v>1.0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2.0</v>
      </c>
      <c r="Q962" s="1">
        <v>0.0</v>
      </c>
    </row>
    <row r="963">
      <c r="A963" s="1">
        <f t="shared" si="1"/>
        <v>957</v>
      </c>
      <c r="B963" s="1" t="s">
        <v>1771</v>
      </c>
      <c r="C963" s="1" t="s">
        <v>1030</v>
      </c>
      <c r="D963" s="1" t="s">
        <v>66</v>
      </c>
      <c r="E963" s="1">
        <f t="shared" si="2"/>
        <v>0.5</v>
      </c>
      <c r="F963" s="1">
        <f t="shared" si="3"/>
        <v>0.25</v>
      </c>
      <c r="G963" s="1">
        <v>2.0</v>
      </c>
      <c r="H963" s="1">
        <v>0.0</v>
      </c>
      <c r="I963" s="1">
        <v>0.0</v>
      </c>
      <c r="J963" s="1">
        <v>0.0</v>
      </c>
      <c r="K963" s="1">
        <v>1.0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</row>
    <row r="964">
      <c r="A964" s="1">
        <f t="shared" si="1"/>
        <v>962</v>
      </c>
      <c r="B964" s="1" t="s">
        <v>2461</v>
      </c>
      <c r="C964" s="1" t="s">
        <v>1046</v>
      </c>
      <c r="D964" s="1" t="s">
        <v>5</v>
      </c>
      <c r="E964" s="1">
        <f t="shared" si="2"/>
        <v>0.3</v>
      </c>
      <c r="F964" s="1">
        <f t="shared" si="3"/>
        <v>0.3</v>
      </c>
      <c r="G964" s="1">
        <v>1.0</v>
      </c>
      <c r="R964" s="1">
        <v>0.0</v>
      </c>
      <c r="S964" s="1">
        <v>1.0</v>
      </c>
      <c r="T964" s="1">
        <v>6.0</v>
      </c>
      <c r="U964" s="1">
        <v>0.0</v>
      </c>
    </row>
    <row r="965">
      <c r="A965" s="1">
        <f t="shared" si="1"/>
        <v>963</v>
      </c>
      <c r="B965" s="1" t="s">
        <v>2541</v>
      </c>
      <c r="C965" s="1" t="s">
        <v>1080</v>
      </c>
      <c r="D965" s="1" t="s">
        <v>5</v>
      </c>
      <c r="E965" s="1">
        <f t="shared" si="2"/>
        <v>0.3</v>
      </c>
      <c r="F965" s="1">
        <f t="shared" si="3"/>
        <v>0.3</v>
      </c>
      <c r="G965" s="1">
        <v>1.0</v>
      </c>
      <c r="R965" s="1">
        <v>0.0</v>
      </c>
      <c r="S965" s="1">
        <v>6.0</v>
      </c>
      <c r="T965" s="1">
        <v>31.0</v>
      </c>
      <c r="U965" s="1">
        <v>0.0</v>
      </c>
    </row>
    <row r="966">
      <c r="A966" s="1">
        <f t="shared" si="1"/>
        <v>964</v>
      </c>
      <c r="B966" s="1" t="s">
        <v>2691</v>
      </c>
      <c r="C966" s="1" t="s">
        <v>1570</v>
      </c>
      <c r="D966" s="1" t="s">
        <v>36</v>
      </c>
      <c r="E966" s="1">
        <f t="shared" si="2"/>
        <v>0.25</v>
      </c>
      <c r="F966" s="1">
        <f t="shared" si="3"/>
        <v>0.25</v>
      </c>
      <c r="G966" s="1">
        <v>1.0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1.0</v>
      </c>
      <c r="Q966" s="1">
        <v>0.0</v>
      </c>
    </row>
    <row r="967">
      <c r="A967" s="1">
        <f t="shared" si="1"/>
        <v>964</v>
      </c>
      <c r="B967" s="1" t="s">
        <v>2273</v>
      </c>
      <c r="C967" s="1" t="s">
        <v>1116</v>
      </c>
      <c r="D967" s="1" t="s">
        <v>28</v>
      </c>
      <c r="E967" s="1">
        <f t="shared" si="2"/>
        <v>0.25</v>
      </c>
      <c r="F967" s="1">
        <f t="shared" si="3"/>
        <v>0.25</v>
      </c>
      <c r="G967" s="1">
        <v>1.0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1.0</v>
      </c>
      <c r="Q967" s="1">
        <v>0.0</v>
      </c>
    </row>
    <row r="968">
      <c r="A968" s="1">
        <f t="shared" si="1"/>
        <v>966</v>
      </c>
      <c r="B968" s="1" t="s">
        <v>2377</v>
      </c>
      <c r="C968" s="1" t="s">
        <v>1106</v>
      </c>
      <c r="D968" s="1" t="s">
        <v>36</v>
      </c>
      <c r="E968" s="1">
        <f t="shared" si="2"/>
        <v>0</v>
      </c>
      <c r="F968" s="1">
        <f t="shared" si="3"/>
        <v>0</v>
      </c>
      <c r="G968" s="1">
        <v>1.0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</row>
    <row r="969">
      <c r="A969" s="1">
        <f t="shared" si="1"/>
        <v>966</v>
      </c>
      <c r="B969" s="1" t="s">
        <v>1997</v>
      </c>
      <c r="C969" s="1" t="s">
        <v>1078</v>
      </c>
      <c r="D969" s="1" t="s">
        <v>66</v>
      </c>
      <c r="E969" s="1">
        <f t="shared" si="2"/>
        <v>0</v>
      </c>
      <c r="F969" s="1">
        <f t="shared" si="3"/>
        <v>0</v>
      </c>
      <c r="G969" s="1">
        <v>3.0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</row>
    <row r="970">
      <c r="A970" s="1">
        <f t="shared" si="1"/>
        <v>966</v>
      </c>
      <c r="B970" s="1" t="s">
        <v>2692</v>
      </c>
      <c r="C970" s="1" t="s">
        <v>1570</v>
      </c>
      <c r="D970" s="1" t="s">
        <v>28</v>
      </c>
      <c r="E970" s="1">
        <f t="shared" si="2"/>
        <v>0</v>
      </c>
      <c r="F970" s="1">
        <f t="shared" si="3"/>
        <v>0</v>
      </c>
      <c r="G970" s="1">
        <v>1.0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</row>
    <row r="971">
      <c r="A971" s="1">
        <f t="shared" si="1"/>
        <v>969</v>
      </c>
      <c r="B971" s="1" t="s">
        <v>1666</v>
      </c>
      <c r="C971" s="1" t="s">
        <v>1120</v>
      </c>
      <c r="D971" s="1" t="s">
        <v>5</v>
      </c>
      <c r="E971" s="1">
        <f t="shared" si="2"/>
        <v>-4.8</v>
      </c>
      <c r="F971" s="1">
        <f t="shared" si="3"/>
        <v>-1.6</v>
      </c>
      <c r="G971" s="1">
        <v>3.0</v>
      </c>
      <c r="R971" s="1">
        <v>0.0</v>
      </c>
      <c r="S971" s="1">
        <v>15.0</v>
      </c>
      <c r="T971" s="1">
        <v>59.0</v>
      </c>
      <c r="U971" s="1">
        <v>0.0</v>
      </c>
    </row>
  </sheetData>
  <autoFilter ref="$D$1:$D$97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2" max="2" width="17.13"/>
    <col customWidth="1" min="3" max="3" width="8.13"/>
    <col customWidth="1" min="5" max="5" width="9.13"/>
    <col customWidth="1" min="6" max="6" width="11.63"/>
    <col customWidth="1" min="7" max="17" width="6.38"/>
    <col customWidth="1" min="18" max="21" width="6.63"/>
  </cols>
  <sheetData>
    <row r="1">
      <c r="A1" s="13" t="s">
        <v>1021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1024</v>
      </c>
      <c r="K1" s="1" t="s">
        <v>1025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1026</v>
      </c>
      <c r="Q1" s="1" t="s">
        <v>1027</v>
      </c>
      <c r="R1" s="1" t="s">
        <v>19</v>
      </c>
      <c r="S1" s="1" t="s">
        <v>21</v>
      </c>
      <c r="T1" s="1" t="s">
        <v>23</v>
      </c>
      <c r="U1" s="1" t="s">
        <v>24</v>
      </c>
    </row>
    <row r="2">
      <c r="A2" s="1" t="s">
        <v>25</v>
      </c>
      <c r="E2" s="15"/>
      <c r="F2" s="15"/>
      <c r="G2" s="1">
        <v>0.0</v>
      </c>
      <c r="H2" s="1">
        <v>4.5</v>
      </c>
      <c r="I2" s="1">
        <v>3.0</v>
      </c>
      <c r="J2" s="1">
        <v>0.0</v>
      </c>
      <c r="K2" s="1">
        <v>0.5</v>
      </c>
      <c r="L2" s="1">
        <v>0.0</v>
      </c>
      <c r="M2" s="1">
        <v>0.0</v>
      </c>
      <c r="N2" s="1">
        <v>2.0</v>
      </c>
      <c r="O2" s="1">
        <v>2.0</v>
      </c>
      <c r="P2" s="1">
        <v>0.25</v>
      </c>
      <c r="Q2" s="1">
        <v>0.5</v>
      </c>
      <c r="R2" s="1">
        <v>3.0</v>
      </c>
      <c r="S2" s="1">
        <v>-1.5</v>
      </c>
      <c r="T2" s="1">
        <v>0.3</v>
      </c>
      <c r="U2" s="1">
        <v>3.0</v>
      </c>
    </row>
    <row r="3">
      <c r="A3" s="1">
        <f t="shared" ref="A3:A1001" si="1">rank(E3,E:E)</f>
        <v>1</v>
      </c>
      <c r="B3" s="1" t="s">
        <v>1033</v>
      </c>
      <c r="C3" s="1" t="s">
        <v>1034</v>
      </c>
      <c r="D3" s="1" t="s">
        <v>36</v>
      </c>
      <c r="E3" s="1">
        <f t="shared" ref="E3:E1001" si="2">SUMPRODUCT(G$2:U$2, G3:U3)</f>
        <v>595</v>
      </c>
      <c r="F3" s="1">
        <f t="shared" ref="F3:F1001" si="3">round(E3/G3, 2)</f>
        <v>7.26</v>
      </c>
      <c r="G3" s="1">
        <v>82.0</v>
      </c>
      <c r="H3" s="1">
        <v>41.0</v>
      </c>
      <c r="I3" s="1">
        <v>87.0</v>
      </c>
      <c r="J3" s="1">
        <v>128.0</v>
      </c>
      <c r="K3" s="1">
        <v>246.0</v>
      </c>
      <c r="L3" s="1">
        <v>15.0</v>
      </c>
      <c r="M3" s="1">
        <v>33.0</v>
      </c>
      <c r="N3" s="1">
        <v>0.0</v>
      </c>
      <c r="O3" s="1">
        <v>0.0</v>
      </c>
      <c r="P3" s="1">
        <v>44.0</v>
      </c>
      <c r="Q3" s="1">
        <v>31.0</v>
      </c>
    </row>
    <row r="4">
      <c r="A4" s="1">
        <f t="shared" si="1"/>
        <v>2</v>
      </c>
      <c r="B4" s="1" t="s">
        <v>1081</v>
      </c>
      <c r="C4" s="1" t="s">
        <v>1082</v>
      </c>
      <c r="D4" s="1" t="s">
        <v>28</v>
      </c>
      <c r="E4" s="1">
        <f t="shared" si="2"/>
        <v>588.75</v>
      </c>
      <c r="F4" s="1">
        <f t="shared" si="3"/>
        <v>7.27</v>
      </c>
      <c r="G4" s="1">
        <v>81.0</v>
      </c>
      <c r="H4" s="1">
        <v>51.0</v>
      </c>
      <c r="I4" s="1">
        <v>38.0</v>
      </c>
      <c r="J4" s="1">
        <v>89.0</v>
      </c>
      <c r="K4" s="1">
        <v>338.0</v>
      </c>
      <c r="L4" s="1">
        <v>18.0</v>
      </c>
      <c r="M4" s="1">
        <v>10.0</v>
      </c>
      <c r="N4" s="1">
        <v>0.0</v>
      </c>
      <c r="O4" s="1">
        <v>0.0</v>
      </c>
      <c r="P4" s="1">
        <v>223.0</v>
      </c>
      <c r="Q4" s="1">
        <v>41.0</v>
      </c>
    </row>
    <row r="5">
      <c r="A5" s="1">
        <f t="shared" si="1"/>
        <v>3</v>
      </c>
      <c r="B5" s="1" t="s">
        <v>1319</v>
      </c>
      <c r="C5" s="1" t="s">
        <v>1172</v>
      </c>
      <c r="D5" s="1" t="s">
        <v>36</v>
      </c>
      <c r="E5" s="1">
        <f t="shared" si="2"/>
        <v>580.75</v>
      </c>
      <c r="F5" s="1">
        <f t="shared" si="3"/>
        <v>7.17</v>
      </c>
      <c r="G5" s="1">
        <v>81.0</v>
      </c>
      <c r="H5" s="1">
        <v>44.0</v>
      </c>
      <c r="I5" s="1">
        <v>66.0</v>
      </c>
      <c r="J5" s="1">
        <v>110.0</v>
      </c>
      <c r="K5" s="1">
        <v>341.0</v>
      </c>
      <c r="L5" s="1">
        <v>9.0</v>
      </c>
      <c r="M5" s="1">
        <v>21.0</v>
      </c>
      <c r="N5" s="1">
        <v>0.0</v>
      </c>
      <c r="O5" s="1">
        <v>0.0</v>
      </c>
      <c r="P5" s="1">
        <v>21.0</v>
      </c>
      <c r="Q5" s="1">
        <v>18.0</v>
      </c>
    </row>
    <row r="6">
      <c r="A6" s="1">
        <f t="shared" si="1"/>
        <v>4</v>
      </c>
      <c r="B6" s="1" t="s">
        <v>1029</v>
      </c>
      <c r="C6" s="1" t="s">
        <v>1030</v>
      </c>
      <c r="D6" s="1" t="s">
        <v>31</v>
      </c>
      <c r="E6" s="1">
        <f t="shared" si="2"/>
        <v>570</v>
      </c>
      <c r="F6" s="1">
        <f t="shared" si="3"/>
        <v>6.95</v>
      </c>
      <c r="G6" s="1">
        <v>82.0</v>
      </c>
      <c r="H6" s="1">
        <v>41.0</v>
      </c>
      <c r="I6" s="1">
        <v>58.0</v>
      </c>
      <c r="J6" s="1">
        <v>99.0</v>
      </c>
      <c r="K6" s="1">
        <v>365.0</v>
      </c>
      <c r="L6" s="1">
        <v>12.0</v>
      </c>
      <c r="M6" s="1">
        <v>25.0</v>
      </c>
      <c r="N6" s="1">
        <v>0.0</v>
      </c>
      <c r="O6" s="1">
        <v>0.0</v>
      </c>
      <c r="P6" s="1">
        <v>54.0</v>
      </c>
      <c r="Q6" s="1">
        <v>31.0</v>
      </c>
    </row>
    <row r="7">
      <c r="A7" s="1">
        <f t="shared" si="1"/>
        <v>5</v>
      </c>
      <c r="B7" s="1" t="s">
        <v>1035</v>
      </c>
      <c r="C7" s="1" t="s">
        <v>1036</v>
      </c>
      <c r="D7" s="1" t="s">
        <v>31</v>
      </c>
      <c r="E7" s="1">
        <f t="shared" si="2"/>
        <v>558.25</v>
      </c>
      <c r="F7" s="1">
        <f t="shared" si="3"/>
        <v>7.16</v>
      </c>
      <c r="G7" s="1">
        <v>78.0</v>
      </c>
      <c r="H7" s="1">
        <v>41.0</v>
      </c>
      <c r="I7" s="1">
        <v>75.0</v>
      </c>
      <c r="J7" s="1">
        <v>116.0</v>
      </c>
      <c r="K7" s="1">
        <v>240.0</v>
      </c>
      <c r="L7" s="1">
        <v>9.0</v>
      </c>
      <c r="M7" s="1">
        <v>24.0</v>
      </c>
      <c r="N7" s="1">
        <v>1.0</v>
      </c>
      <c r="O7" s="1">
        <v>1.0</v>
      </c>
      <c r="P7" s="1">
        <v>39.0</v>
      </c>
      <c r="Q7" s="1">
        <v>30.0</v>
      </c>
    </row>
    <row r="8">
      <c r="A8" s="1">
        <f t="shared" si="1"/>
        <v>6</v>
      </c>
      <c r="B8" s="1" t="s">
        <v>1055</v>
      </c>
      <c r="C8" s="1" t="s">
        <v>1036</v>
      </c>
      <c r="D8" s="1" t="s">
        <v>31</v>
      </c>
      <c r="E8" s="1">
        <f t="shared" si="2"/>
        <v>538.75</v>
      </c>
      <c r="F8" s="1">
        <f t="shared" si="3"/>
        <v>6.57</v>
      </c>
      <c r="G8" s="1">
        <v>82.0</v>
      </c>
      <c r="H8" s="1">
        <v>50.0</v>
      </c>
      <c r="I8" s="1">
        <v>55.0</v>
      </c>
      <c r="J8" s="1">
        <v>105.0</v>
      </c>
      <c r="K8" s="1">
        <v>231.0</v>
      </c>
      <c r="L8" s="1">
        <v>16.0</v>
      </c>
      <c r="M8" s="1">
        <v>13.0</v>
      </c>
      <c r="N8" s="1">
        <v>3.0</v>
      </c>
      <c r="O8" s="1">
        <v>0.0</v>
      </c>
      <c r="P8" s="1">
        <v>57.0</v>
      </c>
      <c r="Q8" s="1">
        <v>26.0</v>
      </c>
    </row>
    <row r="9">
      <c r="A9" s="1">
        <f t="shared" si="1"/>
        <v>7</v>
      </c>
      <c r="B9" s="1" t="s">
        <v>1061</v>
      </c>
      <c r="C9" s="1" t="s">
        <v>1034</v>
      </c>
      <c r="D9" s="1" t="s">
        <v>31</v>
      </c>
      <c r="E9" s="1">
        <f t="shared" si="2"/>
        <v>520.5</v>
      </c>
      <c r="F9" s="1">
        <f t="shared" si="3"/>
        <v>6.35</v>
      </c>
      <c r="G9" s="1">
        <v>82.0</v>
      </c>
      <c r="H9" s="1">
        <v>45.0</v>
      </c>
      <c r="I9" s="1">
        <v>53.0</v>
      </c>
      <c r="J9" s="1">
        <v>98.0</v>
      </c>
      <c r="K9" s="1">
        <v>234.0</v>
      </c>
      <c r="L9" s="1">
        <v>19.0</v>
      </c>
      <c r="M9" s="1">
        <v>21.0</v>
      </c>
      <c r="N9" s="1">
        <v>2.0</v>
      </c>
      <c r="O9" s="1">
        <v>0.0</v>
      </c>
      <c r="P9" s="1">
        <v>72.0</v>
      </c>
      <c r="Q9" s="1">
        <v>40.0</v>
      </c>
    </row>
    <row r="10">
      <c r="A10" s="1">
        <f t="shared" si="1"/>
        <v>8</v>
      </c>
      <c r="B10" s="1" t="s">
        <v>1083</v>
      </c>
      <c r="C10" s="1" t="s">
        <v>1032</v>
      </c>
      <c r="D10" s="1" t="s">
        <v>31</v>
      </c>
      <c r="E10" s="1">
        <f t="shared" si="2"/>
        <v>518.75</v>
      </c>
      <c r="F10" s="1">
        <f t="shared" si="3"/>
        <v>6.33</v>
      </c>
      <c r="G10" s="1">
        <v>82.0</v>
      </c>
      <c r="H10" s="1">
        <v>47.0</v>
      </c>
      <c r="I10" s="1">
        <v>41.0</v>
      </c>
      <c r="J10" s="1">
        <v>88.0</v>
      </c>
      <c r="K10" s="1">
        <v>286.0</v>
      </c>
      <c r="L10" s="1">
        <v>10.0</v>
      </c>
      <c r="M10" s="1">
        <v>9.0</v>
      </c>
      <c r="N10" s="1">
        <v>0.0</v>
      </c>
      <c r="O10" s="1">
        <v>0.0</v>
      </c>
      <c r="P10" s="1">
        <v>59.0</v>
      </c>
      <c r="Q10" s="1">
        <v>53.0</v>
      </c>
    </row>
    <row r="11">
      <c r="A11" s="1">
        <f t="shared" si="1"/>
        <v>9</v>
      </c>
      <c r="B11" s="1" t="s">
        <v>1051</v>
      </c>
      <c r="C11" s="1" t="s">
        <v>1052</v>
      </c>
      <c r="D11" s="1" t="s">
        <v>31</v>
      </c>
      <c r="E11" s="1">
        <f t="shared" si="2"/>
        <v>509.25</v>
      </c>
      <c r="F11" s="1">
        <f t="shared" si="3"/>
        <v>6.45</v>
      </c>
      <c r="G11" s="1">
        <v>79.0</v>
      </c>
      <c r="H11" s="1">
        <v>35.0</v>
      </c>
      <c r="I11" s="1">
        <v>65.0</v>
      </c>
      <c r="J11" s="1">
        <v>100.0</v>
      </c>
      <c r="K11" s="1">
        <v>220.0</v>
      </c>
      <c r="L11" s="1">
        <v>12.0</v>
      </c>
      <c r="M11" s="1">
        <v>17.0</v>
      </c>
      <c r="N11" s="1">
        <v>0.0</v>
      </c>
      <c r="O11" s="1">
        <v>2.0</v>
      </c>
      <c r="P11" s="1">
        <v>85.0</v>
      </c>
      <c r="Q11" s="1">
        <v>43.0</v>
      </c>
    </row>
    <row r="12">
      <c r="A12" s="1">
        <f t="shared" si="1"/>
        <v>10</v>
      </c>
      <c r="B12" s="1" t="s">
        <v>1243</v>
      </c>
      <c r="C12" s="1" t="s">
        <v>1175</v>
      </c>
      <c r="D12" s="1" t="s">
        <v>66</v>
      </c>
      <c r="E12" s="1">
        <f t="shared" si="2"/>
        <v>508</v>
      </c>
      <c r="F12" s="1">
        <f t="shared" si="3"/>
        <v>6.2</v>
      </c>
      <c r="G12" s="1">
        <v>82.0</v>
      </c>
      <c r="H12" s="1">
        <v>16.0</v>
      </c>
      <c r="I12" s="1">
        <v>67.0</v>
      </c>
      <c r="J12" s="1">
        <v>83.0</v>
      </c>
      <c r="K12" s="1">
        <v>300.0</v>
      </c>
      <c r="L12" s="1">
        <v>7.0</v>
      </c>
      <c r="M12" s="1">
        <v>21.0</v>
      </c>
      <c r="N12" s="1">
        <v>1.0</v>
      </c>
      <c r="O12" s="1">
        <v>4.0</v>
      </c>
      <c r="P12" s="1">
        <v>90.0</v>
      </c>
      <c r="Q12" s="1">
        <v>105.0</v>
      </c>
    </row>
    <row r="13">
      <c r="A13" s="1">
        <f t="shared" si="1"/>
        <v>11</v>
      </c>
      <c r="B13" s="1" t="s">
        <v>1112</v>
      </c>
      <c r="C13" s="1" t="s">
        <v>1038</v>
      </c>
      <c r="D13" s="1" t="s">
        <v>28</v>
      </c>
      <c r="E13" s="1">
        <f t="shared" si="2"/>
        <v>504.5</v>
      </c>
      <c r="F13" s="1">
        <f t="shared" si="3"/>
        <v>6.39</v>
      </c>
      <c r="G13" s="1">
        <v>79.0</v>
      </c>
      <c r="H13" s="1">
        <v>36.0</v>
      </c>
      <c r="I13" s="1">
        <v>64.0</v>
      </c>
      <c r="J13" s="1">
        <v>100.0</v>
      </c>
      <c r="K13" s="1">
        <v>231.0</v>
      </c>
      <c r="L13" s="1">
        <v>10.0</v>
      </c>
      <c r="M13" s="1">
        <v>24.0</v>
      </c>
      <c r="N13" s="1">
        <v>3.0</v>
      </c>
      <c r="O13" s="1">
        <v>4.0</v>
      </c>
      <c r="P13" s="1">
        <v>46.0</v>
      </c>
      <c r="Q13" s="1">
        <v>19.0</v>
      </c>
    </row>
    <row r="14">
      <c r="A14" s="1">
        <f t="shared" si="1"/>
        <v>12</v>
      </c>
      <c r="B14" s="1" t="s">
        <v>1225</v>
      </c>
      <c r="C14" s="1" t="s">
        <v>1085</v>
      </c>
      <c r="D14" s="1" t="s">
        <v>31</v>
      </c>
      <c r="E14" s="1">
        <f t="shared" si="2"/>
        <v>498.5</v>
      </c>
      <c r="F14" s="1">
        <f t="shared" si="3"/>
        <v>6.08</v>
      </c>
      <c r="G14" s="1">
        <v>82.0</v>
      </c>
      <c r="H14" s="1">
        <v>33.0</v>
      </c>
      <c r="I14" s="1">
        <v>47.0</v>
      </c>
      <c r="J14" s="1">
        <v>80.0</v>
      </c>
      <c r="K14" s="1">
        <v>334.0</v>
      </c>
      <c r="L14" s="1">
        <v>9.0</v>
      </c>
      <c r="M14" s="1">
        <v>18.0</v>
      </c>
      <c r="N14" s="1">
        <v>0.0</v>
      </c>
      <c r="O14" s="1">
        <v>0.0</v>
      </c>
      <c r="P14" s="1">
        <v>74.0</v>
      </c>
      <c r="Q14" s="1">
        <v>47.0</v>
      </c>
    </row>
    <row r="15">
      <c r="A15" s="1">
        <f t="shared" si="1"/>
        <v>13</v>
      </c>
      <c r="B15" s="1" t="s">
        <v>1092</v>
      </c>
      <c r="C15" s="1" t="s">
        <v>1048</v>
      </c>
      <c r="D15" s="1" t="s">
        <v>31</v>
      </c>
      <c r="E15" s="1">
        <f t="shared" si="2"/>
        <v>483</v>
      </c>
      <c r="F15" s="1">
        <f t="shared" si="3"/>
        <v>5.89</v>
      </c>
      <c r="G15" s="1">
        <v>82.0</v>
      </c>
      <c r="H15" s="1">
        <v>35.0</v>
      </c>
      <c r="I15" s="1">
        <v>61.0</v>
      </c>
      <c r="J15" s="1">
        <v>96.0</v>
      </c>
      <c r="K15" s="1">
        <v>206.0</v>
      </c>
      <c r="L15" s="1">
        <v>13.0</v>
      </c>
      <c r="M15" s="1">
        <v>18.0</v>
      </c>
      <c r="N15" s="1">
        <v>0.0</v>
      </c>
      <c r="O15" s="1">
        <v>1.0</v>
      </c>
      <c r="P15" s="1">
        <v>28.0</v>
      </c>
      <c r="Q15" s="1">
        <v>61.0</v>
      </c>
    </row>
    <row r="16">
      <c r="A16" s="1">
        <f t="shared" si="1"/>
        <v>14</v>
      </c>
      <c r="B16" s="1" t="s">
        <v>1257</v>
      </c>
      <c r="C16" s="1" t="s">
        <v>1069</v>
      </c>
      <c r="D16" s="1" t="s">
        <v>28</v>
      </c>
      <c r="E16" s="1">
        <f t="shared" si="2"/>
        <v>482.5</v>
      </c>
      <c r="F16" s="1">
        <f t="shared" si="3"/>
        <v>5.88</v>
      </c>
      <c r="G16" s="1">
        <v>82.0</v>
      </c>
      <c r="H16" s="1">
        <v>36.0</v>
      </c>
      <c r="I16" s="1">
        <v>63.0</v>
      </c>
      <c r="J16" s="1">
        <v>99.0</v>
      </c>
      <c r="K16" s="1">
        <v>245.0</v>
      </c>
      <c r="L16" s="1">
        <v>6.0</v>
      </c>
      <c r="M16" s="1">
        <v>21.0</v>
      </c>
      <c r="N16" s="1">
        <v>0.0</v>
      </c>
      <c r="O16" s="1">
        <v>0.0</v>
      </c>
      <c r="P16" s="1">
        <v>12.0</v>
      </c>
      <c r="Q16" s="1">
        <v>12.0</v>
      </c>
    </row>
    <row r="17">
      <c r="A17" s="1">
        <f t="shared" si="1"/>
        <v>14</v>
      </c>
      <c r="B17" s="1" t="s">
        <v>1094</v>
      </c>
      <c r="C17" s="1" t="s">
        <v>1067</v>
      </c>
      <c r="D17" s="1" t="s">
        <v>31</v>
      </c>
      <c r="E17" s="1">
        <f t="shared" si="2"/>
        <v>482.5</v>
      </c>
      <c r="F17" s="1">
        <f t="shared" si="3"/>
        <v>6.27</v>
      </c>
      <c r="G17" s="1">
        <v>77.0</v>
      </c>
      <c r="H17" s="1">
        <v>28.0</v>
      </c>
      <c r="I17" s="1">
        <v>54.0</v>
      </c>
      <c r="J17" s="1">
        <v>82.0</v>
      </c>
      <c r="K17" s="1">
        <v>303.0</v>
      </c>
      <c r="L17" s="1">
        <v>8.0</v>
      </c>
      <c r="M17" s="1">
        <v>18.0</v>
      </c>
      <c r="N17" s="1">
        <v>0.0</v>
      </c>
      <c r="O17" s="1">
        <v>0.0</v>
      </c>
      <c r="P17" s="1">
        <v>70.0</v>
      </c>
      <c r="Q17" s="1">
        <v>51.0</v>
      </c>
    </row>
    <row r="18">
      <c r="A18" s="1">
        <f t="shared" si="1"/>
        <v>16</v>
      </c>
      <c r="B18" s="1" t="s">
        <v>1102</v>
      </c>
      <c r="C18" s="1" t="s">
        <v>1032</v>
      </c>
      <c r="D18" s="1" t="s">
        <v>31</v>
      </c>
      <c r="E18" s="1">
        <f t="shared" si="2"/>
        <v>472.25</v>
      </c>
      <c r="F18" s="1">
        <f t="shared" si="3"/>
        <v>5.76</v>
      </c>
      <c r="G18" s="1">
        <v>82.0</v>
      </c>
      <c r="H18" s="1">
        <v>26.0</v>
      </c>
      <c r="I18" s="1">
        <v>68.0</v>
      </c>
      <c r="J18" s="1">
        <v>94.0</v>
      </c>
      <c r="K18" s="1">
        <v>233.0</v>
      </c>
      <c r="L18" s="1">
        <v>3.0</v>
      </c>
      <c r="M18" s="1">
        <v>18.0</v>
      </c>
      <c r="N18" s="1">
        <v>1.0</v>
      </c>
      <c r="O18" s="1">
        <v>2.0</v>
      </c>
      <c r="P18" s="1">
        <v>29.0</v>
      </c>
      <c r="Q18" s="1">
        <v>43.0</v>
      </c>
    </row>
    <row r="19">
      <c r="A19" s="1">
        <f t="shared" si="1"/>
        <v>17</v>
      </c>
      <c r="B19" s="1" t="s">
        <v>1596</v>
      </c>
      <c r="C19" s="1" t="s">
        <v>1116</v>
      </c>
      <c r="D19" s="1" t="s">
        <v>36</v>
      </c>
      <c r="E19" s="1">
        <f t="shared" si="2"/>
        <v>471.25</v>
      </c>
      <c r="F19" s="1">
        <f t="shared" si="3"/>
        <v>5.75</v>
      </c>
      <c r="G19" s="1">
        <v>82.0</v>
      </c>
      <c r="H19" s="1">
        <v>20.0</v>
      </c>
      <c r="I19" s="1">
        <v>71.0</v>
      </c>
      <c r="J19" s="1">
        <v>91.0</v>
      </c>
      <c r="K19" s="1">
        <v>231.0</v>
      </c>
      <c r="L19" s="1">
        <v>2.0</v>
      </c>
      <c r="M19" s="1">
        <v>31.0</v>
      </c>
      <c r="N19" s="1">
        <v>2.0</v>
      </c>
      <c r="O19" s="1">
        <v>1.0</v>
      </c>
      <c r="P19" s="1">
        <v>81.0</v>
      </c>
      <c r="Q19" s="1">
        <v>53.0</v>
      </c>
    </row>
    <row r="20">
      <c r="A20" s="1">
        <f t="shared" si="1"/>
        <v>18</v>
      </c>
      <c r="B20" s="1" t="s">
        <v>1266</v>
      </c>
      <c r="C20" s="1" t="s">
        <v>1048</v>
      </c>
      <c r="D20" s="1" t="s">
        <v>28</v>
      </c>
      <c r="E20" s="1">
        <f t="shared" si="2"/>
        <v>470.75</v>
      </c>
      <c r="F20" s="1">
        <f t="shared" si="3"/>
        <v>5.74</v>
      </c>
      <c r="G20" s="1">
        <v>82.0</v>
      </c>
      <c r="H20" s="1">
        <v>30.0</v>
      </c>
      <c r="I20" s="1">
        <v>62.0</v>
      </c>
      <c r="J20" s="1">
        <v>92.0</v>
      </c>
      <c r="K20" s="1">
        <v>226.0</v>
      </c>
      <c r="L20" s="1">
        <v>11.0</v>
      </c>
      <c r="M20" s="1">
        <v>23.0</v>
      </c>
      <c r="N20" s="1">
        <v>0.0</v>
      </c>
      <c r="O20" s="1">
        <v>0.0</v>
      </c>
      <c r="P20" s="1">
        <v>57.0</v>
      </c>
      <c r="Q20" s="1">
        <v>45.0</v>
      </c>
    </row>
    <row r="21">
      <c r="A21" s="1">
        <f t="shared" si="1"/>
        <v>19</v>
      </c>
      <c r="B21" s="1" t="s">
        <v>1063</v>
      </c>
      <c r="C21" s="1" t="s">
        <v>1034</v>
      </c>
      <c r="D21" s="1" t="s">
        <v>31</v>
      </c>
      <c r="E21" s="1">
        <f t="shared" si="2"/>
        <v>462.25</v>
      </c>
      <c r="F21" s="1">
        <f t="shared" si="3"/>
        <v>5.85</v>
      </c>
      <c r="G21" s="1">
        <v>79.0</v>
      </c>
      <c r="H21" s="1">
        <v>41.0</v>
      </c>
      <c r="I21" s="1">
        <v>51.0</v>
      </c>
      <c r="J21" s="1">
        <v>92.0</v>
      </c>
      <c r="K21" s="1">
        <v>191.0</v>
      </c>
      <c r="L21" s="1">
        <v>20.0</v>
      </c>
      <c r="M21" s="1">
        <v>15.0</v>
      </c>
      <c r="N21" s="1">
        <v>0.0</v>
      </c>
      <c r="O21" s="1">
        <v>0.0</v>
      </c>
      <c r="P21" s="1">
        <v>31.0</v>
      </c>
      <c r="Q21" s="1">
        <v>43.0</v>
      </c>
    </row>
    <row r="22">
      <c r="A22" s="1">
        <f t="shared" si="1"/>
        <v>20</v>
      </c>
      <c r="B22" s="1" t="s">
        <v>2281</v>
      </c>
      <c r="C22" s="1" t="s">
        <v>1030</v>
      </c>
      <c r="D22" s="1" t="s">
        <v>28</v>
      </c>
      <c r="E22" s="1">
        <f t="shared" si="2"/>
        <v>459.5</v>
      </c>
      <c r="F22" s="1">
        <f t="shared" si="3"/>
        <v>6.29</v>
      </c>
      <c r="G22" s="1">
        <v>73.0</v>
      </c>
      <c r="H22" s="1">
        <v>34.0</v>
      </c>
      <c r="I22" s="1">
        <v>41.0</v>
      </c>
      <c r="J22" s="1">
        <v>75.0</v>
      </c>
      <c r="K22" s="1">
        <v>243.0</v>
      </c>
      <c r="L22" s="1">
        <v>10.0</v>
      </c>
      <c r="M22" s="1">
        <v>17.0</v>
      </c>
      <c r="N22" s="1">
        <v>0.0</v>
      </c>
      <c r="O22" s="1">
        <v>0.0</v>
      </c>
      <c r="P22" s="1">
        <v>120.0</v>
      </c>
      <c r="Q22" s="1">
        <v>64.0</v>
      </c>
    </row>
    <row r="23">
      <c r="A23" s="1">
        <f t="shared" si="1"/>
        <v>21</v>
      </c>
      <c r="B23" s="1" t="s">
        <v>1072</v>
      </c>
      <c r="C23" s="1" t="s">
        <v>1073</v>
      </c>
      <c r="D23" s="1" t="s">
        <v>28</v>
      </c>
      <c r="E23" s="1">
        <f t="shared" si="2"/>
        <v>458.75</v>
      </c>
      <c r="F23" s="1">
        <f t="shared" si="3"/>
        <v>5.59</v>
      </c>
      <c r="G23" s="1">
        <v>82.0</v>
      </c>
      <c r="H23" s="1">
        <v>30.0</v>
      </c>
      <c r="I23" s="1">
        <v>53.0</v>
      </c>
      <c r="J23" s="1">
        <v>83.0</v>
      </c>
      <c r="K23" s="1">
        <v>243.0</v>
      </c>
      <c r="L23" s="1">
        <v>3.0</v>
      </c>
      <c r="M23" s="1">
        <v>21.0</v>
      </c>
      <c r="N23" s="1">
        <v>4.0</v>
      </c>
      <c r="O23" s="1">
        <v>1.0</v>
      </c>
      <c r="P23" s="1">
        <v>65.0</v>
      </c>
      <c r="Q23" s="1">
        <v>34.0</v>
      </c>
    </row>
    <row r="24">
      <c r="A24" s="1">
        <f t="shared" si="1"/>
        <v>22</v>
      </c>
      <c r="B24" s="1" t="s">
        <v>1651</v>
      </c>
      <c r="C24" s="1" t="s">
        <v>1069</v>
      </c>
      <c r="D24" s="1" t="s">
        <v>66</v>
      </c>
      <c r="E24" s="1">
        <f t="shared" si="2"/>
        <v>456.5</v>
      </c>
      <c r="F24" s="1">
        <f t="shared" si="3"/>
        <v>5.85</v>
      </c>
      <c r="G24" s="1">
        <v>78.0</v>
      </c>
      <c r="H24" s="1">
        <v>17.0</v>
      </c>
      <c r="I24" s="1">
        <v>57.0</v>
      </c>
      <c r="J24" s="1">
        <v>74.0</v>
      </c>
      <c r="K24" s="1">
        <v>221.0</v>
      </c>
      <c r="L24" s="1">
        <v>3.0</v>
      </c>
      <c r="M24" s="1">
        <v>18.0</v>
      </c>
      <c r="N24" s="1">
        <v>4.0</v>
      </c>
      <c r="O24" s="1">
        <v>2.0</v>
      </c>
      <c r="P24" s="1">
        <v>58.0</v>
      </c>
      <c r="Q24" s="1">
        <v>144.0</v>
      </c>
    </row>
    <row r="25">
      <c r="A25" s="1">
        <f t="shared" si="1"/>
        <v>23</v>
      </c>
      <c r="B25" s="1" t="s">
        <v>1100</v>
      </c>
      <c r="C25" s="1" t="s">
        <v>1040</v>
      </c>
      <c r="D25" s="1" t="s">
        <v>31</v>
      </c>
      <c r="E25" s="1">
        <f t="shared" si="2"/>
        <v>455.5</v>
      </c>
      <c r="F25" s="1">
        <f t="shared" si="3"/>
        <v>5.55</v>
      </c>
      <c r="G25" s="1">
        <v>82.0</v>
      </c>
      <c r="H25" s="1">
        <v>30.0</v>
      </c>
      <c r="I25" s="1">
        <v>44.0</v>
      </c>
      <c r="J25" s="1">
        <v>74.0</v>
      </c>
      <c r="K25" s="1">
        <v>236.0</v>
      </c>
      <c r="L25" s="1">
        <v>11.0</v>
      </c>
      <c r="M25" s="1">
        <v>12.0</v>
      </c>
      <c r="N25" s="1">
        <v>2.0</v>
      </c>
      <c r="O25" s="1">
        <v>0.0</v>
      </c>
      <c r="P25" s="1">
        <v>134.0</v>
      </c>
      <c r="Q25" s="1">
        <v>66.0</v>
      </c>
    </row>
    <row r="26">
      <c r="A26" s="1">
        <f t="shared" si="1"/>
        <v>23</v>
      </c>
      <c r="B26" s="1" t="s">
        <v>1119</v>
      </c>
      <c r="C26" s="1" t="s">
        <v>1120</v>
      </c>
      <c r="D26" s="1" t="s">
        <v>31</v>
      </c>
      <c r="E26" s="1">
        <f t="shared" si="2"/>
        <v>455.5</v>
      </c>
      <c r="F26" s="1">
        <f t="shared" si="3"/>
        <v>5.99</v>
      </c>
      <c r="G26" s="1">
        <v>76.0</v>
      </c>
      <c r="H26" s="1">
        <v>32.0</v>
      </c>
      <c r="I26" s="1">
        <v>41.0</v>
      </c>
      <c r="J26" s="1">
        <v>73.0</v>
      </c>
      <c r="K26" s="1">
        <v>287.0</v>
      </c>
      <c r="L26" s="1">
        <v>7.0</v>
      </c>
      <c r="M26" s="1">
        <v>8.0</v>
      </c>
      <c r="N26" s="1">
        <v>2.0</v>
      </c>
      <c r="O26" s="1">
        <v>1.0</v>
      </c>
      <c r="P26" s="1">
        <v>80.0</v>
      </c>
      <c r="Q26" s="1">
        <v>38.0</v>
      </c>
    </row>
    <row r="27">
      <c r="A27" s="1">
        <f t="shared" si="1"/>
        <v>25</v>
      </c>
      <c r="B27" s="1" t="s">
        <v>1141</v>
      </c>
      <c r="C27" s="1" t="s">
        <v>1116</v>
      </c>
      <c r="D27" s="1" t="s">
        <v>31</v>
      </c>
      <c r="E27" s="1">
        <f t="shared" si="2"/>
        <v>455</v>
      </c>
      <c r="F27" s="1">
        <f t="shared" si="3"/>
        <v>5.55</v>
      </c>
      <c r="G27" s="1">
        <v>82.0</v>
      </c>
      <c r="H27" s="1">
        <v>38.0</v>
      </c>
      <c r="I27" s="1">
        <v>46.0</v>
      </c>
      <c r="J27" s="1">
        <v>84.0</v>
      </c>
      <c r="K27" s="1">
        <v>199.0</v>
      </c>
      <c r="L27" s="1">
        <v>12.0</v>
      </c>
      <c r="M27" s="1">
        <v>11.0</v>
      </c>
      <c r="N27" s="1">
        <v>0.0</v>
      </c>
      <c r="O27" s="1">
        <v>3.0</v>
      </c>
      <c r="P27" s="1">
        <v>54.0</v>
      </c>
      <c r="Q27" s="1">
        <v>54.0</v>
      </c>
    </row>
    <row r="28">
      <c r="A28" s="1">
        <f t="shared" si="1"/>
        <v>26</v>
      </c>
      <c r="B28" s="1" t="s">
        <v>1095</v>
      </c>
      <c r="C28" s="1" t="s">
        <v>1052</v>
      </c>
      <c r="D28" s="1" t="s">
        <v>28</v>
      </c>
      <c r="E28" s="1">
        <f t="shared" si="2"/>
        <v>453.25</v>
      </c>
      <c r="F28" s="1">
        <f t="shared" si="3"/>
        <v>5.53</v>
      </c>
      <c r="G28" s="1">
        <v>82.0</v>
      </c>
      <c r="H28" s="1">
        <v>40.0</v>
      </c>
      <c r="I28" s="1">
        <v>36.0</v>
      </c>
      <c r="J28" s="1">
        <v>76.0</v>
      </c>
      <c r="K28" s="1">
        <v>227.0</v>
      </c>
      <c r="L28" s="1">
        <v>6.0</v>
      </c>
      <c r="M28" s="1">
        <v>5.0</v>
      </c>
      <c r="N28" s="1">
        <v>1.0</v>
      </c>
      <c r="O28" s="1">
        <v>0.0</v>
      </c>
      <c r="P28" s="1">
        <v>105.0</v>
      </c>
      <c r="Q28" s="1">
        <v>47.0</v>
      </c>
    </row>
    <row r="29">
      <c r="A29" s="1">
        <f t="shared" si="1"/>
        <v>27</v>
      </c>
      <c r="B29" s="1" t="s">
        <v>2092</v>
      </c>
      <c r="C29" s="1" t="s">
        <v>1172</v>
      </c>
      <c r="D29" s="1" t="s">
        <v>31</v>
      </c>
      <c r="E29" s="1">
        <f t="shared" si="2"/>
        <v>447.5</v>
      </c>
      <c r="F29" s="1">
        <f t="shared" si="3"/>
        <v>5.46</v>
      </c>
      <c r="G29" s="1">
        <v>82.0</v>
      </c>
      <c r="H29" s="1">
        <v>35.0</v>
      </c>
      <c r="I29" s="1">
        <v>46.0</v>
      </c>
      <c r="J29" s="1">
        <v>81.0</v>
      </c>
      <c r="K29" s="1">
        <v>235.0</v>
      </c>
      <c r="L29" s="1">
        <v>9.0</v>
      </c>
      <c r="M29" s="1">
        <v>14.0</v>
      </c>
      <c r="N29" s="1">
        <v>1.0</v>
      </c>
      <c r="O29" s="1">
        <v>0.0</v>
      </c>
      <c r="P29" s="1">
        <v>42.0</v>
      </c>
      <c r="Q29" s="1">
        <v>44.0</v>
      </c>
    </row>
    <row r="30">
      <c r="A30" s="1">
        <f t="shared" si="1"/>
        <v>28</v>
      </c>
      <c r="B30" s="1" t="s">
        <v>1037</v>
      </c>
      <c r="C30" s="1" t="s">
        <v>1038</v>
      </c>
      <c r="D30" s="1" t="s">
        <v>36</v>
      </c>
      <c r="E30" s="1">
        <f t="shared" si="2"/>
        <v>444.25</v>
      </c>
      <c r="F30" s="1">
        <f t="shared" si="3"/>
        <v>6.73</v>
      </c>
      <c r="G30" s="1">
        <v>66.0</v>
      </c>
      <c r="H30" s="1">
        <v>38.0</v>
      </c>
      <c r="I30" s="1">
        <v>43.0</v>
      </c>
      <c r="J30" s="1">
        <v>81.0</v>
      </c>
      <c r="K30" s="1">
        <v>235.0</v>
      </c>
      <c r="L30" s="1">
        <v>17.0</v>
      </c>
      <c r="M30" s="1">
        <v>16.0</v>
      </c>
      <c r="N30" s="1">
        <v>0.0</v>
      </c>
      <c r="O30" s="1">
        <v>0.0</v>
      </c>
      <c r="P30" s="1">
        <v>57.0</v>
      </c>
      <c r="Q30" s="1">
        <v>25.0</v>
      </c>
    </row>
    <row r="31">
      <c r="A31" s="1">
        <f t="shared" si="1"/>
        <v>29</v>
      </c>
      <c r="B31" s="1" t="s">
        <v>1391</v>
      </c>
      <c r="C31" s="1" t="s">
        <v>1156</v>
      </c>
      <c r="D31" s="1" t="s">
        <v>36</v>
      </c>
      <c r="E31" s="1">
        <f t="shared" si="2"/>
        <v>443.25</v>
      </c>
      <c r="F31" s="1">
        <f t="shared" si="3"/>
        <v>5.54</v>
      </c>
      <c r="G31" s="1">
        <v>80.0</v>
      </c>
      <c r="H31" s="1">
        <v>41.0</v>
      </c>
      <c r="I31" s="1">
        <v>28.0</v>
      </c>
      <c r="J31" s="1">
        <v>69.0</v>
      </c>
      <c r="K31" s="1">
        <v>295.0</v>
      </c>
      <c r="L31" s="1">
        <v>8.0</v>
      </c>
      <c r="M31" s="1">
        <v>6.0</v>
      </c>
      <c r="N31" s="1">
        <v>4.0</v>
      </c>
      <c r="O31" s="1">
        <v>0.0</v>
      </c>
      <c r="P31" s="1">
        <v>27.0</v>
      </c>
      <c r="Q31" s="1">
        <v>25.0</v>
      </c>
    </row>
    <row r="32">
      <c r="A32" s="1">
        <f t="shared" si="1"/>
        <v>30</v>
      </c>
      <c r="B32" s="1" t="s">
        <v>2085</v>
      </c>
      <c r="C32" s="1" t="s">
        <v>1038</v>
      </c>
      <c r="D32" s="1" t="s">
        <v>31</v>
      </c>
      <c r="E32" s="1">
        <f t="shared" si="2"/>
        <v>442.25</v>
      </c>
      <c r="F32" s="1">
        <f t="shared" si="3"/>
        <v>6.8</v>
      </c>
      <c r="G32" s="1">
        <v>65.0</v>
      </c>
      <c r="H32" s="1">
        <v>32.0</v>
      </c>
      <c r="I32" s="1">
        <v>47.0</v>
      </c>
      <c r="J32" s="1">
        <v>79.0</v>
      </c>
      <c r="K32" s="1">
        <v>205.0</v>
      </c>
      <c r="L32" s="1">
        <v>9.0</v>
      </c>
      <c r="M32" s="1">
        <v>18.0</v>
      </c>
      <c r="N32" s="1">
        <v>4.0</v>
      </c>
      <c r="O32" s="1">
        <v>3.0</v>
      </c>
      <c r="P32" s="1">
        <v>43.0</v>
      </c>
      <c r="Q32" s="1">
        <v>60.0</v>
      </c>
    </row>
    <row r="33">
      <c r="A33" s="1">
        <f t="shared" si="1"/>
        <v>31</v>
      </c>
      <c r="B33" s="1" t="s">
        <v>1049</v>
      </c>
      <c r="C33" s="1" t="s">
        <v>1030</v>
      </c>
      <c r="D33" s="1" t="s">
        <v>36</v>
      </c>
      <c r="E33" s="1">
        <f t="shared" si="2"/>
        <v>439.25</v>
      </c>
      <c r="F33" s="1">
        <f t="shared" si="3"/>
        <v>5.94</v>
      </c>
      <c r="G33" s="1">
        <v>74.0</v>
      </c>
      <c r="H33" s="1">
        <v>31.0</v>
      </c>
      <c r="I33" s="1">
        <v>56.0</v>
      </c>
      <c r="J33" s="1">
        <v>87.0</v>
      </c>
      <c r="K33" s="1">
        <v>193.0</v>
      </c>
      <c r="L33" s="1">
        <v>16.0</v>
      </c>
      <c r="M33" s="1">
        <v>17.0</v>
      </c>
      <c r="N33" s="1">
        <v>0.0</v>
      </c>
      <c r="O33" s="1">
        <v>0.0</v>
      </c>
      <c r="P33" s="1">
        <v>59.0</v>
      </c>
      <c r="Q33" s="1">
        <v>41.0</v>
      </c>
    </row>
    <row r="34">
      <c r="A34" s="1">
        <f t="shared" si="1"/>
        <v>32</v>
      </c>
      <c r="B34" s="1" t="s">
        <v>1031</v>
      </c>
      <c r="C34" s="1" t="s">
        <v>1032</v>
      </c>
      <c r="D34" s="1" t="s">
        <v>31</v>
      </c>
      <c r="E34" s="1">
        <f t="shared" si="2"/>
        <v>437</v>
      </c>
      <c r="F34" s="1">
        <f t="shared" si="3"/>
        <v>6.43</v>
      </c>
      <c r="G34" s="1">
        <v>68.0</v>
      </c>
      <c r="H34" s="1">
        <v>37.0</v>
      </c>
      <c r="I34" s="1">
        <v>36.0</v>
      </c>
      <c r="J34" s="1">
        <v>73.0</v>
      </c>
      <c r="K34" s="1">
        <v>251.0</v>
      </c>
      <c r="L34" s="1">
        <v>12.0</v>
      </c>
      <c r="M34" s="1">
        <v>8.0</v>
      </c>
      <c r="N34" s="1">
        <v>0.0</v>
      </c>
      <c r="O34" s="1">
        <v>0.0</v>
      </c>
      <c r="P34" s="1">
        <v>28.0</v>
      </c>
      <c r="Q34" s="1">
        <v>60.0</v>
      </c>
    </row>
    <row r="35">
      <c r="A35" s="1">
        <f t="shared" si="1"/>
        <v>33</v>
      </c>
      <c r="B35" s="1" t="s">
        <v>1199</v>
      </c>
      <c r="C35" s="1" t="s">
        <v>1106</v>
      </c>
      <c r="D35" s="1" t="s">
        <v>36</v>
      </c>
      <c r="E35" s="1">
        <f t="shared" si="2"/>
        <v>433</v>
      </c>
      <c r="F35" s="1">
        <f t="shared" si="3"/>
        <v>5.7</v>
      </c>
      <c r="G35" s="1">
        <v>76.0</v>
      </c>
      <c r="H35" s="1">
        <v>33.0</v>
      </c>
      <c r="I35" s="1">
        <v>35.0</v>
      </c>
      <c r="J35" s="1">
        <v>68.0</v>
      </c>
      <c r="K35" s="1">
        <v>275.0</v>
      </c>
      <c r="L35" s="1">
        <v>12.0</v>
      </c>
      <c r="M35" s="1">
        <v>10.0</v>
      </c>
      <c r="N35" s="1">
        <v>0.0</v>
      </c>
      <c r="O35" s="1">
        <v>0.0</v>
      </c>
      <c r="P35" s="1">
        <v>88.0</v>
      </c>
      <c r="Q35" s="1">
        <v>40.0</v>
      </c>
    </row>
    <row r="36">
      <c r="A36" s="1">
        <f t="shared" si="1"/>
        <v>34</v>
      </c>
      <c r="B36" s="1" t="s">
        <v>1291</v>
      </c>
      <c r="C36" s="1" t="s">
        <v>1091</v>
      </c>
      <c r="D36" s="1" t="s">
        <v>31</v>
      </c>
      <c r="E36" s="1">
        <f t="shared" si="2"/>
        <v>431</v>
      </c>
      <c r="F36" s="1">
        <f t="shared" si="3"/>
        <v>5.39</v>
      </c>
      <c r="G36" s="1">
        <v>80.0</v>
      </c>
      <c r="H36" s="1">
        <v>33.0</v>
      </c>
      <c r="I36" s="1">
        <v>43.0</v>
      </c>
      <c r="J36" s="1">
        <v>76.0</v>
      </c>
      <c r="K36" s="1">
        <v>223.0</v>
      </c>
      <c r="L36" s="1">
        <v>8.0</v>
      </c>
      <c r="M36" s="1">
        <v>9.0</v>
      </c>
      <c r="N36" s="1">
        <v>1.0</v>
      </c>
      <c r="O36" s="1">
        <v>0.0</v>
      </c>
      <c r="P36" s="1">
        <v>40.0</v>
      </c>
      <c r="Q36" s="1">
        <v>60.0</v>
      </c>
    </row>
    <row r="37">
      <c r="A37" s="1">
        <f t="shared" si="1"/>
        <v>35</v>
      </c>
      <c r="B37" s="1" t="s">
        <v>1139</v>
      </c>
      <c r="C37" s="1" t="s">
        <v>1032</v>
      </c>
      <c r="D37" s="1" t="s">
        <v>66</v>
      </c>
      <c r="E37" s="1">
        <f t="shared" si="2"/>
        <v>429.75</v>
      </c>
      <c r="F37" s="1">
        <f t="shared" si="3"/>
        <v>5.24</v>
      </c>
      <c r="G37" s="1">
        <v>82.0</v>
      </c>
      <c r="H37" s="1">
        <v>20.0</v>
      </c>
      <c r="I37" s="1">
        <v>52.0</v>
      </c>
      <c r="J37" s="1">
        <v>72.0</v>
      </c>
      <c r="K37" s="1">
        <v>223.0</v>
      </c>
      <c r="L37" s="1">
        <v>3.0</v>
      </c>
      <c r="M37" s="1">
        <v>18.0</v>
      </c>
      <c r="N37" s="1">
        <v>0.0</v>
      </c>
      <c r="O37" s="1">
        <v>0.0</v>
      </c>
      <c r="P37" s="1">
        <v>61.0</v>
      </c>
      <c r="Q37" s="1">
        <v>114.0</v>
      </c>
    </row>
    <row r="38">
      <c r="A38" s="1">
        <f t="shared" si="1"/>
        <v>36</v>
      </c>
      <c r="B38" s="1" t="s">
        <v>1187</v>
      </c>
      <c r="C38" s="1" t="s">
        <v>1069</v>
      </c>
      <c r="D38" s="1" t="s">
        <v>31</v>
      </c>
      <c r="E38" s="1">
        <f t="shared" si="2"/>
        <v>423.5</v>
      </c>
      <c r="F38" s="1">
        <f t="shared" si="3"/>
        <v>5.43</v>
      </c>
      <c r="G38" s="1">
        <v>78.0</v>
      </c>
      <c r="H38" s="1">
        <v>34.0</v>
      </c>
      <c r="I38" s="1">
        <v>48.0</v>
      </c>
      <c r="J38" s="1">
        <v>82.0</v>
      </c>
      <c r="K38" s="1">
        <v>211.0</v>
      </c>
      <c r="L38" s="1">
        <v>12.0</v>
      </c>
      <c r="M38" s="1">
        <v>11.0</v>
      </c>
      <c r="N38" s="1">
        <v>0.0</v>
      </c>
      <c r="O38" s="1">
        <v>0.0</v>
      </c>
      <c r="P38" s="1">
        <v>36.0</v>
      </c>
      <c r="Q38" s="1">
        <v>24.0</v>
      </c>
    </row>
    <row r="39">
      <c r="A39" s="1">
        <f t="shared" si="1"/>
        <v>36</v>
      </c>
      <c r="B39" s="1" t="s">
        <v>1271</v>
      </c>
      <c r="C39" s="1" t="s">
        <v>1080</v>
      </c>
      <c r="D39" s="1" t="s">
        <v>36</v>
      </c>
      <c r="E39" s="1">
        <f t="shared" si="2"/>
        <v>423.5</v>
      </c>
      <c r="F39" s="1">
        <f t="shared" si="3"/>
        <v>5.5</v>
      </c>
      <c r="G39" s="1">
        <v>77.0</v>
      </c>
      <c r="H39" s="1">
        <v>33.0</v>
      </c>
      <c r="I39" s="1">
        <v>40.0</v>
      </c>
      <c r="J39" s="1">
        <v>73.0</v>
      </c>
      <c r="K39" s="1">
        <v>199.0</v>
      </c>
      <c r="L39" s="1">
        <v>6.0</v>
      </c>
      <c r="M39" s="1">
        <v>14.0</v>
      </c>
      <c r="N39" s="1">
        <v>1.0</v>
      </c>
      <c r="O39" s="1">
        <v>0.0</v>
      </c>
      <c r="P39" s="1">
        <v>72.0</v>
      </c>
      <c r="Q39" s="1">
        <v>71.0</v>
      </c>
    </row>
    <row r="40">
      <c r="A40" s="1">
        <f t="shared" si="1"/>
        <v>38</v>
      </c>
      <c r="B40" s="1" t="s">
        <v>1140</v>
      </c>
      <c r="C40" s="1" t="s">
        <v>1106</v>
      </c>
      <c r="D40" s="1" t="s">
        <v>31</v>
      </c>
      <c r="E40" s="1">
        <f t="shared" si="2"/>
        <v>421.75</v>
      </c>
      <c r="F40" s="1">
        <f t="shared" si="3"/>
        <v>5.14</v>
      </c>
      <c r="G40" s="1">
        <v>82.0</v>
      </c>
      <c r="H40" s="1">
        <v>28.0</v>
      </c>
      <c r="I40" s="1">
        <v>49.0</v>
      </c>
      <c r="J40" s="1">
        <v>77.0</v>
      </c>
      <c r="K40" s="1">
        <v>234.0</v>
      </c>
      <c r="L40" s="1">
        <v>6.0</v>
      </c>
      <c r="M40" s="1">
        <v>16.0</v>
      </c>
      <c r="N40" s="1">
        <v>1.0</v>
      </c>
      <c r="O40" s="1">
        <v>2.0</v>
      </c>
      <c r="P40" s="1">
        <v>31.0</v>
      </c>
      <c r="Q40" s="1">
        <v>36.0</v>
      </c>
    </row>
    <row r="41">
      <c r="A41" s="1">
        <f t="shared" si="1"/>
        <v>39</v>
      </c>
      <c r="B41" s="1" t="s">
        <v>1123</v>
      </c>
      <c r="C41" s="1" t="s">
        <v>1172</v>
      </c>
      <c r="D41" s="1" t="s">
        <v>36</v>
      </c>
      <c r="E41" s="1">
        <f t="shared" si="2"/>
        <v>421.25</v>
      </c>
      <c r="F41" s="1">
        <f t="shared" si="3"/>
        <v>5.14</v>
      </c>
      <c r="G41" s="1">
        <v>82.0</v>
      </c>
      <c r="H41" s="1">
        <v>41.0</v>
      </c>
      <c r="I41" s="1">
        <v>35.0</v>
      </c>
      <c r="J41" s="1">
        <v>76.0</v>
      </c>
      <c r="K41" s="1">
        <v>220.0</v>
      </c>
      <c r="L41" s="1">
        <v>13.0</v>
      </c>
      <c r="M41" s="1">
        <v>11.0</v>
      </c>
      <c r="N41" s="1">
        <v>0.0</v>
      </c>
      <c r="O41" s="1">
        <v>0.0</v>
      </c>
      <c r="P41" s="1">
        <v>35.0</v>
      </c>
      <c r="Q41" s="1">
        <v>26.0</v>
      </c>
    </row>
    <row r="42">
      <c r="A42" s="1">
        <f t="shared" si="1"/>
        <v>40</v>
      </c>
      <c r="B42" s="1" t="s">
        <v>1173</v>
      </c>
      <c r="C42" s="1" t="s">
        <v>1091</v>
      </c>
      <c r="D42" s="1" t="s">
        <v>31</v>
      </c>
      <c r="E42" s="1">
        <f t="shared" si="2"/>
        <v>421</v>
      </c>
      <c r="F42" s="1">
        <f t="shared" si="3"/>
        <v>5.13</v>
      </c>
      <c r="G42" s="1">
        <v>82.0</v>
      </c>
      <c r="H42" s="1">
        <v>22.0</v>
      </c>
      <c r="I42" s="1">
        <v>63.0</v>
      </c>
      <c r="J42" s="1">
        <v>85.0</v>
      </c>
      <c r="K42" s="1">
        <v>229.0</v>
      </c>
      <c r="L42" s="1">
        <v>2.0</v>
      </c>
      <c r="M42" s="1">
        <v>21.0</v>
      </c>
      <c r="N42" s="1">
        <v>1.0</v>
      </c>
      <c r="O42" s="1">
        <v>0.0</v>
      </c>
      <c r="P42" s="1">
        <v>28.0</v>
      </c>
      <c r="Q42" s="1">
        <v>19.0</v>
      </c>
    </row>
    <row r="43">
      <c r="A43" s="1">
        <f t="shared" si="1"/>
        <v>41</v>
      </c>
      <c r="B43" s="1" t="s">
        <v>2297</v>
      </c>
      <c r="C43" s="1" t="s">
        <v>1085</v>
      </c>
      <c r="D43" s="1" t="s">
        <v>36</v>
      </c>
      <c r="E43" s="1">
        <f t="shared" si="2"/>
        <v>420.5</v>
      </c>
      <c r="F43" s="1">
        <f t="shared" si="3"/>
        <v>6.01</v>
      </c>
      <c r="G43" s="1">
        <v>70.0</v>
      </c>
      <c r="H43" s="1">
        <v>29.0</v>
      </c>
      <c r="I43" s="1">
        <v>43.0</v>
      </c>
      <c r="J43" s="1">
        <v>72.0</v>
      </c>
      <c r="K43" s="1">
        <v>209.0</v>
      </c>
      <c r="L43" s="1">
        <v>7.0</v>
      </c>
      <c r="M43" s="1">
        <v>16.0</v>
      </c>
      <c r="N43" s="1">
        <v>0.0</v>
      </c>
      <c r="O43" s="1">
        <v>0.0</v>
      </c>
      <c r="P43" s="1">
        <v>60.0</v>
      </c>
      <c r="Q43" s="1">
        <v>83.0</v>
      </c>
    </row>
    <row r="44">
      <c r="A44" s="1">
        <f t="shared" si="1"/>
        <v>42</v>
      </c>
      <c r="B44" s="1" t="s">
        <v>1290</v>
      </c>
      <c r="C44" s="1" t="s">
        <v>1034</v>
      </c>
      <c r="D44" s="1" t="s">
        <v>5</v>
      </c>
      <c r="E44" s="1">
        <f t="shared" si="2"/>
        <v>418.5</v>
      </c>
      <c r="F44" s="1">
        <f t="shared" si="3"/>
        <v>7.9</v>
      </c>
      <c r="G44" s="1">
        <v>53.0</v>
      </c>
      <c r="R44" s="1">
        <v>39.0</v>
      </c>
      <c r="S44" s="1">
        <v>128.0</v>
      </c>
      <c r="T44" s="12">
        <v>1585.0</v>
      </c>
      <c r="U44" s="1">
        <v>6.0</v>
      </c>
    </row>
    <row r="45">
      <c r="A45" s="1">
        <f t="shared" si="1"/>
        <v>43</v>
      </c>
      <c r="B45" s="1" t="s">
        <v>1058</v>
      </c>
      <c r="C45" s="1" t="s">
        <v>1069</v>
      </c>
      <c r="D45" s="1" t="s">
        <v>28</v>
      </c>
      <c r="E45" s="1">
        <f t="shared" si="2"/>
        <v>418</v>
      </c>
      <c r="F45" s="1">
        <f t="shared" si="3"/>
        <v>5.23</v>
      </c>
      <c r="G45" s="1">
        <v>80.0</v>
      </c>
      <c r="H45" s="1">
        <v>34.0</v>
      </c>
      <c r="I45" s="1">
        <v>43.0</v>
      </c>
      <c r="J45" s="1">
        <v>77.0</v>
      </c>
      <c r="K45" s="1">
        <v>207.0</v>
      </c>
      <c r="L45" s="1">
        <v>11.0</v>
      </c>
      <c r="M45" s="1">
        <v>13.0</v>
      </c>
      <c r="N45" s="1">
        <v>0.0</v>
      </c>
      <c r="O45" s="1">
        <v>0.0</v>
      </c>
      <c r="P45" s="1">
        <v>104.0</v>
      </c>
      <c r="Q45" s="1">
        <v>13.0</v>
      </c>
    </row>
    <row r="46">
      <c r="A46" s="1">
        <f t="shared" si="1"/>
        <v>44</v>
      </c>
      <c r="B46" s="1" t="s">
        <v>1136</v>
      </c>
      <c r="C46" s="1" t="s">
        <v>1082</v>
      </c>
      <c r="D46" s="1" t="s">
        <v>66</v>
      </c>
      <c r="E46" s="1">
        <f t="shared" si="2"/>
        <v>417.5</v>
      </c>
      <c r="F46" s="1">
        <f t="shared" si="3"/>
        <v>5.22</v>
      </c>
      <c r="G46" s="1">
        <v>80.0</v>
      </c>
      <c r="H46" s="1">
        <v>13.0</v>
      </c>
      <c r="I46" s="1">
        <v>57.0</v>
      </c>
      <c r="J46" s="1">
        <v>70.0</v>
      </c>
      <c r="K46" s="1">
        <v>185.0</v>
      </c>
      <c r="L46" s="1">
        <v>3.0</v>
      </c>
      <c r="M46" s="1">
        <v>30.0</v>
      </c>
      <c r="N46" s="1">
        <v>0.0</v>
      </c>
      <c r="O46" s="1">
        <v>0.0</v>
      </c>
      <c r="P46" s="1">
        <v>54.0</v>
      </c>
      <c r="Q46" s="1">
        <v>164.0</v>
      </c>
    </row>
    <row r="47">
      <c r="A47" s="1">
        <f t="shared" si="1"/>
        <v>45</v>
      </c>
      <c r="B47" s="1" t="s">
        <v>1157</v>
      </c>
      <c r="C47" s="1" t="s">
        <v>1175</v>
      </c>
      <c r="D47" s="1" t="s">
        <v>28</v>
      </c>
      <c r="E47" s="1">
        <f t="shared" si="2"/>
        <v>414.75</v>
      </c>
      <c r="F47" s="1">
        <f t="shared" si="3"/>
        <v>5.32</v>
      </c>
      <c r="G47" s="1">
        <v>78.0</v>
      </c>
      <c r="H47" s="1">
        <v>30.0</v>
      </c>
      <c r="I47" s="1">
        <v>36.0</v>
      </c>
      <c r="J47" s="1">
        <v>66.0</v>
      </c>
      <c r="K47" s="1">
        <v>250.0</v>
      </c>
      <c r="L47" s="1">
        <v>6.0</v>
      </c>
      <c r="M47" s="1">
        <v>4.0</v>
      </c>
      <c r="N47" s="1">
        <v>0.0</v>
      </c>
      <c r="O47" s="1">
        <v>1.0</v>
      </c>
      <c r="P47" s="1">
        <v>99.0</v>
      </c>
      <c r="Q47" s="1">
        <v>40.0</v>
      </c>
    </row>
    <row r="48">
      <c r="A48" s="1">
        <f t="shared" si="1"/>
        <v>45</v>
      </c>
      <c r="B48" s="1" t="s">
        <v>1056</v>
      </c>
      <c r="C48" s="1" t="s">
        <v>1042</v>
      </c>
      <c r="D48" s="1" t="s">
        <v>66</v>
      </c>
      <c r="E48" s="1">
        <f t="shared" si="2"/>
        <v>414.75</v>
      </c>
      <c r="F48" s="1">
        <f t="shared" si="3"/>
        <v>5.06</v>
      </c>
      <c r="G48" s="1">
        <v>82.0</v>
      </c>
      <c r="H48" s="1">
        <v>15.0</v>
      </c>
      <c r="I48" s="1">
        <v>41.0</v>
      </c>
      <c r="J48" s="1">
        <v>56.0</v>
      </c>
      <c r="K48" s="1">
        <v>274.0</v>
      </c>
      <c r="L48" s="1">
        <v>2.0</v>
      </c>
      <c r="M48" s="1">
        <v>10.0</v>
      </c>
      <c r="N48" s="1">
        <v>0.0</v>
      </c>
      <c r="O48" s="1">
        <v>1.0</v>
      </c>
      <c r="P48" s="1">
        <v>53.0</v>
      </c>
      <c r="Q48" s="1">
        <v>144.0</v>
      </c>
    </row>
    <row r="49">
      <c r="A49" s="1">
        <f t="shared" si="1"/>
        <v>47</v>
      </c>
      <c r="B49" s="1" t="s">
        <v>1600</v>
      </c>
      <c r="C49" s="1" t="s">
        <v>1048</v>
      </c>
      <c r="D49" s="1" t="s">
        <v>28</v>
      </c>
      <c r="E49" s="1">
        <f t="shared" si="2"/>
        <v>414</v>
      </c>
      <c r="F49" s="1">
        <f t="shared" si="3"/>
        <v>5.05</v>
      </c>
      <c r="G49" s="1">
        <v>82.0</v>
      </c>
      <c r="H49" s="1">
        <v>36.0</v>
      </c>
      <c r="I49" s="1">
        <v>34.0</v>
      </c>
      <c r="J49" s="1">
        <v>70.0</v>
      </c>
      <c r="K49" s="1">
        <v>253.0</v>
      </c>
      <c r="L49" s="1">
        <v>17.0</v>
      </c>
      <c r="M49" s="1">
        <v>18.0</v>
      </c>
      <c r="N49" s="1">
        <v>0.0</v>
      </c>
      <c r="O49" s="1">
        <v>0.0</v>
      </c>
      <c r="P49" s="1">
        <v>42.0</v>
      </c>
      <c r="Q49" s="1">
        <v>26.0</v>
      </c>
    </row>
    <row r="50">
      <c r="A50" s="1">
        <f t="shared" si="1"/>
        <v>48</v>
      </c>
      <c r="B50" s="1" t="s">
        <v>1223</v>
      </c>
      <c r="C50" s="1" t="s">
        <v>1069</v>
      </c>
      <c r="D50" s="1" t="s">
        <v>36</v>
      </c>
      <c r="E50" s="1">
        <f t="shared" si="2"/>
        <v>413.5</v>
      </c>
      <c r="F50" s="1">
        <f t="shared" si="3"/>
        <v>5.1</v>
      </c>
      <c r="G50" s="1">
        <v>81.0</v>
      </c>
      <c r="H50" s="1">
        <v>27.0</v>
      </c>
      <c r="I50" s="1">
        <v>51.0</v>
      </c>
      <c r="J50" s="1">
        <v>78.0</v>
      </c>
      <c r="K50" s="1">
        <v>182.0</v>
      </c>
      <c r="L50" s="1">
        <v>9.0</v>
      </c>
      <c r="M50" s="1">
        <v>17.0</v>
      </c>
      <c r="N50" s="1">
        <v>1.0</v>
      </c>
      <c r="O50" s="1">
        <v>3.0</v>
      </c>
      <c r="P50" s="1">
        <v>82.0</v>
      </c>
      <c r="Q50" s="1">
        <v>39.0</v>
      </c>
    </row>
    <row r="51">
      <c r="A51" s="1">
        <f t="shared" si="1"/>
        <v>49</v>
      </c>
      <c r="B51" s="1" t="s">
        <v>2372</v>
      </c>
      <c r="C51" s="1" t="s">
        <v>1097</v>
      </c>
      <c r="D51" s="1" t="s">
        <v>5</v>
      </c>
      <c r="E51" s="1">
        <f t="shared" si="2"/>
        <v>412.8</v>
      </c>
      <c r="F51" s="1">
        <f t="shared" si="3"/>
        <v>6.25</v>
      </c>
      <c r="G51" s="1">
        <v>66.0</v>
      </c>
      <c r="R51" s="1">
        <v>35.0</v>
      </c>
      <c r="S51" s="1">
        <v>161.0</v>
      </c>
      <c r="T51" s="12">
        <v>1791.0</v>
      </c>
      <c r="U51" s="1">
        <v>4.0</v>
      </c>
    </row>
    <row r="52">
      <c r="A52" s="1">
        <f t="shared" si="1"/>
        <v>50</v>
      </c>
      <c r="B52" s="1" t="s">
        <v>1341</v>
      </c>
      <c r="C52" s="1" t="s">
        <v>1175</v>
      </c>
      <c r="D52" s="1" t="s">
        <v>28</v>
      </c>
      <c r="E52" s="1">
        <f t="shared" si="2"/>
        <v>411.75</v>
      </c>
      <c r="F52" s="1">
        <f t="shared" si="3"/>
        <v>5.35</v>
      </c>
      <c r="G52" s="1">
        <v>77.0</v>
      </c>
      <c r="H52" s="1">
        <v>35.0</v>
      </c>
      <c r="I52" s="1">
        <v>39.0</v>
      </c>
      <c r="J52" s="1">
        <v>74.0</v>
      </c>
      <c r="K52" s="1">
        <v>176.0</v>
      </c>
      <c r="L52" s="1">
        <v>11.0</v>
      </c>
      <c r="M52" s="1">
        <v>4.0</v>
      </c>
      <c r="N52" s="1">
        <v>1.0</v>
      </c>
      <c r="O52" s="1">
        <v>1.0</v>
      </c>
      <c r="P52" s="1">
        <v>53.0</v>
      </c>
      <c r="Q52" s="1">
        <v>64.0</v>
      </c>
    </row>
    <row r="53">
      <c r="A53" s="1">
        <f t="shared" si="1"/>
        <v>51</v>
      </c>
      <c r="B53" s="1" t="s">
        <v>1039</v>
      </c>
      <c r="C53" s="1" t="s">
        <v>1040</v>
      </c>
      <c r="D53" s="1" t="s">
        <v>28</v>
      </c>
      <c r="E53" s="1">
        <f t="shared" si="2"/>
        <v>410.5</v>
      </c>
      <c r="F53" s="1">
        <f t="shared" si="3"/>
        <v>5.2</v>
      </c>
      <c r="G53" s="1">
        <v>79.0</v>
      </c>
      <c r="H53" s="1">
        <v>28.0</v>
      </c>
      <c r="I53" s="1">
        <v>59.0</v>
      </c>
      <c r="J53" s="1">
        <v>87.0</v>
      </c>
      <c r="K53" s="1">
        <v>191.0</v>
      </c>
      <c r="L53" s="1">
        <v>6.0</v>
      </c>
      <c r="M53" s="1">
        <v>12.0</v>
      </c>
      <c r="N53" s="1">
        <v>0.0</v>
      </c>
      <c r="O53" s="1">
        <v>0.0</v>
      </c>
      <c r="P53" s="1">
        <v>14.0</v>
      </c>
      <c r="Q53" s="1">
        <v>17.0</v>
      </c>
    </row>
    <row r="54">
      <c r="A54" s="1">
        <f t="shared" si="1"/>
        <v>52</v>
      </c>
      <c r="B54" s="1" t="s">
        <v>1656</v>
      </c>
      <c r="C54" s="1" t="s">
        <v>1032</v>
      </c>
      <c r="D54" s="1" t="s">
        <v>5</v>
      </c>
      <c r="E54" s="1">
        <f t="shared" si="2"/>
        <v>406.8</v>
      </c>
      <c r="F54" s="1">
        <f t="shared" si="3"/>
        <v>6.78</v>
      </c>
      <c r="G54" s="1">
        <v>60.0</v>
      </c>
      <c r="R54" s="1">
        <v>36.0</v>
      </c>
      <c r="S54" s="1">
        <v>162.0</v>
      </c>
      <c r="T54" s="12">
        <v>1796.0</v>
      </c>
      <c r="U54" s="1">
        <v>1.0</v>
      </c>
    </row>
    <row r="55">
      <c r="A55" s="1">
        <f t="shared" si="1"/>
        <v>53</v>
      </c>
      <c r="B55" s="1" t="s">
        <v>1133</v>
      </c>
      <c r="C55" s="1" t="s">
        <v>1175</v>
      </c>
      <c r="D55" s="1" t="s">
        <v>28</v>
      </c>
      <c r="E55" s="1">
        <f t="shared" si="2"/>
        <v>406.75</v>
      </c>
      <c r="F55" s="1">
        <f t="shared" si="3"/>
        <v>5.42</v>
      </c>
      <c r="G55" s="1">
        <v>75.0</v>
      </c>
      <c r="H55" s="1">
        <v>30.0</v>
      </c>
      <c r="I55" s="1">
        <v>26.0</v>
      </c>
      <c r="J55" s="1">
        <v>56.0</v>
      </c>
      <c r="K55" s="1">
        <v>268.0</v>
      </c>
      <c r="L55" s="1">
        <v>5.0</v>
      </c>
      <c r="M55" s="1">
        <v>6.0</v>
      </c>
      <c r="N55" s="1">
        <v>1.0</v>
      </c>
      <c r="O55" s="1">
        <v>1.0</v>
      </c>
      <c r="P55" s="1">
        <v>173.0</v>
      </c>
      <c r="Q55" s="1">
        <v>25.0</v>
      </c>
    </row>
    <row r="56">
      <c r="A56" s="1">
        <f t="shared" si="1"/>
        <v>54</v>
      </c>
      <c r="B56" s="1" t="s">
        <v>2089</v>
      </c>
      <c r="C56" s="1" t="s">
        <v>1111</v>
      </c>
      <c r="D56" s="1" t="s">
        <v>36</v>
      </c>
      <c r="E56" s="1">
        <f t="shared" si="2"/>
        <v>406</v>
      </c>
      <c r="F56" s="1">
        <f t="shared" si="3"/>
        <v>4.95</v>
      </c>
      <c r="G56" s="1">
        <v>82.0</v>
      </c>
      <c r="H56" s="1">
        <v>27.0</v>
      </c>
      <c r="I56" s="1">
        <v>55.0</v>
      </c>
      <c r="J56" s="1">
        <v>82.0</v>
      </c>
      <c r="K56" s="1">
        <v>215.0</v>
      </c>
      <c r="L56" s="1">
        <v>12.0</v>
      </c>
      <c r="M56" s="1">
        <v>24.0</v>
      </c>
      <c r="N56" s="1">
        <v>0.0</v>
      </c>
      <c r="O56" s="1">
        <v>0.0</v>
      </c>
      <c r="P56" s="1">
        <v>12.0</v>
      </c>
      <c r="Q56" s="1">
        <v>18.0</v>
      </c>
    </row>
    <row r="57">
      <c r="A57" s="1">
        <f t="shared" si="1"/>
        <v>55</v>
      </c>
      <c r="B57" s="1" t="s">
        <v>1374</v>
      </c>
      <c r="C57" s="1" t="s">
        <v>1097</v>
      </c>
      <c r="D57" s="1" t="s">
        <v>36</v>
      </c>
      <c r="E57" s="1">
        <f t="shared" si="2"/>
        <v>403.5</v>
      </c>
      <c r="F57" s="1">
        <f t="shared" si="3"/>
        <v>4.92</v>
      </c>
      <c r="G57" s="1">
        <v>82.0</v>
      </c>
      <c r="H57" s="1">
        <v>33.0</v>
      </c>
      <c r="I57" s="1">
        <v>19.0</v>
      </c>
      <c r="J57" s="1">
        <v>52.0</v>
      </c>
      <c r="K57" s="1">
        <v>302.0</v>
      </c>
      <c r="L57" s="1">
        <v>4.0</v>
      </c>
      <c r="M57" s="1">
        <v>3.0</v>
      </c>
      <c r="N57" s="1">
        <v>0.0</v>
      </c>
      <c r="O57" s="1">
        <v>0.0</v>
      </c>
      <c r="P57" s="1">
        <v>126.0</v>
      </c>
      <c r="Q57" s="1">
        <v>31.0</v>
      </c>
    </row>
    <row r="58">
      <c r="A58" s="1">
        <f t="shared" si="1"/>
        <v>56</v>
      </c>
      <c r="B58" s="1" t="s">
        <v>1246</v>
      </c>
      <c r="C58" s="1" t="s">
        <v>1067</v>
      </c>
      <c r="D58" s="1" t="s">
        <v>28</v>
      </c>
      <c r="E58" s="1">
        <f t="shared" si="2"/>
        <v>402.75</v>
      </c>
      <c r="F58" s="1">
        <f t="shared" si="3"/>
        <v>4.91</v>
      </c>
      <c r="G58" s="1">
        <v>82.0</v>
      </c>
      <c r="H58" s="1">
        <v>40.0</v>
      </c>
      <c r="I58" s="1">
        <v>23.0</v>
      </c>
      <c r="J58" s="1">
        <v>63.0</v>
      </c>
      <c r="K58" s="1">
        <v>268.0</v>
      </c>
      <c r="L58" s="1">
        <v>8.0</v>
      </c>
      <c r="M58" s="1">
        <v>8.0</v>
      </c>
      <c r="N58" s="1">
        <v>0.0</v>
      </c>
      <c r="O58" s="1">
        <v>0.0</v>
      </c>
      <c r="P58" s="1">
        <v>31.0</v>
      </c>
      <c r="Q58" s="1">
        <v>24.0</v>
      </c>
    </row>
    <row r="59">
      <c r="A59" s="1">
        <f t="shared" si="1"/>
        <v>57</v>
      </c>
      <c r="B59" s="1" t="s">
        <v>1115</v>
      </c>
      <c r="C59" s="1" t="s">
        <v>1116</v>
      </c>
      <c r="D59" s="1" t="s">
        <v>5</v>
      </c>
      <c r="E59" s="1">
        <f t="shared" si="2"/>
        <v>401.1</v>
      </c>
      <c r="F59" s="1">
        <f t="shared" si="3"/>
        <v>6.37</v>
      </c>
      <c r="G59" s="1">
        <v>63.0</v>
      </c>
      <c r="R59" s="1">
        <v>34.0</v>
      </c>
      <c r="S59" s="1">
        <v>179.0</v>
      </c>
      <c r="T59" s="12">
        <v>1872.0</v>
      </c>
      <c r="U59" s="1">
        <v>2.0</v>
      </c>
    </row>
    <row r="60">
      <c r="A60" s="1">
        <f t="shared" si="1"/>
        <v>58</v>
      </c>
      <c r="B60" s="1" t="s">
        <v>1933</v>
      </c>
      <c r="C60" s="1" t="s">
        <v>1175</v>
      </c>
      <c r="D60" s="1" t="s">
        <v>31</v>
      </c>
      <c r="E60" s="1">
        <f t="shared" si="2"/>
        <v>398.75</v>
      </c>
      <c r="F60" s="1">
        <f t="shared" si="3"/>
        <v>4.92</v>
      </c>
      <c r="G60" s="1">
        <v>81.0</v>
      </c>
      <c r="H60" s="1">
        <v>27.0</v>
      </c>
      <c r="I60" s="1">
        <v>43.0</v>
      </c>
      <c r="J60" s="1">
        <v>70.0</v>
      </c>
      <c r="K60" s="1">
        <v>204.0</v>
      </c>
      <c r="L60" s="1">
        <v>6.0</v>
      </c>
      <c r="M60" s="1">
        <v>12.0</v>
      </c>
      <c r="N60" s="1">
        <v>2.0</v>
      </c>
      <c r="O60" s="1">
        <v>0.0</v>
      </c>
      <c r="P60" s="1">
        <v>65.0</v>
      </c>
      <c r="Q60" s="1">
        <v>52.0</v>
      </c>
    </row>
    <row r="61">
      <c r="A61" s="1">
        <f t="shared" si="1"/>
        <v>59</v>
      </c>
      <c r="B61" s="1" t="s">
        <v>1153</v>
      </c>
      <c r="C61" s="1" t="s">
        <v>1036</v>
      </c>
      <c r="D61" s="1" t="s">
        <v>28</v>
      </c>
      <c r="E61" s="1">
        <f t="shared" si="2"/>
        <v>396.25</v>
      </c>
      <c r="F61" s="1">
        <f t="shared" si="3"/>
        <v>4.83</v>
      </c>
      <c r="G61" s="1">
        <v>82.0</v>
      </c>
      <c r="H61" s="1">
        <v>28.0</v>
      </c>
      <c r="I61" s="1">
        <v>41.0</v>
      </c>
      <c r="J61" s="1">
        <v>69.0</v>
      </c>
      <c r="K61" s="1">
        <v>208.0</v>
      </c>
      <c r="L61" s="1">
        <v>8.0</v>
      </c>
      <c r="M61" s="1">
        <v>18.0</v>
      </c>
      <c r="N61" s="1">
        <v>1.0</v>
      </c>
      <c r="O61" s="1">
        <v>2.0</v>
      </c>
      <c r="P61" s="1">
        <v>69.0</v>
      </c>
      <c r="Q61" s="1">
        <v>40.0</v>
      </c>
    </row>
    <row r="62">
      <c r="A62" s="1">
        <f t="shared" si="1"/>
        <v>60</v>
      </c>
      <c r="B62" s="1" t="s">
        <v>1124</v>
      </c>
      <c r="C62" s="1" t="s">
        <v>1085</v>
      </c>
      <c r="D62" s="1" t="s">
        <v>31</v>
      </c>
      <c r="E62" s="1">
        <f t="shared" si="2"/>
        <v>392.75</v>
      </c>
      <c r="F62" s="1">
        <f t="shared" si="3"/>
        <v>5.24</v>
      </c>
      <c r="G62" s="1">
        <v>75.0</v>
      </c>
      <c r="H62" s="1">
        <v>38.0</v>
      </c>
      <c r="I62" s="1">
        <v>26.0</v>
      </c>
      <c r="J62" s="1">
        <v>64.0</v>
      </c>
      <c r="K62" s="1">
        <v>188.0</v>
      </c>
      <c r="L62" s="1">
        <v>12.0</v>
      </c>
      <c r="M62" s="1">
        <v>9.0</v>
      </c>
      <c r="N62" s="1">
        <v>1.0</v>
      </c>
      <c r="O62" s="1">
        <v>0.0</v>
      </c>
      <c r="P62" s="1">
        <v>69.0</v>
      </c>
      <c r="Q62" s="1">
        <v>61.0</v>
      </c>
    </row>
    <row r="63">
      <c r="A63" s="1">
        <f t="shared" si="1"/>
        <v>61</v>
      </c>
      <c r="B63" s="1" t="s">
        <v>1328</v>
      </c>
      <c r="C63" s="1" t="s">
        <v>1097</v>
      </c>
      <c r="D63" s="1" t="s">
        <v>31</v>
      </c>
      <c r="E63" s="1">
        <f t="shared" si="2"/>
        <v>392.25</v>
      </c>
      <c r="F63" s="1">
        <f t="shared" si="3"/>
        <v>4.78</v>
      </c>
      <c r="G63" s="1">
        <v>82.0</v>
      </c>
      <c r="H63" s="1">
        <v>28.0</v>
      </c>
      <c r="I63" s="1">
        <v>44.0</v>
      </c>
      <c r="J63" s="1">
        <v>72.0</v>
      </c>
      <c r="K63" s="1">
        <v>203.0</v>
      </c>
      <c r="L63" s="1">
        <v>4.0</v>
      </c>
      <c r="M63" s="1">
        <v>7.0</v>
      </c>
      <c r="N63" s="1">
        <v>0.0</v>
      </c>
      <c r="O63" s="1">
        <v>0.0</v>
      </c>
      <c r="P63" s="1">
        <v>53.0</v>
      </c>
      <c r="Q63" s="1">
        <v>39.0</v>
      </c>
    </row>
    <row r="64">
      <c r="A64" s="1">
        <f t="shared" si="1"/>
        <v>62</v>
      </c>
      <c r="B64" s="1" t="s">
        <v>1742</v>
      </c>
      <c r="C64" s="1" t="s">
        <v>1054</v>
      </c>
      <c r="D64" s="1" t="s">
        <v>28</v>
      </c>
      <c r="E64" s="1">
        <f t="shared" si="2"/>
        <v>391.25</v>
      </c>
      <c r="F64" s="1">
        <f t="shared" si="3"/>
        <v>5.29</v>
      </c>
      <c r="G64" s="1">
        <v>74.0</v>
      </c>
      <c r="H64" s="1">
        <v>28.0</v>
      </c>
      <c r="I64" s="1">
        <v>33.0</v>
      </c>
      <c r="J64" s="1">
        <v>61.0</v>
      </c>
      <c r="K64" s="1">
        <v>229.0</v>
      </c>
      <c r="L64" s="1">
        <v>10.0</v>
      </c>
      <c r="M64" s="1">
        <v>6.0</v>
      </c>
      <c r="N64" s="1">
        <v>0.0</v>
      </c>
      <c r="O64" s="1">
        <v>2.0</v>
      </c>
      <c r="P64" s="1">
        <v>49.0</v>
      </c>
      <c r="Q64" s="1">
        <v>71.0</v>
      </c>
    </row>
    <row r="65">
      <c r="A65" s="1">
        <f t="shared" si="1"/>
        <v>63</v>
      </c>
      <c r="B65" s="1" t="s">
        <v>1099</v>
      </c>
      <c r="C65" s="1" t="s">
        <v>1046</v>
      </c>
      <c r="D65" s="1" t="s">
        <v>31</v>
      </c>
      <c r="E65" s="1">
        <f t="shared" si="2"/>
        <v>390</v>
      </c>
      <c r="F65" s="1">
        <f t="shared" si="3"/>
        <v>4.76</v>
      </c>
      <c r="G65" s="1">
        <v>82.0</v>
      </c>
      <c r="H65" s="1">
        <v>27.0</v>
      </c>
      <c r="I65" s="1">
        <v>34.0</v>
      </c>
      <c r="J65" s="1">
        <v>61.0</v>
      </c>
      <c r="K65" s="1">
        <v>227.0</v>
      </c>
      <c r="L65" s="1">
        <v>7.0</v>
      </c>
      <c r="M65" s="1">
        <v>11.0</v>
      </c>
      <c r="N65" s="1">
        <v>2.0</v>
      </c>
      <c r="O65" s="1">
        <v>1.0</v>
      </c>
      <c r="P65" s="1">
        <v>62.0</v>
      </c>
      <c r="Q65" s="1">
        <v>63.0</v>
      </c>
    </row>
    <row r="66">
      <c r="A66" s="1">
        <f t="shared" si="1"/>
        <v>64</v>
      </c>
      <c r="B66" s="1" t="s">
        <v>1162</v>
      </c>
      <c r="C66" s="1" t="s">
        <v>1048</v>
      </c>
      <c r="D66" s="1" t="s">
        <v>5</v>
      </c>
      <c r="E66" s="1">
        <f t="shared" si="2"/>
        <v>389.4</v>
      </c>
      <c r="F66" s="1">
        <f t="shared" si="3"/>
        <v>6.28</v>
      </c>
      <c r="G66" s="1">
        <v>62.0</v>
      </c>
      <c r="R66" s="1">
        <v>37.0</v>
      </c>
      <c r="S66" s="1">
        <v>153.0</v>
      </c>
      <c r="T66" s="12">
        <v>1603.0</v>
      </c>
      <c r="U66" s="1">
        <v>9.0</v>
      </c>
    </row>
    <row r="67">
      <c r="A67" s="1">
        <f t="shared" si="1"/>
        <v>65</v>
      </c>
      <c r="B67" s="1" t="s">
        <v>1079</v>
      </c>
      <c r="C67" s="1" t="s">
        <v>1080</v>
      </c>
      <c r="D67" s="1" t="s">
        <v>28</v>
      </c>
      <c r="E67" s="1">
        <f t="shared" si="2"/>
        <v>389</v>
      </c>
      <c r="F67" s="1">
        <f t="shared" si="3"/>
        <v>4.74</v>
      </c>
      <c r="G67" s="1">
        <v>82.0</v>
      </c>
      <c r="H67" s="1">
        <v>25.0</v>
      </c>
      <c r="I67" s="1">
        <v>34.0</v>
      </c>
      <c r="J67" s="1">
        <v>59.0</v>
      </c>
      <c r="K67" s="1">
        <v>278.0</v>
      </c>
      <c r="L67" s="1">
        <v>5.0</v>
      </c>
      <c r="M67" s="1">
        <v>11.0</v>
      </c>
      <c r="N67" s="1">
        <v>0.0</v>
      </c>
      <c r="O67" s="1">
        <v>0.0</v>
      </c>
      <c r="P67" s="1">
        <v>98.0</v>
      </c>
      <c r="Q67" s="1">
        <v>22.0</v>
      </c>
    </row>
    <row r="68">
      <c r="A68" s="1">
        <f t="shared" si="1"/>
        <v>66</v>
      </c>
      <c r="B68" s="1" t="s">
        <v>1149</v>
      </c>
      <c r="C68" s="1" t="s">
        <v>1052</v>
      </c>
      <c r="D68" s="1" t="s">
        <v>66</v>
      </c>
      <c r="E68" s="1">
        <f t="shared" si="2"/>
        <v>383.5</v>
      </c>
      <c r="F68" s="1">
        <f t="shared" si="3"/>
        <v>5.9</v>
      </c>
      <c r="G68" s="1">
        <v>65.0</v>
      </c>
      <c r="H68" s="1">
        <v>16.0</v>
      </c>
      <c r="I68" s="1">
        <v>40.0</v>
      </c>
      <c r="J68" s="1">
        <v>56.0</v>
      </c>
      <c r="K68" s="1">
        <v>206.0</v>
      </c>
      <c r="L68" s="1">
        <v>2.0</v>
      </c>
      <c r="M68" s="1">
        <v>17.0</v>
      </c>
      <c r="N68" s="1">
        <v>1.0</v>
      </c>
      <c r="O68" s="1">
        <v>1.0</v>
      </c>
      <c r="P68" s="1">
        <v>116.0</v>
      </c>
      <c r="Q68" s="1">
        <v>111.0</v>
      </c>
    </row>
    <row r="69">
      <c r="A69" s="1">
        <f t="shared" si="1"/>
        <v>67</v>
      </c>
      <c r="B69" s="1" t="s">
        <v>1520</v>
      </c>
      <c r="C69" s="1" t="s">
        <v>1080</v>
      </c>
      <c r="D69" s="1" t="s">
        <v>5</v>
      </c>
      <c r="E69" s="1">
        <f t="shared" si="2"/>
        <v>378.9</v>
      </c>
      <c r="F69" s="1">
        <f t="shared" si="3"/>
        <v>6.21</v>
      </c>
      <c r="G69" s="1">
        <v>61.0</v>
      </c>
      <c r="R69" s="1">
        <v>35.0</v>
      </c>
      <c r="S69" s="1">
        <v>152.0</v>
      </c>
      <c r="T69" s="12">
        <v>1593.0</v>
      </c>
      <c r="U69" s="1">
        <v>8.0</v>
      </c>
    </row>
    <row r="70">
      <c r="A70" s="1">
        <f t="shared" si="1"/>
        <v>68</v>
      </c>
      <c r="B70" s="1" t="s">
        <v>1601</v>
      </c>
      <c r="C70" s="1" t="s">
        <v>1048</v>
      </c>
      <c r="D70" s="1" t="s">
        <v>36</v>
      </c>
      <c r="E70" s="1">
        <f t="shared" si="2"/>
        <v>378.75</v>
      </c>
      <c r="F70" s="1">
        <f t="shared" si="3"/>
        <v>4.62</v>
      </c>
      <c r="G70" s="1">
        <v>82.0</v>
      </c>
      <c r="H70" s="1">
        <v>28.0</v>
      </c>
      <c r="I70" s="1">
        <v>42.0</v>
      </c>
      <c r="J70" s="1">
        <v>70.0</v>
      </c>
      <c r="K70" s="1">
        <v>195.0</v>
      </c>
      <c r="L70" s="1">
        <v>8.0</v>
      </c>
      <c r="M70" s="1">
        <v>9.0</v>
      </c>
      <c r="N70" s="1">
        <v>0.0</v>
      </c>
      <c r="O70" s="1">
        <v>0.0</v>
      </c>
      <c r="P70" s="1">
        <v>33.0</v>
      </c>
      <c r="Q70" s="1">
        <v>42.0</v>
      </c>
    </row>
    <row r="71">
      <c r="A71" s="1">
        <f t="shared" si="1"/>
        <v>69</v>
      </c>
      <c r="B71" s="1" t="s">
        <v>1161</v>
      </c>
      <c r="C71" s="1" t="s">
        <v>1116</v>
      </c>
      <c r="D71" s="1" t="s">
        <v>28</v>
      </c>
      <c r="E71" s="1">
        <f t="shared" si="2"/>
        <v>377.25</v>
      </c>
      <c r="F71" s="1">
        <f t="shared" si="3"/>
        <v>4.6</v>
      </c>
      <c r="G71" s="1">
        <v>82.0</v>
      </c>
      <c r="H71" s="1">
        <v>34.0</v>
      </c>
      <c r="I71" s="1">
        <v>32.0</v>
      </c>
      <c r="J71" s="1">
        <v>66.0</v>
      </c>
      <c r="K71" s="1">
        <v>227.0</v>
      </c>
      <c r="L71" s="1">
        <v>11.0</v>
      </c>
      <c r="M71" s="1">
        <v>8.0</v>
      </c>
      <c r="N71" s="1">
        <v>1.0</v>
      </c>
      <c r="O71" s="1">
        <v>0.0</v>
      </c>
      <c r="P71" s="1">
        <v>9.0</v>
      </c>
      <c r="Q71" s="1">
        <v>21.0</v>
      </c>
    </row>
    <row r="72">
      <c r="A72" s="1">
        <f t="shared" si="1"/>
        <v>70</v>
      </c>
      <c r="B72" s="1" t="s">
        <v>1397</v>
      </c>
      <c r="C72" s="1" t="s">
        <v>1156</v>
      </c>
      <c r="D72" s="1" t="s">
        <v>36</v>
      </c>
      <c r="E72" s="1">
        <f t="shared" si="2"/>
        <v>376</v>
      </c>
      <c r="F72" s="1">
        <f t="shared" si="3"/>
        <v>4.59</v>
      </c>
      <c r="G72" s="1">
        <v>82.0</v>
      </c>
      <c r="H72" s="1">
        <v>27.0</v>
      </c>
      <c r="I72" s="1">
        <v>20.0</v>
      </c>
      <c r="J72" s="1">
        <v>47.0</v>
      </c>
      <c r="K72" s="1">
        <v>230.0</v>
      </c>
      <c r="L72" s="1">
        <v>3.0</v>
      </c>
      <c r="M72" s="1">
        <v>4.0</v>
      </c>
      <c r="N72" s="1">
        <v>2.0</v>
      </c>
      <c r="O72" s="1">
        <v>1.0</v>
      </c>
      <c r="P72" s="1">
        <v>214.0</v>
      </c>
      <c r="Q72" s="1">
        <v>40.0</v>
      </c>
    </row>
    <row r="73">
      <c r="A73" s="1">
        <f t="shared" si="1"/>
        <v>71</v>
      </c>
      <c r="B73" s="1" t="s">
        <v>1249</v>
      </c>
      <c r="C73" s="1" t="s">
        <v>1073</v>
      </c>
      <c r="D73" s="1" t="s">
        <v>31</v>
      </c>
      <c r="E73" s="1">
        <f t="shared" si="2"/>
        <v>373.25</v>
      </c>
      <c r="F73" s="1">
        <f t="shared" si="3"/>
        <v>4.55</v>
      </c>
      <c r="G73" s="1">
        <v>82.0</v>
      </c>
      <c r="H73" s="1">
        <v>21.0</v>
      </c>
      <c r="I73" s="1">
        <v>55.0</v>
      </c>
      <c r="J73" s="1">
        <v>76.0</v>
      </c>
      <c r="K73" s="1">
        <v>167.0</v>
      </c>
      <c r="L73" s="1">
        <v>8.0</v>
      </c>
      <c r="M73" s="1">
        <v>16.0</v>
      </c>
      <c r="N73" s="1">
        <v>1.0</v>
      </c>
      <c r="O73" s="1">
        <v>4.0</v>
      </c>
      <c r="P73" s="1">
        <v>35.0</v>
      </c>
      <c r="Q73" s="1">
        <v>23.0</v>
      </c>
    </row>
    <row r="74">
      <c r="A74" s="1">
        <f t="shared" si="1"/>
        <v>72</v>
      </c>
      <c r="B74" s="1" t="s">
        <v>1610</v>
      </c>
      <c r="C74" s="1" t="s">
        <v>1111</v>
      </c>
      <c r="D74" s="1" t="s">
        <v>5</v>
      </c>
      <c r="E74" s="1">
        <f t="shared" si="2"/>
        <v>372.3</v>
      </c>
      <c r="F74" s="1">
        <f t="shared" si="3"/>
        <v>6.77</v>
      </c>
      <c r="G74" s="1">
        <v>55.0</v>
      </c>
      <c r="R74" s="1">
        <v>27.0</v>
      </c>
      <c r="S74" s="1">
        <v>126.0</v>
      </c>
      <c r="T74" s="12">
        <v>1551.0</v>
      </c>
      <c r="U74" s="1">
        <v>5.0</v>
      </c>
    </row>
    <row r="75">
      <c r="A75" s="1">
        <f t="shared" si="1"/>
        <v>73</v>
      </c>
      <c r="B75" s="1" t="s">
        <v>1142</v>
      </c>
      <c r="C75" s="1" t="s">
        <v>1052</v>
      </c>
      <c r="D75" s="1" t="s">
        <v>31</v>
      </c>
      <c r="E75" s="1">
        <f t="shared" si="2"/>
        <v>371</v>
      </c>
      <c r="F75" s="1">
        <f t="shared" si="3"/>
        <v>5.46</v>
      </c>
      <c r="G75" s="1">
        <v>68.0</v>
      </c>
      <c r="H75" s="1">
        <v>21.0</v>
      </c>
      <c r="I75" s="1">
        <v>51.0</v>
      </c>
      <c r="J75" s="1">
        <v>72.0</v>
      </c>
      <c r="K75" s="1">
        <v>187.0</v>
      </c>
      <c r="L75" s="1">
        <v>9.0</v>
      </c>
      <c r="M75" s="1">
        <v>17.0</v>
      </c>
      <c r="N75" s="1">
        <v>0.0</v>
      </c>
      <c r="O75" s="1">
        <v>0.0</v>
      </c>
      <c r="P75" s="1">
        <v>54.0</v>
      </c>
      <c r="Q75" s="1">
        <v>33.0</v>
      </c>
    </row>
    <row r="76">
      <c r="A76" s="1">
        <f t="shared" si="1"/>
        <v>74</v>
      </c>
      <c r="B76" s="1" t="s">
        <v>1169</v>
      </c>
      <c r="C76" s="1" t="s">
        <v>1042</v>
      </c>
      <c r="D76" s="1" t="s">
        <v>31</v>
      </c>
      <c r="E76" s="1">
        <f t="shared" si="2"/>
        <v>369.5</v>
      </c>
      <c r="F76" s="1">
        <f t="shared" si="3"/>
        <v>5.06</v>
      </c>
      <c r="G76" s="1">
        <v>73.0</v>
      </c>
      <c r="H76" s="1">
        <v>31.0</v>
      </c>
      <c r="I76" s="1">
        <v>39.0</v>
      </c>
      <c r="J76" s="1">
        <v>70.0</v>
      </c>
      <c r="K76" s="1">
        <v>172.0</v>
      </c>
      <c r="L76" s="1">
        <v>6.0</v>
      </c>
      <c r="M76" s="1">
        <v>8.0</v>
      </c>
      <c r="N76" s="1">
        <v>0.0</v>
      </c>
      <c r="O76" s="1">
        <v>0.0</v>
      </c>
      <c r="P76" s="1">
        <v>28.0</v>
      </c>
      <c r="Q76" s="1">
        <v>40.0</v>
      </c>
    </row>
    <row r="77">
      <c r="A77" s="1">
        <f t="shared" si="1"/>
        <v>75</v>
      </c>
      <c r="B77" s="1" t="s">
        <v>2476</v>
      </c>
      <c r="C77" s="1" t="s">
        <v>1054</v>
      </c>
      <c r="D77" s="1" t="s">
        <v>5</v>
      </c>
      <c r="E77" s="1">
        <f t="shared" si="2"/>
        <v>368.7</v>
      </c>
      <c r="F77" s="1">
        <f t="shared" si="3"/>
        <v>5.5</v>
      </c>
      <c r="G77" s="1">
        <v>67.0</v>
      </c>
      <c r="R77" s="1">
        <v>31.0</v>
      </c>
      <c r="S77" s="1">
        <v>163.0</v>
      </c>
      <c r="T77" s="12">
        <v>1714.0</v>
      </c>
      <c r="U77" s="1">
        <v>2.0</v>
      </c>
    </row>
    <row r="78">
      <c r="A78" s="1">
        <f t="shared" si="1"/>
        <v>76</v>
      </c>
      <c r="B78" s="1" t="s">
        <v>1943</v>
      </c>
      <c r="C78" s="1" t="s">
        <v>1082</v>
      </c>
      <c r="D78" s="1" t="s">
        <v>31</v>
      </c>
      <c r="E78" s="1">
        <f t="shared" si="2"/>
        <v>368</v>
      </c>
      <c r="F78" s="1">
        <f t="shared" si="3"/>
        <v>4.6</v>
      </c>
      <c r="G78" s="1">
        <v>80.0</v>
      </c>
      <c r="H78" s="1">
        <v>22.0</v>
      </c>
      <c r="I78" s="1">
        <v>52.0</v>
      </c>
      <c r="J78" s="1">
        <v>74.0</v>
      </c>
      <c r="K78" s="1">
        <v>169.0</v>
      </c>
      <c r="L78" s="1">
        <v>7.0</v>
      </c>
      <c r="M78" s="1">
        <v>18.0</v>
      </c>
      <c r="N78" s="1">
        <v>0.0</v>
      </c>
      <c r="O78" s="1">
        <v>0.0</v>
      </c>
      <c r="P78" s="1">
        <v>54.0</v>
      </c>
      <c r="Q78" s="1">
        <v>30.0</v>
      </c>
    </row>
    <row r="79">
      <c r="A79" s="1">
        <f t="shared" si="1"/>
        <v>76</v>
      </c>
      <c r="B79" s="1" t="s">
        <v>1445</v>
      </c>
      <c r="C79" s="1" t="s">
        <v>1172</v>
      </c>
      <c r="D79" s="1" t="s">
        <v>66</v>
      </c>
      <c r="E79" s="1">
        <f t="shared" si="2"/>
        <v>368</v>
      </c>
      <c r="F79" s="1">
        <f t="shared" si="3"/>
        <v>4.66</v>
      </c>
      <c r="G79" s="1">
        <v>79.0</v>
      </c>
      <c r="H79" s="1">
        <v>17.0</v>
      </c>
      <c r="I79" s="1">
        <v>43.0</v>
      </c>
      <c r="J79" s="1">
        <v>60.0</v>
      </c>
      <c r="K79" s="1">
        <v>160.0</v>
      </c>
      <c r="L79" s="1">
        <v>4.0</v>
      </c>
      <c r="M79" s="1">
        <v>14.0</v>
      </c>
      <c r="N79" s="1">
        <v>0.0</v>
      </c>
      <c r="O79" s="1">
        <v>0.0</v>
      </c>
      <c r="P79" s="1">
        <v>100.0</v>
      </c>
      <c r="Q79" s="1">
        <v>115.0</v>
      </c>
    </row>
    <row r="80">
      <c r="A80" s="1">
        <f t="shared" si="1"/>
        <v>78</v>
      </c>
      <c r="B80" s="1" t="s">
        <v>1578</v>
      </c>
      <c r="C80" s="1" t="s">
        <v>1082</v>
      </c>
      <c r="D80" s="1" t="s">
        <v>31</v>
      </c>
      <c r="E80" s="1">
        <f t="shared" si="2"/>
        <v>365.5</v>
      </c>
      <c r="F80" s="1">
        <f t="shared" si="3"/>
        <v>4.81</v>
      </c>
      <c r="G80" s="1">
        <v>76.0</v>
      </c>
      <c r="H80" s="1">
        <v>21.0</v>
      </c>
      <c r="I80" s="1">
        <v>51.0</v>
      </c>
      <c r="J80" s="1">
        <v>72.0</v>
      </c>
      <c r="K80" s="1">
        <v>193.0</v>
      </c>
      <c r="L80" s="1">
        <v>8.0</v>
      </c>
      <c r="M80" s="1">
        <v>15.0</v>
      </c>
      <c r="N80" s="1">
        <v>0.0</v>
      </c>
      <c r="O80" s="1">
        <v>0.0</v>
      </c>
      <c r="P80" s="1">
        <v>46.0</v>
      </c>
      <c r="Q80" s="1">
        <v>20.0</v>
      </c>
    </row>
    <row r="81">
      <c r="A81" s="1">
        <f t="shared" si="1"/>
        <v>78</v>
      </c>
      <c r="B81" s="1" t="s">
        <v>1686</v>
      </c>
      <c r="C81" s="1" t="s">
        <v>1032</v>
      </c>
      <c r="D81" s="1" t="s">
        <v>66</v>
      </c>
      <c r="E81" s="1">
        <f t="shared" si="2"/>
        <v>365.5</v>
      </c>
      <c r="F81" s="1">
        <f t="shared" si="3"/>
        <v>4.69</v>
      </c>
      <c r="G81" s="1">
        <v>78.0</v>
      </c>
      <c r="H81" s="1">
        <v>14.0</v>
      </c>
      <c r="I81" s="1">
        <v>45.0</v>
      </c>
      <c r="J81" s="1">
        <v>59.0</v>
      </c>
      <c r="K81" s="1">
        <v>218.0</v>
      </c>
      <c r="L81" s="1">
        <v>2.0</v>
      </c>
      <c r="M81" s="1">
        <v>23.0</v>
      </c>
      <c r="N81" s="1">
        <v>0.0</v>
      </c>
      <c r="O81" s="1">
        <v>0.0</v>
      </c>
      <c r="P81" s="1">
        <v>48.0</v>
      </c>
      <c r="Q81" s="1">
        <v>93.0</v>
      </c>
    </row>
    <row r="82">
      <c r="A82" s="1">
        <f t="shared" si="1"/>
        <v>80</v>
      </c>
      <c r="B82" s="1" t="s">
        <v>1298</v>
      </c>
      <c r="C82" s="1" t="s">
        <v>1156</v>
      </c>
      <c r="D82" s="1" t="s">
        <v>28</v>
      </c>
      <c r="E82" s="1">
        <f t="shared" si="2"/>
        <v>365.25</v>
      </c>
      <c r="F82" s="1">
        <f t="shared" si="3"/>
        <v>4.45</v>
      </c>
      <c r="G82" s="1">
        <v>82.0</v>
      </c>
      <c r="H82" s="1">
        <v>27.0</v>
      </c>
      <c r="I82" s="1">
        <v>34.0</v>
      </c>
      <c r="J82" s="1">
        <v>61.0</v>
      </c>
      <c r="K82" s="1">
        <v>174.0</v>
      </c>
      <c r="L82" s="1">
        <v>2.0</v>
      </c>
      <c r="M82" s="1">
        <v>7.0</v>
      </c>
      <c r="N82" s="1">
        <v>0.0</v>
      </c>
      <c r="O82" s="1">
        <v>0.0</v>
      </c>
      <c r="P82" s="1">
        <v>115.0</v>
      </c>
      <c r="Q82" s="1">
        <v>52.0</v>
      </c>
    </row>
    <row r="83">
      <c r="A83" s="1">
        <f t="shared" si="1"/>
        <v>81</v>
      </c>
      <c r="B83" s="1" t="s">
        <v>1154</v>
      </c>
      <c r="C83" s="1" t="s">
        <v>1085</v>
      </c>
      <c r="D83" s="1" t="s">
        <v>31</v>
      </c>
      <c r="E83" s="1">
        <f t="shared" si="2"/>
        <v>365</v>
      </c>
      <c r="F83" s="1">
        <f t="shared" si="3"/>
        <v>4.68</v>
      </c>
      <c r="G83" s="1">
        <v>78.0</v>
      </c>
      <c r="H83" s="1">
        <v>27.0</v>
      </c>
      <c r="I83" s="1">
        <v>26.0</v>
      </c>
      <c r="J83" s="1">
        <v>53.0</v>
      </c>
      <c r="K83" s="1">
        <v>189.0</v>
      </c>
      <c r="L83" s="1">
        <v>8.0</v>
      </c>
      <c r="M83" s="1">
        <v>3.0</v>
      </c>
      <c r="N83" s="1">
        <v>0.0</v>
      </c>
      <c r="O83" s="1">
        <v>0.0</v>
      </c>
      <c r="P83" s="1">
        <v>142.0</v>
      </c>
      <c r="Q83" s="1">
        <v>71.0</v>
      </c>
    </row>
    <row r="84">
      <c r="A84" s="1">
        <f t="shared" si="1"/>
        <v>82</v>
      </c>
      <c r="B84" s="1" t="s">
        <v>1070</v>
      </c>
      <c r="C84" s="1" t="s">
        <v>1040</v>
      </c>
      <c r="D84" s="1" t="s">
        <v>28</v>
      </c>
      <c r="E84" s="1">
        <f t="shared" si="2"/>
        <v>362.75</v>
      </c>
      <c r="F84" s="1">
        <f t="shared" si="3"/>
        <v>4.59</v>
      </c>
      <c r="G84" s="1">
        <v>79.0</v>
      </c>
      <c r="H84" s="1">
        <v>28.0</v>
      </c>
      <c r="I84" s="1">
        <v>24.0</v>
      </c>
      <c r="J84" s="1">
        <v>52.0</v>
      </c>
      <c r="K84" s="1">
        <v>201.0</v>
      </c>
      <c r="L84" s="1">
        <v>7.0</v>
      </c>
      <c r="M84" s="1">
        <v>5.0</v>
      </c>
      <c r="N84" s="1">
        <v>0.0</v>
      </c>
      <c r="O84" s="1">
        <v>0.0</v>
      </c>
      <c r="P84" s="1">
        <v>159.0</v>
      </c>
      <c r="Q84" s="1">
        <v>49.0</v>
      </c>
    </row>
    <row r="85">
      <c r="A85" s="1">
        <f t="shared" si="1"/>
        <v>83</v>
      </c>
      <c r="B85" s="1" t="s">
        <v>1247</v>
      </c>
      <c r="C85" s="1" t="s">
        <v>1040</v>
      </c>
      <c r="D85" s="1" t="s">
        <v>66</v>
      </c>
      <c r="E85" s="1">
        <f t="shared" si="2"/>
        <v>362.5</v>
      </c>
      <c r="F85" s="1">
        <f t="shared" si="3"/>
        <v>4.42</v>
      </c>
      <c r="G85" s="1">
        <v>82.0</v>
      </c>
      <c r="H85" s="1">
        <v>8.0</v>
      </c>
      <c r="I85" s="1">
        <v>42.0</v>
      </c>
      <c r="J85" s="1">
        <v>50.0</v>
      </c>
      <c r="K85" s="1">
        <v>162.0</v>
      </c>
      <c r="L85" s="1">
        <v>3.0</v>
      </c>
      <c r="M85" s="1">
        <v>15.0</v>
      </c>
      <c r="N85" s="1">
        <v>1.0</v>
      </c>
      <c r="O85" s="1">
        <v>2.0</v>
      </c>
      <c r="P85" s="1">
        <v>112.0</v>
      </c>
      <c r="Q85" s="1">
        <v>171.0</v>
      </c>
    </row>
    <row r="86">
      <c r="A86" s="1">
        <f t="shared" si="1"/>
        <v>84</v>
      </c>
      <c r="B86" s="1" t="s">
        <v>1532</v>
      </c>
      <c r="C86" s="1" t="s">
        <v>1065</v>
      </c>
      <c r="D86" s="1" t="s">
        <v>5</v>
      </c>
      <c r="E86" s="1">
        <f t="shared" si="2"/>
        <v>360</v>
      </c>
      <c r="F86" s="1">
        <f t="shared" si="3"/>
        <v>6.21</v>
      </c>
      <c r="G86" s="1">
        <v>58.0</v>
      </c>
      <c r="R86" s="1">
        <v>26.0</v>
      </c>
      <c r="S86" s="1">
        <v>153.0</v>
      </c>
      <c r="T86" s="12">
        <v>1685.0</v>
      </c>
      <c r="U86" s="1">
        <v>2.0</v>
      </c>
    </row>
    <row r="87">
      <c r="A87" s="1">
        <f t="shared" si="1"/>
        <v>85</v>
      </c>
      <c r="B87" s="1" t="s">
        <v>1691</v>
      </c>
      <c r="C87" s="1" t="s">
        <v>1073</v>
      </c>
      <c r="D87" s="1" t="s">
        <v>66</v>
      </c>
      <c r="E87" s="1">
        <f t="shared" si="2"/>
        <v>359</v>
      </c>
      <c r="F87" s="1">
        <f t="shared" si="3"/>
        <v>4.38</v>
      </c>
      <c r="G87" s="1">
        <v>82.0</v>
      </c>
      <c r="H87" s="1">
        <v>18.0</v>
      </c>
      <c r="I87" s="1">
        <v>21.0</v>
      </c>
      <c r="J87" s="1">
        <v>39.0</v>
      </c>
      <c r="K87" s="1">
        <v>259.0</v>
      </c>
      <c r="L87" s="1">
        <v>2.0</v>
      </c>
      <c r="M87" s="1">
        <v>5.0</v>
      </c>
      <c r="N87" s="1">
        <v>0.0</v>
      </c>
      <c r="O87" s="1">
        <v>0.0</v>
      </c>
      <c r="P87" s="1">
        <v>160.0</v>
      </c>
      <c r="Q87" s="1">
        <v>91.0</v>
      </c>
    </row>
    <row r="88">
      <c r="A88" s="1">
        <f t="shared" si="1"/>
        <v>86</v>
      </c>
      <c r="B88" s="1" t="s">
        <v>1327</v>
      </c>
      <c r="C88" s="1" t="s">
        <v>1046</v>
      </c>
      <c r="D88" s="1" t="s">
        <v>5</v>
      </c>
      <c r="E88" s="1">
        <f t="shared" si="2"/>
        <v>357</v>
      </c>
      <c r="F88" s="1">
        <f t="shared" si="3"/>
        <v>5.95</v>
      </c>
      <c r="G88" s="1">
        <v>60.0</v>
      </c>
      <c r="R88" s="1">
        <v>28.0</v>
      </c>
      <c r="S88" s="1">
        <v>166.0</v>
      </c>
      <c r="T88" s="12">
        <v>1730.0</v>
      </c>
      <c r="U88" s="1">
        <v>1.0</v>
      </c>
    </row>
    <row r="89">
      <c r="A89" s="1">
        <f t="shared" si="1"/>
        <v>86</v>
      </c>
      <c r="B89" s="1" t="s">
        <v>1791</v>
      </c>
      <c r="C89" s="1" t="s">
        <v>1116</v>
      </c>
      <c r="D89" s="1" t="s">
        <v>36</v>
      </c>
      <c r="E89" s="1">
        <f t="shared" si="2"/>
        <v>357</v>
      </c>
      <c r="F89" s="1">
        <f t="shared" si="3"/>
        <v>4.35</v>
      </c>
      <c r="G89" s="1">
        <v>82.0</v>
      </c>
      <c r="H89" s="1">
        <v>30.0</v>
      </c>
      <c r="I89" s="1">
        <v>20.0</v>
      </c>
      <c r="J89" s="1">
        <v>50.0</v>
      </c>
      <c r="K89" s="1">
        <v>245.0</v>
      </c>
      <c r="L89" s="1">
        <v>15.0</v>
      </c>
      <c r="M89" s="1">
        <v>8.0</v>
      </c>
      <c r="N89" s="1">
        <v>0.0</v>
      </c>
      <c r="O89" s="1">
        <v>0.0</v>
      </c>
      <c r="P89" s="1">
        <v>70.0</v>
      </c>
      <c r="Q89" s="1">
        <v>44.0</v>
      </c>
    </row>
    <row r="90">
      <c r="A90" s="1">
        <f t="shared" si="1"/>
        <v>88</v>
      </c>
      <c r="B90" s="1" t="s">
        <v>2302</v>
      </c>
      <c r="C90" s="1" t="s">
        <v>1082</v>
      </c>
      <c r="D90" s="1" t="s">
        <v>5</v>
      </c>
      <c r="E90" s="1">
        <f t="shared" si="2"/>
        <v>355.5</v>
      </c>
      <c r="F90" s="1">
        <f t="shared" si="3"/>
        <v>6.03</v>
      </c>
      <c r="G90" s="1">
        <v>59.0</v>
      </c>
      <c r="R90" s="1">
        <v>32.0</v>
      </c>
      <c r="S90" s="1">
        <v>160.0</v>
      </c>
      <c r="T90" s="12">
        <v>1635.0</v>
      </c>
      <c r="U90" s="1">
        <v>3.0</v>
      </c>
    </row>
    <row r="91">
      <c r="A91" s="1">
        <f t="shared" si="1"/>
        <v>89</v>
      </c>
      <c r="B91" s="1" t="s">
        <v>1359</v>
      </c>
      <c r="C91" s="1" t="s">
        <v>1097</v>
      </c>
      <c r="D91" s="1" t="s">
        <v>66</v>
      </c>
      <c r="E91" s="1">
        <f t="shared" si="2"/>
        <v>354.5</v>
      </c>
      <c r="F91" s="1">
        <f t="shared" si="3"/>
        <v>4.32</v>
      </c>
      <c r="G91" s="1">
        <v>82.0</v>
      </c>
      <c r="H91" s="1">
        <v>13.0</v>
      </c>
      <c r="I91" s="1">
        <v>33.0</v>
      </c>
      <c r="J91" s="1">
        <v>46.0</v>
      </c>
      <c r="K91" s="1">
        <v>172.0</v>
      </c>
      <c r="L91" s="1">
        <v>3.0</v>
      </c>
      <c r="M91" s="1">
        <v>8.0</v>
      </c>
      <c r="N91" s="1">
        <v>0.0</v>
      </c>
      <c r="O91" s="1">
        <v>1.0</v>
      </c>
      <c r="P91" s="1">
        <v>190.0</v>
      </c>
      <c r="Q91" s="1">
        <v>123.0</v>
      </c>
    </row>
    <row r="92">
      <c r="A92" s="1">
        <f t="shared" si="1"/>
        <v>90</v>
      </c>
      <c r="B92" s="1" t="s">
        <v>1398</v>
      </c>
      <c r="C92" s="1" t="s">
        <v>1044</v>
      </c>
      <c r="D92" s="1" t="s">
        <v>66</v>
      </c>
      <c r="E92" s="1">
        <f t="shared" si="2"/>
        <v>354.25</v>
      </c>
      <c r="F92" s="1">
        <f t="shared" si="3"/>
        <v>5.06</v>
      </c>
      <c r="G92" s="1">
        <v>70.0</v>
      </c>
      <c r="H92" s="1">
        <v>14.0</v>
      </c>
      <c r="I92" s="1">
        <v>41.0</v>
      </c>
      <c r="J92" s="1">
        <v>55.0</v>
      </c>
      <c r="K92" s="1">
        <v>185.0</v>
      </c>
      <c r="L92" s="1">
        <v>1.0</v>
      </c>
      <c r="M92" s="1">
        <v>15.0</v>
      </c>
      <c r="N92" s="1">
        <v>1.0</v>
      </c>
      <c r="O92" s="1">
        <v>0.0</v>
      </c>
      <c r="P92" s="1">
        <v>71.0</v>
      </c>
      <c r="Q92" s="1">
        <v>112.0</v>
      </c>
    </row>
    <row r="93">
      <c r="A93" s="1">
        <f t="shared" si="1"/>
        <v>91</v>
      </c>
      <c r="B93" s="1" t="s">
        <v>2159</v>
      </c>
      <c r="C93" s="1" t="s">
        <v>1091</v>
      </c>
      <c r="D93" s="1" t="s">
        <v>28</v>
      </c>
      <c r="E93" s="1">
        <f t="shared" si="2"/>
        <v>351.75</v>
      </c>
      <c r="F93" s="1">
        <f t="shared" si="3"/>
        <v>4.51</v>
      </c>
      <c r="G93" s="1">
        <v>78.0</v>
      </c>
      <c r="H93" s="1">
        <v>20.0</v>
      </c>
      <c r="I93" s="1">
        <v>46.0</v>
      </c>
      <c r="J93" s="1">
        <v>66.0</v>
      </c>
      <c r="K93" s="1">
        <v>210.0</v>
      </c>
      <c r="L93" s="1">
        <v>4.0</v>
      </c>
      <c r="M93" s="1">
        <v>14.0</v>
      </c>
      <c r="N93" s="1">
        <v>0.0</v>
      </c>
      <c r="O93" s="1">
        <v>0.0</v>
      </c>
      <c r="P93" s="1">
        <v>17.0</v>
      </c>
      <c r="Q93" s="1">
        <v>29.0</v>
      </c>
    </row>
    <row r="94">
      <c r="A94" s="1">
        <f t="shared" si="1"/>
        <v>92</v>
      </c>
      <c r="B94" s="1" t="s">
        <v>1177</v>
      </c>
      <c r="C94" s="1" t="s">
        <v>1036</v>
      </c>
      <c r="D94" s="1" t="s">
        <v>66</v>
      </c>
      <c r="E94" s="1">
        <f t="shared" si="2"/>
        <v>351.5</v>
      </c>
      <c r="F94" s="1">
        <f t="shared" si="3"/>
        <v>4.29</v>
      </c>
      <c r="G94" s="1">
        <v>82.0</v>
      </c>
      <c r="H94" s="1">
        <v>10.0</v>
      </c>
      <c r="I94" s="1">
        <v>31.0</v>
      </c>
      <c r="J94" s="1">
        <v>41.0</v>
      </c>
      <c r="K94" s="1">
        <v>196.0</v>
      </c>
      <c r="L94" s="1">
        <v>1.0</v>
      </c>
      <c r="M94" s="1">
        <v>8.0</v>
      </c>
      <c r="N94" s="1">
        <v>0.0</v>
      </c>
      <c r="O94" s="1">
        <v>1.0</v>
      </c>
      <c r="P94" s="1">
        <v>162.0</v>
      </c>
      <c r="Q94" s="1">
        <v>146.0</v>
      </c>
    </row>
    <row r="95">
      <c r="A95" s="1">
        <f t="shared" si="1"/>
        <v>93</v>
      </c>
      <c r="B95" s="1" t="s">
        <v>1047</v>
      </c>
      <c r="C95" s="1" t="s">
        <v>1067</v>
      </c>
      <c r="D95" s="1" t="s">
        <v>31</v>
      </c>
      <c r="E95" s="1">
        <f t="shared" si="2"/>
        <v>351</v>
      </c>
      <c r="F95" s="1">
        <f t="shared" si="3"/>
        <v>4.28</v>
      </c>
      <c r="G95" s="1">
        <v>82.0</v>
      </c>
      <c r="H95" s="1">
        <v>22.0</v>
      </c>
      <c r="I95" s="1">
        <v>43.0</v>
      </c>
      <c r="J95" s="1">
        <v>65.0</v>
      </c>
      <c r="K95" s="1">
        <v>180.0</v>
      </c>
      <c r="L95" s="1">
        <v>2.0</v>
      </c>
      <c r="M95" s="1">
        <v>13.0</v>
      </c>
      <c r="N95" s="1">
        <v>0.0</v>
      </c>
      <c r="O95" s="1">
        <v>0.0</v>
      </c>
      <c r="P95" s="1">
        <v>38.0</v>
      </c>
      <c r="Q95" s="1">
        <v>47.0</v>
      </c>
    </row>
    <row r="96">
      <c r="A96" s="1">
        <f t="shared" si="1"/>
        <v>94</v>
      </c>
      <c r="B96" s="1" t="s">
        <v>2299</v>
      </c>
      <c r="C96" s="1" t="s">
        <v>1048</v>
      </c>
      <c r="D96" s="1" t="s">
        <v>66</v>
      </c>
      <c r="E96" s="1">
        <f t="shared" si="2"/>
        <v>348.75</v>
      </c>
      <c r="F96" s="1">
        <f t="shared" si="3"/>
        <v>4.25</v>
      </c>
      <c r="G96" s="1">
        <v>82.0</v>
      </c>
      <c r="H96" s="1">
        <v>9.0</v>
      </c>
      <c r="I96" s="1">
        <v>53.0</v>
      </c>
      <c r="J96" s="1">
        <v>62.0</v>
      </c>
      <c r="K96" s="1">
        <v>199.0</v>
      </c>
      <c r="L96" s="1">
        <v>7.0</v>
      </c>
      <c r="M96" s="1">
        <v>32.0</v>
      </c>
      <c r="N96" s="1">
        <v>0.0</v>
      </c>
      <c r="O96" s="1">
        <v>0.0</v>
      </c>
      <c r="P96" s="1">
        <v>47.0</v>
      </c>
      <c r="Q96" s="1">
        <v>76.0</v>
      </c>
    </row>
    <row r="97">
      <c r="A97" s="1">
        <f t="shared" si="1"/>
        <v>95</v>
      </c>
      <c r="B97" s="1" t="s">
        <v>1206</v>
      </c>
      <c r="C97" s="1" t="s">
        <v>1087</v>
      </c>
      <c r="D97" s="1" t="s">
        <v>31</v>
      </c>
      <c r="E97" s="1">
        <f t="shared" si="2"/>
        <v>348.25</v>
      </c>
      <c r="F97" s="1">
        <f t="shared" si="3"/>
        <v>4.25</v>
      </c>
      <c r="G97" s="1">
        <v>82.0</v>
      </c>
      <c r="H97" s="1">
        <v>28.0</v>
      </c>
      <c r="I97" s="1">
        <v>23.0</v>
      </c>
      <c r="J97" s="1">
        <v>51.0</v>
      </c>
      <c r="K97" s="1">
        <v>204.0</v>
      </c>
      <c r="L97" s="1">
        <v>10.0</v>
      </c>
      <c r="M97" s="1">
        <v>6.0</v>
      </c>
      <c r="N97" s="1">
        <v>0.0</v>
      </c>
      <c r="O97" s="1">
        <v>0.0</v>
      </c>
      <c r="P97" s="1">
        <v>103.0</v>
      </c>
      <c r="Q97" s="1">
        <v>51.0</v>
      </c>
    </row>
    <row r="98">
      <c r="A98" s="1">
        <f t="shared" si="1"/>
        <v>96</v>
      </c>
      <c r="B98" s="1" t="s">
        <v>1060</v>
      </c>
      <c r="C98" s="1" t="s">
        <v>1046</v>
      </c>
      <c r="D98" s="1" t="s">
        <v>31</v>
      </c>
      <c r="E98" s="1">
        <f t="shared" si="2"/>
        <v>348</v>
      </c>
      <c r="F98" s="1">
        <f t="shared" si="3"/>
        <v>4.9</v>
      </c>
      <c r="G98" s="1">
        <v>71.0</v>
      </c>
      <c r="H98" s="1">
        <v>28.0</v>
      </c>
      <c r="I98" s="1">
        <v>38.0</v>
      </c>
      <c r="J98" s="1">
        <v>66.0</v>
      </c>
      <c r="K98" s="1">
        <v>144.0</v>
      </c>
      <c r="L98" s="1">
        <v>10.0</v>
      </c>
      <c r="M98" s="1">
        <v>12.0</v>
      </c>
      <c r="N98" s="1">
        <v>0.0</v>
      </c>
      <c r="O98" s="1">
        <v>0.0</v>
      </c>
      <c r="P98" s="1">
        <v>42.0</v>
      </c>
      <c r="Q98" s="1">
        <v>51.0</v>
      </c>
    </row>
    <row r="99">
      <c r="A99" s="1">
        <f t="shared" si="1"/>
        <v>97</v>
      </c>
      <c r="B99" s="1" t="s">
        <v>1751</v>
      </c>
      <c r="C99" s="1" t="s">
        <v>1067</v>
      </c>
      <c r="D99" s="1" t="s">
        <v>66</v>
      </c>
      <c r="E99" s="1">
        <f t="shared" si="2"/>
        <v>346.75</v>
      </c>
      <c r="F99" s="1">
        <f t="shared" si="3"/>
        <v>4.45</v>
      </c>
      <c r="G99" s="1">
        <v>78.0</v>
      </c>
      <c r="H99" s="1">
        <v>5.0</v>
      </c>
      <c r="I99" s="1">
        <v>38.0</v>
      </c>
      <c r="J99" s="1">
        <v>43.0</v>
      </c>
      <c r="K99" s="1">
        <v>182.0</v>
      </c>
      <c r="L99" s="1">
        <v>1.0</v>
      </c>
      <c r="M99" s="1">
        <v>16.0</v>
      </c>
      <c r="N99" s="1">
        <v>0.0</v>
      </c>
      <c r="O99" s="1">
        <v>0.0</v>
      </c>
      <c r="P99" s="1">
        <v>235.0</v>
      </c>
      <c r="Q99" s="1">
        <v>121.0</v>
      </c>
    </row>
    <row r="100">
      <c r="A100" s="1">
        <f t="shared" si="1"/>
        <v>98</v>
      </c>
      <c r="B100" s="1" t="s">
        <v>1938</v>
      </c>
      <c r="C100" s="1" t="s">
        <v>1052</v>
      </c>
      <c r="D100" s="1" t="s">
        <v>5</v>
      </c>
      <c r="E100" s="1">
        <f t="shared" si="2"/>
        <v>345</v>
      </c>
      <c r="F100" s="1">
        <f t="shared" si="3"/>
        <v>6.9</v>
      </c>
      <c r="G100" s="1">
        <v>50.0</v>
      </c>
      <c r="R100" s="1">
        <v>29.0</v>
      </c>
      <c r="S100" s="1">
        <v>129.0</v>
      </c>
      <c r="T100" s="12">
        <v>1465.0</v>
      </c>
      <c r="U100" s="1">
        <v>4.0</v>
      </c>
    </row>
    <row r="101">
      <c r="A101" s="1">
        <f t="shared" si="1"/>
        <v>99</v>
      </c>
      <c r="B101" s="1" t="s">
        <v>1148</v>
      </c>
      <c r="C101" s="1" t="s">
        <v>1076</v>
      </c>
      <c r="D101" s="1" t="s">
        <v>36</v>
      </c>
      <c r="E101" s="1">
        <f t="shared" si="2"/>
        <v>344.5</v>
      </c>
      <c r="F101" s="1">
        <f t="shared" si="3"/>
        <v>4.66</v>
      </c>
      <c r="G101" s="1">
        <v>74.0</v>
      </c>
      <c r="H101" s="1">
        <v>27.0</v>
      </c>
      <c r="I101" s="1">
        <v>23.0</v>
      </c>
      <c r="J101" s="1">
        <v>50.0</v>
      </c>
      <c r="K101" s="1">
        <v>224.0</v>
      </c>
      <c r="L101" s="1">
        <v>11.0</v>
      </c>
      <c r="M101" s="1">
        <v>7.0</v>
      </c>
      <c r="N101" s="1">
        <v>0.0</v>
      </c>
      <c r="O101" s="1">
        <v>0.0</v>
      </c>
      <c r="P101" s="1">
        <v>98.0</v>
      </c>
      <c r="Q101" s="1">
        <v>35.0</v>
      </c>
    </row>
    <row r="102">
      <c r="A102" s="1">
        <f t="shared" si="1"/>
        <v>100</v>
      </c>
      <c r="B102" s="1" t="s">
        <v>1041</v>
      </c>
      <c r="C102" s="1" t="s">
        <v>1042</v>
      </c>
      <c r="D102" s="1" t="s">
        <v>36</v>
      </c>
      <c r="E102" s="1">
        <f t="shared" si="2"/>
        <v>344</v>
      </c>
      <c r="F102" s="1">
        <f t="shared" si="3"/>
        <v>5.38</v>
      </c>
      <c r="G102" s="1">
        <v>64.0</v>
      </c>
      <c r="H102" s="1">
        <v>28.0</v>
      </c>
      <c r="I102" s="1">
        <v>22.0</v>
      </c>
      <c r="J102" s="1">
        <v>50.0</v>
      </c>
      <c r="K102" s="1">
        <v>217.0</v>
      </c>
      <c r="L102" s="1">
        <v>7.0</v>
      </c>
      <c r="M102" s="1">
        <v>3.0</v>
      </c>
      <c r="N102" s="1">
        <v>2.0</v>
      </c>
      <c r="O102" s="1">
        <v>0.0</v>
      </c>
      <c r="P102" s="1">
        <v>100.0</v>
      </c>
      <c r="Q102" s="1">
        <v>29.0</v>
      </c>
    </row>
    <row r="103">
      <c r="A103" s="1">
        <f t="shared" si="1"/>
        <v>101</v>
      </c>
      <c r="B103" s="1" t="s">
        <v>1585</v>
      </c>
      <c r="C103" s="1" t="s">
        <v>1097</v>
      </c>
      <c r="D103" s="1" t="s">
        <v>28</v>
      </c>
      <c r="E103" s="1">
        <f t="shared" si="2"/>
        <v>343.25</v>
      </c>
      <c r="F103" s="1">
        <f t="shared" si="3"/>
        <v>4.29</v>
      </c>
      <c r="G103" s="1">
        <v>80.0</v>
      </c>
      <c r="H103" s="1">
        <v>25.0</v>
      </c>
      <c r="I103" s="1">
        <v>33.0</v>
      </c>
      <c r="J103" s="1">
        <v>58.0</v>
      </c>
      <c r="K103" s="1">
        <v>195.0</v>
      </c>
      <c r="L103" s="1">
        <v>4.0</v>
      </c>
      <c r="M103" s="1">
        <v>4.0</v>
      </c>
      <c r="N103" s="1">
        <v>0.0</v>
      </c>
      <c r="O103" s="1">
        <v>0.0</v>
      </c>
      <c r="P103" s="1">
        <v>77.0</v>
      </c>
      <c r="Q103" s="1">
        <v>30.0</v>
      </c>
    </row>
    <row r="104">
      <c r="A104" s="1">
        <f t="shared" si="1"/>
        <v>102</v>
      </c>
      <c r="B104" s="1" t="s">
        <v>1152</v>
      </c>
      <c r="C104" s="1" t="s">
        <v>1078</v>
      </c>
      <c r="D104" s="1" t="s">
        <v>31</v>
      </c>
      <c r="E104" s="1">
        <f t="shared" si="2"/>
        <v>342.75</v>
      </c>
      <c r="F104" s="1">
        <f t="shared" si="3"/>
        <v>4.23</v>
      </c>
      <c r="G104" s="1">
        <v>81.0</v>
      </c>
      <c r="H104" s="1">
        <v>22.0</v>
      </c>
      <c r="I104" s="1">
        <v>38.0</v>
      </c>
      <c r="J104" s="1">
        <v>60.0</v>
      </c>
      <c r="K104" s="1">
        <v>156.0</v>
      </c>
      <c r="L104" s="1">
        <v>1.0</v>
      </c>
      <c r="M104" s="1">
        <v>18.0</v>
      </c>
      <c r="N104" s="1">
        <v>2.0</v>
      </c>
      <c r="O104" s="1">
        <v>0.0</v>
      </c>
      <c r="P104" s="1">
        <v>59.0</v>
      </c>
      <c r="Q104" s="1">
        <v>66.0</v>
      </c>
    </row>
    <row r="105">
      <c r="A105" s="1">
        <f t="shared" si="1"/>
        <v>103</v>
      </c>
      <c r="B105" s="1" t="s">
        <v>1268</v>
      </c>
      <c r="C105" s="1" t="s">
        <v>1156</v>
      </c>
      <c r="D105" s="1" t="s">
        <v>66</v>
      </c>
      <c r="E105" s="1">
        <f t="shared" si="2"/>
        <v>342.5</v>
      </c>
      <c r="F105" s="1">
        <f t="shared" si="3"/>
        <v>4.57</v>
      </c>
      <c r="G105" s="1">
        <v>75.0</v>
      </c>
      <c r="H105" s="1">
        <v>9.0</v>
      </c>
      <c r="I105" s="1">
        <v>37.0</v>
      </c>
      <c r="J105" s="1">
        <v>46.0</v>
      </c>
      <c r="K105" s="1">
        <v>184.0</v>
      </c>
      <c r="L105" s="1">
        <v>0.0</v>
      </c>
      <c r="M105" s="1">
        <v>10.0</v>
      </c>
      <c r="N105" s="1">
        <v>0.0</v>
      </c>
      <c r="O105" s="1">
        <v>3.0</v>
      </c>
      <c r="P105" s="1">
        <v>106.0</v>
      </c>
      <c r="Q105" s="1">
        <v>133.0</v>
      </c>
    </row>
    <row r="106">
      <c r="A106" s="1">
        <f t="shared" si="1"/>
        <v>104</v>
      </c>
      <c r="B106" s="1" t="s">
        <v>2470</v>
      </c>
      <c r="C106" s="1" t="s">
        <v>1042</v>
      </c>
      <c r="D106" s="1" t="s">
        <v>5</v>
      </c>
      <c r="E106" s="1">
        <f t="shared" si="2"/>
        <v>342.3</v>
      </c>
      <c r="F106" s="1">
        <f t="shared" si="3"/>
        <v>6.11</v>
      </c>
      <c r="G106" s="1">
        <v>56.0</v>
      </c>
      <c r="R106" s="1">
        <v>30.0</v>
      </c>
      <c r="S106" s="1">
        <v>130.0</v>
      </c>
      <c r="T106" s="12">
        <v>1451.0</v>
      </c>
      <c r="U106" s="1">
        <v>4.0</v>
      </c>
    </row>
    <row r="107">
      <c r="A107" s="1">
        <f t="shared" si="1"/>
        <v>104</v>
      </c>
      <c r="B107" s="1" t="s">
        <v>2584</v>
      </c>
      <c r="C107" s="1" t="s">
        <v>1085</v>
      </c>
      <c r="D107" s="1" t="s">
        <v>5</v>
      </c>
      <c r="E107" s="1">
        <f t="shared" si="2"/>
        <v>342.3</v>
      </c>
      <c r="F107" s="1">
        <f t="shared" si="3"/>
        <v>7.44</v>
      </c>
      <c r="G107" s="1">
        <v>46.0</v>
      </c>
      <c r="R107" s="1">
        <v>27.0</v>
      </c>
      <c r="S107" s="1">
        <v>87.0</v>
      </c>
      <c r="T107" s="12">
        <v>1236.0</v>
      </c>
      <c r="U107" s="1">
        <v>7.0</v>
      </c>
    </row>
    <row r="108">
      <c r="A108" s="1">
        <f t="shared" si="1"/>
        <v>106</v>
      </c>
      <c r="B108" s="1" t="s">
        <v>2608</v>
      </c>
      <c r="C108" s="1" t="s">
        <v>1570</v>
      </c>
      <c r="D108" s="1" t="s">
        <v>36</v>
      </c>
      <c r="E108" s="1">
        <f t="shared" si="2"/>
        <v>341.75</v>
      </c>
      <c r="F108" s="1">
        <f t="shared" si="3"/>
        <v>4.17</v>
      </c>
      <c r="G108" s="1">
        <v>82.0</v>
      </c>
      <c r="H108" s="1">
        <v>23.0</v>
      </c>
      <c r="I108" s="1">
        <v>30.0</v>
      </c>
      <c r="J108" s="1">
        <v>53.0</v>
      </c>
      <c r="K108" s="1">
        <v>237.0</v>
      </c>
      <c r="L108" s="1">
        <v>9.0</v>
      </c>
      <c r="M108" s="1">
        <v>5.0</v>
      </c>
      <c r="N108" s="1">
        <v>0.0</v>
      </c>
      <c r="O108" s="1">
        <v>0.0</v>
      </c>
      <c r="P108" s="1">
        <v>55.0</v>
      </c>
      <c r="Q108" s="1">
        <v>32.0</v>
      </c>
    </row>
    <row r="109">
      <c r="A109" s="1">
        <f t="shared" si="1"/>
        <v>107</v>
      </c>
      <c r="B109" s="1" t="s">
        <v>2469</v>
      </c>
      <c r="C109" s="1" t="s">
        <v>1111</v>
      </c>
      <c r="D109" s="1" t="s">
        <v>31</v>
      </c>
      <c r="E109" s="1">
        <f t="shared" si="2"/>
        <v>339.75</v>
      </c>
      <c r="F109" s="1">
        <f t="shared" si="3"/>
        <v>4.14</v>
      </c>
      <c r="G109" s="1">
        <v>82.0</v>
      </c>
      <c r="H109" s="1">
        <v>23.0</v>
      </c>
      <c r="I109" s="1">
        <v>26.0</v>
      </c>
      <c r="J109" s="1">
        <v>49.0</v>
      </c>
      <c r="K109" s="1">
        <v>188.0</v>
      </c>
      <c r="L109" s="1">
        <v>2.0</v>
      </c>
      <c r="M109" s="1">
        <v>8.0</v>
      </c>
      <c r="N109" s="1">
        <v>3.0</v>
      </c>
      <c r="O109" s="1">
        <v>0.0</v>
      </c>
      <c r="P109" s="1">
        <v>99.0</v>
      </c>
      <c r="Q109" s="1">
        <v>67.0</v>
      </c>
    </row>
    <row r="110">
      <c r="A110" s="1">
        <f t="shared" si="1"/>
        <v>108</v>
      </c>
      <c r="B110" s="1" t="s">
        <v>2086</v>
      </c>
      <c r="C110" s="1" t="s">
        <v>1038</v>
      </c>
      <c r="D110" s="1" t="s">
        <v>31</v>
      </c>
      <c r="E110" s="1">
        <f t="shared" si="2"/>
        <v>337.5</v>
      </c>
      <c r="F110" s="1">
        <f t="shared" si="3"/>
        <v>4.17</v>
      </c>
      <c r="G110" s="1">
        <v>81.0</v>
      </c>
      <c r="H110" s="1">
        <v>20.0</v>
      </c>
      <c r="I110" s="1">
        <v>53.0</v>
      </c>
      <c r="J110" s="1">
        <v>73.0</v>
      </c>
      <c r="K110" s="1">
        <v>139.0</v>
      </c>
      <c r="L110" s="1">
        <v>6.0</v>
      </c>
      <c r="M110" s="1">
        <v>10.0</v>
      </c>
      <c r="N110" s="1">
        <v>0.0</v>
      </c>
      <c r="O110" s="1">
        <v>0.0</v>
      </c>
      <c r="P110" s="1">
        <v>28.0</v>
      </c>
      <c r="Q110" s="1">
        <v>24.0</v>
      </c>
    </row>
    <row r="111">
      <c r="A111" s="1">
        <f t="shared" si="1"/>
        <v>109</v>
      </c>
      <c r="B111" s="1" t="s">
        <v>1086</v>
      </c>
      <c r="C111" s="1" t="s">
        <v>1087</v>
      </c>
      <c r="D111" s="1" t="s">
        <v>31</v>
      </c>
      <c r="E111" s="1">
        <f t="shared" si="2"/>
        <v>336.75</v>
      </c>
      <c r="F111" s="1">
        <f t="shared" si="3"/>
        <v>4.11</v>
      </c>
      <c r="G111" s="1">
        <v>82.0</v>
      </c>
      <c r="H111" s="1">
        <v>18.0</v>
      </c>
      <c r="I111" s="1">
        <v>44.0</v>
      </c>
      <c r="J111" s="1">
        <v>62.0</v>
      </c>
      <c r="K111" s="1">
        <v>179.0</v>
      </c>
      <c r="L111" s="1">
        <v>3.0</v>
      </c>
      <c r="M111" s="1">
        <v>15.0</v>
      </c>
      <c r="N111" s="1">
        <v>0.0</v>
      </c>
      <c r="O111" s="1">
        <v>0.0</v>
      </c>
      <c r="P111" s="1">
        <v>25.0</v>
      </c>
      <c r="Q111" s="1">
        <v>56.0</v>
      </c>
    </row>
    <row r="112">
      <c r="A112" s="1">
        <f t="shared" si="1"/>
        <v>110</v>
      </c>
      <c r="B112" s="1" t="s">
        <v>1785</v>
      </c>
      <c r="C112" s="1" t="s">
        <v>1120</v>
      </c>
      <c r="D112" s="1" t="s">
        <v>31</v>
      </c>
      <c r="E112" s="1">
        <f t="shared" si="2"/>
        <v>336.25</v>
      </c>
      <c r="F112" s="1">
        <f t="shared" si="3"/>
        <v>4.42</v>
      </c>
      <c r="G112" s="1">
        <v>76.0</v>
      </c>
      <c r="H112" s="1">
        <v>30.0</v>
      </c>
      <c r="I112" s="1">
        <v>24.0</v>
      </c>
      <c r="J112" s="1">
        <v>54.0</v>
      </c>
      <c r="K112" s="1">
        <v>216.0</v>
      </c>
      <c r="L112" s="1">
        <v>3.0</v>
      </c>
      <c r="M112" s="1">
        <v>8.0</v>
      </c>
      <c r="N112" s="1">
        <v>0.0</v>
      </c>
      <c r="O112" s="1">
        <v>0.0</v>
      </c>
      <c r="P112" s="1">
        <v>33.0</v>
      </c>
      <c r="Q112" s="1">
        <v>26.0</v>
      </c>
    </row>
    <row r="113">
      <c r="A113" s="1">
        <f t="shared" si="1"/>
        <v>110</v>
      </c>
      <c r="B113" s="1" t="s">
        <v>1117</v>
      </c>
      <c r="C113" s="1" t="s">
        <v>1034</v>
      </c>
      <c r="D113" s="1" t="s">
        <v>66</v>
      </c>
      <c r="E113" s="1">
        <f t="shared" si="2"/>
        <v>336.25</v>
      </c>
      <c r="F113" s="1">
        <f t="shared" si="3"/>
        <v>4.8</v>
      </c>
      <c r="G113" s="1">
        <v>70.0</v>
      </c>
      <c r="H113" s="1">
        <v>12.0</v>
      </c>
      <c r="I113" s="1">
        <v>42.0</v>
      </c>
      <c r="J113" s="1">
        <v>54.0</v>
      </c>
      <c r="K113" s="1">
        <v>182.0</v>
      </c>
      <c r="L113" s="1">
        <v>2.0</v>
      </c>
      <c r="M113" s="1">
        <v>23.0</v>
      </c>
      <c r="N113" s="1">
        <v>0.0</v>
      </c>
      <c r="O113" s="1">
        <v>1.0</v>
      </c>
      <c r="P113" s="1">
        <v>59.0</v>
      </c>
      <c r="Q113" s="1">
        <v>97.0</v>
      </c>
    </row>
    <row r="114">
      <c r="A114" s="1">
        <f t="shared" si="1"/>
        <v>112</v>
      </c>
      <c r="B114" s="1" t="s">
        <v>1132</v>
      </c>
      <c r="C114" s="1" t="s">
        <v>1076</v>
      </c>
      <c r="D114" s="1" t="s">
        <v>31</v>
      </c>
      <c r="E114" s="1">
        <f t="shared" si="2"/>
        <v>335.75</v>
      </c>
      <c r="F114" s="1">
        <f t="shared" si="3"/>
        <v>4.3</v>
      </c>
      <c r="G114" s="1">
        <v>78.0</v>
      </c>
      <c r="H114" s="1">
        <v>22.0</v>
      </c>
      <c r="I114" s="1">
        <v>14.0</v>
      </c>
      <c r="J114" s="1">
        <v>36.0</v>
      </c>
      <c r="K114" s="1">
        <v>213.0</v>
      </c>
      <c r="L114" s="1">
        <v>3.0</v>
      </c>
      <c r="M114" s="1">
        <v>0.0</v>
      </c>
      <c r="N114" s="1">
        <v>3.0</v>
      </c>
      <c r="O114" s="1">
        <v>2.0</v>
      </c>
      <c r="P114" s="1">
        <v>225.0</v>
      </c>
      <c r="Q114" s="1">
        <v>44.0</v>
      </c>
    </row>
    <row r="115">
      <c r="A115" s="1">
        <f t="shared" si="1"/>
        <v>113</v>
      </c>
      <c r="B115" s="1" t="s">
        <v>1143</v>
      </c>
      <c r="C115" s="1" t="s">
        <v>1156</v>
      </c>
      <c r="D115" s="1" t="s">
        <v>36</v>
      </c>
      <c r="E115" s="1">
        <f t="shared" si="2"/>
        <v>335.5</v>
      </c>
      <c r="F115" s="1">
        <f t="shared" si="3"/>
        <v>4.14</v>
      </c>
      <c r="G115" s="1">
        <v>81.0</v>
      </c>
      <c r="H115" s="1">
        <v>22.0</v>
      </c>
      <c r="I115" s="1">
        <v>38.0</v>
      </c>
      <c r="J115" s="1">
        <v>60.0</v>
      </c>
      <c r="K115" s="1">
        <v>204.0</v>
      </c>
      <c r="L115" s="1">
        <v>2.0</v>
      </c>
      <c r="M115" s="1">
        <v>10.0</v>
      </c>
      <c r="N115" s="1">
        <v>0.0</v>
      </c>
      <c r="O115" s="1">
        <v>0.0</v>
      </c>
      <c r="P115" s="1">
        <v>36.0</v>
      </c>
      <c r="Q115" s="1">
        <v>23.0</v>
      </c>
    </row>
    <row r="116">
      <c r="A116" s="1">
        <f t="shared" si="1"/>
        <v>114</v>
      </c>
      <c r="B116" s="1" t="s">
        <v>1165</v>
      </c>
      <c r="C116" s="1" t="s">
        <v>1080</v>
      </c>
      <c r="D116" s="1" t="s">
        <v>31</v>
      </c>
      <c r="E116" s="1">
        <f t="shared" si="2"/>
        <v>334.75</v>
      </c>
      <c r="F116" s="1">
        <f t="shared" si="3"/>
        <v>4.08</v>
      </c>
      <c r="G116" s="1">
        <v>82.0</v>
      </c>
      <c r="H116" s="1">
        <v>24.0</v>
      </c>
      <c r="I116" s="1">
        <v>32.0</v>
      </c>
      <c r="J116" s="1">
        <v>56.0</v>
      </c>
      <c r="K116" s="1">
        <v>169.0</v>
      </c>
      <c r="L116" s="1">
        <v>7.0</v>
      </c>
      <c r="M116" s="1">
        <v>7.0</v>
      </c>
      <c r="N116" s="1">
        <v>1.0</v>
      </c>
      <c r="O116" s="1">
        <v>2.0</v>
      </c>
      <c r="P116" s="1">
        <v>51.0</v>
      </c>
      <c r="Q116" s="1">
        <v>55.0</v>
      </c>
    </row>
    <row r="117">
      <c r="A117" s="1">
        <f t="shared" si="1"/>
        <v>115</v>
      </c>
      <c r="B117" s="1" t="s">
        <v>1477</v>
      </c>
      <c r="C117" s="1" t="s">
        <v>1082</v>
      </c>
      <c r="D117" s="1" t="s">
        <v>36</v>
      </c>
      <c r="E117" s="1">
        <f t="shared" si="2"/>
        <v>333.75</v>
      </c>
      <c r="F117" s="1">
        <f t="shared" si="3"/>
        <v>4.84</v>
      </c>
      <c r="G117" s="1">
        <v>69.0</v>
      </c>
      <c r="H117" s="1">
        <v>25.0</v>
      </c>
      <c r="I117" s="1">
        <v>29.0</v>
      </c>
      <c r="J117" s="1">
        <v>54.0</v>
      </c>
      <c r="K117" s="1">
        <v>143.0</v>
      </c>
      <c r="L117" s="1">
        <v>6.0</v>
      </c>
      <c r="M117" s="1">
        <v>8.0</v>
      </c>
      <c r="N117" s="1">
        <v>1.0</v>
      </c>
      <c r="O117" s="1">
        <v>0.0</v>
      </c>
      <c r="P117" s="1">
        <v>133.0</v>
      </c>
      <c r="Q117" s="1">
        <v>55.0</v>
      </c>
    </row>
    <row r="118">
      <c r="A118" s="1">
        <f t="shared" si="1"/>
        <v>116</v>
      </c>
      <c r="B118" s="1" t="s">
        <v>2286</v>
      </c>
      <c r="C118" s="1" t="s">
        <v>1078</v>
      </c>
      <c r="D118" s="1" t="s">
        <v>36</v>
      </c>
      <c r="E118" s="1">
        <f t="shared" si="2"/>
        <v>332</v>
      </c>
      <c r="F118" s="1">
        <f t="shared" si="3"/>
        <v>4.61</v>
      </c>
      <c r="G118" s="1">
        <v>72.0</v>
      </c>
      <c r="H118" s="1">
        <v>22.0</v>
      </c>
      <c r="I118" s="1">
        <v>29.0</v>
      </c>
      <c r="J118" s="1">
        <v>51.0</v>
      </c>
      <c r="K118" s="1">
        <v>180.0</v>
      </c>
      <c r="L118" s="1">
        <v>9.0</v>
      </c>
      <c r="M118" s="1">
        <v>3.0</v>
      </c>
      <c r="N118" s="1">
        <v>1.0</v>
      </c>
      <c r="O118" s="1">
        <v>1.0</v>
      </c>
      <c r="P118" s="1">
        <v>150.0</v>
      </c>
      <c r="Q118" s="1">
        <v>29.0</v>
      </c>
    </row>
    <row r="119">
      <c r="A119" s="1">
        <f t="shared" si="1"/>
        <v>117</v>
      </c>
      <c r="B119" s="1" t="s">
        <v>1043</v>
      </c>
      <c r="C119" s="1" t="s">
        <v>1044</v>
      </c>
      <c r="D119" s="1" t="s">
        <v>28</v>
      </c>
      <c r="E119" s="1">
        <f t="shared" si="2"/>
        <v>331.5</v>
      </c>
      <c r="F119" s="1">
        <f t="shared" si="3"/>
        <v>4.67</v>
      </c>
      <c r="G119" s="1">
        <v>71.0</v>
      </c>
      <c r="H119" s="1">
        <v>22.0</v>
      </c>
      <c r="I119" s="1">
        <v>23.0</v>
      </c>
      <c r="J119" s="1">
        <v>45.0</v>
      </c>
      <c r="K119" s="1">
        <v>214.0</v>
      </c>
      <c r="L119" s="1">
        <v>4.0</v>
      </c>
      <c r="M119" s="1">
        <v>6.0</v>
      </c>
      <c r="N119" s="1">
        <v>0.0</v>
      </c>
      <c r="O119" s="1">
        <v>0.0</v>
      </c>
      <c r="P119" s="1">
        <v>174.0</v>
      </c>
      <c r="Q119" s="1">
        <v>26.0</v>
      </c>
    </row>
    <row r="120">
      <c r="A120" s="1">
        <f t="shared" si="1"/>
        <v>118</v>
      </c>
      <c r="B120" s="1" t="s">
        <v>1353</v>
      </c>
      <c r="C120" s="1" t="s">
        <v>1073</v>
      </c>
      <c r="D120" s="1" t="s">
        <v>66</v>
      </c>
      <c r="E120" s="1">
        <f t="shared" si="2"/>
        <v>329.5</v>
      </c>
      <c r="F120" s="1">
        <f t="shared" si="3"/>
        <v>4.02</v>
      </c>
      <c r="G120" s="1">
        <v>82.0</v>
      </c>
      <c r="H120" s="1">
        <v>11.0</v>
      </c>
      <c r="I120" s="1">
        <v>24.0</v>
      </c>
      <c r="J120" s="1">
        <v>35.0</v>
      </c>
      <c r="K120" s="1">
        <v>217.0</v>
      </c>
      <c r="L120" s="1">
        <v>6.0</v>
      </c>
      <c r="M120" s="1">
        <v>4.0</v>
      </c>
      <c r="N120" s="1">
        <v>0.0</v>
      </c>
      <c r="O120" s="1">
        <v>0.0</v>
      </c>
      <c r="P120" s="1">
        <v>156.0</v>
      </c>
      <c r="Q120" s="1">
        <v>121.0</v>
      </c>
    </row>
    <row r="121">
      <c r="A121" s="1">
        <f t="shared" si="1"/>
        <v>119</v>
      </c>
      <c r="B121" s="1" t="s">
        <v>1098</v>
      </c>
      <c r="C121" s="1" t="s">
        <v>1087</v>
      </c>
      <c r="D121" s="1" t="s">
        <v>31</v>
      </c>
      <c r="E121" s="1">
        <f t="shared" si="2"/>
        <v>329.25</v>
      </c>
      <c r="F121" s="1">
        <f t="shared" si="3"/>
        <v>4.02</v>
      </c>
      <c r="G121" s="1">
        <v>82.0</v>
      </c>
      <c r="H121" s="1">
        <v>25.0</v>
      </c>
      <c r="I121" s="1">
        <v>28.0</v>
      </c>
      <c r="J121" s="1">
        <v>53.0</v>
      </c>
      <c r="K121" s="1">
        <v>181.0</v>
      </c>
      <c r="L121" s="1">
        <v>2.0</v>
      </c>
      <c r="M121" s="1">
        <v>6.0</v>
      </c>
      <c r="N121" s="1">
        <v>1.0</v>
      </c>
      <c r="O121" s="1">
        <v>0.0</v>
      </c>
      <c r="P121" s="1">
        <v>51.0</v>
      </c>
      <c r="Q121" s="1">
        <v>55.0</v>
      </c>
    </row>
    <row r="122">
      <c r="A122" s="1">
        <f t="shared" si="1"/>
        <v>120</v>
      </c>
      <c r="B122" s="1" t="s">
        <v>1064</v>
      </c>
      <c r="C122" s="1" t="s">
        <v>1048</v>
      </c>
      <c r="D122" s="1" t="s">
        <v>28</v>
      </c>
      <c r="E122" s="1">
        <f t="shared" si="2"/>
        <v>328.75</v>
      </c>
      <c r="F122" s="1">
        <f t="shared" si="3"/>
        <v>4.06</v>
      </c>
      <c r="G122" s="1">
        <v>81.0</v>
      </c>
      <c r="H122" s="1">
        <v>24.0</v>
      </c>
      <c r="I122" s="1">
        <v>15.0</v>
      </c>
      <c r="J122" s="1">
        <v>39.0</v>
      </c>
      <c r="K122" s="1">
        <v>208.0</v>
      </c>
      <c r="L122" s="1">
        <v>2.0</v>
      </c>
      <c r="M122" s="1">
        <v>6.0</v>
      </c>
      <c r="N122" s="1">
        <v>0.0</v>
      </c>
      <c r="O122" s="1">
        <v>0.0</v>
      </c>
      <c r="P122" s="1">
        <v>139.0</v>
      </c>
      <c r="Q122" s="1">
        <v>74.0</v>
      </c>
    </row>
    <row r="123">
      <c r="A123" s="1">
        <f t="shared" si="1"/>
        <v>121</v>
      </c>
      <c r="B123" s="1" t="s">
        <v>1176</v>
      </c>
      <c r="C123" s="1" t="s">
        <v>1078</v>
      </c>
      <c r="D123" s="1" t="s">
        <v>66</v>
      </c>
      <c r="E123" s="1">
        <f t="shared" si="2"/>
        <v>328</v>
      </c>
      <c r="F123" s="1">
        <f t="shared" si="3"/>
        <v>4</v>
      </c>
      <c r="G123" s="1">
        <v>82.0</v>
      </c>
      <c r="H123" s="1">
        <v>8.0</v>
      </c>
      <c r="I123" s="1">
        <v>37.0</v>
      </c>
      <c r="J123" s="1">
        <v>45.0</v>
      </c>
      <c r="K123" s="1">
        <v>154.0</v>
      </c>
      <c r="L123" s="1">
        <v>7.0</v>
      </c>
      <c r="M123" s="1">
        <v>17.0</v>
      </c>
      <c r="N123" s="1">
        <v>0.0</v>
      </c>
      <c r="O123" s="1">
        <v>1.0</v>
      </c>
      <c r="P123" s="1">
        <v>168.0</v>
      </c>
      <c r="Q123" s="1">
        <v>120.0</v>
      </c>
    </row>
    <row r="124">
      <c r="A124" s="1">
        <f t="shared" si="1"/>
        <v>122</v>
      </c>
      <c r="B124" s="1" t="s">
        <v>1384</v>
      </c>
      <c r="C124" s="1" t="s">
        <v>1034</v>
      </c>
      <c r="D124" s="1" t="s">
        <v>66</v>
      </c>
      <c r="E124" s="1">
        <f t="shared" si="2"/>
        <v>326.5</v>
      </c>
      <c r="F124" s="1">
        <f t="shared" si="3"/>
        <v>3.98</v>
      </c>
      <c r="G124" s="1">
        <v>82.0</v>
      </c>
      <c r="H124" s="1">
        <v>9.0</v>
      </c>
      <c r="I124" s="1">
        <v>37.0</v>
      </c>
      <c r="J124" s="1">
        <v>46.0</v>
      </c>
      <c r="K124" s="1">
        <v>128.0</v>
      </c>
      <c r="L124" s="1">
        <v>0.0</v>
      </c>
      <c r="M124" s="1">
        <v>3.0</v>
      </c>
      <c r="N124" s="1">
        <v>0.0</v>
      </c>
      <c r="O124" s="1">
        <v>3.0</v>
      </c>
      <c r="P124" s="1">
        <v>98.0</v>
      </c>
      <c r="Q124" s="1">
        <v>161.0</v>
      </c>
    </row>
    <row r="125">
      <c r="A125" s="1">
        <f t="shared" si="1"/>
        <v>123</v>
      </c>
      <c r="B125" s="1" t="s">
        <v>1107</v>
      </c>
      <c r="C125" s="1" t="s">
        <v>1046</v>
      </c>
      <c r="D125" s="1" t="s">
        <v>36</v>
      </c>
      <c r="E125" s="1">
        <f t="shared" si="2"/>
        <v>326</v>
      </c>
      <c r="F125" s="1">
        <f t="shared" si="3"/>
        <v>4.72</v>
      </c>
      <c r="G125" s="1">
        <v>69.0</v>
      </c>
      <c r="H125" s="1">
        <v>26.0</v>
      </c>
      <c r="I125" s="1">
        <v>30.0</v>
      </c>
      <c r="J125" s="1">
        <v>56.0</v>
      </c>
      <c r="K125" s="1">
        <v>209.0</v>
      </c>
      <c r="L125" s="1">
        <v>6.0</v>
      </c>
      <c r="M125" s="1">
        <v>9.0</v>
      </c>
      <c r="N125" s="1">
        <v>0.0</v>
      </c>
      <c r="O125" s="1">
        <v>0.0</v>
      </c>
      <c r="P125" s="1">
        <v>14.0</v>
      </c>
      <c r="Q125" s="1">
        <v>22.0</v>
      </c>
    </row>
    <row r="126">
      <c r="A126" s="1">
        <f t="shared" si="1"/>
        <v>124</v>
      </c>
      <c r="B126" s="1" t="s">
        <v>1404</v>
      </c>
      <c r="C126" s="1" t="s">
        <v>1087</v>
      </c>
      <c r="D126" s="1" t="s">
        <v>66</v>
      </c>
      <c r="E126" s="1">
        <f t="shared" si="2"/>
        <v>324.25</v>
      </c>
      <c r="F126" s="1">
        <f t="shared" si="3"/>
        <v>3.95</v>
      </c>
      <c r="G126" s="1">
        <v>82.0</v>
      </c>
      <c r="H126" s="1">
        <v>9.0</v>
      </c>
      <c r="I126" s="1">
        <v>28.0</v>
      </c>
      <c r="J126" s="1">
        <v>37.0</v>
      </c>
      <c r="K126" s="1">
        <v>180.0</v>
      </c>
      <c r="L126" s="1">
        <v>3.0</v>
      </c>
      <c r="M126" s="1">
        <v>6.0</v>
      </c>
      <c r="N126" s="1">
        <v>0.0</v>
      </c>
      <c r="O126" s="1">
        <v>0.0</v>
      </c>
      <c r="P126" s="1">
        <v>143.0</v>
      </c>
      <c r="Q126" s="1">
        <v>148.0</v>
      </c>
    </row>
    <row r="127">
      <c r="A127" s="1">
        <f t="shared" si="1"/>
        <v>125</v>
      </c>
      <c r="B127" s="1" t="s">
        <v>1831</v>
      </c>
      <c r="C127" s="1" t="s">
        <v>1054</v>
      </c>
      <c r="D127" s="1" t="s">
        <v>66</v>
      </c>
      <c r="E127" s="1">
        <f t="shared" si="2"/>
        <v>323.25</v>
      </c>
      <c r="F127" s="1">
        <f t="shared" si="3"/>
        <v>3.94</v>
      </c>
      <c r="G127" s="1">
        <v>82.0</v>
      </c>
      <c r="H127" s="1">
        <v>14.0</v>
      </c>
      <c r="I127" s="1">
        <v>29.0</v>
      </c>
      <c r="J127" s="1">
        <v>43.0</v>
      </c>
      <c r="K127" s="1">
        <v>152.0</v>
      </c>
      <c r="L127" s="1">
        <v>4.0</v>
      </c>
      <c r="M127" s="1">
        <v>7.0</v>
      </c>
      <c r="N127" s="1">
        <v>0.0</v>
      </c>
      <c r="O127" s="1">
        <v>1.0</v>
      </c>
      <c r="P127" s="1">
        <v>91.0</v>
      </c>
      <c r="Q127" s="1">
        <v>145.0</v>
      </c>
    </row>
    <row r="128">
      <c r="A128" s="1">
        <f t="shared" si="1"/>
        <v>126</v>
      </c>
      <c r="B128" s="1" t="s">
        <v>2090</v>
      </c>
      <c r="C128" s="1" t="s">
        <v>1054</v>
      </c>
      <c r="D128" s="1" t="s">
        <v>31</v>
      </c>
      <c r="E128" s="1">
        <f t="shared" si="2"/>
        <v>322.75</v>
      </c>
      <c r="F128" s="1">
        <f t="shared" si="3"/>
        <v>3.98</v>
      </c>
      <c r="G128" s="1">
        <v>81.0</v>
      </c>
      <c r="H128" s="1">
        <v>22.0</v>
      </c>
      <c r="I128" s="1">
        <v>30.0</v>
      </c>
      <c r="J128" s="1">
        <v>52.0</v>
      </c>
      <c r="K128" s="1">
        <v>215.0</v>
      </c>
      <c r="L128" s="1">
        <v>7.0</v>
      </c>
      <c r="M128" s="1">
        <v>8.0</v>
      </c>
      <c r="N128" s="1">
        <v>0.0</v>
      </c>
      <c r="O128" s="1">
        <v>1.0</v>
      </c>
      <c r="P128" s="1">
        <v>41.0</v>
      </c>
      <c r="Q128" s="1">
        <v>28.0</v>
      </c>
    </row>
    <row r="129">
      <c r="A129" s="1">
        <f t="shared" si="1"/>
        <v>127</v>
      </c>
      <c r="B129" s="1" t="s">
        <v>2284</v>
      </c>
      <c r="C129" s="1" t="s">
        <v>1172</v>
      </c>
      <c r="D129" s="1" t="s">
        <v>5</v>
      </c>
      <c r="E129" s="1">
        <f t="shared" si="2"/>
        <v>322.5</v>
      </c>
      <c r="F129" s="1">
        <f t="shared" si="3"/>
        <v>7.01</v>
      </c>
      <c r="G129" s="1">
        <v>46.0</v>
      </c>
      <c r="R129" s="1">
        <v>25.0</v>
      </c>
      <c r="S129" s="1">
        <v>93.0</v>
      </c>
      <c r="T129" s="12">
        <v>1230.0</v>
      </c>
      <c r="U129" s="1">
        <v>6.0</v>
      </c>
    </row>
    <row r="130">
      <c r="A130" s="1">
        <f t="shared" si="1"/>
        <v>128</v>
      </c>
      <c r="B130" s="1" t="s">
        <v>1561</v>
      </c>
      <c r="C130" s="1" t="s">
        <v>1042</v>
      </c>
      <c r="D130" s="1" t="s">
        <v>31</v>
      </c>
      <c r="E130" s="1">
        <f t="shared" si="2"/>
        <v>320.25</v>
      </c>
      <c r="F130" s="1">
        <f t="shared" si="3"/>
        <v>4</v>
      </c>
      <c r="G130" s="1">
        <v>80.0</v>
      </c>
      <c r="H130" s="1">
        <v>14.0</v>
      </c>
      <c r="I130" s="1">
        <v>50.0</v>
      </c>
      <c r="J130" s="1">
        <v>64.0</v>
      </c>
      <c r="K130" s="1">
        <v>136.0</v>
      </c>
      <c r="L130" s="1">
        <v>0.0</v>
      </c>
      <c r="M130" s="1">
        <v>16.0</v>
      </c>
      <c r="N130" s="1">
        <v>1.0</v>
      </c>
      <c r="O130" s="1">
        <v>1.0</v>
      </c>
      <c r="P130" s="1">
        <v>95.0</v>
      </c>
      <c r="Q130" s="1">
        <v>23.0</v>
      </c>
    </row>
    <row r="131">
      <c r="A131" s="1">
        <f t="shared" si="1"/>
        <v>129</v>
      </c>
      <c r="B131" s="1" t="s">
        <v>2333</v>
      </c>
      <c r="C131" s="1" t="s">
        <v>1073</v>
      </c>
      <c r="D131" s="1" t="s">
        <v>31</v>
      </c>
      <c r="E131" s="1">
        <f t="shared" si="2"/>
        <v>319</v>
      </c>
      <c r="F131" s="1">
        <f t="shared" si="3"/>
        <v>4.09</v>
      </c>
      <c r="G131" s="1">
        <v>78.0</v>
      </c>
      <c r="H131" s="1">
        <v>26.0</v>
      </c>
      <c r="I131" s="1">
        <v>30.0</v>
      </c>
      <c r="J131" s="1">
        <v>56.0</v>
      </c>
      <c r="K131" s="1">
        <v>159.0</v>
      </c>
      <c r="L131" s="1">
        <v>5.0</v>
      </c>
      <c r="M131" s="1">
        <v>6.0</v>
      </c>
      <c r="N131" s="1">
        <v>0.0</v>
      </c>
      <c r="O131" s="1">
        <v>0.0</v>
      </c>
      <c r="P131" s="1">
        <v>54.0</v>
      </c>
      <c r="Q131" s="1">
        <v>38.0</v>
      </c>
    </row>
    <row r="132">
      <c r="A132" s="1">
        <f t="shared" si="1"/>
        <v>129</v>
      </c>
      <c r="B132" s="1" t="s">
        <v>1285</v>
      </c>
      <c r="C132" s="1" t="s">
        <v>1073</v>
      </c>
      <c r="D132" s="1" t="s">
        <v>36</v>
      </c>
      <c r="E132" s="1">
        <f t="shared" si="2"/>
        <v>319</v>
      </c>
      <c r="F132" s="1">
        <f t="shared" si="3"/>
        <v>3.89</v>
      </c>
      <c r="G132" s="1">
        <v>82.0</v>
      </c>
      <c r="H132" s="1">
        <v>23.0</v>
      </c>
      <c r="I132" s="1">
        <v>30.0</v>
      </c>
      <c r="J132" s="1">
        <v>53.0</v>
      </c>
      <c r="K132" s="1">
        <v>184.0</v>
      </c>
      <c r="L132" s="1">
        <v>6.0</v>
      </c>
      <c r="M132" s="1">
        <v>9.0</v>
      </c>
      <c r="N132" s="1">
        <v>0.0</v>
      </c>
      <c r="O132" s="1">
        <v>0.0</v>
      </c>
      <c r="P132" s="1">
        <v>94.0</v>
      </c>
      <c r="Q132" s="1">
        <v>20.0</v>
      </c>
    </row>
    <row r="133">
      <c r="A133" s="1">
        <f t="shared" si="1"/>
        <v>129</v>
      </c>
      <c r="B133" s="1" t="s">
        <v>1138</v>
      </c>
      <c r="C133" s="1" t="s">
        <v>1080</v>
      </c>
      <c r="D133" s="1" t="s">
        <v>36</v>
      </c>
      <c r="E133" s="1">
        <f t="shared" si="2"/>
        <v>319</v>
      </c>
      <c r="F133" s="1">
        <f t="shared" si="3"/>
        <v>4.31</v>
      </c>
      <c r="G133" s="1">
        <v>74.0</v>
      </c>
      <c r="H133" s="1">
        <v>20.0</v>
      </c>
      <c r="I133" s="1">
        <v>32.0</v>
      </c>
      <c r="J133" s="1">
        <v>52.0</v>
      </c>
      <c r="K133" s="1">
        <v>180.0</v>
      </c>
      <c r="L133" s="1">
        <v>3.0</v>
      </c>
      <c r="M133" s="1">
        <v>3.0</v>
      </c>
      <c r="N133" s="1">
        <v>0.0</v>
      </c>
      <c r="O133" s="1">
        <v>0.0</v>
      </c>
      <c r="P133" s="1">
        <v>92.0</v>
      </c>
      <c r="Q133" s="1">
        <v>40.0</v>
      </c>
    </row>
    <row r="134">
      <c r="A134" s="1">
        <f t="shared" si="1"/>
        <v>132</v>
      </c>
      <c r="B134" s="1" t="s">
        <v>1216</v>
      </c>
      <c r="C134" s="1" t="s">
        <v>1042</v>
      </c>
      <c r="D134" s="1" t="s">
        <v>31</v>
      </c>
      <c r="E134" s="1">
        <f t="shared" si="2"/>
        <v>316</v>
      </c>
      <c r="F134" s="1">
        <f t="shared" si="3"/>
        <v>4</v>
      </c>
      <c r="G134" s="1">
        <v>79.0</v>
      </c>
      <c r="H134" s="1">
        <v>16.0</v>
      </c>
      <c r="I134" s="1">
        <v>38.0</v>
      </c>
      <c r="J134" s="1">
        <v>54.0</v>
      </c>
      <c r="K134" s="1">
        <v>189.0</v>
      </c>
      <c r="L134" s="1">
        <v>2.0</v>
      </c>
      <c r="M134" s="1">
        <v>18.0</v>
      </c>
      <c r="N134" s="1">
        <v>2.0</v>
      </c>
      <c r="O134" s="1">
        <v>0.0</v>
      </c>
      <c r="P134" s="1">
        <v>46.0</v>
      </c>
      <c r="Q134" s="1">
        <v>40.0</v>
      </c>
    </row>
    <row r="135">
      <c r="A135" s="1">
        <f t="shared" si="1"/>
        <v>133</v>
      </c>
      <c r="B135" s="1" t="s">
        <v>1716</v>
      </c>
      <c r="C135" s="1" t="s">
        <v>1042</v>
      </c>
      <c r="D135" s="1" t="s">
        <v>28</v>
      </c>
      <c r="E135" s="1">
        <f t="shared" si="2"/>
        <v>314.5</v>
      </c>
      <c r="F135" s="1">
        <f t="shared" si="3"/>
        <v>5.42</v>
      </c>
      <c r="G135" s="1">
        <v>58.0</v>
      </c>
      <c r="H135" s="1">
        <v>34.0</v>
      </c>
      <c r="I135" s="1">
        <v>14.0</v>
      </c>
      <c r="J135" s="1">
        <v>48.0</v>
      </c>
      <c r="K135" s="1">
        <v>195.0</v>
      </c>
      <c r="L135" s="1">
        <v>3.0</v>
      </c>
      <c r="M135" s="1">
        <v>1.0</v>
      </c>
      <c r="N135" s="1">
        <v>2.0</v>
      </c>
      <c r="O135" s="1">
        <v>1.0</v>
      </c>
      <c r="P135" s="1">
        <v>18.0</v>
      </c>
      <c r="Q135" s="1">
        <v>23.0</v>
      </c>
    </row>
    <row r="136">
      <c r="A136" s="1">
        <f t="shared" si="1"/>
        <v>134</v>
      </c>
      <c r="B136" s="1" t="s">
        <v>1289</v>
      </c>
      <c r="C136" s="1" t="s">
        <v>1106</v>
      </c>
      <c r="D136" s="1" t="s">
        <v>66</v>
      </c>
      <c r="E136" s="1">
        <f t="shared" si="2"/>
        <v>313.5</v>
      </c>
      <c r="F136" s="1">
        <f t="shared" si="3"/>
        <v>4.42</v>
      </c>
      <c r="G136" s="1">
        <v>71.0</v>
      </c>
      <c r="H136" s="1">
        <v>13.0</v>
      </c>
      <c r="I136" s="1">
        <v>28.0</v>
      </c>
      <c r="J136" s="1">
        <v>41.0</v>
      </c>
      <c r="K136" s="1">
        <v>168.0</v>
      </c>
      <c r="L136" s="1">
        <v>3.0</v>
      </c>
      <c r="M136" s="1">
        <v>12.0</v>
      </c>
      <c r="N136" s="1">
        <v>0.0</v>
      </c>
      <c r="O136" s="1">
        <v>1.0</v>
      </c>
      <c r="P136" s="1">
        <v>62.0</v>
      </c>
      <c r="Q136" s="1">
        <v>139.0</v>
      </c>
    </row>
    <row r="137">
      <c r="A137" s="1">
        <f t="shared" si="1"/>
        <v>134</v>
      </c>
      <c r="B137" s="1" t="s">
        <v>1354</v>
      </c>
      <c r="C137" s="1" t="s">
        <v>1111</v>
      </c>
      <c r="D137" s="1" t="s">
        <v>66</v>
      </c>
      <c r="E137" s="1">
        <f t="shared" si="2"/>
        <v>313.5</v>
      </c>
      <c r="F137" s="1">
        <f t="shared" si="3"/>
        <v>3.87</v>
      </c>
      <c r="G137" s="1">
        <v>81.0</v>
      </c>
      <c r="H137" s="1">
        <v>14.0</v>
      </c>
      <c r="I137" s="1">
        <v>30.0</v>
      </c>
      <c r="J137" s="1">
        <v>44.0</v>
      </c>
      <c r="K137" s="1">
        <v>176.0</v>
      </c>
      <c r="L137" s="1">
        <v>5.0</v>
      </c>
      <c r="M137" s="1">
        <v>14.0</v>
      </c>
      <c r="N137" s="1">
        <v>1.0</v>
      </c>
      <c r="O137" s="1">
        <v>2.0</v>
      </c>
      <c r="P137" s="1">
        <v>162.0</v>
      </c>
      <c r="Q137" s="1">
        <v>52.0</v>
      </c>
    </row>
    <row r="138">
      <c r="A138" s="1">
        <f t="shared" si="1"/>
        <v>136</v>
      </c>
      <c r="B138" s="1" t="s">
        <v>1090</v>
      </c>
      <c r="C138" s="1" t="s">
        <v>1091</v>
      </c>
      <c r="D138" s="1" t="s">
        <v>31</v>
      </c>
      <c r="E138" s="1">
        <f t="shared" si="2"/>
        <v>312.75</v>
      </c>
      <c r="F138" s="1">
        <f t="shared" si="3"/>
        <v>3.81</v>
      </c>
      <c r="G138" s="1">
        <v>82.0</v>
      </c>
      <c r="H138" s="1">
        <v>24.0</v>
      </c>
      <c r="I138" s="1">
        <v>25.0</v>
      </c>
      <c r="J138" s="1">
        <v>49.0</v>
      </c>
      <c r="K138" s="1">
        <v>182.0</v>
      </c>
      <c r="L138" s="1">
        <v>4.0</v>
      </c>
      <c r="M138" s="1">
        <v>4.0</v>
      </c>
      <c r="N138" s="1">
        <v>0.0</v>
      </c>
      <c r="O138" s="1">
        <v>0.0</v>
      </c>
      <c r="P138" s="1">
        <v>65.0</v>
      </c>
      <c r="Q138" s="1">
        <v>45.0</v>
      </c>
    </row>
    <row r="139">
      <c r="A139" s="1">
        <f t="shared" si="1"/>
        <v>137</v>
      </c>
      <c r="B139" s="1" t="s">
        <v>1343</v>
      </c>
      <c r="C139" s="1" t="s">
        <v>1080</v>
      </c>
      <c r="D139" s="1" t="s">
        <v>36</v>
      </c>
      <c r="E139" s="1">
        <f t="shared" si="2"/>
        <v>310.75</v>
      </c>
      <c r="F139" s="1">
        <f t="shared" si="3"/>
        <v>4.2</v>
      </c>
      <c r="G139" s="1">
        <v>74.0</v>
      </c>
      <c r="H139" s="1">
        <v>19.0</v>
      </c>
      <c r="I139" s="1">
        <v>34.0</v>
      </c>
      <c r="J139" s="1">
        <v>53.0</v>
      </c>
      <c r="K139" s="1">
        <v>178.0</v>
      </c>
      <c r="L139" s="1">
        <v>4.0</v>
      </c>
      <c r="M139" s="1">
        <v>10.0</v>
      </c>
      <c r="N139" s="1">
        <v>1.0</v>
      </c>
      <c r="O139" s="1">
        <v>3.0</v>
      </c>
      <c r="P139" s="1">
        <v>39.0</v>
      </c>
      <c r="Q139" s="1">
        <v>33.0</v>
      </c>
    </row>
    <row r="140">
      <c r="A140" s="1">
        <f t="shared" si="1"/>
        <v>138</v>
      </c>
      <c r="B140" s="1" t="s">
        <v>1184</v>
      </c>
      <c r="C140" s="1" t="s">
        <v>1106</v>
      </c>
      <c r="D140" s="1" t="s">
        <v>28</v>
      </c>
      <c r="E140" s="1">
        <f t="shared" si="2"/>
        <v>310.25</v>
      </c>
      <c r="F140" s="1">
        <f t="shared" si="3"/>
        <v>4.31</v>
      </c>
      <c r="G140" s="1">
        <v>72.0</v>
      </c>
      <c r="H140" s="1">
        <v>17.0</v>
      </c>
      <c r="I140" s="1">
        <v>37.0</v>
      </c>
      <c r="J140" s="1">
        <v>54.0</v>
      </c>
      <c r="K140" s="1">
        <v>159.0</v>
      </c>
      <c r="L140" s="1">
        <v>4.0</v>
      </c>
      <c r="M140" s="1">
        <v>8.0</v>
      </c>
      <c r="N140" s="1">
        <v>0.0</v>
      </c>
      <c r="O140" s="1">
        <v>0.0</v>
      </c>
      <c r="P140" s="1">
        <v>111.0</v>
      </c>
      <c r="Q140" s="1">
        <v>31.0</v>
      </c>
    </row>
    <row r="141">
      <c r="A141" s="1">
        <f t="shared" si="1"/>
        <v>139</v>
      </c>
      <c r="B141" s="1" t="s">
        <v>1676</v>
      </c>
      <c r="C141" s="1" t="s">
        <v>1175</v>
      </c>
      <c r="D141" s="1" t="s">
        <v>5</v>
      </c>
      <c r="E141" s="1">
        <f t="shared" si="2"/>
        <v>309.9</v>
      </c>
      <c r="F141" s="1">
        <f t="shared" si="3"/>
        <v>5</v>
      </c>
      <c r="G141" s="1">
        <v>62.0</v>
      </c>
      <c r="R141" s="1">
        <v>36.0</v>
      </c>
      <c r="S141" s="1">
        <v>176.0</v>
      </c>
      <c r="T141" s="12">
        <v>1523.0</v>
      </c>
      <c r="U141" s="1">
        <v>3.0</v>
      </c>
    </row>
    <row r="142">
      <c r="A142" s="1">
        <f t="shared" si="1"/>
        <v>140</v>
      </c>
      <c r="B142" s="1" t="s">
        <v>1316</v>
      </c>
      <c r="C142" s="1" t="s">
        <v>1120</v>
      </c>
      <c r="D142" s="1" t="s">
        <v>36</v>
      </c>
      <c r="E142" s="1">
        <f t="shared" si="2"/>
        <v>308.75</v>
      </c>
      <c r="F142" s="1">
        <f t="shared" si="3"/>
        <v>4.61</v>
      </c>
      <c r="G142" s="1">
        <v>67.0</v>
      </c>
      <c r="H142" s="1">
        <v>25.0</v>
      </c>
      <c r="I142" s="1">
        <v>23.0</v>
      </c>
      <c r="J142" s="1">
        <v>48.0</v>
      </c>
      <c r="K142" s="1">
        <v>198.0</v>
      </c>
      <c r="L142" s="1">
        <v>7.0</v>
      </c>
      <c r="M142" s="1">
        <v>6.0</v>
      </c>
      <c r="N142" s="1">
        <v>0.0</v>
      </c>
      <c r="O142" s="1">
        <v>0.0</v>
      </c>
      <c r="P142" s="1">
        <v>67.0</v>
      </c>
      <c r="Q142" s="1">
        <v>23.0</v>
      </c>
    </row>
    <row r="143">
      <c r="A143" s="1">
        <f t="shared" si="1"/>
        <v>141</v>
      </c>
      <c r="B143" s="1" t="s">
        <v>2186</v>
      </c>
      <c r="C143" s="1" t="s">
        <v>1032</v>
      </c>
      <c r="D143" s="1" t="s">
        <v>66</v>
      </c>
      <c r="E143" s="1">
        <f t="shared" si="2"/>
        <v>307</v>
      </c>
      <c r="F143" s="1">
        <f t="shared" si="3"/>
        <v>3.84</v>
      </c>
      <c r="G143" s="1">
        <v>80.0</v>
      </c>
      <c r="H143" s="1">
        <v>9.0</v>
      </c>
      <c r="I143" s="1">
        <v>28.0</v>
      </c>
      <c r="J143" s="1">
        <v>37.0</v>
      </c>
      <c r="K143" s="1">
        <v>141.0</v>
      </c>
      <c r="L143" s="1">
        <v>1.0</v>
      </c>
      <c r="M143" s="1">
        <v>4.0</v>
      </c>
      <c r="N143" s="1">
        <v>0.0</v>
      </c>
      <c r="O143" s="1">
        <v>1.0</v>
      </c>
      <c r="P143" s="1">
        <v>172.0</v>
      </c>
      <c r="Q143" s="1">
        <v>134.0</v>
      </c>
    </row>
    <row r="144">
      <c r="A144" s="1">
        <f t="shared" si="1"/>
        <v>142</v>
      </c>
      <c r="B144" s="1" t="s">
        <v>1256</v>
      </c>
      <c r="C144" s="1" t="s">
        <v>1097</v>
      </c>
      <c r="D144" s="1" t="s">
        <v>31</v>
      </c>
      <c r="E144" s="1">
        <f t="shared" si="2"/>
        <v>306.25</v>
      </c>
      <c r="F144" s="1">
        <f t="shared" si="3"/>
        <v>3.78</v>
      </c>
      <c r="G144" s="1">
        <v>81.0</v>
      </c>
      <c r="H144" s="1">
        <v>18.0</v>
      </c>
      <c r="I144" s="1">
        <v>35.0</v>
      </c>
      <c r="J144" s="1">
        <v>53.0</v>
      </c>
      <c r="K144" s="1">
        <v>190.0</v>
      </c>
      <c r="L144" s="1">
        <v>3.0</v>
      </c>
      <c r="M144" s="1">
        <v>13.0</v>
      </c>
      <c r="N144" s="1">
        <v>0.0</v>
      </c>
      <c r="O144" s="1">
        <v>0.0</v>
      </c>
      <c r="P144" s="1">
        <v>55.0</v>
      </c>
      <c r="Q144" s="1">
        <v>23.0</v>
      </c>
    </row>
    <row r="145">
      <c r="A145" s="1">
        <f t="shared" si="1"/>
        <v>143</v>
      </c>
      <c r="B145" s="1" t="s">
        <v>2285</v>
      </c>
      <c r="C145" s="1" t="s">
        <v>1065</v>
      </c>
      <c r="D145" s="1" t="s">
        <v>31</v>
      </c>
      <c r="E145" s="1">
        <f t="shared" si="2"/>
        <v>306</v>
      </c>
      <c r="F145" s="1">
        <f t="shared" si="3"/>
        <v>4.57</v>
      </c>
      <c r="G145" s="1">
        <v>67.0</v>
      </c>
      <c r="H145" s="1">
        <v>14.0</v>
      </c>
      <c r="I145" s="1">
        <v>34.0</v>
      </c>
      <c r="J145" s="1">
        <v>48.0</v>
      </c>
      <c r="K145" s="1">
        <v>133.0</v>
      </c>
      <c r="L145" s="1">
        <v>1.0</v>
      </c>
      <c r="M145" s="1">
        <v>10.0</v>
      </c>
      <c r="N145" s="1">
        <v>0.0</v>
      </c>
      <c r="O145" s="1">
        <v>0.0</v>
      </c>
      <c r="P145" s="1">
        <v>150.0</v>
      </c>
      <c r="Q145" s="1">
        <v>74.0</v>
      </c>
    </row>
    <row r="146">
      <c r="A146" s="1">
        <f t="shared" si="1"/>
        <v>144</v>
      </c>
      <c r="B146" s="1" t="s">
        <v>1370</v>
      </c>
      <c r="C146" s="1" t="s">
        <v>1054</v>
      </c>
      <c r="D146" s="1" t="s">
        <v>28</v>
      </c>
      <c r="E146" s="1">
        <f t="shared" si="2"/>
        <v>305.25</v>
      </c>
      <c r="F146" s="1">
        <f t="shared" si="3"/>
        <v>3.77</v>
      </c>
      <c r="G146" s="1">
        <v>81.0</v>
      </c>
      <c r="H146" s="1">
        <v>21.0</v>
      </c>
      <c r="I146" s="1">
        <v>21.0</v>
      </c>
      <c r="J146" s="1">
        <v>42.0</v>
      </c>
      <c r="K146" s="1">
        <v>214.0</v>
      </c>
      <c r="L146" s="1">
        <v>7.0</v>
      </c>
      <c r="M146" s="1">
        <v>7.0</v>
      </c>
      <c r="N146" s="1">
        <v>0.0</v>
      </c>
      <c r="O146" s="1">
        <v>0.0</v>
      </c>
      <c r="P146" s="1">
        <v>87.0</v>
      </c>
      <c r="Q146" s="1">
        <v>38.0</v>
      </c>
    </row>
    <row r="147">
      <c r="A147" s="1">
        <f t="shared" si="1"/>
        <v>145</v>
      </c>
      <c r="B147" s="1" t="s">
        <v>1259</v>
      </c>
      <c r="C147" s="1" t="s">
        <v>1069</v>
      </c>
      <c r="D147" s="1" t="s">
        <v>31</v>
      </c>
      <c r="E147" s="1">
        <f t="shared" si="2"/>
        <v>305</v>
      </c>
      <c r="F147" s="1">
        <f t="shared" si="3"/>
        <v>3.96</v>
      </c>
      <c r="G147" s="1">
        <v>77.0</v>
      </c>
      <c r="H147" s="1">
        <v>21.0</v>
      </c>
      <c r="I147" s="1">
        <v>26.0</v>
      </c>
      <c r="J147" s="1">
        <v>47.0</v>
      </c>
      <c r="K147" s="1">
        <v>205.0</v>
      </c>
      <c r="L147" s="1">
        <v>1.0</v>
      </c>
      <c r="M147" s="1">
        <v>1.0</v>
      </c>
      <c r="N147" s="1">
        <v>1.0</v>
      </c>
      <c r="O147" s="1">
        <v>1.0</v>
      </c>
      <c r="P147" s="1">
        <v>52.0</v>
      </c>
      <c r="Q147" s="1">
        <v>26.0</v>
      </c>
    </row>
    <row r="148">
      <c r="A148" s="1">
        <f t="shared" si="1"/>
        <v>146</v>
      </c>
      <c r="B148" s="1" t="s">
        <v>2361</v>
      </c>
      <c r="C148" s="1" t="s">
        <v>1042</v>
      </c>
      <c r="D148" s="1" t="s">
        <v>66</v>
      </c>
      <c r="E148" s="1">
        <f t="shared" si="2"/>
        <v>304.75</v>
      </c>
      <c r="F148" s="1">
        <f t="shared" si="3"/>
        <v>3.72</v>
      </c>
      <c r="G148" s="1">
        <v>82.0</v>
      </c>
      <c r="H148" s="1">
        <v>7.0</v>
      </c>
      <c r="I148" s="1">
        <v>34.0</v>
      </c>
      <c r="J148" s="1">
        <v>41.0</v>
      </c>
      <c r="K148" s="1">
        <v>149.0</v>
      </c>
      <c r="L148" s="1">
        <v>1.0</v>
      </c>
      <c r="M148" s="1">
        <v>4.0</v>
      </c>
      <c r="N148" s="1">
        <v>1.0</v>
      </c>
      <c r="O148" s="1">
        <v>0.0</v>
      </c>
      <c r="P148" s="1">
        <v>71.0</v>
      </c>
      <c r="Q148" s="1">
        <v>154.0</v>
      </c>
    </row>
    <row r="149">
      <c r="A149" s="1">
        <f t="shared" si="1"/>
        <v>147</v>
      </c>
      <c r="B149" s="1" t="s">
        <v>1336</v>
      </c>
      <c r="C149" s="1" t="s">
        <v>1172</v>
      </c>
      <c r="D149" s="1" t="s">
        <v>28</v>
      </c>
      <c r="E149" s="1">
        <f t="shared" si="2"/>
        <v>304.5</v>
      </c>
      <c r="F149" s="1">
        <f t="shared" si="3"/>
        <v>3.81</v>
      </c>
      <c r="G149" s="1">
        <v>80.0</v>
      </c>
      <c r="H149" s="1">
        <v>23.0</v>
      </c>
      <c r="I149" s="1">
        <v>24.0</v>
      </c>
      <c r="J149" s="1">
        <v>47.0</v>
      </c>
      <c r="K149" s="1">
        <v>195.0</v>
      </c>
      <c r="L149" s="1">
        <v>5.0</v>
      </c>
      <c r="M149" s="1">
        <v>1.0</v>
      </c>
      <c r="N149" s="1">
        <v>3.0</v>
      </c>
      <c r="O149" s="1">
        <v>0.0</v>
      </c>
      <c r="P149" s="1">
        <v>52.0</v>
      </c>
      <c r="Q149" s="1">
        <v>25.0</v>
      </c>
    </row>
    <row r="150">
      <c r="A150" s="1">
        <f t="shared" si="1"/>
        <v>148</v>
      </c>
      <c r="B150" s="1" t="s">
        <v>2611</v>
      </c>
      <c r="C150" s="1" t="s">
        <v>1120</v>
      </c>
      <c r="D150" s="1" t="s">
        <v>5</v>
      </c>
      <c r="E150" s="1">
        <f t="shared" si="2"/>
        <v>300.9</v>
      </c>
      <c r="F150" s="1">
        <f t="shared" si="3"/>
        <v>5.47</v>
      </c>
      <c r="G150" s="1">
        <v>55.0</v>
      </c>
      <c r="R150" s="1">
        <v>23.0</v>
      </c>
      <c r="S150" s="1">
        <v>156.0</v>
      </c>
      <c r="T150" s="12">
        <v>1553.0</v>
      </c>
      <c r="U150" s="1">
        <v>0.0</v>
      </c>
    </row>
    <row r="151">
      <c r="A151" s="1">
        <f t="shared" si="1"/>
        <v>149</v>
      </c>
      <c r="B151" s="1" t="s">
        <v>1222</v>
      </c>
      <c r="C151" s="1" t="s">
        <v>1097</v>
      </c>
      <c r="D151" s="1" t="s">
        <v>31</v>
      </c>
      <c r="E151" s="1">
        <f t="shared" si="2"/>
        <v>300.75</v>
      </c>
      <c r="F151" s="1">
        <f t="shared" si="3"/>
        <v>3.71</v>
      </c>
      <c r="G151" s="1">
        <v>81.0</v>
      </c>
      <c r="H151" s="1">
        <v>12.0</v>
      </c>
      <c r="I151" s="1">
        <v>41.0</v>
      </c>
      <c r="J151" s="1">
        <v>53.0</v>
      </c>
      <c r="K151" s="1">
        <v>132.0</v>
      </c>
      <c r="L151" s="1">
        <v>0.0</v>
      </c>
      <c r="M151" s="1">
        <v>4.0</v>
      </c>
      <c r="N151" s="1">
        <v>0.0</v>
      </c>
      <c r="O151" s="1">
        <v>2.0</v>
      </c>
      <c r="P151" s="1">
        <v>95.0</v>
      </c>
      <c r="Q151" s="1">
        <v>60.0</v>
      </c>
    </row>
    <row r="152">
      <c r="A152" s="1">
        <f t="shared" si="1"/>
        <v>150</v>
      </c>
      <c r="B152" s="1" t="s">
        <v>1159</v>
      </c>
      <c r="C152" s="1" t="s">
        <v>1172</v>
      </c>
      <c r="D152" s="1" t="s">
        <v>31</v>
      </c>
      <c r="E152" s="1">
        <f t="shared" si="2"/>
        <v>299.75</v>
      </c>
      <c r="F152" s="1">
        <f t="shared" si="3"/>
        <v>3.84</v>
      </c>
      <c r="G152" s="1">
        <v>78.0</v>
      </c>
      <c r="H152" s="1">
        <v>20.0</v>
      </c>
      <c r="I152" s="1">
        <v>37.0</v>
      </c>
      <c r="J152" s="1">
        <v>57.0</v>
      </c>
      <c r="K152" s="1">
        <v>145.0</v>
      </c>
      <c r="L152" s="1">
        <v>6.0</v>
      </c>
      <c r="M152" s="1">
        <v>10.0</v>
      </c>
      <c r="N152" s="1">
        <v>0.0</v>
      </c>
      <c r="O152" s="1">
        <v>0.0</v>
      </c>
      <c r="P152" s="1">
        <v>13.0</v>
      </c>
      <c r="Q152" s="1">
        <v>46.0</v>
      </c>
    </row>
    <row r="153">
      <c r="A153" s="1">
        <f t="shared" si="1"/>
        <v>151</v>
      </c>
      <c r="B153" s="1" t="s">
        <v>1244</v>
      </c>
      <c r="C153" s="1" t="s">
        <v>1156</v>
      </c>
      <c r="D153" s="1" t="s">
        <v>28</v>
      </c>
      <c r="E153" s="1">
        <f t="shared" si="2"/>
        <v>299.5</v>
      </c>
      <c r="F153" s="1">
        <f t="shared" si="3"/>
        <v>3.89</v>
      </c>
      <c r="G153" s="1">
        <v>77.0</v>
      </c>
      <c r="H153" s="1">
        <v>16.0</v>
      </c>
      <c r="I153" s="1">
        <v>22.0</v>
      </c>
      <c r="J153" s="1">
        <v>38.0</v>
      </c>
      <c r="K153" s="1">
        <v>170.0</v>
      </c>
      <c r="L153" s="1">
        <v>1.0</v>
      </c>
      <c r="M153" s="1">
        <v>2.0</v>
      </c>
      <c r="N153" s="1">
        <v>1.0</v>
      </c>
      <c r="O153" s="1">
        <v>0.0</v>
      </c>
      <c r="P153" s="1">
        <v>158.0</v>
      </c>
      <c r="Q153" s="1">
        <v>70.0</v>
      </c>
    </row>
    <row r="154">
      <c r="A154" s="1">
        <f t="shared" si="1"/>
        <v>151</v>
      </c>
      <c r="B154" s="1" t="s">
        <v>1436</v>
      </c>
      <c r="C154" s="1" t="s">
        <v>1091</v>
      </c>
      <c r="D154" s="1" t="s">
        <v>31</v>
      </c>
      <c r="E154" s="1">
        <f t="shared" si="2"/>
        <v>299.5</v>
      </c>
      <c r="F154" s="1">
        <f t="shared" si="3"/>
        <v>4.22</v>
      </c>
      <c r="G154" s="1">
        <v>71.0</v>
      </c>
      <c r="H154" s="1">
        <v>19.0</v>
      </c>
      <c r="I154" s="1">
        <v>36.0</v>
      </c>
      <c r="J154" s="1">
        <v>55.0</v>
      </c>
      <c r="K154" s="1">
        <v>156.0</v>
      </c>
      <c r="L154" s="1">
        <v>3.0</v>
      </c>
      <c r="M154" s="1">
        <v>8.0</v>
      </c>
      <c r="N154" s="1">
        <v>2.0</v>
      </c>
      <c r="O154" s="1">
        <v>1.0</v>
      </c>
      <c r="P154" s="1">
        <v>58.0</v>
      </c>
      <c r="Q154" s="1">
        <v>15.0</v>
      </c>
    </row>
    <row r="155">
      <c r="A155" s="1">
        <f t="shared" si="1"/>
        <v>153</v>
      </c>
      <c r="B155" s="1" t="s">
        <v>1204</v>
      </c>
      <c r="C155" s="1" t="s">
        <v>1106</v>
      </c>
      <c r="D155" s="1" t="s">
        <v>66</v>
      </c>
      <c r="E155" s="1">
        <f t="shared" si="2"/>
        <v>299.25</v>
      </c>
      <c r="F155" s="1">
        <f t="shared" si="3"/>
        <v>3.74</v>
      </c>
      <c r="G155" s="1">
        <v>80.0</v>
      </c>
      <c r="H155" s="1">
        <v>10.0</v>
      </c>
      <c r="I155" s="1">
        <v>18.0</v>
      </c>
      <c r="J155" s="1">
        <v>28.0</v>
      </c>
      <c r="K155" s="1">
        <v>176.0</v>
      </c>
      <c r="L155" s="1">
        <v>4.0</v>
      </c>
      <c r="M155" s="1">
        <v>4.0</v>
      </c>
      <c r="N155" s="1">
        <v>0.0</v>
      </c>
      <c r="O155" s="1">
        <v>1.0</v>
      </c>
      <c r="P155" s="1">
        <v>127.0</v>
      </c>
      <c r="Q155" s="1">
        <v>157.0</v>
      </c>
    </row>
    <row r="156">
      <c r="A156" s="1">
        <f t="shared" si="1"/>
        <v>154</v>
      </c>
      <c r="B156" s="1" t="s">
        <v>1334</v>
      </c>
      <c r="C156" s="1" t="s">
        <v>1085</v>
      </c>
      <c r="D156" s="1" t="s">
        <v>66</v>
      </c>
      <c r="E156" s="1">
        <f t="shared" si="2"/>
        <v>298.75</v>
      </c>
      <c r="F156" s="1">
        <f t="shared" si="3"/>
        <v>3.64</v>
      </c>
      <c r="G156" s="1">
        <v>82.0</v>
      </c>
      <c r="H156" s="1">
        <v>11.0</v>
      </c>
      <c r="I156" s="1">
        <v>21.0</v>
      </c>
      <c r="J156" s="1">
        <v>32.0</v>
      </c>
      <c r="K156" s="1">
        <v>132.0</v>
      </c>
      <c r="L156" s="1">
        <v>4.0</v>
      </c>
      <c r="M156" s="1">
        <v>3.0</v>
      </c>
      <c r="N156" s="1">
        <v>2.0</v>
      </c>
      <c r="O156" s="1">
        <v>0.0</v>
      </c>
      <c r="P156" s="1">
        <v>143.0</v>
      </c>
      <c r="Q156" s="1">
        <v>161.0</v>
      </c>
    </row>
    <row r="157">
      <c r="A157" s="1">
        <f t="shared" si="1"/>
        <v>155</v>
      </c>
      <c r="B157" s="1" t="s">
        <v>1188</v>
      </c>
      <c r="C157" s="1" t="s">
        <v>1082</v>
      </c>
      <c r="D157" s="1" t="s">
        <v>36</v>
      </c>
      <c r="E157" s="1">
        <f t="shared" si="2"/>
        <v>298</v>
      </c>
      <c r="F157" s="1">
        <f t="shared" si="3"/>
        <v>4.73</v>
      </c>
      <c r="G157" s="1">
        <v>63.0</v>
      </c>
      <c r="H157" s="1">
        <v>22.0</v>
      </c>
      <c r="I157" s="1">
        <v>18.0</v>
      </c>
      <c r="J157" s="1">
        <v>40.0</v>
      </c>
      <c r="K157" s="1">
        <v>130.0</v>
      </c>
      <c r="L157" s="1">
        <v>3.0</v>
      </c>
      <c r="M157" s="1">
        <v>2.0</v>
      </c>
      <c r="N157" s="1">
        <v>2.0</v>
      </c>
      <c r="O157" s="1">
        <v>0.0</v>
      </c>
      <c r="P157" s="1">
        <v>200.0</v>
      </c>
      <c r="Q157" s="1">
        <v>52.0</v>
      </c>
    </row>
    <row r="158">
      <c r="A158" s="1">
        <f t="shared" si="1"/>
        <v>156</v>
      </c>
      <c r="B158" s="1" t="s">
        <v>2100</v>
      </c>
      <c r="C158" s="1" t="s">
        <v>1046</v>
      </c>
      <c r="D158" s="1" t="s">
        <v>66</v>
      </c>
      <c r="E158" s="1">
        <f t="shared" si="2"/>
        <v>297.75</v>
      </c>
      <c r="F158" s="1">
        <f t="shared" si="3"/>
        <v>5.32</v>
      </c>
      <c r="G158" s="1">
        <v>56.0</v>
      </c>
      <c r="H158" s="1">
        <v>10.0</v>
      </c>
      <c r="I158" s="1">
        <v>24.0</v>
      </c>
      <c r="J158" s="1">
        <v>34.0</v>
      </c>
      <c r="K158" s="1">
        <v>128.0</v>
      </c>
      <c r="L158" s="1">
        <v>4.0</v>
      </c>
      <c r="M158" s="1">
        <v>13.0</v>
      </c>
      <c r="N158" s="1">
        <v>0.0</v>
      </c>
      <c r="O158" s="1">
        <v>1.0</v>
      </c>
      <c r="P158" s="1">
        <v>127.0</v>
      </c>
      <c r="Q158" s="1">
        <v>166.0</v>
      </c>
    </row>
    <row r="159">
      <c r="A159" s="1">
        <f t="shared" si="1"/>
        <v>157</v>
      </c>
      <c r="B159" s="1" t="s">
        <v>1472</v>
      </c>
      <c r="C159" s="1" t="s">
        <v>1054</v>
      </c>
      <c r="D159" s="1" t="s">
        <v>66</v>
      </c>
      <c r="E159" s="1">
        <f t="shared" si="2"/>
        <v>297.5</v>
      </c>
      <c r="F159" s="1">
        <f t="shared" si="3"/>
        <v>3.63</v>
      </c>
      <c r="G159" s="1">
        <v>82.0</v>
      </c>
      <c r="H159" s="1">
        <v>7.0</v>
      </c>
      <c r="I159" s="1">
        <v>40.0</v>
      </c>
      <c r="J159" s="1">
        <v>47.0</v>
      </c>
      <c r="K159" s="1">
        <v>136.0</v>
      </c>
      <c r="L159" s="1">
        <v>3.0</v>
      </c>
      <c r="M159" s="1">
        <v>12.0</v>
      </c>
      <c r="N159" s="1">
        <v>1.0</v>
      </c>
      <c r="O159" s="1">
        <v>1.0</v>
      </c>
      <c r="P159" s="1">
        <v>78.0</v>
      </c>
      <c r="Q159" s="1">
        <v>109.0</v>
      </c>
    </row>
    <row r="160">
      <c r="A160" s="1">
        <f t="shared" si="1"/>
        <v>158</v>
      </c>
      <c r="B160" s="1" t="s">
        <v>2609</v>
      </c>
      <c r="C160" s="1" t="s">
        <v>1172</v>
      </c>
      <c r="D160" s="1" t="s">
        <v>66</v>
      </c>
      <c r="E160" s="1">
        <f t="shared" si="2"/>
        <v>297</v>
      </c>
      <c r="F160" s="1">
        <f t="shared" si="3"/>
        <v>3.81</v>
      </c>
      <c r="G160" s="1">
        <v>78.0</v>
      </c>
      <c r="H160" s="1">
        <v>5.0</v>
      </c>
      <c r="I160" s="1">
        <v>23.0</v>
      </c>
      <c r="J160" s="1">
        <v>28.0</v>
      </c>
      <c r="K160" s="1">
        <v>165.0</v>
      </c>
      <c r="L160" s="1">
        <v>2.0</v>
      </c>
      <c r="M160" s="1">
        <v>8.0</v>
      </c>
      <c r="N160" s="1">
        <v>0.0</v>
      </c>
      <c r="O160" s="1">
        <v>1.0</v>
      </c>
      <c r="P160" s="1">
        <v>124.0</v>
      </c>
      <c r="Q160" s="1">
        <v>180.0</v>
      </c>
    </row>
    <row r="161">
      <c r="A161" s="1">
        <f t="shared" si="1"/>
        <v>159</v>
      </c>
      <c r="B161" s="1" t="s">
        <v>1433</v>
      </c>
      <c r="C161" s="1" t="s">
        <v>1034</v>
      </c>
      <c r="D161" s="1" t="s">
        <v>31</v>
      </c>
      <c r="E161" s="1">
        <f t="shared" si="2"/>
        <v>296.5</v>
      </c>
      <c r="F161" s="1">
        <f t="shared" si="3"/>
        <v>3.71</v>
      </c>
      <c r="G161" s="1">
        <v>80.0</v>
      </c>
      <c r="H161" s="1">
        <v>29.0</v>
      </c>
      <c r="I161" s="1">
        <v>18.0</v>
      </c>
      <c r="J161" s="1">
        <v>47.0</v>
      </c>
      <c r="K161" s="1">
        <v>163.0</v>
      </c>
      <c r="L161" s="1">
        <v>1.0</v>
      </c>
      <c r="M161" s="1">
        <v>7.0</v>
      </c>
      <c r="N161" s="1">
        <v>1.0</v>
      </c>
      <c r="O161" s="1">
        <v>0.0</v>
      </c>
      <c r="P161" s="1">
        <v>50.0</v>
      </c>
      <c r="Q161" s="1">
        <v>32.0</v>
      </c>
    </row>
    <row r="162">
      <c r="A162" s="1">
        <f t="shared" si="1"/>
        <v>160</v>
      </c>
      <c r="B162" s="1" t="s">
        <v>1155</v>
      </c>
      <c r="C162" s="1" t="s">
        <v>1156</v>
      </c>
      <c r="D162" s="1" t="s">
        <v>66</v>
      </c>
      <c r="E162" s="1">
        <f t="shared" si="2"/>
        <v>293.75</v>
      </c>
      <c r="F162" s="1">
        <f t="shared" si="3"/>
        <v>3.58</v>
      </c>
      <c r="G162" s="1">
        <v>82.0</v>
      </c>
      <c r="H162" s="1">
        <v>11.0</v>
      </c>
      <c r="I162" s="1">
        <v>33.0</v>
      </c>
      <c r="J162" s="1">
        <v>44.0</v>
      </c>
      <c r="K162" s="1">
        <v>168.0</v>
      </c>
      <c r="L162" s="1">
        <v>2.0</v>
      </c>
      <c r="M162" s="1">
        <v>13.0</v>
      </c>
      <c r="N162" s="1">
        <v>0.0</v>
      </c>
      <c r="O162" s="1">
        <v>0.0</v>
      </c>
      <c r="P162" s="1">
        <v>67.0</v>
      </c>
      <c r="Q162" s="1">
        <v>89.0</v>
      </c>
    </row>
    <row r="163">
      <c r="A163" s="1">
        <f t="shared" si="1"/>
        <v>161</v>
      </c>
      <c r="B163" s="1" t="s">
        <v>1536</v>
      </c>
      <c r="C163" s="1" t="s">
        <v>1048</v>
      </c>
      <c r="D163" s="1" t="s">
        <v>66</v>
      </c>
      <c r="E163" s="1">
        <f t="shared" si="2"/>
        <v>293</v>
      </c>
      <c r="F163" s="1">
        <f t="shared" si="3"/>
        <v>3.57</v>
      </c>
      <c r="G163" s="1">
        <v>82.0</v>
      </c>
      <c r="H163" s="1">
        <v>13.0</v>
      </c>
      <c r="I163" s="1">
        <v>24.0</v>
      </c>
      <c r="J163" s="1">
        <v>37.0</v>
      </c>
      <c r="K163" s="1">
        <v>180.0</v>
      </c>
      <c r="L163" s="1">
        <v>5.0</v>
      </c>
      <c r="M163" s="1">
        <v>5.0</v>
      </c>
      <c r="N163" s="1">
        <v>0.0</v>
      </c>
      <c r="O163" s="1">
        <v>0.0</v>
      </c>
      <c r="P163" s="1">
        <v>114.0</v>
      </c>
      <c r="Q163" s="1">
        <v>88.0</v>
      </c>
    </row>
    <row r="164">
      <c r="A164" s="1">
        <f t="shared" si="1"/>
        <v>162</v>
      </c>
      <c r="B164" s="1" t="s">
        <v>1304</v>
      </c>
      <c r="C164" s="1" t="s">
        <v>1067</v>
      </c>
      <c r="D164" s="1" t="s">
        <v>66</v>
      </c>
      <c r="E164" s="1">
        <f t="shared" si="2"/>
        <v>292.75</v>
      </c>
      <c r="F164" s="1">
        <f t="shared" si="3"/>
        <v>3.57</v>
      </c>
      <c r="G164" s="1">
        <v>82.0</v>
      </c>
      <c r="H164" s="1">
        <v>8.0</v>
      </c>
      <c r="I164" s="1">
        <v>27.0</v>
      </c>
      <c r="J164" s="1">
        <v>35.0</v>
      </c>
      <c r="K164" s="1">
        <v>181.0</v>
      </c>
      <c r="L164" s="1">
        <v>1.0</v>
      </c>
      <c r="M164" s="1">
        <v>5.0</v>
      </c>
      <c r="N164" s="1">
        <v>0.0</v>
      </c>
      <c r="O164" s="1">
        <v>0.0</v>
      </c>
      <c r="P164" s="1">
        <v>99.0</v>
      </c>
      <c r="Q164" s="1">
        <v>121.0</v>
      </c>
    </row>
    <row r="165">
      <c r="A165" s="1">
        <f t="shared" si="1"/>
        <v>163</v>
      </c>
      <c r="B165" s="1" t="s">
        <v>1284</v>
      </c>
      <c r="C165" s="1" t="s">
        <v>1065</v>
      </c>
      <c r="D165" s="1" t="s">
        <v>31</v>
      </c>
      <c r="E165" s="1">
        <f t="shared" si="2"/>
        <v>292.5</v>
      </c>
      <c r="F165" s="1">
        <f t="shared" si="3"/>
        <v>4.24</v>
      </c>
      <c r="G165" s="1">
        <v>69.0</v>
      </c>
      <c r="H165" s="1">
        <v>18.0</v>
      </c>
      <c r="I165" s="1">
        <v>25.0</v>
      </c>
      <c r="J165" s="1">
        <v>43.0</v>
      </c>
      <c r="K165" s="1">
        <v>194.0</v>
      </c>
      <c r="L165" s="1">
        <v>6.0</v>
      </c>
      <c r="M165" s="1">
        <v>7.0</v>
      </c>
      <c r="N165" s="1">
        <v>0.0</v>
      </c>
      <c r="O165" s="1">
        <v>0.0</v>
      </c>
      <c r="P165" s="1">
        <v>82.0</v>
      </c>
      <c r="Q165" s="1">
        <v>38.0</v>
      </c>
    </row>
    <row r="166">
      <c r="A166" s="1">
        <f t="shared" si="1"/>
        <v>164</v>
      </c>
      <c r="B166" s="1" t="s">
        <v>1190</v>
      </c>
      <c r="C166" s="1" t="s">
        <v>1042</v>
      </c>
      <c r="D166" s="1" t="s">
        <v>66</v>
      </c>
      <c r="E166" s="1">
        <f t="shared" si="2"/>
        <v>291.5</v>
      </c>
      <c r="F166" s="1">
        <f t="shared" si="3"/>
        <v>3.64</v>
      </c>
      <c r="G166" s="1">
        <v>80.0</v>
      </c>
      <c r="H166" s="1">
        <v>8.0</v>
      </c>
      <c r="I166" s="1">
        <v>36.0</v>
      </c>
      <c r="J166" s="1">
        <v>44.0</v>
      </c>
      <c r="K166" s="1">
        <v>146.0</v>
      </c>
      <c r="L166" s="1">
        <v>2.0</v>
      </c>
      <c r="M166" s="1">
        <v>5.0</v>
      </c>
      <c r="N166" s="1">
        <v>0.0</v>
      </c>
      <c r="O166" s="1">
        <v>2.0</v>
      </c>
      <c r="P166" s="1">
        <v>68.0</v>
      </c>
      <c r="Q166" s="1">
        <v>107.0</v>
      </c>
    </row>
    <row r="167">
      <c r="A167" s="1">
        <f t="shared" si="1"/>
        <v>165</v>
      </c>
      <c r="B167" s="1" t="s">
        <v>1066</v>
      </c>
      <c r="C167" s="1" t="s">
        <v>1067</v>
      </c>
      <c r="D167" s="1" t="s">
        <v>66</v>
      </c>
      <c r="E167" s="1">
        <f t="shared" si="2"/>
        <v>291.25</v>
      </c>
      <c r="F167" s="1">
        <f t="shared" si="3"/>
        <v>3.55</v>
      </c>
      <c r="G167" s="1">
        <v>82.0</v>
      </c>
      <c r="H167" s="1">
        <v>9.0</v>
      </c>
      <c r="I167" s="1">
        <v>35.0</v>
      </c>
      <c r="J167" s="1">
        <v>44.0</v>
      </c>
      <c r="K167" s="1">
        <v>177.0</v>
      </c>
      <c r="L167" s="1">
        <v>5.0</v>
      </c>
      <c r="M167" s="1">
        <v>15.0</v>
      </c>
      <c r="N167" s="1">
        <v>0.0</v>
      </c>
      <c r="O167" s="1">
        <v>0.0</v>
      </c>
      <c r="P167" s="1">
        <v>97.0</v>
      </c>
      <c r="Q167" s="1">
        <v>66.0</v>
      </c>
    </row>
    <row r="168">
      <c r="A168" s="1">
        <f t="shared" si="1"/>
        <v>166</v>
      </c>
      <c r="B168" s="1" t="s">
        <v>2145</v>
      </c>
      <c r="C168" s="1" t="s">
        <v>1052</v>
      </c>
      <c r="D168" s="1" t="s">
        <v>36</v>
      </c>
      <c r="E168" s="1">
        <f t="shared" si="2"/>
        <v>291</v>
      </c>
      <c r="F168" s="1">
        <f t="shared" si="3"/>
        <v>4.22</v>
      </c>
      <c r="G168" s="1">
        <v>69.0</v>
      </c>
      <c r="H168" s="1">
        <v>18.0</v>
      </c>
      <c r="I168" s="1">
        <v>19.0</v>
      </c>
      <c r="J168" s="1">
        <v>37.0</v>
      </c>
      <c r="K168" s="1">
        <v>197.0</v>
      </c>
      <c r="L168" s="1">
        <v>6.0</v>
      </c>
      <c r="M168" s="1">
        <v>6.0</v>
      </c>
      <c r="N168" s="1">
        <v>0.0</v>
      </c>
      <c r="O168" s="1">
        <v>0.0</v>
      </c>
      <c r="P168" s="1">
        <v>150.0</v>
      </c>
      <c r="Q168" s="1">
        <v>34.0</v>
      </c>
    </row>
    <row r="169">
      <c r="A169" s="1">
        <f t="shared" si="1"/>
        <v>167</v>
      </c>
      <c r="B169" s="1" t="s">
        <v>2468</v>
      </c>
      <c r="C169" s="1" t="s">
        <v>1097</v>
      </c>
      <c r="D169" s="1" t="s">
        <v>66</v>
      </c>
      <c r="E169" s="1">
        <f t="shared" si="2"/>
        <v>290.25</v>
      </c>
      <c r="F169" s="1">
        <f t="shared" si="3"/>
        <v>5</v>
      </c>
      <c r="G169" s="1">
        <v>58.0</v>
      </c>
      <c r="H169" s="1">
        <v>14.0</v>
      </c>
      <c r="I169" s="1">
        <v>19.0</v>
      </c>
      <c r="J169" s="1">
        <v>33.0</v>
      </c>
      <c r="K169" s="1">
        <v>166.0</v>
      </c>
      <c r="L169" s="1">
        <v>5.0</v>
      </c>
      <c r="M169" s="1">
        <v>1.0</v>
      </c>
      <c r="N169" s="1">
        <v>0.0</v>
      </c>
      <c r="O169" s="1">
        <v>0.0</v>
      </c>
      <c r="P169" s="1">
        <v>129.0</v>
      </c>
      <c r="Q169" s="1">
        <v>110.0</v>
      </c>
    </row>
    <row r="170">
      <c r="A170" s="1">
        <f t="shared" si="1"/>
        <v>168</v>
      </c>
      <c r="B170" s="1" t="s">
        <v>2282</v>
      </c>
      <c r="C170" s="1" t="s">
        <v>1036</v>
      </c>
      <c r="D170" s="1" t="s">
        <v>5</v>
      </c>
      <c r="E170" s="1">
        <f t="shared" si="2"/>
        <v>289.5</v>
      </c>
      <c r="F170" s="1">
        <f t="shared" si="3"/>
        <v>5.26</v>
      </c>
      <c r="G170" s="1">
        <v>55.0</v>
      </c>
      <c r="R170" s="1">
        <v>25.0</v>
      </c>
      <c r="S170" s="1">
        <v>146.0</v>
      </c>
      <c r="T170" s="12">
        <v>1405.0</v>
      </c>
      <c r="U170" s="1">
        <v>4.0</v>
      </c>
    </row>
    <row r="171">
      <c r="A171" s="1">
        <f t="shared" si="1"/>
        <v>169</v>
      </c>
      <c r="B171" s="1" t="s">
        <v>1557</v>
      </c>
      <c r="C171" s="1" t="s">
        <v>1080</v>
      </c>
      <c r="D171" s="1" t="s">
        <v>28</v>
      </c>
      <c r="E171" s="1">
        <f t="shared" si="2"/>
        <v>288.25</v>
      </c>
      <c r="F171" s="1">
        <f t="shared" si="3"/>
        <v>4.37</v>
      </c>
      <c r="G171" s="1">
        <v>66.0</v>
      </c>
      <c r="H171" s="1">
        <v>22.0</v>
      </c>
      <c r="I171" s="1">
        <v>18.0</v>
      </c>
      <c r="J171" s="1">
        <v>40.0</v>
      </c>
      <c r="K171" s="1">
        <v>191.0</v>
      </c>
      <c r="L171" s="1">
        <v>4.0</v>
      </c>
      <c r="M171" s="1">
        <v>4.0</v>
      </c>
      <c r="N171" s="1">
        <v>0.0</v>
      </c>
      <c r="O171" s="1">
        <v>0.0</v>
      </c>
      <c r="P171" s="1">
        <v>119.0</v>
      </c>
      <c r="Q171" s="1">
        <v>20.0</v>
      </c>
    </row>
    <row r="172">
      <c r="A172" s="1">
        <f t="shared" si="1"/>
        <v>170</v>
      </c>
      <c r="B172" s="1" t="s">
        <v>1505</v>
      </c>
      <c r="C172" s="1" t="s">
        <v>1052</v>
      </c>
      <c r="D172" s="1" t="s">
        <v>28</v>
      </c>
      <c r="E172" s="1">
        <f t="shared" si="2"/>
        <v>287.5</v>
      </c>
      <c r="F172" s="1">
        <f t="shared" si="3"/>
        <v>3.59</v>
      </c>
      <c r="G172" s="1">
        <v>80.0</v>
      </c>
      <c r="H172" s="1">
        <v>14.0</v>
      </c>
      <c r="I172" s="1">
        <v>15.0</v>
      </c>
      <c r="J172" s="1">
        <v>29.0</v>
      </c>
      <c r="K172" s="1">
        <v>127.0</v>
      </c>
      <c r="L172" s="1">
        <v>0.0</v>
      </c>
      <c r="M172" s="1">
        <v>0.0</v>
      </c>
      <c r="N172" s="1">
        <v>2.0</v>
      </c>
      <c r="O172" s="1">
        <v>1.0</v>
      </c>
      <c r="P172" s="1">
        <v>278.0</v>
      </c>
      <c r="Q172" s="1">
        <v>81.0</v>
      </c>
    </row>
    <row r="173">
      <c r="A173" s="1">
        <f t="shared" si="1"/>
        <v>171</v>
      </c>
      <c r="B173" s="1" t="s">
        <v>2501</v>
      </c>
      <c r="C173" s="1" t="s">
        <v>1172</v>
      </c>
      <c r="D173" s="1" t="s">
        <v>31</v>
      </c>
      <c r="E173" s="1">
        <f t="shared" si="2"/>
        <v>287</v>
      </c>
      <c r="F173" s="1">
        <f t="shared" si="3"/>
        <v>4.56</v>
      </c>
      <c r="G173" s="1">
        <v>63.0</v>
      </c>
      <c r="H173" s="1">
        <v>19.0</v>
      </c>
      <c r="I173" s="1">
        <v>28.0</v>
      </c>
      <c r="J173" s="1">
        <v>47.0</v>
      </c>
      <c r="K173" s="1">
        <v>135.0</v>
      </c>
      <c r="L173" s="1">
        <v>3.0</v>
      </c>
      <c r="M173" s="1">
        <v>3.0</v>
      </c>
      <c r="N173" s="1">
        <v>0.0</v>
      </c>
      <c r="O173" s="1">
        <v>0.0</v>
      </c>
      <c r="P173" s="1">
        <v>128.0</v>
      </c>
      <c r="Q173" s="1">
        <v>36.0</v>
      </c>
    </row>
    <row r="174">
      <c r="A174" s="1">
        <f t="shared" si="1"/>
        <v>172</v>
      </c>
      <c r="B174" s="1" t="s">
        <v>1270</v>
      </c>
      <c r="C174" s="1" t="s">
        <v>1038</v>
      </c>
      <c r="D174" s="1" t="s">
        <v>66</v>
      </c>
      <c r="E174" s="1">
        <f t="shared" si="2"/>
        <v>286.75</v>
      </c>
      <c r="F174" s="1">
        <f t="shared" si="3"/>
        <v>4.48</v>
      </c>
      <c r="G174" s="1">
        <v>64.0</v>
      </c>
      <c r="H174" s="1">
        <v>6.0</v>
      </c>
      <c r="I174" s="1">
        <v>47.0</v>
      </c>
      <c r="J174" s="1">
        <v>53.0</v>
      </c>
      <c r="K174" s="1">
        <v>151.0</v>
      </c>
      <c r="L174" s="1">
        <v>2.0</v>
      </c>
      <c r="M174" s="1">
        <v>28.0</v>
      </c>
      <c r="N174" s="1">
        <v>0.0</v>
      </c>
      <c r="O174" s="1">
        <v>0.0</v>
      </c>
      <c r="P174" s="1">
        <v>53.0</v>
      </c>
      <c r="Q174" s="1">
        <v>60.0</v>
      </c>
    </row>
    <row r="175">
      <c r="A175" s="1">
        <f t="shared" si="1"/>
        <v>173</v>
      </c>
      <c r="B175" s="1" t="s">
        <v>1549</v>
      </c>
      <c r="C175" s="1" t="s">
        <v>1032</v>
      </c>
      <c r="D175" s="1" t="s">
        <v>36</v>
      </c>
      <c r="E175" s="1">
        <f t="shared" si="2"/>
        <v>285.5</v>
      </c>
      <c r="F175" s="1">
        <f t="shared" si="3"/>
        <v>3.66</v>
      </c>
      <c r="G175" s="1">
        <v>78.0</v>
      </c>
      <c r="H175" s="1">
        <v>20.0</v>
      </c>
      <c r="I175" s="1">
        <v>24.0</v>
      </c>
      <c r="J175" s="1">
        <v>44.0</v>
      </c>
      <c r="K175" s="1">
        <v>174.0</v>
      </c>
      <c r="L175" s="1">
        <v>1.0</v>
      </c>
      <c r="M175" s="1">
        <v>2.0</v>
      </c>
      <c r="N175" s="1">
        <v>2.0</v>
      </c>
      <c r="O175" s="1">
        <v>0.0</v>
      </c>
      <c r="P175" s="1">
        <v>92.0</v>
      </c>
      <c r="Q175" s="1">
        <v>19.0</v>
      </c>
    </row>
    <row r="176">
      <c r="A176" s="1">
        <f t="shared" si="1"/>
        <v>174</v>
      </c>
      <c r="B176" s="1" t="s">
        <v>1829</v>
      </c>
      <c r="C176" s="1" t="s">
        <v>1082</v>
      </c>
      <c r="D176" s="1" t="s">
        <v>36</v>
      </c>
      <c r="E176" s="1">
        <f t="shared" si="2"/>
        <v>285.25</v>
      </c>
      <c r="F176" s="1">
        <f t="shared" si="3"/>
        <v>3.48</v>
      </c>
      <c r="G176" s="1">
        <v>82.0</v>
      </c>
      <c r="H176" s="1">
        <v>24.0</v>
      </c>
      <c r="I176" s="1">
        <v>23.0</v>
      </c>
      <c r="J176" s="1">
        <v>47.0</v>
      </c>
      <c r="K176" s="1">
        <v>161.0</v>
      </c>
      <c r="L176" s="1">
        <v>1.0</v>
      </c>
      <c r="M176" s="1">
        <v>3.0</v>
      </c>
      <c r="N176" s="1">
        <v>0.0</v>
      </c>
      <c r="O176" s="1">
        <v>0.0</v>
      </c>
      <c r="P176" s="1">
        <v>47.0</v>
      </c>
      <c r="Q176" s="1">
        <v>32.0</v>
      </c>
    </row>
    <row r="177">
      <c r="A177" s="1">
        <f t="shared" si="1"/>
        <v>175</v>
      </c>
      <c r="B177" s="1" t="s">
        <v>1394</v>
      </c>
      <c r="C177" s="1" t="s">
        <v>1091</v>
      </c>
      <c r="D177" s="1" t="s">
        <v>28</v>
      </c>
      <c r="E177" s="1">
        <f t="shared" si="2"/>
        <v>284.5</v>
      </c>
      <c r="F177" s="1">
        <f t="shared" si="3"/>
        <v>4.31</v>
      </c>
      <c r="G177" s="1">
        <v>66.0</v>
      </c>
      <c r="H177" s="1">
        <v>27.0</v>
      </c>
      <c r="I177" s="1">
        <v>21.0</v>
      </c>
      <c r="J177" s="1">
        <v>48.0</v>
      </c>
      <c r="K177" s="1">
        <v>167.0</v>
      </c>
      <c r="L177" s="1">
        <v>8.0</v>
      </c>
      <c r="M177" s="1">
        <v>5.0</v>
      </c>
      <c r="N177" s="1">
        <v>0.0</v>
      </c>
      <c r="O177" s="1">
        <v>0.0</v>
      </c>
      <c r="P177" s="1">
        <v>34.0</v>
      </c>
      <c r="Q177" s="1">
        <v>16.0</v>
      </c>
    </row>
    <row r="178">
      <c r="A178" s="1">
        <f t="shared" si="1"/>
        <v>176</v>
      </c>
      <c r="B178" s="1" t="s">
        <v>1387</v>
      </c>
      <c r="C178" s="1" t="s">
        <v>1080</v>
      </c>
      <c r="D178" s="1" t="s">
        <v>66</v>
      </c>
      <c r="E178" s="1">
        <f t="shared" si="2"/>
        <v>284.25</v>
      </c>
      <c r="F178" s="1">
        <f t="shared" si="3"/>
        <v>3.6</v>
      </c>
      <c r="G178" s="1">
        <v>79.0</v>
      </c>
      <c r="H178" s="1">
        <v>12.0</v>
      </c>
      <c r="I178" s="1">
        <v>25.0</v>
      </c>
      <c r="J178" s="1">
        <v>37.0</v>
      </c>
      <c r="K178" s="1">
        <v>202.0</v>
      </c>
      <c r="L178" s="1">
        <v>4.0</v>
      </c>
      <c r="M178" s="1">
        <v>5.0</v>
      </c>
      <c r="N178" s="1">
        <v>0.0</v>
      </c>
      <c r="O178" s="1">
        <v>1.0</v>
      </c>
      <c r="P178" s="1">
        <v>27.0</v>
      </c>
      <c r="Q178" s="1">
        <v>91.0</v>
      </c>
    </row>
    <row r="179">
      <c r="A179" s="1">
        <f t="shared" si="1"/>
        <v>177</v>
      </c>
      <c r="B179" s="1" t="s">
        <v>2291</v>
      </c>
      <c r="C179" s="1" t="s">
        <v>1172</v>
      </c>
      <c r="D179" s="1" t="s">
        <v>66</v>
      </c>
      <c r="E179" s="1">
        <f t="shared" si="2"/>
        <v>284</v>
      </c>
      <c r="F179" s="1">
        <f t="shared" si="3"/>
        <v>3.46</v>
      </c>
      <c r="G179" s="1">
        <v>82.0</v>
      </c>
      <c r="H179" s="1">
        <v>6.0</v>
      </c>
      <c r="I179" s="1">
        <v>34.0</v>
      </c>
      <c r="J179" s="1">
        <v>40.0</v>
      </c>
      <c r="K179" s="1">
        <v>141.0</v>
      </c>
      <c r="L179" s="1">
        <v>0.0</v>
      </c>
      <c r="M179" s="1">
        <v>3.0</v>
      </c>
      <c r="N179" s="1">
        <v>0.0</v>
      </c>
      <c r="O179" s="1">
        <v>1.0</v>
      </c>
      <c r="P179" s="1">
        <v>42.0</v>
      </c>
      <c r="Q179" s="1">
        <v>144.0</v>
      </c>
    </row>
    <row r="180">
      <c r="A180" s="1">
        <f t="shared" si="1"/>
        <v>178</v>
      </c>
      <c r="B180" s="1" t="s">
        <v>1545</v>
      </c>
      <c r="C180" s="1" t="s">
        <v>1042</v>
      </c>
      <c r="D180" s="1" t="s">
        <v>36</v>
      </c>
      <c r="E180" s="1">
        <f t="shared" si="2"/>
        <v>283.75</v>
      </c>
      <c r="F180" s="1">
        <f t="shared" si="3"/>
        <v>3.73</v>
      </c>
      <c r="G180" s="1">
        <v>76.0</v>
      </c>
      <c r="H180" s="1">
        <v>21.0</v>
      </c>
      <c r="I180" s="1">
        <v>17.0</v>
      </c>
      <c r="J180" s="1">
        <v>38.0</v>
      </c>
      <c r="K180" s="1">
        <v>205.0</v>
      </c>
      <c r="L180" s="1">
        <v>4.0</v>
      </c>
      <c r="M180" s="1">
        <v>4.0</v>
      </c>
      <c r="N180" s="1">
        <v>0.0</v>
      </c>
      <c r="O180" s="1">
        <v>0.0</v>
      </c>
      <c r="P180" s="1">
        <v>77.0</v>
      </c>
      <c r="Q180" s="1">
        <v>33.0</v>
      </c>
    </row>
    <row r="181">
      <c r="A181" s="1">
        <f t="shared" si="1"/>
        <v>179</v>
      </c>
      <c r="B181" s="1" t="s">
        <v>1593</v>
      </c>
      <c r="C181" s="1" t="s">
        <v>1065</v>
      </c>
      <c r="D181" s="1" t="s">
        <v>36</v>
      </c>
      <c r="E181" s="1">
        <f t="shared" si="2"/>
        <v>283.5</v>
      </c>
      <c r="F181" s="1">
        <f t="shared" si="3"/>
        <v>3.88</v>
      </c>
      <c r="G181" s="1">
        <v>73.0</v>
      </c>
      <c r="H181" s="1">
        <v>24.0</v>
      </c>
      <c r="I181" s="1">
        <v>19.0</v>
      </c>
      <c r="J181" s="1">
        <v>43.0</v>
      </c>
      <c r="K181" s="1">
        <v>163.0</v>
      </c>
      <c r="L181" s="1">
        <v>3.0</v>
      </c>
      <c r="M181" s="1">
        <v>8.0</v>
      </c>
      <c r="N181" s="1">
        <v>2.0</v>
      </c>
      <c r="O181" s="1">
        <v>1.0</v>
      </c>
      <c r="P181" s="1">
        <v>38.0</v>
      </c>
      <c r="Q181" s="1">
        <v>43.0</v>
      </c>
    </row>
    <row r="182">
      <c r="A182" s="1">
        <f t="shared" si="1"/>
        <v>180</v>
      </c>
      <c r="B182" s="1" t="s">
        <v>1726</v>
      </c>
      <c r="C182" s="1" t="s">
        <v>1175</v>
      </c>
      <c r="D182" s="1" t="s">
        <v>36</v>
      </c>
      <c r="E182" s="1">
        <f t="shared" si="2"/>
        <v>283</v>
      </c>
      <c r="F182" s="1">
        <f t="shared" si="3"/>
        <v>3.45</v>
      </c>
      <c r="G182" s="1">
        <v>82.0</v>
      </c>
      <c r="H182" s="1">
        <v>17.0</v>
      </c>
      <c r="I182" s="1">
        <v>39.0</v>
      </c>
      <c r="J182" s="1">
        <v>56.0</v>
      </c>
      <c r="K182" s="1">
        <v>130.0</v>
      </c>
      <c r="L182" s="1">
        <v>2.0</v>
      </c>
      <c r="M182" s="1">
        <v>18.0</v>
      </c>
      <c r="N182" s="1">
        <v>0.0</v>
      </c>
      <c r="O182" s="1">
        <v>0.0</v>
      </c>
      <c r="P182" s="1">
        <v>66.0</v>
      </c>
      <c r="Q182" s="1">
        <v>16.0</v>
      </c>
    </row>
    <row r="183">
      <c r="A183" s="1">
        <f t="shared" si="1"/>
        <v>181</v>
      </c>
      <c r="B183" s="1" t="s">
        <v>2122</v>
      </c>
      <c r="C183" s="1" t="s">
        <v>1087</v>
      </c>
      <c r="D183" s="1" t="s">
        <v>5</v>
      </c>
      <c r="E183" s="1">
        <f t="shared" si="2"/>
        <v>282.9</v>
      </c>
      <c r="F183" s="1">
        <f t="shared" si="3"/>
        <v>6.58</v>
      </c>
      <c r="G183" s="1">
        <v>43.0</v>
      </c>
      <c r="R183" s="1">
        <v>23.0</v>
      </c>
      <c r="S183" s="1">
        <v>87.0</v>
      </c>
      <c r="T183" s="12">
        <v>1098.0</v>
      </c>
      <c r="U183" s="1">
        <v>5.0</v>
      </c>
    </row>
    <row r="184">
      <c r="A184" s="1">
        <f t="shared" si="1"/>
        <v>182</v>
      </c>
      <c r="B184" s="1" t="s">
        <v>1144</v>
      </c>
      <c r="C184" s="1" t="s">
        <v>1076</v>
      </c>
      <c r="D184" s="1" t="s">
        <v>31</v>
      </c>
      <c r="E184" s="1">
        <f t="shared" si="2"/>
        <v>281.75</v>
      </c>
      <c r="F184" s="1">
        <f t="shared" si="3"/>
        <v>4.08</v>
      </c>
      <c r="G184" s="1">
        <v>69.0</v>
      </c>
      <c r="H184" s="1">
        <v>17.0</v>
      </c>
      <c r="I184" s="1">
        <v>30.0</v>
      </c>
      <c r="J184" s="1">
        <v>47.0</v>
      </c>
      <c r="K184" s="1">
        <v>160.0</v>
      </c>
      <c r="L184" s="1">
        <v>3.0</v>
      </c>
      <c r="M184" s="1">
        <v>8.0</v>
      </c>
      <c r="N184" s="1">
        <v>0.0</v>
      </c>
      <c r="O184" s="1">
        <v>0.0</v>
      </c>
      <c r="P184" s="1">
        <v>53.0</v>
      </c>
      <c r="Q184" s="1">
        <v>44.0</v>
      </c>
    </row>
    <row r="185">
      <c r="A185" s="1">
        <f t="shared" si="1"/>
        <v>182</v>
      </c>
      <c r="B185" s="1" t="s">
        <v>1276</v>
      </c>
      <c r="C185" s="1" t="s">
        <v>1034</v>
      </c>
      <c r="D185" s="1" t="s">
        <v>28</v>
      </c>
      <c r="E185" s="1">
        <f t="shared" si="2"/>
        <v>281.75</v>
      </c>
      <c r="F185" s="1">
        <f t="shared" si="3"/>
        <v>3.52</v>
      </c>
      <c r="G185" s="1">
        <v>80.0</v>
      </c>
      <c r="H185" s="1">
        <v>22.0</v>
      </c>
      <c r="I185" s="1">
        <v>26.0</v>
      </c>
      <c r="J185" s="1">
        <v>48.0</v>
      </c>
      <c r="K185" s="1">
        <v>130.0</v>
      </c>
      <c r="L185" s="1">
        <v>5.0</v>
      </c>
      <c r="M185" s="1">
        <v>4.0</v>
      </c>
      <c r="N185" s="1">
        <v>1.0</v>
      </c>
      <c r="O185" s="1">
        <v>1.0</v>
      </c>
      <c r="P185" s="1">
        <v>83.0</v>
      </c>
      <c r="Q185" s="1">
        <v>30.0</v>
      </c>
    </row>
    <row r="186">
      <c r="A186" s="1">
        <f t="shared" si="1"/>
        <v>184</v>
      </c>
      <c r="B186" s="1" t="s">
        <v>2589</v>
      </c>
      <c r="C186" s="1" t="s">
        <v>1040</v>
      </c>
      <c r="D186" s="1" t="s">
        <v>5</v>
      </c>
      <c r="E186" s="1">
        <f t="shared" si="2"/>
        <v>279.3</v>
      </c>
      <c r="F186" s="1">
        <f t="shared" si="3"/>
        <v>5.37</v>
      </c>
      <c r="G186" s="1">
        <v>52.0</v>
      </c>
      <c r="R186" s="1">
        <v>18.0</v>
      </c>
      <c r="S186" s="1">
        <v>158.0</v>
      </c>
      <c r="T186" s="12">
        <v>1541.0</v>
      </c>
      <c r="U186" s="1">
        <v>0.0</v>
      </c>
    </row>
    <row r="187">
      <c r="A187" s="1">
        <f t="shared" si="1"/>
        <v>185</v>
      </c>
      <c r="B187" s="1" t="s">
        <v>1215</v>
      </c>
      <c r="C187" s="1" t="s">
        <v>1073</v>
      </c>
      <c r="D187" s="1" t="s">
        <v>36</v>
      </c>
      <c r="E187" s="1">
        <f t="shared" si="2"/>
        <v>279.25</v>
      </c>
      <c r="F187" s="1">
        <f t="shared" si="3"/>
        <v>3.41</v>
      </c>
      <c r="G187" s="1">
        <v>82.0</v>
      </c>
      <c r="H187" s="1">
        <v>20.0</v>
      </c>
      <c r="I187" s="1">
        <v>17.0</v>
      </c>
      <c r="J187" s="1">
        <v>37.0</v>
      </c>
      <c r="K187" s="1">
        <v>189.0</v>
      </c>
      <c r="L187" s="1">
        <v>0.0</v>
      </c>
      <c r="M187" s="1">
        <v>5.0</v>
      </c>
      <c r="N187" s="1">
        <v>0.0</v>
      </c>
      <c r="O187" s="1">
        <v>0.0</v>
      </c>
      <c r="P187" s="1">
        <v>123.0</v>
      </c>
      <c r="Q187" s="1">
        <v>26.0</v>
      </c>
    </row>
    <row r="188">
      <c r="A188" s="1">
        <f t="shared" si="1"/>
        <v>186</v>
      </c>
      <c r="B188" s="1" t="s">
        <v>2627</v>
      </c>
      <c r="C188" s="1" t="s">
        <v>1046</v>
      </c>
      <c r="D188" s="1" t="s">
        <v>28</v>
      </c>
      <c r="E188" s="1">
        <f t="shared" si="2"/>
        <v>278.5</v>
      </c>
      <c r="F188" s="1">
        <f t="shared" si="3"/>
        <v>3.92</v>
      </c>
      <c r="G188" s="1">
        <v>71.0</v>
      </c>
      <c r="H188" s="1">
        <v>17.0</v>
      </c>
      <c r="I188" s="1">
        <v>23.0</v>
      </c>
      <c r="J188" s="1">
        <v>40.0</v>
      </c>
      <c r="K188" s="1">
        <v>156.0</v>
      </c>
      <c r="L188" s="1">
        <v>6.0</v>
      </c>
      <c r="M188" s="1">
        <v>7.0</v>
      </c>
      <c r="N188" s="1">
        <v>0.0</v>
      </c>
      <c r="O188" s="1">
        <v>0.0</v>
      </c>
      <c r="P188" s="1">
        <v>182.0</v>
      </c>
      <c r="Q188" s="1">
        <v>19.0</v>
      </c>
    </row>
    <row r="189">
      <c r="A189" s="1">
        <f t="shared" si="1"/>
        <v>187</v>
      </c>
      <c r="B189" s="1" t="s">
        <v>2101</v>
      </c>
      <c r="C189" s="1" t="s">
        <v>1087</v>
      </c>
      <c r="D189" s="1" t="s">
        <v>28</v>
      </c>
      <c r="E189" s="1">
        <f t="shared" si="2"/>
        <v>277.75</v>
      </c>
      <c r="F189" s="1">
        <f t="shared" si="3"/>
        <v>3.39</v>
      </c>
      <c r="G189" s="1">
        <v>82.0</v>
      </c>
      <c r="H189" s="1">
        <v>16.0</v>
      </c>
      <c r="I189" s="1">
        <v>40.0</v>
      </c>
      <c r="J189" s="1">
        <v>56.0</v>
      </c>
      <c r="K189" s="1">
        <v>126.0</v>
      </c>
      <c r="L189" s="1">
        <v>2.0</v>
      </c>
      <c r="M189" s="1">
        <v>12.0</v>
      </c>
      <c r="N189" s="1">
        <v>1.0</v>
      </c>
      <c r="O189" s="1">
        <v>0.0</v>
      </c>
      <c r="P189" s="1">
        <v>19.0</v>
      </c>
      <c r="Q189" s="1">
        <v>32.0</v>
      </c>
    </row>
    <row r="190">
      <c r="A190" s="1">
        <f t="shared" si="1"/>
        <v>188</v>
      </c>
      <c r="B190" s="1" t="s">
        <v>1237</v>
      </c>
      <c r="C190" s="1" t="s">
        <v>1091</v>
      </c>
      <c r="D190" s="1" t="s">
        <v>66</v>
      </c>
      <c r="E190" s="1">
        <f t="shared" si="2"/>
        <v>277</v>
      </c>
      <c r="F190" s="1">
        <f t="shared" si="3"/>
        <v>3.55</v>
      </c>
      <c r="G190" s="1">
        <v>78.0</v>
      </c>
      <c r="H190" s="1">
        <v>9.0</v>
      </c>
      <c r="I190" s="1">
        <v>28.0</v>
      </c>
      <c r="J190" s="1">
        <v>37.0</v>
      </c>
      <c r="K190" s="1">
        <v>180.0</v>
      </c>
      <c r="L190" s="1">
        <v>4.0</v>
      </c>
      <c r="M190" s="1">
        <v>10.0</v>
      </c>
      <c r="N190" s="1">
        <v>0.0</v>
      </c>
      <c r="O190" s="1">
        <v>0.0</v>
      </c>
      <c r="P190" s="1">
        <v>46.0</v>
      </c>
      <c r="Q190" s="1">
        <v>102.0</v>
      </c>
    </row>
    <row r="191">
      <c r="A191" s="1">
        <f t="shared" si="1"/>
        <v>189</v>
      </c>
      <c r="B191" s="1" t="s">
        <v>1242</v>
      </c>
      <c r="C191" s="1" t="s">
        <v>1120</v>
      </c>
      <c r="D191" s="1" t="s">
        <v>28</v>
      </c>
      <c r="E191" s="1">
        <f t="shared" si="2"/>
        <v>276.5</v>
      </c>
      <c r="F191" s="1">
        <f t="shared" si="3"/>
        <v>3.79</v>
      </c>
      <c r="G191" s="1">
        <v>73.0</v>
      </c>
      <c r="H191" s="1">
        <v>21.0</v>
      </c>
      <c r="I191" s="1">
        <v>26.0</v>
      </c>
      <c r="J191" s="1">
        <v>47.0</v>
      </c>
      <c r="K191" s="1">
        <v>131.0</v>
      </c>
      <c r="L191" s="1">
        <v>3.0</v>
      </c>
      <c r="M191" s="1">
        <v>3.0</v>
      </c>
      <c r="N191" s="1">
        <v>0.0</v>
      </c>
      <c r="O191" s="1">
        <v>0.0</v>
      </c>
      <c r="P191" s="1">
        <v>76.0</v>
      </c>
      <c r="Q191" s="1">
        <v>39.0</v>
      </c>
    </row>
    <row r="192">
      <c r="A192" s="1">
        <f t="shared" si="1"/>
        <v>189</v>
      </c>
      <c r="B192" s="1" t="s">
        <v>1110</v>
      </c>
      <c r="C192" s="1" t="s">
        <v>1111</v>
      </c>
      <c r="D192" s="1" t="s">
        <v>31</v>
      </c>
      <c r="E192" s="1">
        <f t="shared" si="2"/>
        <v>276.5</v>
      </c>
      <c r="F192" s="1">
        <f t="shared" si="3"/>
        <v>3.37</v>
      </c>
      <c r="G192" s="1">
        <v>82.0</v>
      </c>
      <c r="H192" s="1">
        <v>14.0</v>
      </c>
      <c r="I192" s="1">
        <v>33.0</v>
      </c>
      <c r="J192" s="1">
        <v>47.0</v>
      </c>
      <c r="K192" s="1">
        <v>200.0</v>
      </c>
      <c r="L192" s="1">
        <v>1.0</v>
      </c>
      <c r="M192" s="1">
        <v>18.0</v>
      </c>
      <c r="N192" s="1">
        <v>0.0</v>
      </c>
      <c r="O192" s="1">
        <v>0.0</v>
      </c>
      <c r="P192" s="1">
        <v>16.0</v>
      </c>
      <c r="Q192" s="1">
        <v>21.0</v>
      </c>
    </row>
    <row r="193">
      <c r="A193" s="1">
        <f t="shared" si="1"/>
        <v>191</v>
      </c>
      <c r="B193" s="1" t="s">
        <v>1088</v>
      </c>
      <c r="C193" s="1" t="s">
        <v>1030</v>
      </c>
      <c r="D193" s="1" t="s">
        <v>31</v>
      </c>
      <c r="E193" s="1">
        <f t="shared" si="2"/>
        <v>275.75</v>
      </c>
      <c r="F193" s="1">
        <f t="shared" si="3"/>
        <v>3.78</v>
      </c>
      <c r="G193" s="1">
        <v>73.0</v>
      </c>
      <c r="H193" s="1">
        <v>16.0</v>
      </c>
      <c r="I193" s="1">
        <v>28.0</v>
      </c>
      <c r="J193" s="1">
        <v>44.0</v>
      </c>
      <c r="K193" s="1">
        <v>184.0</v>
      </c>
      <c r="L193" s="1">
        <v>4.0</v>
      </c>
      <c r="M193" s="1">
        <v>9.0</v>
      </c>
      <c r="N193" s="1">
        <v>0.0</v>
      </c>
      <c r="O193" s="1">
        <v>0.0</v>
      </c>
      <c r="P193" s="1">
        <v>85.0</v>
      </c>
      <c r="Q193" s="1">
        <v>13.0</v>
      </c>
    </row>
    <row r="194">
      <c r="A194" s="1">
        <f t="shared" si="1"/>
        <v>192</v>
      </c>
      <c r="B194" s="1" t="s">
        <v>1857</v>
      </c>
      <c r="C194" s="1" t="s">
        <v>1085</v>
      </c>
      <c r="D194" s="1" t="s">
        <v>66</v>
      </c>
      <c r="E194" s="1">
        <f t="shared" si="2"/>
        <v>275.5</v>
      </c>
      <c r="F194" s="1">
        <f t="shared" si="3"/>
        <v>4.3</v>
      </c>
      <c r="G194" s="1">
        <v>64.0</v>
      </c>
      <c r="H194" s="1">
        <v>10.0</v>
      </c>
      <c r="I194" s="1">
        <v>35.0</v>
      </c>
      <c r="J194" s="1">
        <v>45.0</v>
      </c>
      <c r="K194" s="1">
        <v>153.0</v>
      </c>
      <c r="L194" s="1">
        <v>5.0</v>
      </c>
      <c r="M194" s="1">
        <v>15.0</v>
      </c>
      <c r="N194" s="1">
        <v>0.0</v>
      </c>
      <c r="O194" s="1">
        <v>0.0</v>
      </c>
      <c r="P194" s="1">
        <v>42.0</v>
      </c>
      <c r="Q194" s="1">
        <v>77.0</v>
      </c>
    </row>
    <row r="195">
      <c r="A195" s="1">
        <f t="shared" si="1"/>
        <v>193</v>
      </c>
      <c r="B195" s="1" t="s">
        <v>1059</v>
      </c>
      <c r="C195" s="1" t="s">
        <v>1032</v>
      </c>
      <c r="D195" s="1" t="s">
        <v>36</v>
      </c>
      <c r="E195" s="1">
        <f t="shared" si="2"/>
        <v>273.5</v>
      </c>
      <c r="F195" s="1">
        <f t="shared" si="3"/>
        <v>3.85</v>
      </c>
      <c r="G195" s="1">
        <v>71.0</v>
      </c>
      <c r="H195" s="1">
        <v>21.0</v>
      </c>
      <c r="I195" s="1">
        <v>20.0</v>
      </c>
      <c r="J195" s="1">
        <v>41.0</v>
      </c>
      <c r="K195" s="1">
        <v>144.0</v>
      </c>
      <c r="L195" s="1">
        <v>0.0</v>
      </c>
      <c r="M195" s="1">
        <v>0.0</v>
      </c>
      <c r="N195" s="1">
        <v>1.0</v>
      </c>
      <c r="O195" s="1">
        <v>0.0</v>
      </c>
      <c r="P195" s="1">
        <v>102.0</v>
      </c>
      <c r="Q195" s="1">
        <v>39.0</v>
      </c>
    </row>
    <row r="196">
      <c r="A196" s="1">
        <f t="shared" si="1"/>
        <v>194</v>
      </c>
      <c r="B196" s="1" t="s">
        <v>1447</v>
      </c>
      <c r="C196" s="1" t="s">
        <v>1076</v>
      </c>
      <c r="D196" s="1" t="s">
        <v>66</v>
      </c>
      <c r="E196" s="1">
        <f t="shared" si="2"/>
        <v>272.75</v>
      </c>
      <c r="F196" s="1">
        <f t="shared" si="3"/>
        <v>3.33</v>
      </c>
      <c r="G196" s="1">
        <v>82.0</v>
      </c>
      <c r="H196" s="1">
        <v>11.0</v>
      </c>
      <c r="I196" s="1">
        <v>28.0</v>
      </c>
      <c r="J196" s="1">
        <v>39.0</v>
      </c>
      <c r="K196" s="1">
        <v>146.0</v>
      </c>
      <c r="L196" s="1">
        <v>3.0</v>
      </c>
      <c r="M196" s="1">
        <v>9.0</v>
      </c>
      <c r="N196" s="1">
        <v>0.0</v>
      </c>
      <c r="O196" s="1">
        <v>1.0</v>
      </c>
      <c r="P196" s="1">
        <v>83.0</v>
      </c>
      <c r="Q196" s="1">
        <v>87.0</v>
      </c>
    </row>
    <row r="197">
      <c r="A197" s="1">
        <f t="shared" si="1"/>
        <v>195</v>
      </c>
      <c r="B197" s="1" t="s">
        <v>2472</v>
      </c>
      <c r="C197" s="1" t="s">
        <v>1044</v>
      </c>
      <c r="D197" s="1" t="s">
        <v>36</v>
      </c>
      <c r="E197" s="1">
        <f t="shared" si="2"/>
        <v>272.25</v>
      </c>
      <c r="F197" s="1">
        <f t="shared" si="3"/>
        <v>3.49</v>
      </c>
      <c r="G197" s="1">
        <v>78.0</v>
      </c>
      <c r="H197" s="1">
        <v>15.0</v>
      </c>
      <c r="I197" s="1">
        <v>27.0</v>
      </c>
      <c r="J197" s="1">
        <v>42.0</v>
      </c>
      <c r="K197" s="1">
        <v>160.0</v>
      </c>
      <c r="L197" s="1">
        <v>7.0</v>
      </c>
      <c r="M197" s="1">
        <v>9.0</v>
      </c>
      <c r="N197" s="1">
        <v>0.0</v>
      </c>
      <c r="O197" s="1">
        <v>0.0</v>
      </c>
      <c r="P197" s="1">
        <v>77.0</v>
      </c>
      <c r="Q197" s="1">
        <v>49.0</v>
      </c>
    </row>
    <row r="198">
      <c r="A198" s="1">
        <f t="shared" si="1"/>
        <v>196</v>
      </c>
      <c r="B198" s="1" t="s">
        <v>1183</v>
      </c>
      <c r="C198" s="1" t="s">
        <v>1065</v>
      </c>
      <c r="D198" s="1" t="s">
        <v>31</v>
      </c>
      <c r="E198" s="1">
        <f t="shared" si="2"/>
        <v>271</v>
      </c>
      <c r="F198" s="1">
        <f t="shared" si="3"/>
        <v>3.3</v>
      </c>
      <c r="G198" s="1">
        <v>82.0</v>
      </c>
      <c r="H198" s="1">
        <v>18.0</v>
      </c>
      <c r="I198" s="1">
        <v>24.0</v>
      </c>
      <c r="J198" s="1">
        <v>42.0</v>
      </c>
      <c r="K198" s="1">
        <v>122.0</v>
      </c>
      <c r="L198" s="1">
        <v>8.0</v>
      </c>
      <c r="M198" s="1">
        <v>5.0</v>
      </c>
      <c r="N198" s="1">
        <v>0.0</v>
      </c>
      <c r="O198" s="1">
        <v>1.0</v>
      </c>
      <c r="P198" s="1">
        <v>78.0</v>
      </c>
      <c r="Q198" s="1">
        <v>71.0</v>
      </c>
    </row>
    <row r="199">
      <c r="A199" s="1">
        <f t="shared" si="1"/>
        <v>197</v>
      </c>
      <c r="B199" s="1" t="s">
        <v>2585</v>
      </c>
      <c r="C199" s="1" t="s">
        <v>1091</v>
      </c>
      <c r="D199" s="1" t="s">
        <v>66</v>
      </c>
      <c r="E199" s="1">
        <f t="shared" si="2"/>
        <v>270.75</v>
      </c>
      <c r="F199" s="1">
        <f t="shared" si="3"/>
        <v>3.38</v>
      </c>
      <c r="G199" s="1">
        <v>80.0</v>
      </c>
      <c r="H199" s="1">
        <v>8.0</v>
      </c>
      <c r="I199" s="1">
        <v>17.0</v>
      </c>
      <c r="J199" s="1">
        <v>25.0</v>
      </c>
      <c r="K199" s="1">
        <v>143.0</v>
      </c>
      <c r="L199" s="1">
        <v>1.0</v>
      </c>
      <c r="M199" s="1">
        <v>1.0</v>
      </c>
      <c r="N199" s="1">
        <v>0.0</v>
      </c>
      <c r="O199" s="1">
        <v>1.0</v>
      </c>
      <c r="P199" s="1">
        <v>167.0</v>
      </c>
      <c r="Q199" s="1">
        <v>137.0</v>
      </c>
    </row>
    <row r="200">
      <c r="A200" s="1">
        <f t="shared" si="1"/>
        <v>198</v>
      </c>
      <c r="B200" s="1" t="s">
        <v>2392</v>
      </c>
      <c r="C200" s="1" t="s">
        <v>1038</v>
      </c>
      <c r="D200" s="1" t="s">
        <v>5</v>
      </c>
      <c r="E200" s="1">
        <f t="shared" si="2"/>
        <v>270.3</v>
      </c>
      <c r="F200" s="1">
        <f t="shared" si="3"/>
        <v>5.88</v>
      </c>
      <c r="G200" s="1">
        <v>46.0</v>
      </c>
      <c r="R200" s="1">
        <v>27.0</v>
      </c>
      <c r="S200" s="1">
        <v>109.0</v>
      </c>
      <c r="T200" s="12">
        <v>1136.0</v>
      </c>
      <c r="U200" s="1">
        <v>4.0</v>
      </c>
    </row>
    <row r="201">
      <c r="A201" s="1">
        <f t="shared" si="1"/>
        <v>199</v>
      </c>
      <c r="B201" s="1" t="s">
        <v>1240</v>
      </c>
      <c r="C201" s="1" t="s">
        <v>1156</v>
      </c>
      <c r="D201" s="1" t="s">
        <v>28</v>
      </c>
      <c r="E201" s="1">
        <f t="shared" si="2"/>
        <v>270.25</v>
      </c>
      <c r="F201" s="1">
        <f t="shared" si="3"/>
        <v>3.7</v>
      </c>
      <c r="G201" s="1">
        <v>73.0</v>
      </c>
      <c r="H201" s="1">
        <v>17.0</v>
      </c>
      <c r="I201" s="1">
        <v>18.0</v>
      </c>
      <c r="J201" s="1">
        <v>35.0</v>
      </c>
      <c r="K201" s="1">
        <v>141.0</v>
      </c>
      <c r="L201" s="1">
        <v>2.0</v>
      </c>
      <c r="M201" s="1">
        <v>2.0</v>
      </c>
      <c r="N201" s="1">
        <v>0.0</v>
      </c>
      <c r="O201" s="1">
        <v>0.0</v>
      </c>
      <c r="P201" s="1">
        <v>175.0</v>
      </c>
      <c r="Q201" s="1">
        <v>51.0</v>
      </c>
    </row>
    <row r="202">
      <c r="A202" s="1">
        <f t="shared" si="1"/>
        <v>200</v>
      </c>
      <c r="B202" s="1" t="s">
        <v>1511</v>
      </c>
      <c r="C202" s="1" t="s">
        <v>1087</v>
      </c>
      <c r="D202" s="1" t="s">
        <v>5</v>
      </c>
      <c r="E202" s="1">
        <f t="shared" si="2"/>
        <v>270</v>
      </c>
      <c r="F202" s="1">
        <f t="shared" si="3"/>
        <v>5.51</v>
      </c>
      <c r="G202" s="1">
        <v>49.0</v>
      </c>
      <c r="R202" s="1">
        <v>20.0</v>
      </c>
      <c r="S202" s="1">
        <v>136.0</v>
      </c>
      <c r="T202" s="12">
        <v>1360.0</v>
      </c>
      <c r="U202" s="1">
        <v>2.0</v>
      </c>
    </row>
    <row r="203">
      <c r="A203" s="1">
        <f t="shared" si="1"/>
        <v>201</v>
      </c>
      <c r="B203" s="1" t="s">
        <v>1170</v>
      </c>
      <c r="C203" s="1" t="s">
        <v>1052</v>
      </c>
      <c r="D203" s="1" t="s">
        <v>36</v>
      </c>
      <c r="E203" s="1">
        <f t="shared" si="2"/>
        <v>269.75</v>
      </c>
      <c r="F203" s="1">
        <f t="shared" si="3"/>
        <v>3.75</v>
      </c>
      <c r="G203" s="1">
        <v>72.0</v>
      </c>
      <c r="H203" s="1">
        <v>18.0</v>
      </c>
      <c r="I203" s="1">
        <v>17.0</v>
      </c>
      <c r="J203" s="1">
        <v>35.0</v>
      </c>
      <c r="K203" s="1">
        <v>141.0</v>
      </c>
      <c r="L203" s="1">
        <v>0.0</v>
      </c>
      <c r="M203" s="1">
        <v>0.0</v>
      </c>
      <c r="N203" s="1">
        <v>2.0</v>
      </c>
      <c r="O203" s="1">
        <v>2.0</v>
      </c>
      <c r="P203" s="1">
        <v>119.0</v>
      </c>
      <c r="Q203" s="1">
        <v>59.0</v>
      </c>
    </row>
    <row r="204">
      <c r="A204" s="1">
        <f t="shared" si="1"/>
        <v>202</v>
      </c>
      <c r="B204" s="1" t="s">
        <v>1166</v>
      </c>
      <c r="C204" s="1" t="s">
        <v>1175</v>
      </c>
      <c r="D204" s="1" t="s">
        <v>66</v>
      </c>
      <c r="E204" s="1">
        <f t="shared" si="2"/>
        <v>269.5</v>
      </c>
      <c r="F204" s="1">
        <f t="shared" si="3"/>
        <v>5.08</v>
      </c>
      <c r="G204" s="1">
        <v>53.0</v>
      </c>
      <c r="H204" s="1">
        <v>3.0</v>
      </c>
      <c r="I204" s="1">
        <v>42.0</v>
      </c>
      <c r="J204" s="1">
        <v>45.0</v>
      </c>
      <c r="K204" s="1">
        <v>169.0</v>
      </c>
      <c r="L204" s="1">
        <v>2.0</v>
      </c>
      <c r="M204" s="1">
        <v>18.0</v>
      </c>
      <c r="N204" s="1">
        <v>0.0</v>
      </c>
      <c r="O204" s="1">
        <v>0.0</v>
      </c>
      <c r="P204" s="1">
        <v>44.0</v>
      </c>
      <c r="Q204" s="1">
        <v>69.0</v>
      </c>
    </row>
    <row r="205">
      <c r="A205" s="1">
        <f t="shared" si="1"/>
        <v>203</v>
      </c>
      <c r="B205" s="1" t="s">
        <v>2115</v>
      </c>
      <c r="C205" s="1" t="s">
        <v>1111</v>
      </c>
      <c r="D205" s="1" t="s">
        <v>31</v>
      </c>
      <c r="E205" s="1">
        <f t="shared" si="2"/>
        <v>269</v>
      </c>
      <c r="F205" s="1">
        <f t="shared" si="3"/>
        <v>3.74</v>
      </c>
      <c r="G205" s="1">
        <v>72.0</v>
      </c>
      <c r="H205" s="1">
        <v>15.0</v>
      </c>
      <c r="I205" s="1">
        <v>20.0</v>
      </c>
      <c r="J205" s="1">
        <v>35.0</v>
      </c>
      <c r="K205" s="1">
        <v>195.0</v>
      </c>
      <c r="L205" s="1">
        <v>1.0</v>
      </c>
      <c r="M205" s="1">
        <v>2.0</v>
      </c>
      <c r="N205" s="1">
        <v>3.0</v>
      </c>
      <c r="O205" s="1">
        <v>0.0</v>
      </c>
      <c r="P205" s="1">
        <v>50.0</v>
      </c>
      <c r="Q205" s="1">
        <v>51.0</v>
      </c>
    </row>
    <row r="206">
      <c r="A206" s="1">
        <f t="shared" si="1"/>
        <v>204</v>
      </c>
      <c r="B206" s="1" t="s">
        <v>1232</v>
      </c>
      <c r="C206" s="1" t="s">
        <v>1038</v>
      </c>
      <c r="D206" s="1" t="s">
        <v>28</v>
      </c>
      <c r="E206" s="1">
        <f t="shared" si="2"/>
        <v>267.75</v>
      </c>
      <c r="F206" s="1">
        <f t="shared" si="3"/>
        <v>3.94</v>
      </c>
      <c r="G206" s="1">
        <v>68.0</v>
      </c>
      <c r="H206" s="1">
        <v>27.0</v>
      </c>
      <c r="I206" s="1">
        <v>15.0</v>
      </c>
      <c r="J206" s="1">
        <v>42.0</v>
      </c>
      <c r="K206" s="1">
        <v>156.0</v>
      </c>
      <c r="L206" s="1">
        <v>8.0</v>
      </c>
      <c r="M206" s="1">
        <v>3.0</v>
      </c>
      <c r="N206" s="1">
        <v>0.0</v>
      </c>
      <c r="O206" s="1">
        <v>0.0</v>
      </c>
      <c r="P206" s="1">
        <v>45.0</v>
      </c>
      <c r="Q206" s="1">
        <v>24.0</v>
      </c>
    </row>
    <row r="207">
      <c r="A207" s="1">
        <f t="shared" si="1"/>
        <v>205</v>
      </c>
      <c r="B207" s="1" t="s">
        <v>1252</v>
      </c>
      <c r="C207" s="1" t="s">
        <v>1034</v>
      </c>
      <c r="D207" s="1" t="s">
        <v>31</v>
      </c>
      <c r="E207" s="1">
        <f t="shared" si="2"/>
        <v>267</v>
      </c>
      <c r="F207" s="1">
        <f t="shared" si="3"/>
        <v>3.26</v>
      </c>
      <c r="G207" s="1">
        <v>82.0</v>
      </c>
      <c r="H207" s="1">
        <v>19.0</v>
      </c>
      <c r="I207" s="1">
        <v>20.0</v>
      </c>
      <c r="J207" s="1">
        <v>39.0</v>
      </c>
      <c r="K207" s="1">
        <v>123.0</v>
      </c>
      <c r="L207" s="1">
        <v>0.0</v>
      </c>
      <c r="M207" s="1">
        <v>1.0</v>
      </c>
      <c r="N207" s="1">
        <v>5.0</v>
      </c>
      <c r="O207" s="1">
        <v>1.0</v>
      </c>
      <c r="P207" s="1">
        <v>94.0</v>
      </c>
      <c r="Q207" s="1">
        <v>49.0</v>
      </c>
    </row>
    <row r="208">
      <c r="A208" s="1">
        <f t="shared" si="1"/>
        <v>206</v>
      </c>
      <c r="B208" s="1" t="s">
        <v>2097</v>
      </c>
      <c r="C208" s="1" t="s">
        <v>1044</v>
      </c>
      <c r="D208" s="1" t="s">
        <v>5</v>
      </c>
      <c r="E208" s="1">
        <f t="shared" si="2"/>
        <v>266.4</v>
      </c>
      <c r="F208" s="1">
        <f t="shared" si="3"/>
        <v>5.33</v>
      </c>
      <c r="G208" s="1">
        <v>50.0</v>
      </c>
      <c r="R208" s="1">
        <v>17.0</v>
      </c>
      <c r="S208" s="1">
        <v>163.0</v>
      </c>
      <c r="T208" s="12">
        <v>1513.0</v>
      </c>
      <c r="U208" s="1">
        <v>2.0</v>
      </c>
    </row>
    <row r="209">
      <c r="A209" s="1">
        <f t="shared" si="1"/>
        <v>206</v>
      </c>
      <c r="B209" s="1" t="s">
        <v>2111</v>
      </c>
      <c r="C209" s="1" t="s">
        <v>1038</v>
      </c>
      <c r="D209" s="1" t="s">
        <v>5</v>
      </c>
      <c r="E209" s="1">
        <f t="shared" si="2"/>
        <v>266.4</v>
      </c>
      <c r="F209" s="1">
        <f t="shared" si="3"/>
        <v>6.66</v>
      </c>
      <c r="G209" s="1">
        <v>40.0</v>
      </c>
      <c r="R209" s="1">
        <v>22.0</v>
      </c>
      <c r="S209" s="1">
        <v>90.0</v>
      </c>
      <c r="T209" s="12">
        <v>1068.0</v>
      </c>
      <c r="U209" s="1">
        <v>5.0</v>
      </c>
    </row>
    <row r="210">
      <c r="A210" s="1">
        <f t="shared" si="1"/>
        <v>208</v>
      </c>
      <c r="B210" s="1" t="s">
        <v>2388</v>
      </c>
      <c r="C210" s="1" t="s">
        <v>1048</v>
      </c>
      <c r="D210" s="1" t="s">
        <v>36</v>
      </c>
      <c r="E210" s="1">
        <f t="shared" si="2"/>
        <v>266.25</v>
      </c>
      <c r="F210" s="1">
        <f t="shared" si="3"/>
        <v>3.29</v>
      </c>
      <c r="G210" s="1">
        <v>81.0</v>
      </c>
      <c r="H210" s="1">
        <v>22.0</v>
      </c>
      <c r="I210" s="1">
        <v>24.0</v>
      </c>
      <c r="J210" s="1">
        <v>46.0</v>
      </c>
      <c r="K210" s="1">
        <v>139.0</v>
      </c>
      <c r="L210" s="1">
        <v>1.0</v>
      </c>
      <c r="M210" s="1">
        <v>1.0</v>
      </c>
      <c r="N210" s="1">
        <v>0.0</v>
      </c>
      <c r="O210" s="1">
        <v>0.0</v>
      </c>
      <c r="P210" s="1">
        <v>53.0</v>
      </c>
      <c r="Q210" s="1">
        <v>25.0</v>
      </c>
    </row>
    <row r="211">
      <c r="A211" s="1">
        <f t="shared" si="1"/>
        <v>208</v>
      </c>
      <c r="B211" s="1" t="s">
        <v>1317</v>
      </c>
      <c r="C211" s="1" t="s">
        <v>1091</v>
      </c>
      <c r="D211" s="1" t="s">
        <v>66</v>
      </c>
      <c r="E211" s="1">
        <f t="shared" si="2"/>
        <v>266.25</v>
      </c>
      <c r="F211" s="1">
        <f t="shared" si="3"/>
        <v>3.25</v>
      </c>
      <c r="G211" s="1">
        <v>82.0</v>
      </c>
      <c r="H211" s="1">
        <v>7.0</v>
      </c>
      <c r="I211" s="1">
        <v>19.0</v>
      </c>
      <c r="J211" s="1">
        <v>26.0</v>
      </c>
      <c r="K211" s="1">
        <v>145.0</v>
      </c>
      <c r="L211" s="1">
        <v>0.0</v>
      </c>
      <c r="M211" s="1">
        <v>2.0</v>
      </c>
      <c r="N211" s="1">
        <v>0.0</v>
      </c>
      <c r="O211" s="1">
        <v>0.0</v>
      </c>
      <c r="P211" s="1">
        <v>123.0</v>
      </c>
      <c r="Q211" s="1">
        <v>149.0</v>
      </c>
    </row>
    <row r="212">
      <c r="A212" s="1">
        <f t="shared" si="1"/>
        <v>210</v>
      </c>
      <c r="B212" s="1" t="s">
        <v>2471</v>
      </c>
      <c r="C212" s="1" t="s">
        <v>1076</v>
      </c>
      <c r="D212" s="1" t="s">
        <v>31</v>
      </c>
      <c r="E212" s="1">
        <f t="shared" si="2"/>
        <v>266</v>
      </c>
      <c r="F212" s="1">
        <f t="shared" si="3"/>
        <v>3.33</v>
      </c>
      <c r="G212" s="1">
        <v>80.0</v>
      </c>
      <c r="H212" s="1">
        <v>19.0</v>
      </c>
      <c r="I212" s="1">
        <v>27.0</v>
      </c>
      <c r="J212" s="1">
        <v>46.0</v>
      </c>
      <c r="K212" s="1">
        <v>120.0</v>
      </c>
      <c r="L212" s="1">
        <v>5.0</v>
      </c>
      <c r="M212" s="1">
        <v>7.0</v>
      </c>
      <c r="N212" s="1">
        <v>2.0</v>
      </c>
      <c r="O212" s="1">
        <v>0.0</v>
      </c>
      <c r="P212" s="1">
        <v>66.0</v>
      </c>
      <c r="Q212" s="1">
        <v>38.0</v>
      </c>
    </row>
    <row r="213">
      <c r="A213" s="1">
        <f t="shared" si="1"/>
        <v>210</v>
      </c>
      <c r="B213" s="1" t="s">
        <v>1273</v>
      </c>
      <c r="C213" s="1" t="s">
        <v>1073</v>
      </c>
      <c r="D213" s="1" t="s">
        <v>66</v>
      </c>
      <c r="E213" s="1">
        <f t="shared" si="2"/>
        <v>266</v>
      </c>
      <c r="F213" s="1">
        <f t="shared" si="3"/>
        <v>3.24</v>
      </c>
      <c r="G213" s="1">
        <v>82.0</v>
      </c>
      <c r="H213" s="1">
        <v>8.0</v>
      </c>
      <c r="I213" s="1">
        <v>23.0</v>
      </c>
      <c r="J213" s="1">
        <v>31.0</v>
      </c>
      <c r="K213" s="1">
        <v>146.0</v>
      </c>
      <c r="L213" s="1">
        <v>5.0</v>
      </c>
      <c r="M213" s="1">
        <v>2.0</v>
      </c>
      <c r="N213" s="1">
        <v>1.0</v>
      </c>
      <c r="O213" s="1">
        <v>1.0</v>
      </c>
      <c r="P213" s="1">
        <v>70.0</v>
      </c>
      <c r="Q213" s="1">
        <v>133.0</v>
      </c>
    </row>
    <row r="214">
      <c r="A214" s="1">
        <f t="shared" si="1"/>
        <v>212</v>
      </c>
      <c r="B214" s="1" t="s">
        <v>1300</v>
      </c>
      <c r="C214" s="1" t="s">
        <v>1082</v>
      </c>
      <c r="D214" s="1" t="s">
        <v>66</v>
      </c>
      <c r="E214" s="1">
        <f t="shared" si="2"/>
        <v>264.25</v>
      </c>
      <c r="F214" s="1">
        <f t="shared" si="3"/>
        <v>3.43</v>
      </c>
      <c r="G214" s="1">
        <v>77.0</v>
      </c>
      <c r="H214" s="1">
        <v>4.0</v>
      </c>
      <c r="I214" s="1">
        <v>16.0</v>
      </c>
      <c r="J214" s="1">
        <v>20.0</v>
      </c>
      <c r="K214" s="1">
        <v>136.0</v>
      </c>
      <c r="L214" s="1">
        <v>0.0</v>
      </c>
      <c r="M214" s="1">
        <v>0.0</v>
      </c>
      <c r="N214" s="1">
        <v>0.0</v>
      </c>
      <c r="O214" s="1">
        <v>0.0</v>
      </c>
      <c r="P214" s="1">
        <v>255.0</v>
      </c>
      <c r="Q214" s="1">
        <v>133.0</v>
      </c>
    </row>
    <row r="215">
      <c r="A215" s="1">
        <f t="shared" si="1"/>
        <v>213</v>
      </c>
      <c r="B215" s="1" t="s">
        <v>2210</v>
      </c>
      <c r="C215" s="1" t="s">
        <v>1052</v>
      </c>
      <c r="D215" s="1" t="s">
        <v>36</v>
      </c>
      <c r="E215" s="1">
        <f t="shared" si="2"/>
        <v>263.5</v>
      </c>
      <c r="F215" s="1">
        <f t="shared" si="3"/>
        <v>3.66</v>
      </c>
      <c r="G215" s="1">
        <v>72.0</v>
      </c>
      <c r="H215" s="1">
        <v>19.0</v>
      </c>
      <c r="I215" s="1">
        <v>22.0</v>
      </c>
      <c r="J215" s="1">
        <v>41.0</v>
      </c>
      <c r="K215" s="1">
        <v>159.0</v>
      </c>
      <c r="L215" s="1">
        <v>9.0</v>
      </c>
      <c r="M215" s="1">
        <v>12.0</v>
      </c>
      <c r="N215" s="1">
        <v>0.0</v>
      </c>
      <c r="O215" s="1">
        <v>0.0</v>
      </c>
      <c r="P215" s="1">
        <v>62.0</v>
      </c>
      <c r="Q215" s="1">
        <v>34.0</v>
      </c>
    </row>
    <row r="216">
      <c r="A216" s="1">
        <f t="shared" si="1"/>
        <v>214</v>
      </c>
      <c r="B216" s="1" t="s">
        <v>2301</v>
      </c>
      <c r="C216" s="1" t="s">
        <v>1076</v>
      </c>
      <c r="D216" s="1" t="s">
        <v>66</v>
      </c>
      <c r="E216" s="1">
        <f t="shared" si="2"/>
        <v>263.25</v>
      </c>
      <c r="F216" s="1">
        <f t="shared" si="3"/>
        <v>3.21</v>
      </c>
      <c r="G216" s="1">
        <v>82.0</v>
      </c>
      <c r="H216" s="1">
        <v>5.0</v>
      </c>
      <c r="I216" s="1">
        <v>20.0</v>
      </c>
      <c r="J216" s="1">
        <v>25.0</v>
      </c>
      <c r="K216" s="1">
        <v>104.0</v>
      </c>
      <c r="L216" s="1">
        <v>0.0</v>
      </c>
      <c r="M216" s="1">
        <v>2.0</v>
      </c>
      <c r="N216" s="1">
        <v>0.0</v>
      </c>
      <c r="O216" s="1">
        <v>4.0</v>
      </c>
      <c r="P216" s="1">
        <v>67.0</v>
      </c>
      <c r="Q216" s="1">
        <v>208.0</v>
      </c>
    </row>
    <row r="217">
      <c r="A217" s="1">
        <f t="shared" si="1"/>
        <v>215</v>
      </c>
      <c r="B217" s="1" t="s">
        <v>1333</v>
      </c>
      <c r="C217" s="1" t="s">
        <v>1046</v>
      </c>
      <c r="D217" s="1" t="s">
        <v>66</v>
      </c>
      <c r="E217" s="1">
        <f t="shared" si="2"/>
        <v>262.25</v>
      </c>
      <c r="F217" s="1">
        <f t="shared" si="3"/>
        <v>3.28</v>
      </c>
      <c r="G217" s="1">
        <v>80.0</v>
      </c>
      <c r="H217" s="1">
        <v>9.0</v>
      </c>
      <c r="I217" s="1">
        <v>22.0</v>
      </c>
      <c r="J217" s="1">
        <v>31.0</v>
      </c>
      <c r="K217" s="1">
        <v>156.0</v>
      </c>
      <c r="L217" s="1">
        <v>0.0</v>
      </c>
      <c r="M217" s="1">
        <v>7.0</v>
      </c>
      <c r="N217" s="1">
        <v>1.0</v>
      </c>
      <c r="O217" s="1">
        <v>1.0</v>
      </c>
      <c r="P217" s="1">
        <v>97.0</v>
      </c>
      <c r="Q217" s="1">
        <v>99.0</v>
      </c>
    </row>
    <row r="218">
      <c r="A218" s="1">
        <f t="shared" si="1"/>
        <v>216</v>
      </c>
      <c r="B218" s="1" t="s">
        <v>2313</v>
      </c>
      <c r="C218" s="1" t="s">
        <v>1080</v>
      </c>
      <c r="D218" s="1" t="s">
        <v>31</v>
      </c>
      <c r="E218" s="1">
        <f t="shared" si="2"/>
        <v>261.5</v>
      </c>
      <c r="F218" s="1">
        <f t="shared" si="3"/>
        <v>3.35</v>
      </c>
      <c r="G218" s="1">
        <v>78.0</v>
      </c>
      <c r="H218" s="1">
        <v>22.0</v>
      </c>
      <c r="I218" s="1">
        <v>19.0</v>
      </c>
      <c r="J218" s="1">
        <v>41.0</v>
      </c>
      <c r="K218" s="1">
        <v>120.0</v>
      </c>
      <c r="L218" s="1">
        <v>1.0</v>
      </c>
      <c r="M218" s="1">
        <v>3.0</v>
      </c>
      <c r="N218" s="1">
        <v>3.0</v>
      </c>
      <c r="O218" s="1">
        <v>0.0</v>
      </c>
      <c r="P218" s="1">
        <v>88.0</v>
      </c>
      <c r="Q218" s="1">
        <v>35.0</v>
      </c>
    </row>
    <row r="219">
      <c r="A219" s="1">
        <f t="shared" si="1"/>
        <v>217</v>
      </c>
      <c r="B219" s="1" t="s">
        <v>1145</v>
      </c>
      <c r="C219" s="1" t="s">
        <v>1052</v>
      </c>
      <c r="D219" s="1" t="s">
        <v>31</v>
      </c>
      <c r="E219" s="1">
        <f t="shared" si="2"/>
        <v>261.25</v>
      </c>
      <c r="F219" s="1">
        <f t="shared" si="3"/>
        <v>3.35</v>
      </c>
      <c r="G219" s="1">
        <v>78.0</v>
      </c>
      <c r="H219" s="1">
        <v>19.0</v>
      </c>
      <c r="I219" s="1">
        <v>16.0</v>
      </c>
      <c r="J219" s="1">
        <v>35.0</v>
      </c>
      <c r="K219" s="1">
        <v>150.0</v>
      </c>
      <c r="L219" s="1">
        <v>1.0</v>
      </c>
      <c r="M219" s="1">
        <v>2.0</v>
      </c>
      <c r="N219" s="1">
        <v>4.0</v>
      </c>
      <c r="O219" s="1">
        <v>0.0</v>
      </c>
      <c r="P219" s="1">
        <v>77.0</v>
      </c>
      <c r="Q219" s="1">
        <v>51.0</v>
      </c>
    </row>
    <row r="220">
      <c r="A220" s="1">
        <f t="shared" si="1"/>
        <v>218</v>
      </c>
      <c r="B220" s="1" t="s">
        <v>1347</v>
      </c>
      <c r="C220" s="1" t="s">
        <v>1034</v>
      </c>
      <c r="D220" s="1" t="s">
        <v>31</v>
      </c>
      <c r="E220" s="1">
        <f t="shared" si="2"/>
        <v>261</v>
      </c>
      <c r="F220" s="1">
        <f t="shared" si="3"/>
        <v>3.18</v>
      </c>
      <c r="G220" s="1">
        <v>82.0</v>
      </c>
      <c r="H220" s="1">
        <v>18.0</v>
      </c>
      <c r="I220" s="1">
        <v>22.0</v>
      </c>
      <c r="J220" s="1">
        <v>40.0</v>
      </c>
      <c r="K220" s="1">
        <v>153.0</v>
      </c>
      <c r="L220" s="1">
        <v>2.0</v>
      </c>
      <c r="M220" s="1">
        <v>3.0</v>
      </c>
      <c r="N220" s="1">
        <v>1.0</v>
      </c>
      <c r="O220" s="1">
        <v>1.0</v>
      </c>
      <c r="P220" s="1">
        <v>88.0</v>
      </c>
      <c r="Q220" s="1">
        <v>23.0</v>
      </c>
    </row>
    <row r="221">
      <c r="A221" s="1">
        <f t="shared" si="1"/>
        <v>219</v>
      </c>
      <c r="B221" s="1" t="s">
        <v>2466</v>
      </c>
      <c r="C221" s="1" t="s">
        <v>1067</v>
      </c>
      <c r="D221" s="1" t="s">
        <v>5</v>
      </c>
      <c r="E221" s="1">
        <f t="shared" si="2"/>
        <v>260.7</v>
      </c>
      <c r="F221" s="1">
        <f t="shared" si="3"/>
        <v>5.21</v>
      </c>
      <c r="G221" s="1">
        <v>50.0</v>
      </c>
      <c r="R221" s="1">
        <v>18.0</v>
      </c>
      <c r="S221" s="1">
        <v>142.0</v>
      </c>
      <c r="T221" s="12">
        <v>1399.0</v>
      </c>
      <c r="U221" s="1">
        <v>0.0</v>
      </c>
    </row>
    <row r="222">
      <c r="A222" s="1">
        <f t="shared" si="1"/>
        <v>220</v>
      </c>
      <c r="B222" s="1" t="s">
        <v>1575</v>
      </c>
      <c r="C222" s="1" t="s">
        <v>1030</v>
      </c>
      <c r="D222" s="1" t="s">
        <v>66</v>
      </c>
      <c r="E222" s="1">
        <f t="shared" si="2"/>
        <v>260</v>
      </c>
      <c r="F222" s="1">
        <f t="shared" si="3"/>
        <v>3.25</v>
      </c>
      <c r="G222" s="1">
        <v>80.0</v>
      </c>
      <c r="H222" s="1">
        <v>7.0</v>
      </c>
      <c r="I222" s="1">
        <v>18.0</v>
      </c>
      <c r="J222" s="1">
        <v>25.0</v>
      </c>
      <c r="K222" s="1">
        <v>144.0</v>
      </c>
      <c r="L222" s="1">
        <v>0.0</v>
      </c>
      <c r="M222" s="1">
        <v>0.0</v>
      </c>
      <c r="N222" s="1">
        <v>0.0</v>
      </c>
      <c r="O222" s="1">
        <v>0.0</v>
      </c>
      <c r="P222" s="1">
        <v>124.0</v>
      </c>
      <c r="Q222" s="1">
        <v>143.0</v>
      </c>
    </row>
    <row r="223">
      <c r="A223" s="1">
        <f t="shared" si="1"/>
        <v>221</v>
      </c>
      <c r="B223" s="1" t="s">
        <v>2175</v>
      </c>
      <c r="C223" s="1" t="s">
        <v>1032</v>
      </c>
      <c r="D223" s="1" t="s">
        <v>28</v>
      </c>
      <c r="E223" s="1">
        <f t="shared" si="2"/>
        <v>257</v>
      </c>
      <c r="F223" s="1">
        <f t="shared" si="3"/>
        <v>3.52</v>
      </c>
      <c r="G223" s="1">
        <v>73.0</v>
      </c>
      <c r="H223" s="1">
        <v>20.0</v>
      </c>
      <c r="I223" s="1">
        <v>23.0</v>
      </c>
      <c r="J223" s="1">
        <v>43.0</v>
      </c>
      <c r="K223" s="1">
        <v>130.0</v>
      </c>
      <c r="L223" s="1">
        <v>3.0</v>
      </c>
      <c r="M223" s="1">
        <v>3.0</v>
      </c>
      <c r="N223" s="1">
        <v>0.0</v>
      </c>
      <c r="O223" s="1">
        <v>0.0</v>
      </c>
      <c r="P223" s="1">
        <v>60.0</v>
      </c>
      <c r="Q223" s="1">
        <v>36.0</v>
      </c>
    </row>
    <row r="224">
      <c r="A224" s="1">
        <f t="shared" si="1"/>
        <v>222</v>
      </c>
      <c r="B224" s="1" t="s">
        <v>1191</v>
      </c>
      <c r="C224" s="1" t="s">
        <v>1091</v>
      </c>
      <c r="D224" s="1" t="s">
        <v>66</v>
      </c>
      <c r="E224" s="1">
        <f t="shared" si="2"/>
        <v>256.75</v>
      </c>
      <c r="F224" s="1">
        <f t="shared" si="3"/>
        <v>3.13</v>
      </c>
      <c r="G224" s="1">
        <v>82.0</v>
      </c>
      <c r="H224" s="1">
        <v>9.0</v>
      </c>
      <c r="I224" s="1">
        <v>26.0</v>
      </c>
      <c r="J224" s="1">
        <v>35.0</v>
      </c>
      <c r="K224" s="1">
        <v>121.0</v>
      </c>
      <c r="L224" s="1">
        <v>2.0</v>
      </c>
      <c r="M224" s="1">
        <v>3.0</v>
      </c>
      <c r="N224" s="1">
        <v>0.0</v>
      </c>
      <c r="O224" s="1">
        <v>0.0</v>
      </c>
      <c r="P224" s="1">
        <v>45.0</v>
      </c>
      <c r="Q224" s="1">
        <v>133.0</v>
      </c>
    </row>
    <row r="225">
      <c r="A225" s="1">
        <f t="shared" si="1"/>
        <v>222</v>
      </c>
      <c r="B225" s="1" t="s">
        <v>1426</v>
      </c>
      <c r="C225" s="1" t="s">
        <v>1087</v>
      </c>
      <c r="D225" s="1" t="s">
        <v>31</v>
      </c>
      <c r="E225" s="1">
        <f t="shared" si="2"/>
        <v>256.75</v>
      </c>
      <c r="F225" s="1">
        <f t="shared" si="3"/>
        <v>3.52</v>
      </c>
      <c r="G225" s="1">
        <v>73.0</v>
      </c>
      <c r="H225" s="1">
        <v>20.0</v>
      </c>
      <c r="I225" s="1">
        <v>13.0</v>
      </c>
      <c r="J225" s="1">
        <v>33.0</v>
      </c>
      <c r="K225" s="1">
        <v>111.0</v>
      </c>
      <c r="L225" s="1">
        <v>0.0</v>
      </c>
      <c r="M225" s="1">
        <v>0.0</v>
      </c>
      <c r="N225" s="1">
        <v>2.0</v>
      </c>
      <c r="O225" s="1">
        <v>1.0</v>
      </c>
      <c r="P225" s="1">
        <v>129.0</v>
      </c>
      <c r="Q225" s="1">
        <v>68.0</v>
      </c>
    </row>
    <row r="226">
      <c r="A226" s="1">
        <f t="shared" si="1"/>
        <v>224</v>
      </c>
      <c r="B226" s="1" t="s">
        <v>1592</v>
      </c>
      <c r="C226" s="1" t="s">
        <v>1069</v>
      </c>
      <c r="D226" s="1" t="s">
        <v>5</v>
      </c>
      <c r="E226" s="1">
        <f t="shared" si="2"/>
        <v>256.2</v>
      </c>
      <c r="F226" s="1">
        <f t="shared" si="3"/>
        <v>5.69</v>
      </c>
      <c r="G226" s="1">
        <v>45.0</v>
      </c>
      <c r="R226" s="1">
        <v>27.0</v>
      </c>
      <c r="S226" s="1">
        <v>109.0</v>
      </c>
      <c r="T226" s="12">
        <v>1119.0</v>
      </c>
      <c r="U226" s="1">
        <v>1.0</v>
      </c>
    </row>
    <row r="227">
      <c r="A227" s="1">
        <f t="shared" si="1"/>
        <v>225</v>
      </c>
      <c r="B227" s="1" t="s">
        <v>1194</v>
      </c>
      <c r="C227" s="1" t="s">
        <v>1040</v>
      </c>
      <c r="D227" s="1" t="s">
        <v>66</v>
      </c>
      <c r="E227" s="1">
        <f t="shared" si="2"/>
        <v>256</v>
      </c>
      <c r="F227" s="1">
        <f t="shared" si="3"/>
        <v>3.28</v>
      </c>
      <c r="G227" s="1">
        <v>78.0</v>
      </c>
      <c r="H227" s="1">
        <v>8.0</v>
      </c>
      <c r="I227" s="1">
        <v>17.0</v>
      </c>
      <c r="J227" s="1">
        <v>25.0</v>
      </c>
      <c r="K227" s="1">
        <v>126.0</v>
      </c>
      <c r="L227" s="1">
        <v>0.0</v>
      </c>
      <c r="M227" s="1">
        <v>0.0</v>
      </c>
      <c r="N227" s="1">
        <v>0.0</v>
      </c>
      <c r="O227" s="1">
        <v>1.0</v>
      </c>
      <c r="P227" s="1">
        <v>178.0</v>
      </c>
      <c r="Q227" s="1">
        <v>119.0</v>
      </c>
    </row>
    <row r="228">
      <c r="A228" s="1">
        <f t="shared" si="1"/>
        <v>226</v>
      </c>
      <c r="B228" s="1" t="s">
        <v>1158</v>
      </c>
      <c r="C228" s="1" t="s">
        <v>1078</v>
      </c>
      <c r="D228" s="1" t="s">
        <v>36</v>
      </c>
      <c r="E228" s="1">
        <f t="shared" si="2"/>
        <v>255.75</v>
      </c>
      <c r="F228" s="1">
        <f t="shared" si="3"/>
        <v>3.12</v>
      </c>
      <c r="G228" s="1">
        <v>82.0</v>
      </c>
      <c r="H228" s="1">
        <v>13.0</v>
      </c>
      <c r="I228" s="1">
        <v>21.0</v>
      </c>
      <c r="J228" s="1">
        <v>34.0</v>
      </c>
      <c r="K228" s="1">
        <v>226.0</v>
      </c>
      <c r="L228" s="1">
        <v>3.0</v>
      </c>
      <c r="M228" s="1">
        <v>2.0</v>
      </c>
      <c r="N228" s="1">
        <v>0.0</v>
      </c>
      <c r="O228" s="1">
        <v>0.0</v>
      </c>
      <c r="P228" s="1">
        <v>39.0</v>
      </c>
      <c r="Q228" s="1">
        <v>23.0</v>
      </c>
    </row>
    <row r="229">
      <c r="A229" s="1">
        <f t="shared" si="1"/>
        <v>226</v>
      </c>
      <c r="B229" s="1" t="s">
        <v>1351</v>
      </c>
      <c r="C229" s="1" t="s">
        <v>1082</v>
      </c>
      <c r="D229" s="1" t="s">
        <v>31</v>
      </c>
      <c r="E229" s="1">
        <f t="shared" si="2"/>
        <v>255.75</v>
      </c>
      <c r="F229" s="1">
        <f t="shared" si="3"/>
        <v>3.16</v>
      </c>
      <c r="G229" s="1">
        <v>81.0</v>
      </c>
      <c r="H229" s="1">
        <v>13.0</v>
      </c>
      <c r="I229" s="1">
        <v>23.0</v>
      </c>
      <c r="J229" s="1">
        <v>36.0</v>
      </c>
      <c r="K229" s="1">
        <v>163.0</v>
      </c>
      <c r="L229" s="1">
        <v>0.0</v>
      </c>
      <c r="M229" s="1">
        <v>3.0</v>
      </c>
      <c r="N229" s="1">
        <v>1.0</v>
      </c>
      <c r="O229" s="1">
        <v>2.0</v>
      </c>
      <c r="P229" s="1">
        <v>69.0</v>
      </c>
      <c r="Q229" s="1">
        <v>47.0</v>
      </c>
    </row>
    <row r="230">
      <c r="A230" s="1">
        <f t="shared" si="1"/>
        <v>228</v>
      </c>
      <c r="B230" s="1" t="s">
        <v>1408</v>
      </c>
      <c r="C230" s="1" t="s">
        <v>1032</v>
      </c>
      <c r="D230" s="1" t="s">
        <v>66</v>
      </c>
      <c r="E230" s="1">
        <f t="shared" si="2"/>
        <v>255.5</v>
      </c>
      <c r="F230" s="1">
        <f t="shared" si="3"/>
        <v>3.45</v>
      </c>
      <c r="G230" s="1">
        <v>74.0</v>
      </c>
      <c r="H230" s="1">
        <v>7.0</v>
      </c>
      <c r="I230" s="1">
        <v>19.0</v>
      </c>
      <c r="J230" s="1">
        <v>26.0</v>
      </c>
      <c r="K230" s="1">
        <v>132.0</v>
      </c>
      <c r="L230" s="1">
        <v>0.0</v>
      </c>
      <c r="M230" s="1">
        <v>1.0</v>
      </c>
      <c r="N230" s="1">
        <v>0.0</v>
      </c>
      <c r="O230" s="1">
        <v>0.0</v>
      </c>
      <c r="P230" s="1">
        <v>120.0</v>
      </c>
      <c r="Q230" s="1">
        <v>142.0</v>
      </c>
    </row>
    <row r="231">
      <c r="A231" s="1">
        <f t="shared" si="1"/>
        <v>229</v>
      </c>
      <c r="B231" s="1" t="s">
        <v>1186</v>
      </c>
      <c r="C231" s="1" t="s">
        <v>1111</v>
      </c>
      <c r="D231" s="1" t="s">
        <v>28</v>
      </c>
      <c r="E231" s="1">
        <f t="shared" si="2"/>
        <v>255</v>
      </c>
      <c r="F231" s="1">
        <f t="shared" si="3"/>
        <v>3.15</v>
      </c>
      <c r="G231" s="1">
        <v>81.0</v>
      </c>
      <c r="H231" s="1">
        <v>11.0</v>
      </c>
      <c r="I231" s="1">
        <v>14.0</v>
      </c>
      <c r="J231" s="1">
        <v>25.0</v>
      </c>
      <c r="K231" s="1">
        <v>131.0</v>
      </c>
      <c r="L231" s="1">
        <v>0.0</v>
      </c>
      <c r="M231" s="1">
        <v>0.0</v>
      </c>
      <c r="N231" s="1">
        <v>2.0</v>
      </c>
      <c r="O231" s="1">
        <v>0.0</v>
      </c>
      <c r="P231" s="1">
        <v>288.0</v>
      </c>
      <c r="Q231" s="1">
        <v>44.0</v>
      </c>
    </row>
    <row r="232">
      <c r="A232" s="1">
        <f t="shared" si="1"/>
        <v>230</v>
      </c>
      <c r="B232" s="1" t="s">
        <v>1865</v>
      </c>
      <c r="C232" s="1" t="s">
        <v>1111</v>
      </c>
      <c r="D232" s="1" t="s">
        <v>31</v>
      </c>
      <c r="E232" s="1">
        <f t="shared" si="2"/>
        <v>254.75</v>
      </c>
      <c r="F232" s="1">
        <f t="shared" si="3"/>
        <v>3.54</v>
      </c>
      <c r="G232" s="1">
        <v>72.0</v>
      </c>
      <c r="H232" s="1">
        <v>16.0</v>
      </c>
      <c r="I232" s="1">
        <v>23.0</v>
      </c>
      <c r="J232" s="1">
        <v>39.0</v>
      </c>
      <c r="K232" s="1">
        <v>152.0</v>
      </c>
      <c r="L232" s="1">
        <v>3.0</v>
      </c>
      <c r="M232" s="1">
        <v>2.0</v>
      </c>
      <c r="N232" s="1">
        <v>0.0</v>
      </c>
      <c r="O232" s="1">
        <v>0.0</v>
      </c>
      <c r="P232" s="1">
        <v>69.0</v>
      </c>
      <c r="Q232" s="1">
        <v>41.0</v>
      </c>
    </row>
    <row r="233">
      <c r="A233" s="1">
        <f t="shared" si="1"/>
        <v>230</v>
      </c>
      <c r="B233" s="1" t="s">
        <v>1045</v>
      </c>
      <c r="C233" s="1" t="s">
        <v>1046</v>
      </c>
      <c r="D233" s="1" t="s">
        <v>31</v>
      </c>
      <c r="E233" s="1">
        <f t="shared" si="2"/>
        <v>254.75</v>
      </c>
      <c r="F233" s="1">
        <f t="shared" si="3"/>
        <v>3.4</v>
      </c>
      <c r="G233" s="1">
        <v>75.0</v>
      </c>
      <c r="H233" s="1">
        <v>13.0</v>
      </c>
      <c r="I233" s="1">
        <v>34.0</v>
      </c>
      <c r="J233" s="1">
        <v>47.0</v>
      </c>
      <c r="K233" s="1">
        <v>108.0</v>
      </c>
      <c r="L233" s="1">
        <v>4.0</v>
      </c>
      <c r="M233" s="1">
        <v>16.0</v>
      </c>
      <c r="N233" s="1">
        <v>0.0</v>
      </c>
      <c r="O233" s="1">
        <v>0.0</v>
      </c>
      <c r="P233" s="1">
        <v>115.0</v>
      </c>
      <c r="Q233" s="1">
        <v>23.0</v>
      </c>
    </row>
    <row r="234">
      <c r="A234" s="1">
        <f t="shared" si="1"/>
        <v>232</v>
      </c>
      <c r="B234" s="1" t="s">
        <v>2480</v>
      </c>
      <c r="C234" s="1" t="s">
        <v>1570</v>
      </c>
      <c r="D234" s="1" t="s">
        <v>28</v>
      </c>
      <c r="E234" s="1">
        <f t="shared" si="2"/>
        <v>254.5</v>
      </c>
      <c r="F234" s="1">
        <f t="shared" si="3"/>
        <v>3.1</v>
      </c>
      <c r="G234" s="1">
        <v>82.0</v>
      </c>
      <c r="H234" s="1">
        <v>16.0</v>
      </c>
      <c r="I234" s="1">
        <v>21.0</v>
      </c>
      <c r="J234" s="1">
        <v>37.0</v>
      </c>
      <c r="K234" s="1">
        <v>161.0</v>
      </c>
      <c r="L234" s="1">
        <v>4.0</v>
      </c>
      <c r="M234" s="1">
        <v>6.0</v>
      </c>
      <c r="N234" s="1">
        <v>0.0</v>
      </c>
      <c r="O234" s="1">
        <v>0.0</v>
      </c>
      <c r="P234" s="1">
        <v>74.0</v>
      </c>
      <c r="Q234" s="1">
        <v>41.0</v>
      </c>
    </row>
    <row r="235">
      <c r="A235" s="1">
        <f t="shared" si="1"/>
        <v>233</v>
      </c>
      <c r="B235" s="1" t="s">
        <v>1922</v>
      </c>
      <c r="C235" s="1" t="s">
        <v>1091</v>
      </c>
      <c r="D235" s="1" t="s">
        <v>66</v>
      </c>
      <c r="E235" s="1">
        <f t="shared" si="2"/>
        <v>254</v>
      </c>
      <c r="F235" s="1">
        <f t="shared" si="3"/>
        <v>3.1</v>
      </c>
      <c r="G235" s="1">
        <v>82.0</v>
      </c>
      <c r="H235" s="1">
        <v>5.0</v>
      </c>
      <c r="I235" s="1">
        <v>15.0</v>
      </c>
      <c r="J235" s="1">
        <v>20.0</v>
      </c>
      <c r="K235" s="1">
        <v>86.0</v>
      </c>
      <c r="L235" s="1">
        <v>0.0</v>
      </c>
      <c r="M235" s="1">
        <v>0.0</v>
      </c>
      <c r="N235" s="1">
        <v>0.0</v>
      </c>
      <c r="O235" s="1">
        <v>0.0</v>
      </c>
      <c r="P235" s="1">
        <v>258.0</v>
      </c>
      <c r="Q235" s="1">
        <v>158.0</v>
      </c>
    </row>
    <row r="236">
      <c r="A236" s="1">
        <f t="shared" si="1"/>
        <v>233</v>
      </c>
      <c r="B236" s="1" t="s">
        <v>1201</v>
      </c>
      <c r="C236" s="1" t="s">
        <v>1085</v>
      </c>
      <c r="D236" s="1" t="s">
        <v>66</v>
      </c>
      <c r="E236" s="1">
        <f t="shared" si="2"/>
        <v>254</v>
      </c>
      <c r="F236" s="1">
        <f t="shared" si="3"/>
        <v>3.1</v>
      </c>
      <c r="G236" s="1">
        <v>82.0</v>
      </c>
      <c r="H236" s="1">
        <v>12.0</v>
      </c>
      <c r="I236" s="1">
        <v>21.0</v>
      </c>
      <c r="J236" s="1">
        <v>33.0</v>
      </c>
      <c r="K236" s="1">
        <v>182.0</v>
      </c>
      <c r="L236" s="1">
        <v>2.0</v>
      </c>
      <c r="M236" s="1">
        <v>6.0</v>
      </c>
      <c r="N236" s="1">
        <v>0.0</v>
      </c>
      <c r="O236" s="1">
        <v>1.0</v>
      </c>
      <c r="P236" s="1">
        <v>34.0</v>
      </c>
      <c r="Q236" s="1">
        <v>71.0</v>
      </c>
    </row>
    <row r="237">
      <c r="A237" s="1">
        <f t="shared" si="1"/>
        <v>235</v>
      </c>
      <c r="B237" s="1" t="s">
        <v>1312</v>
      </c>
      <c r="C237" s="1" t="s">
        <v>1036</v>
      </c>
      <c r="D237" s="1" t="s">
        <v>66</v>
      </c>
      <c r="E237" s="1">
        <f t="shared" si="2"/>
        <v>253</v>
      </c>
      <c r="F237" s="1">
        <f t="shared" si="3"/>
        <v>3.09</v>
      </c>
      <c r="G237" s="1">
        <v>82.0</v>
      </c>
      <c r="H237" s="1">
        <v>3.0</v>
      </c>
      <c r="I237" s="1">
        <v>17.0</v>
      </c>
      <c r="J237" s="1">
        <v>20.0</v>
      </c>
      <c r="K237" s="1">
        <v>117.0</v>
      </c>
      <c r="L237" s="1">
        <v>0.0</v>
      </c>
      <c r="M237" s="1">
        <v>0.0</v>
      </c>
      <c r="N237" s="1">
        <v>0.0</v>
      </c>
      <c r="O237" s="1">
        <v>1.0</v>
      </c>
      <c r="P237" s="1">
        <v>256.0</v>
      </c>
      <c r="Q237" s="1">
        <v>128.0</v>
      </c>
    </row>
    <row r="238">
      <c r="A238" s="1">
        <f t="shared" si="1"/>
        <v>236</v>
      </c>
      <c r="B238" s="1" t="s">
        <v>2280</v>
      </c>
      <c r="C238" s="1" t="s">
        <v>1085</v>
      </c>
      <c r="D238" s="1" t="s">
        <v>5</v>
      </c>
      <c r="E238" s="1">
        <f t="shared" si="2"/>
        <v>252.6</v>
      </c>
      <c r="F238" s="1">
        <f t="shared" si="3"/>
        <v>6.16</v>
      </c>
      <c r="G238" s="1">
        <v>41.0</v>
      </c>
      <c r="R238" s="1">
        <v>16.0</v>
      </c>
      <c r="S238" s="1">
        <v>95.0</v>
      </c>
      <c r="T238" s="12">
        <v>1137.0</v>
      </c>
      <c r="U238" s="1">
        <v>2.0</v>
      </c>
    </row>
    <row r="239">
      <c r="A239" s="1">
        <f t="shared" si="1"/>
        <v>237</v>
      </c>
      <c r="B239" s="1" t="s">
        <v>2390</v>
      </c>
      <c r="C239" s="1" t="s">
        <v>1082</v>
      </c>
      <c r="D239" s="1" t="s">
        <v>36</v>
      </c>
      <c r="E239" s="1">
        <f t="shared" si="2"/>
        <v>252.25</v>
      </c>
      <c r="F239" s="1">
        <f t="shared" si="3"/>
        <v>3.36</v>
      </c>
      <c r="G239" s="1">
        <v>75.0</v>
      </c>
      <c r="H239" s="1">
        <v>14.0</v>
      </c>
      <c r="I239" s="1">
        <v>19.0</v>
      </c>
      <c r="J239" s="1">
        <v>33.0</v>
      </c>
      <c r="K239" s="1">
        <v>140.0</v>
      </c>
      <c r="L239" s="1">
        <v>0.0</v>
      </c>
      <c r="M239" s="1">
        <v>2.0</v>
      </c>
      <c r="N239" s="1">
        <v>1.0</v>
      </c>
      <c r="O239" s="1">
        <v>0.0</v>
      </c>
      <c r="P239" s="1">
        <v>137.0</v>
      </c>
      <c r="Q239" s="1">
        <v>52.0</v>
      </c>
    </row>
    <row r="240">
      <c r="A240" s="1">
        <f t="shared" si="1"/>
        <v>238</v>
      </c>
      <c r="B240" s="1" t="s">
        <v>1185</v>
      </c>
      <c r="C240" s="1" t="s">
        <v>1156</v>
      </c>
      <c r="D240" s="1" t="s">
        <v>36</v>
      </c>
      <c r="E240" s="1">
        <f t="shared" si="2"/>
        <v>250.75</v>
      </c>
      <c r="F240" s="1">
        <f t="shared" si="3"/>
        <v>3.26</v>
      </c>
      <c r="G240" s="1">
        <v>77.0</v>
      </c>
      <c r="H240" s="1">
        <v>23.0</v>
      </c>
      <c r="I240" s="1">
        <v>13.0</v>
      </c>
      <c r="J240" s="1">
        <v>36.0</v>
      </c>
      <c r="K240" s="1">
        <v>161.0</v>
      </c>
      <c r="L240" s="1">
        <v>3.0</v>
      </c>
      <c r="M240" s="1">
        <v>0.0</v>
      </c>
      <c r="N240" s="1">
        <v>0.0</v>
      </c>
      <c r="O240" s="1">
        <v>0.0</v>
      </c>
      <c r="P240" s="1">
        <v>43.0</v>
      </c>
      <c r="Q240" s="1">
        <v>34.0</v>
      </c>
    </row>
    <row r="241">
      <c r="A241" s="1">
        <f t="shared" si="1"/>
        <v>239</v>
      </c>
      <c r="B241" s="1" t="s">
        <v>1777</v>
      </c>
      <c r="C241" s="1" t="s">
        <v>1044</v>
      </c>
      <c r="D241" s="1" t="s">
        <v>31</v>
      </c>
      <c r="E241" s="1">
        <f t="shared" si="2"/>
        <v>250</v>
      </c>
      <c r="F241" s="1">
        <f t="shared" si="3"/>
        <v>3.09</v>
      </c>
      <c r="G241" s="1">
        <v>81.0</v>
      </c>
      <c r="H241" s="1">
        <v>9.0</v>
      </c>
      <c r="I241" s="1">
        <v>39.0</v>
      </c>
      <c r="J241" s="1">
        <v>48.0</v>
      </c>
      <c r="K241" s="1">
        <v>116.0</v>
      </c>
      <c r="L241" s="1">
        <v>0.0</v>
      </c>
      <c r="M241" s="1">
        <v>10.0</v>
      </c>
      <c r="N241" s="1">
        <v>0.0</v>
      </c>
      <c r="O241" s="1">
        <v>0.0</v>
      </c>
      <c r="P241" s="1">
        <v>30.0</v>
      </c>
      <c r="Q241" s="1">
        <v>54.0</v>
      </c>
    </row>
    <row r="242">
      <c r="A242" s="1">
        <f t="shared" si="1"/>
        <v>240</v>
      </c>
      <c r="B242" s="1" t="s">
        <v>2141</v>
      </c>
      <c r="C242" s="1" t="s">
        <v>1036</v>
      </c>
      <c r="D242" s="1" t="s">
        <v>36</v>
      </c>
      <c r="E242" s="1">
        <f t="shared" si="2"/>
        <v>249.25</v>
      </c>
      <c r="F242" s="1">
        <f t="shared" si="3"/>
        <v>3.41</v>
      </c>
      <c r="G242" s="1">
        <v>73.0</v>
      </c>
      <c r="H242" s="1">
        <v>22.0</v>
      </c>
      <c r="I242" s="1">
        <v>16.0</v>
      </c>
      <c r="J242" s="1">
        <v>38.0</v>
      </c>
      <c r="K242" s="1">
        <v>123.0</v>
      </c>
      <c r="L242" s="1">
        <v>8.0</v>
      </c>
      <c r="M242" s="1">
        <v>7.0</v>
      </c>
      <c r="N242" s="1">
        <v>1.0</v>
      </c>
      <c r="O242" s="1">
        <v>1.0</v>
      </c>
      <c r="P242" s="1">
        <v>85.0</v>
      </c>
      <c r="Q242" s="1">
        <v>31.0</v>
      </c>
    </row>
    <row r="243">
      <c r="A243" s="1">
        <f t="shared" si="1"/>
        <v>241</v>
      </c>
      <c r="B243" s="1" t="s">
        <v>2060</v>
      </c>
      <c r="C243" s="1" t="s">
        <v>1091</v>
      </c>
      <c r="D243" s="1" t="s">
        <v>28</v>
      </c>
      <c r="E243" s="1">
        <f t="shared" si="2"/>
        <v>248.5</v>
      </c>
      <c r="F243" s="1">
        <f t="shared" si="3"/>
        <v>3.07</v>
      </c>
      <c r="G243" s="1">
        <v>81.0</v>
      </c>
      <c r="H243" s="1">
        <v>17.0</v>
      </c>
      <c r="I243" s="1">
        <v>16.0</v>
      </c>
      <c r="J243" s="1">
        <v>33.0</v>
      </c>
      <c r="K243" s="1">
        <v>162.0</v>
      </c>
      <c r="L243" s="1">
        <v>2.0</v>
      </c>
      <c r="M243" s="1">
        <v>1.0</v>
      </c>
      <c r="N243" s="1">
        <v>0.0</v>
      </c>
      <c r="O243" s="1">
        <v>0.0</v>
      </c>
      <c r="P243" s="1">
        <v>68.0</v>
      </c>
      <c r="Q243" s="1">
        <v>52.0</v>
      </c>
    </row>
    <row r="244">
      <c r="A244" s="1">
        <f t="shared" si="1"/>
        <v>242</v>
      </c>
      <c r="B244" s="1" t="s">
        <v>1250</v>
      </c>
      <c r="C244" s="1" t="s">
        <v>1106</v>
      </c>
      <c r="D244" s="1" t="s">
        <v>36</v>
      </c>
      <c r="E244" s="1">
        <f t="shared" si="2"/>
        <v>248</v>
      </c>
      <c r="F244" s="1">
        <f t="shared" si="3"/>
        <v>4.35</v>
      </c>
      <c r="G244" s="1">
        <v>57.0</v>
      </c>
      <c r="H244" s="1">
        <v>23.0</v>
      </c>
      <c r="I244" s="1">
        <v>23.0</v>
      </c>
      <c r="J244" s="1">
        <v>46.0</v>
      </c>
      <c r="K244" s="1">
        <v>112.0</v>
      </c>
      <c r="L244" s="1">
        <v>7.0</v>
      </c>
      <c r="M244" s="1">
        <v>7.0</v>
      </c>
      <c r="N244" s="1">
        <v>0.0</v>
      </c>
      <c r="O244" s="1">
        <v>0.0</v>
      </c>
      <c r="P244" s="1">
        <v>52.0</v>
      </c>
      <c r="Q244" s="1">
        <v>13.0</v>
      </c>
    </row>
    <row r="245">
      <c r="A245" s="1">
        <f t="shared" si="1"/>
        <v>243</v>
      </c>
      <c r="B245" s="1" t="s">
        <v>1444</v>
      </c>
      <c r="C245" s="1" t="s">
        <v>1097</v>
      </c>
      <c r="D245" s="1" t="s">
        <v>28</v>
      </c>
      <c r="E245" s="1">
        <f t="shared" si="2"/>
        <v>247</v>
      </c>
      <c r="F245" s="1">
        <f t="shared" si="3"/>
        <v>3.01</v>
      </c>
      <c r="G245" s="1">
        <v>82.0</v>
      </c>
      <c r="H245" s="1">
        <v>11.0</v>
      </c>
      <c r="I245" s="1">
        <v>20.0</v>
      </c>
      <c r="J245" s="1">
        <v>31.0</v>
      </c>
      <c r="K245" s="1">
        <v>176.0</v>
      </c>
      <c r="L245" s="1">
        <v>0.0</v>
      </c>
      <c r="M245" s="1">
        <v>0.0</v>
      </c>
      <c r="N245" s="1">
        <v>0.0</v>
      </c>
      <c r="O245" s="1">
        <v>0.0</v>
      </c>
      <c r="P245" s="1">
        <v>120.0</v>
      </c>
      <c r="Q245" s="1">
        <v>39.0</v>
      </c>
    </row>
    <row r="246">
      <c r="A246" s="1">
        <f t="shared" si="1"/>
        <v>243</v>
      </c>
      <c r="B246" s="1" t="s">
        <v>1062</v>
      </c>
      <c r="C246" s="1" t="s">
        <v>1048</v>
      </c>
      <c r="D246" s="1" t="s">
        <v>31</v>
      </c>
      <c r="E246" s="1">
        <f t="shared" si="2"/>
        <v>247</v>
      </c>
      <c r="F246" s="1">
        <f t="shared" si="3"/>
        <v>4.49</v>
      </c>
      <c r="G246" s="1">
        <v>55.0</v>
      </c>
      <c r="H246" s="1">
        <v>10.0</v>
      </c>
      <c r="I246" s="1">
        <v>24.0</v>
      </c>
      <c r="J246" s="1">
        <v>34.0</v>
      </c>
      <c r="K246" s="1">
        <v>158.0</v>
      </c>
      <c r="L246" s="1">
        <v>3.0</v>
      </c>
      <c r="M246" s="1">
        <v>10.0</v>
      </c>
      <c r="N246" s="1">
        <v>1.0</v>
      </c>
      <c r="O246" s="1">
        <v>0.0</v>
      </c>
      <c r="P246" s="1">
        <v>112.0</v>
      </c>
      <c r="Q246" s="1">
        <v>42.0</v>
      </c>
    </row>
    <row r="247">
      <c r="A247" s="1">
        <f t="shared" si="1"/>
        <v>245</v>
      </c>
      <c r="B247" s="1" t="s">
        <v>1137</v>
      </c>
      <c r="C247" s="1" t="s">
        <v>1038</v>
      </c>
      <c r="D247" s="1" t="s">
        <v>36</v>
      </c>
      <c r="E247" s="1">
        <f t="shared" si="2"/>
        <v>246.75</v>
      </c>
      <c r="F247" s="1">
        <f t="shared" si="3"/>
        <v>3.05</v>
      </c>
      <c r="G247" s="1">
        <v>81.0</v>
      </c>
      <c r="H247" s="1">
        <v>12.0</v>
      </c>
      <c r="I247" s="1">
        <v>22.0</v>
      </c>
      <c r="J247" s="1">
        <v>34.0</v>
      </c>
      <c r="K247" s="1">
        <v>155.0</v>
      </c>
      <c r="L247" s="1">
        <v>1.0</v>
      </c>
      <c r="M247" s="1">
        <v>3.0</v>
      </c>
      <c r="N247" s="1">
        <v>1.0</v>
      </c>
      <c r="O247" s="1">
        <v>0.0</v>
      </c>
      <c r="P247" s="1">
        <v>77.0</v>
      </c>
      <c r="Q247" s="1">
        <v>56.0</v>
      </c>
    </row>
    <row r="248">
      <c r="A248" s="1">
        <f t="shared" si="1"/>
        <v>246</v>
      </c>
      <c r="B248" s="1" t="s">
        <v>1305</v>
      </c>
      <c r="C248" s="1" t="s">
        <v>1087</v>
      </c>
      <c r="D248" s="1" t="s">
        <v>36</v>
      </c>
      <c r="E248" s="1">
        <f t="shared" si="2"/>
        <v>246</v>
      </c>
      <c r="F248" s="1">
        <f t="shared" si="3"/>
        <v>3.15</v>
      </c>
      <c r="G248" s="1">
        <v>78.0</v>
      </c>
      <c r="H248" s="1">
        <v>19.0</v>
      </c>
      <c r="I248" s="1">
        <v>18.0</v>
      </c>
      <c r="J248" s="1">
        <v>37.0</v>
      </c>
      <c r="K248" s="1">
        <v>160.0</v>
      </c>
      <c r="L248" s="1">
        <v>7.0</v>
      </c>
      <c r="M248" s="1">
        <v>5.0</v>
      </c>
      <c r="N248" s="1">
        <v>0.0</v>
      </c>
      <c r="O248" s="1">
        <v>0.0</v>
      </c>
      <c r="P248" s="1">
        <v>36.0</v>
      </c>
      <c r="Q248" s="1">
        <v>35.0</v>
      </c>
    </row>
    <row r="249">
      <c r="A249" s="1">
        <f t="shared" si="1"/>
        <v>247</v>
      </c>
      <c r="B249" s="1" t="s">
        <v>1377</v>
      </c>
      <c r="C249" s="1" t="s">
        <v>1073</v>
      </c>
      <c r="D249" s="1" t="s">
        <v>28</v>
      </c>
      <c r="E249" s="1">
        <f t="shared" si="2"/>
        <v>245.25</v>
      </c>
      <c r="F249" s="1">
        <f t="shared" si="3"/>
        <v>2.99</v>
      </c>
      <c r="G249" s="1">
        <v>82.0</v>
      </c>
      <c r="H249" s="1">
        <v>15.0</v>
      </c>
      <c r="I249" s="1">
        <v>10.0</v>
      </c>
      <c r="J249" s="1">
        <v>25.0</v>
      </c>
      <c r="K249" s="1">
        <v>146.0</v>
      </c>
      <c r="L249" s="1">
        <v>0.0</v>
      </c>
      <c r="M249" s="1">
        <v>0.0</v>
      </c>
      <c r="N249" s="1">
        <v>1.0</v>
      </c>
      <c r="O249" s="1">
        <v>0.0</v>
      </c>
      <c r="P249" s="1">
        <v>199.0</v>
      </c>
      <c r="Q249" s="1">
        <v>46.0</v>
      </c>
    </row>
    <row r="250">
      <c r="A250" s="1">
        <f t="shared" si="1"/>
        <v>248</v>
      </c>
      <c r="B250" s="1" t="s">
        <v>1379</v>
      </c>
      <c r="C250" s="1" t="s">
        <v>1040</v>
      </c>
      <c r="D250" s="1" t="s">
        <v>31</v>
      </c>
      <c r="E250" s="1">
        <f t="shared" si="2"/>
        <v>245</v>
      </c>
      <c r="F250" s="1">
        <f t="shared" si="3"/>
        <v>3.14</v>
      </c>
      <c r="G250" s="1">
        <v>78.0</v>
      </c>
      <c r="H250" s="1">
        <v>11.0</v>
      </c>
      <c r="I250" s="1">
        <v>20.0</v>
      </c>
      <c r="J250" s="1">
        <v>31.0</v>
      </c>
      <c r="K250" s="1">
        <v>119.0</v>
      </c>
      <c r="L250" s="1">
        <v>1.0</v>
      </c>
      <c r="M250" s="1">
        <v>2.0</v>
      </c>
      <c r="N250" s="1">
        <v>2.0</v>
      </c>
      <c r="O250" s="1">
        <v>3.0</v>
      </c>
      <c r="P250" s="1">
        <v>140.0</v>
      </c>
      <c r="Q250" s="1">
        <v>62.0</v>
      </c>
    </row>
    <row r="251">
      <c r="A251" s="1">
        <f t="shared" si="1"/>
        <v>249</v>
      </c>
      <c r="B251" s="1" t="s">
        <v>1457</v>
      </c>
      <c r="C251" s="1" t="s">
        <v>1106</v>
      </c>
      <c r="D251" s="1" t="s">
        <v>28</v>
      </c>
      <c r="E251" s="1">
        <f t="shared" si="2"/>
        <v>244.75</v>
      </c>
      <c r="F251" s="1">
        <f t="shared" si="3"/>
        <v>3.55</v>
      </c>
      <c r="G251" s="1">
        <v>69.0</v>
      </c>
      <c r="H251" s="1">
        <v>11.0</v>
      </c>
      <c r="I251" s="1">
        <v>25.0</v>
      </c>
      <c r="J251" s="1">
        <v>36.0</v>
      </c>
      <c r="K251" s="1">
        <v>183.0</v>
      </c>
      <c r="L251" s="1">
        <v>2.0</v>
      </c>
      <c r="M251" s="1">
        <v>3.0</v>
      </c>
      <c r="N251" s="1">
        <v>0.0</v>
      </c>
      <c r="O251" s="1">
        <v>0.0</v>
      </c>
      <c r="P251" s="1">
        <v>61.0</v>
      </c>
      <c r="Q251" s="1">
        <v>27.0</v>
      </c>
    </row>
    <row r="252">
      <c r="A252" s="1">
        <f t="shared" si="1"/>
        <v>250</v>
      </c>
      <c r="B252" s="1" t="s">
        <v>1569</v>
      </c>
      <c r="C252" s="1" t="s">
        <v>1078</v>
      </c>
      <c r="D252" s="1" t="s">
        <v>31</v>
      </c>
      <c r="E252" s="1">
        <f t="shared" si="2"/>
        <v>244.5</v>
      </c>
      <c r="F252" s="1">
        <f t="shared" si="3"/>
        <v>3.22</v>
      </c>
      <c r="G252" s="1">
        <v>76.0</v>
      </c>
      <c r="H252" s="1">
        <v>13.0</v>
      </c>
      <c r="I252" s="1">
        <v>20.0</v>
      </c>
      <c r="J252" s="1">
        <v>33.0</v>
      </c>
      <c r="K252" s="1">
        <v>174.0</v>
      </c>
      <c r="L252" s="1">
        <v>5.0</v>
      </c>
      <c r="M252" s="1">
        <v>8.0</v>
      </c>
      <c r="N252" s="1">
        <v>1.0</v>
      </c>
      <c r="O252" s="1">
        <v>1.0</v>
      </c>
      <c r="P252" s="1">
        <v>80.0</v>
      </c>
      <c r="Q252" s="1">
        <v>30.0</v>
      </c>
    </row>
    <row r="253">
      <c r="A253" s="1">
        <f t="shared" si="1"/>
        <v>251</v>
      </c>
      <c r="B253" s="1" t="s">
        <v>1450</v>
      </c>
      <c r="C253" s="1" t="s">
        <v>1067</v>
      </c>
      <c r="D253" s="1" t="s">
        <v>28</v>
      </c>
      <c r="E253" s="1">
        <f t="shared" si="2"/>
        <v>244.25</v>
      </c>
      <c r="F253" s="1">
        <f t="shared" si="3"/>
        <v>3.02</v>
      </c>
      <c r="G253" s="1">
        <v>81.0</v>
      </c>
      <c r="H253" s="1">
        <v>17.0</v>
      </c>
      <c r="I253" s="1">
        <v>18.0</v>
      </c>
      <c r="J253" s="1">
        <v>35.0</v>
      </c>
      <c r="K253" s="1">
        <v>154.0</v>
      </c>
      <c r="L253" s="1">
        <v>1.0</v>
      </c>
      <c r="M253" s="1">
        <v>3.0</v>
      </c>
      <c r="N253" s="1">
        <v>0.0</v>
      </c>
      <c r="O253" s="1">
        <v>0.0</v>
      </c>
      <c r="P253" s="1">
        <v>79.0</v>
      </c>
      <c r="Q253" s="1">
        <v>34.0</v>
      </c>
    </row>
    <row r="254">
      <c r="A254" s="1">
        <f t="shared" si="1"/>
        <v>251</v>
      </c>
      <c r="B254" s="1" t="s">
        <v>1429</v>
      </c>
      <c r="C254" s="1" t="s">
        <v>1078</v>
      </c>
      <c r="D254" s="1" t="s">
        <v>31</v>
      </c>
      <c r="E254" s="1">
        <f t="shared" si="2"/>
        <v>244.25</v>
      </c>
      <c r="F254" s="1">
        <f t="shared" si="3"/>
        <v>2.98</v>
      </c>
      <c r="G254" s="1">
        <v>82.0</v>
      </c>
      <c r="H254" s="1">
        <v>15.0</v>
      </c>
      <c r="I254" s="1">
        <v>18.0</v>
      </c>
      <c r="J254" s="1">
        <v>33.0</v>
      </c>
      <c r="K254" s="1">
        <v>148.0</v>
      </c>
      <c r="L254" s="1">
        <v>2.0</v>
      </c>
      <c r="M254" s="1">
        <v>4.0</v>
      </c>
      <c r="N254" s="1">
        <v>0.0</v>
      </c>
      <c r="O254" s="1">
        <v>0.0</v>
      </c>
      <c r="P254" s="1">
        <v>87.0</v>
      </c>
      <c r="Q254" s="1">
        <v>54.0</v>
      </c>
    </row>
    <row r="255">
      <c r="A255" s="1">
        <f t="shared" si="1"/>
        <v>251</v>
      </c>
      <c r="B255" s="1" t="s">
        <v>1454</v>
      </c>
      <c r="C255" s="1" t="s">
        <v>1065</v>
      </c>
      <c r="D255" s="1" t="s">
        <v>66</v>
      </c>
      <c r="E255" s="1">
        <f t="shared" si="2"/>
        <v>244.25</v>
      </c>
      <c r="F255" s="1">
        <f t="shared" si="3"/>
        <v>3.21</v>
      </c>
      <c r="G255" s="1">
        <v>76.0</v>
      </c>
      <c r="H255" s="1">
        <v>6.0</v>
      </c>
      <c r="I255" s="1">
        <v>22.0</v>
      </c>
      <c r="J255" s="1">
        <v>28.0</v>
      </c>
      <c r="K255" s="1">
        <v>125.0</v>
      </c>
      <c r="L255" s="1">
        <v>1.0</v>
      </c>
      <c r="M255" s="1">
        <v>5.0</v>
      </c>
      <c r="N255" s="1">
        <v>0.0</v>
      </c>
      <c r="O255" s="1">
        <v>1.0</v>
      </c>
      <c r="P255" s="1">
        <v>81.0</v>
      </c>
      <c r="Q255" s="1">
        <v>133.0</v>
      </c>
    </row>
    <row r="256">
      <c r="A256" s="1">
        <f t="shared" si="1"/>
        <v>254</v>
      </c>
      <c r="B256" s="1" t="s">
        <v>1113</v>
      </c>
      <c r="C256" s="1" t="s">
        <v>1054</v>
      </c>
      <c r="D256" s="1" t="s">
        <v>28</v>
      </c>
      <c r="E256" s="1">
        <f t="shared" si="2"/>
        <v>244</v>
      </c>
      <c r="F256" s="1">
        <f t="shared" si="3"/>
        <v>2.94</v>
      </c>
      <c r="G256" s="1">
        <v>83.0</v>
      </c>
      <c r="H256" s="1">
        <v>13.0</v>
      </c>
      <c r="I256" s="1">
        <v>26.0</v>
      </c>
      <c r="J256" s="1">
        <v>39.0</v>
      </c>
      <c r="K256" s="1">
        <v>174.0</v>
      </c>
      <c r="L256" s="1">
        <v>2.0</v>
      </c>
      <c r="M256" s="1">
        <v>9.0</v>
      </c>
      <c r="N256" s="1">
        <v>0.0</v>
      </c>
      <c r="O256" s="1">
        <v>0.0</v>
      </c>
      <c r="P256" s="1">
        <v>42.0</v>
      </c>
      <c r="Q256" s="1">
        <v>20.0</v>
      </c>
    </row>
    <row r="257">
      <c r="A257" s="1">
        <f t="shared" si="1"/>
        <v>254</v>
      </c>
      <c r="B257" s="1" t="s">
        <v>1309</v>
      </c>
      <c r="C257" s="1" t="s">
        <v>1106</v>
      </c>
      <c r="D257" s="1" t="s">
        <v>66</v>
      </c>
      <c r="E257" s="1">
        <f t="shared" si="2"/>
        <v>244</v>
      </c>
      <c r="F257" s="1">
        <f t="shared" si="3"/>
        <v>3.13</v>
      </c>
      <c r="G257" s="1">
        <v>78.0</v>
      </c>
      <c r="H257" s="1">
        <v>12.0</v>
      </c>
      <c r="I257" s="1">
        <v>23.0</v>
      </c>
      <c r="J257" s="1">
        <v>35.0</v>
      </c>
      <c r="K257" s="1">
        <v>150.0</v>
      </c>
      <c r="L257" s="1">
        <v>3.0</v>
      </c>
      <c r="M257" s="1">
        <v>5.0</v>
      </c>
      <c r="N257" s="1">
        <v>0.0</v>
      </c>
      <c r="O257" s="1">
        <v>0.0</v>
      </c>
      <c r="P257" s="1">
        <v>48.0</v>
      </c>
      <c r="Q257" s="1">
        <v>68.0</v>
      </c>
    </row>
    <row r="258">
      <c r="A258" s="1">
        <f t="shared" si="1"/>
        <v>254</v>
      </c>
      <c r="B258" s="1" t="s">
        <v>2287</v>
      </c>
      <c r="C258" s="1" t="s">
        <v>1076</v>
      </c>
      <c r="D258" s="1" t="s">
        <v>66</v>
      </c>
      <c r="E258" s="1">
        <f t="shared" si="2"/>
        <v>244</v>
      </c>
      <c r="F258" s="1">
        <f t="shared" si="3"/>
        <v>3.87</v>
      </c>
      <c r="G258" s="1">
        <v>63.0</v>
      </c>
      <c r="H258" s="1">
        <v>9.0</v>
      </c>
      <c r="I258" s="1">
        <v>22.0</v>
      </c>
      <c r="J258" s="1">
        <v>31.0</v>
      </c>
      <c r="K258" s="1">
        <v>168.0</v>
      </c>
      <c r="L258" s="1">
        <v>2.0</v>
      </c>
      <c r="M258" s="1">
        <v>8.0</v>
      </c>
      <c r="N258" s="1">
        <v>1.0</v>
      </c>
      <c r="O258" s="1">
        <v>0.0</v>
      </c>
      <c r="P258" s="1">
        <v>56.0</v>
      </c>
      <c r="Q258" s="1">
        <v>75.0</v>
      </c>
    </row>
    <row r="259">
      <c r="A259" s="1">
        <f t="shared" si="1"/>
        <v>257</v>
      </c>
      <c r="B259" s="1" t="s">
        <v>1109</v>
      </c>
      <c r="C259" s="1" t="s">
        <v>1048</v>
      </c>
      <c r="D259" s="1" t="s">
        <v>66</v>
      </c>
      <c r="E259" s="1">
        <f t="shared" si="2"/>
        <v>243.25</v>
      </c>
      <c r="F259" s="1">
        <f t="shared" si="3"/>
        <v>3.24</v>
      </c>
      <c r="G259" s="1">
        <v>75.0</v>
      </c>
      <c r="H259" s="1">
        <v>8.0</v>
      </c>
      <c r="I259" s="1">
        <v>19.0</v>
      </c>
      <c r="J259" s="1">
        <v>27.0</v>
      </c>
      <c r="K259" s="1">
        <v>129.0</v>
      </c>
      <c r="L259" s="1">
        <v>0.0</v>
      </c>
      <c r="M259" s="1">
        <v>6.0</v>
      </c>
      <c r="N259" s="1">
        <v>0.0</v>
      </c>
      <c r="O259" s="1">
        <v>2.0</v>
      </c>
      <c r="P259" s="1">
        <v>63.0</v>
      </c>
      <c r="Q259" s="1">
        <v>132.0</v>
      </c>
    </row>
    <row r="260">
      <c r="A260" s="1">
        <f t="shared" si="1"/>
        <v>258</v>
      </c>
      <c r="B260" s="1" t="s">
        <v>2634</v>
      </c>
      <c r="C260" s="1" t="s">
        <v>1116</v>
      </c>
      <c r="D260" s="1" t="s">
        <v>31</v>
      </c>
      <c r="E260" s="1">
        <f t="shared" si="2"/>
        <v>242.5</v>
      </c>
      <c r="F260" s="1">
        <f t="shared" si="3"/>
        <v>2.96</v>
      </c>
      <c r="G260" s="1">
        <v>82.0</v>
      </c>
      <c r="H260" s="1">
        <v>15.0</v>
      </c>
      <c r="I260" s="1">
        <v>26.0</v>
      </c>
      <c r="J260" s="1">
        <v>41.0</v>
      </c>
      <c r="K260" s="1">
        <v>126.0</v>
      </c>
      <c r="L260" s="1">
        <v>4.0</v>
      </c>
      <c r="M260" s="1">
        <v>3.0</v>
      </c>
      <c r="N260" s="1">
        <v>0.0</v>
      </c>
      <c r="O260" s="1">
        <v>2.0</v>
      </c>
      <c r="P260" s="1">
        <v>62.0</v>
      </c>
      <c r="Q260" s="1">
        <v>29.0</v>
      </c>
    </row>
    <row r="261">
      <c r="A261" s="1">
        <f t="shared" si="1"/>
        <v>258</v>
      </c>
      <c r="B261" s="1" t="s">
        <v>1213</v>
      </c>
      <c r="C261" s="1" t="s">
        <v>1091</v>
      </c>
      <c r="D261" s="1" t="s">
        <v>31</v>
      </c>
      <c r="E261" s="1">
        <f t="shared" si="2"/>
        <v>242.5</v>
      </c>
      <c r="F261" s="1">
        <f t="shared" si="3"/>
        <v>2.96</v>
      </c>
      <c r="G261" s="1">
        <v>82.0</v>
      </c>
      <c r="H261" s="1">
        <v>12.0</v>
      </c>
      <c r="I261" s="1">
        <v>20.0</v>
      </c>
      <c r="J261" s="1">
        <v>32.0</v>
      </c>
      <c r="K261" s="1">
        <v>130.0</v>
      </c>
      <c r="L261" s="1">
        <v>0.0</v>
      </c>
      <c r="M261" s="1">
        <v>0.0</v>
      </c>
      <c r="N261" s="1">
        <v>0.0</v>
      </c>
      <c r="O261" s="1">
        <v>2.0</v>
      </c>
      <c r="P261" s="1">
        <v>146.0</v>
      </c>
      <c r="Q261" s="1">
        <v>46.0</v>
      </c>
    </row>
    <row r="262">
      <c r="A262" s="1">
        <f t="shared" si="1"/>
        <v>260</v>
      </c>
      <c r="B262" s="1" t="s">
        <v>2170</v>
      </c>
      <c r="C262" s="1" t="s">
        <v>1076</v>
      </c>
      <c r="D262" s="1" t="s">
        <v>36</v>
      </c>
      <c r="E262" s="1">
        <f t="shared" si="2"/>
        <v>242.25</v>
      </c>
      <c r="F262" s="1">
        <f t="shared" si="3"/>
        <v>3.07</v>
      </c>
      <c r="G262" s="1">
        <v>79.0</v>
      </c>
      <c r="H262" s="1">
        <v>17.0</v>
      </c>
      <c r="I262" s="1">
        <v>13.0</v>
      </c>
      <c r="J262" s="1">
        <v>30.0</v>
      </c>
      <c r="K262" s="1">
        <v>157.0</v>
      </c>
      <c r="L262" s="1">
        <v>5.0</v>
      </c>
      <c r="M262" s="1">
        <v>3.0</v>
      </c>
      <c r="N262" s="1">
        <v>0.0</v>
      </c>
      <c r="O262" s="1">
        <v>0.0</v>
      </c>
      <c r="P262" s="1">
        <v>137.0</v>
      </c>
      <c r="Q262" s="1">
        <v>28.0</v>
      </c>
    </row>
    <row r="263">
      <c r="A263" s="1">
        <f t="shared" si="1"/>
        <v>261</v>
      </c>
      <c r="B263" s="1" t="s">
        <v>1589</v>
      </c>
      <c r="C263" s="1" t="s">
        <v>1120</v>
      </c>
      <c r="D263" s="1" t="s">
        <v>36</v>
      </c>
      <c r="E263" s="1">
        <f t="shared" si="2"/>
        <v>241.5</v>
      </c>
      <c r="F263" s="1">
        <f t="shared" si="3"/>
        <v>3.1</v>
      </c>
      <c r="G263" s="1">
        <v>78.0</v>
      </c>
      <c r="H263" s="1">
        <v>10.0</v>
      </c>
      <c r="I263" s="1">
        <v>13.0</v>
      </c>
      <c r="J263" s="1">
        <v>23.0</v>
      </c>
      <c r="K263" s="1">
        <v>102.0</v>
      </c>
      <c r="L263" s="1">
        <v>0.0</v>
      </c>
      <c r="M263" s="1">
        <v>0.0</v>
      </c>
      <c r="N263" s="1">
        <v>1.0</v>
      </c>
      <c r="O263" s="1">
        <v>2.0</v>
      </c>
      <c r="P263" s="1">
        <v>198.0</v>
      </c>
      <c r="Q263" s="1">
        <v>102.0</v>
      </c>
    </row>
    <row r="264">
      <c r="A264" s="1">
        <f t="shared" si="1"/>
        <v>262</v>
      </c>
      <c r="B264" s="1" t="s">
        <v>1264</v>
      </c>
      <c r="C264" s="1" t="s">
        <v>1073</v>
      </c>
      <c r="D264" s="1" t="s">
        <v>5</v>
      </c>
      <c r="E264" s="1">
        <f t="shared" si="2"/>
        <v>241.2</v>
      </c>
      <c r="F264" s="1">
        <f t="shared" si="3"/>
        <v>6.03</v>
      </c>
      <c r="G264" s="1">
        <v>40.0</v>
      </c>
      <c r="R264" s="1">
        <v>23.0</v>
      </c>
      <c r="S264" s="1">
        <v>95.0</v>
      </c>
      <c r="T264" s="12">
        <v>1009.0</v>
      </c>
      <c r="U264" s="1">
        <v>4.0</v>
      </c>
    </row>
    <row r="265">
      <c r="A265" s="1">
        <f t="shared" si="1"/>
        <v>263</v>
      </c>
      <c r="B265" s="1" t="s">
        <v>1628</v>
      </c>
      <c r="C265" s="1" t="s">
        <v>1034</v>
      </c>
      <c r="D265" s="1" t="s">
        <v>66</v>
      </c>
      <c r="E265" s="1">
        <f t="shared" si="2"/>
        <v>239.75</v>
      </c>
      <c r="F265" s="1">
        <f t="shared" si="3"/>
        <v>3.2</v>
      </c>
      <c r="G265" s="1">
        <v>75.0</v>
      </c>
      <c r="H265" s="1">
        <v>6.0</v>
      </c>
      <c r="I265" s="1">
        <v>26.0</v>
      </c>
      <c r="J265" s="1">
        <v>32.0</v>
      </c>
      <c r="K265" s="1">
        <v>128.0</v>
      </c>
      <c r="L265" s="1">
        <v>0.0</v>
      </c>
      <c r="M265" s="1">
        <v>6.0</v>
      </c>
      <c r="N265" s="1">
        <v>0.0</v>
      </c>
      <c r="O265" s="1">
        <v>0.0</v>
      </c>
      <c r="P265" s="1">
        <v>97.0</v>
      </c>
      <c r="Q265" s="1">
        <v>93.0</v>
      </c>
    </row>
    <row r="266">
      <c r="A266" s="1">
        <f t="shared" si="1"/>
        <v>264</v>
      </c>
      <c r="B266" s="1" t="s">
        <v>1217</v>
      </c>
      <c r="C266" s="1" t="s">
        <v>1116</v>
      </c>
      <c r="D266" s="1" t="s">
        <v>66</v>
      </c>
      <c r="E266" s="1">
        <f t="shared" si="2"/>
        <v>238.5</v>
      </c>
      <c r="F266" s="1">
        <f t="shared" si="3"/>
        <v>3.27</v>
      </c>
      <c r="G266" s="1">
        <v>73.0</v>
      </c>
      <c r="H266" s="1">
        <v>6.0</v>
      </c>
      <c r="I266" s="1">
        <v>20.0</v>
      </c>
      <c r="J266" s="1">
        <v>26.0</v>
      </c>
      <c r="K266" s="1">
        <v>132.0</v>
      </c>
      <c r="L266" s="1">
        <v>2.0</v>
      </c>
      <c r="M266" s="1">
        <v>11.0</v>
      </c>
      <c r="N266" s="1">
        <v>0.0</v>
      </c>
      <c r="O266" s="1">
        <v>1.0</v>
      </c>
      <c r="P266" s="1">
        <v>138.0</v>
      </c>
      <c r="Q266" s="1">
        <v>98.0</v>
      </c>
    </row>
    <row r="267">
      <c r="A267" s="1">
        <f t="shared" si="1"/>
        <v>265</v>
      </c>
      <c r="B267" s="1" t="s">
        <v>1416</v>
      </c>
      <c r="C267" s="1" t="s">
        <v>1156</v>
      </c>
      <c r="D267" s="1" t="s">
        <v>66</v>
      </c>
      <c r="E267" s="1">
        <f t="shared" si="2"/>
        <v>238</v>
      </c>
      <c r="F267" s="1">
        <f t="shared" si="3"/>
        <v>2.9</v>
      </c>
      <c r="G267" s="1">
        <v>82.0</v>
      </c>
      <c r="H267" s="1">
        <v>8.0</v>
      </c>
      <c r="I267" s="1">
        <v>16.0</v>
      </c>
      <c r="J267" s="1">
        <v>24.0</v>
      </c>
      <c r="K267" s="1">
        <v>124.0</v>
      </c>
      <c r="L267" s="1">
        <v>0.0</v>
      </c>
      <c r="M267" s="1">
        <v>0.0</v>
      </c>
      <c r="N267" s="1">
        <v>0.0</v>
      </c>
      <c r="O267" s="1">
        <v>0.0</v>
      </c>
      <c r="P267" s="1">
        <v>122.0</v>
      </c>
      <c r="Q267" s="1">
        <v>123.0</v>
      </c>
    </row>
    <row r="268">
      <c r="A268" s="1">
        <f t="shared" si="1"/>
        <v>265</v>
      </c>
      <c r="B268" s="1" t="s">
        <v>2587</v>
      </c>
      <c r="C268" s="1" t="s">
        <v>1087</v>
      </c>
      <c r="D268" s="1" t="s">
        <v>66</v>
      </c>
      <c r="E268" s="1">
        <f t="shared" si="2"/>
        <v>238</v>
      </c>
      <c r="F268" s="1">
        <f t="shared" si="3"/>
        <v>3.22</v>
      </c>
      <c r="G268" s="1">
        <v>74.0</v>
      </c>
      <c r="H268" s="1">
        <v>3.0</v>
      </c>
      <c r="I268" s="1">
        <v>16.0</v>
      </c>
      <c r="J268" s="1">
        <v>19.0</v>
      </c>
      <c r="K268" s="1">
        <v>157.0</v>
      </c>
      <c r="L268" s="1">
        <v>1.0</v>
      </c>
      <c r="M268" s="1">
        <v>2.0</v>
      </c>
      <c r="N268" s="1">
        <v>0.0</v>
      </c>
      <c r="O268" s="1">
        <v>1.0</v>
      </c>
      <c r="P268" s="1">
        <v>144.0</v>
      </c>
      <c r="Q268" s="1">
        <v>120.0</v>
      </c>
    </row>
    <row r="269">
      <c r="A269" s="1">
        <f t="shared" si="1"/>
        <v>267</v>
      </c>
      <c r="B269" s="1" t="s">
        <v>1311</v>
      </c>
      <c r="C269" s="1" t="s">
        <v>1097</v>
      </c>
      <c r="D269" s="1" t="s">
        <v>66</v>
      </c>
      <c r="E269" s="1">
        <f t="shared" si="2"/>
        <v>237.25</v>
      </c>
      <c r="F269" s="1">
        <f t="shared" si="3"/>
        <v>3.04</v>
      </c>
      <c r="G269" s="1">
        <v>78.0</v>
      </c>
      <c r="H269" s="1">
        <v>5.0</v>
      </c>
      <c r="I269" s="1">
        <v>15.0</v>
      </c>
      <c r="J269" s="1">
        <v>20.0</v>
      </c>
      <c r="K269" s="1">
        <v>111.0</v>
      </c>
      <c r="L269" s="1">
        <v>0.0</v>
      </c>
      <c r="M269" s="1">
        <v>0.0</v>
      </c>
      <c r="N269" s="1">
        <v>0.0</v>
      </c>
      <c r="O269" s="1">
        <v>1.0</v>
      </c>
      <c r="P269" s="1">
        <v>171.0</v>
      </c>
      <c r="Q269" s="1">
        <v>139.0</v>
      </c>
    </row>
    <row r="270">
      <c r="A270" s="1">
        <f t="shared" si="1"/>
        <v>267</v>
      </c>
      <c r="B270" s="1" t="s">
        <v>1754</v>
      </c>
      <c r="C270" s="1" t="s">
        <v>1111</v>
      </c>
      <c r="D270" s="1" t="s">
        <v>66</v>
      </c>
      <c r="E270" s="1">
        <f t="shared" si="2"/>
        <v>237.25</v>
      </c>
      <c r="F270" s="1">
        <f t="shared" si="3"/>
        <v>3.12</v>
      </c>
      <c r="G270" s="1">
        <v>76.0</v>
      </c>
      <c r="H270" s="1">
        <v>3.0</v>
      </c>
      <c r="I270" s="1">
        <v>24.0</v>
      </c>
      <c r="J270" s="1">
        <v>27.0</v>
      </c>
      <c r="K270" s="1">
        <v>102.0</v>
      </c>
      <c r="L270" s="1">
        <v>1.0</v>
      </c>
      <c r="M270" s="1">
        <v>6.0</v>
      </c>
      <c r="N270" s="1">
        <v>0.0</v>
      </c>
      <c r="O270" s="1">
        <v>2.0</v>
      </c>
      <c r="P270" s="1">
        <v>79.0</v>
      </c>
      <c r="Q270" s="1">
        <v>154.0</v>
      </c>
    </row>
    <row r="271">
      <c r="A271" s="1">
        <f t="shared" si="1"/>
        <v>269</v>
      </c>
      <c r="B271" s="1" t="s">
        <v>2582</v>
      </c>
      <c r="C271" s="1" t="s">
        <v>1036</v>
      </c>
      <c r="D271" s="1" t="s">
        <v>66</v>
      </c>
      <c r="E271" s="1">
        <f t="shared" si="2"/>
        <v>237</v>
      </c>
      <c r="F271" s="1">
        <f t="shared" si="3"/>
        <v>3.89</v>
      </c>
      <c r="G271" s="1">
        <v>61.0</v>
      </c>
      <c r="H271" s="1">
        <v>5.0</v>
      </c>
      <c r="I271" s="1">
        <v>23.0</v>
      </c>
      <c r="J271" s="1">
        <v>28.0</v>
      </c>
      <c r="K271" s="1">
        <v>167.0</v>
      </c>
      <c r="L271" s="1">
        <v>1.0</v>
      </c>
      <c r="M271" s="1">
        <v>10.0</v>
      </c>
      <c r="N271" s="1">
        <v>0.0</v>
      </c>
      <c r="O271" s="1">
        <v>0.0</v>
      </c>
      <c r="P271" s="1">
        <v>44.0</v>
      </c>
      <c r="Q271" s="1">
        <v>102.0</v>
      </c>
    </row>
    <row r="272">
      <c r="A272" s="1">
        <f t="shared" si="1"/>
        <v>270</v>
      </c>
      <c r="B272" s="1" t="s">
        <v>1151</v>
      </c>
      <c r="C272" s="1" t="s">
        <v>1116</v>
      </c>
      <c r="D272" s="1" t="s">
        <v>28</v>
      </c>
      <c r="E272" s="1">
        <f t="shared" si="2"/>
        <v>236.25</v>
      </c>
      <c r="F272" s="1">
        <f t="shared" si="3"/>
        <v>3.81</v>
      </c>
      <c r="G272" s="1">
        <v>62.0</v>
      </c>
      <c r="H272" s="1">
        <v>21.0</v>
      </c>
      <c r="I272" s="1">
        <v>16.0</v>
      </c>
      <c r="J272" s="1">
        <v>37.0</v>
      </c>
      <c r="K272" s="1">
        <v>158.0</v>
      </c>
      <c r="L272" s="1">
        <v>2.0</v>
      </c>
      <c r="M272" s="1">
        <v>5.0</v>
      </c>
      <c r="N272" s="1">
        <v>0.0</v>
      </c>
      <c r="O272" s="1">
        <v>0.0</v>
      </c>
      <c r="P272" s="1">
        <v>27.0</v>
      </c>
      <c r="Q272" s="1">
        <v>16.0</v>
      </c>
    </row>
    <row r="273">
      <c r="A273" s="1">
        <f t="shared" si="1"/>
        <v>271</v>
      </c>
      <c r="B273" s="1" t="s">
        <v>1659</v>
      </c>
      <c r="C273" s="1" t="s">
        <v>1046</v>
      </c>
      <c r="D273" s="1" t="s">
        <v>28</v>
      </c>
      <c r="E273" s="1">
        <f t="shared" si="2"/>
        <v>234</v>
      </c>
      <c r="F273" s="1">
        <f t="shared" si="3"/>
        <v>2.93</v>
      </c>
      <c r="G273" s="1">
        <v>80.0</v>
      </c>
      <c r="H273" s="1">
        <v>18.0</v>
      </c>
      <c r="I273" s="1">
        <v>9.0</v>
      </c>
      <c r="J273" s="1">
        <v>27.0</v>
      </c>
      <c r="K273" s="1">
        <v>147.0</v>
      </c>
      <c r="L273" s="1">
        <v>3.0</v>
      </c>
      <c r="M273" s="1">
        <v>2.0</v>
      </c>
      <c r="N273" s="1">
        <v>0.0</v>
      </c>
      <c r="O273" s="1">
        <v>0.0</v>
      </c>
      <c r="P273" s="1">
        <v>128.0</v>
      </c>
      <c r="Q273" s="1">
        <v>41.0</v>
      </c>
    </row>
    <row r="274">
      <c r="A274" s="1">
        <f t="shared" si="1"/>
        <v>272</v>
      </c>
      <c r="B274" s="1" t="s">
        <v>2321</v>
      </c>
      <c r="C274" s="1" t="s">
        <v>1106</v>
      </c>
      <c r="D274" s="1" t="s">
        <v>31</v>
      </c>
      <c r="E274" s="1">
        <f t="shared" si="2"/>
        <v>233.5</v>
      </c>
      <c r="F274" s="1">
        <f t="shared" si="3"/>
        <v>3.24</v>
      </c>
      <c r="G274" s="1">
        <v>72.0</v>
      </c>
      <c r="H274" s="1">
        <v>13.0</v>
      </c>
      <c r="I274" s="1">
        <v>25.0</v>
      </c>
      <c r="J274" s="1">
        <v>38.0</v>
      </c>
      <c r="K274" s="1">
        <v>141.0</v>
      </c>
      <c r="L274" s="1">
        <v>2.0</v>
      </c>
      <c r="M274" s="1">
        <v>6.0</v>
      </c>
      <c r="N274" s="1">
        <v>0.0</v>
      </c>
      <c r="O274" s="1">
        <v>0.0</v>
      </c>
      <c r="P274" s="1">
        <v>52.0</v>
      </c>
      <c r="Q274" s="1">
        <v>33.0</v>
      </c>
    </row>
    <row r="275">
      <c r="A275" s="1">
        <f t="shared" si="1"/>
        <v>273</v>
      </c>
      <c r="B275" s="1" t="s">
        <v>2328</v>
      </c>
      <c r="C275" s="1" t="s">
        <v>1570</v>
      </c>
      <c r="D275" s="1" t="s">
        <v>31</v>
      </c>
      <c r="E275" s="1">
        <f t="shared" si="2"/>
        <v>233.25</v>
      </c>
      <c r="F275" s="1">
        <f t="shared" si="3"/>
        <v>3.2</v>
      </c>
      <c r="G275" s="1">
        <v>73.0</v>
      </c>
      <c r="H275" s="1">
        <v>16.0</v>
      </c>
      <c r="I275" s="1">
        <v>35.0</v>
      </c>
      <c r="J275" s="1">
        <v>51.0</v>
      </c>
      <c r="K275" s="1">
        <v>90.0</v>
      </c>
      <c r="L275" s="1">
        <v>3.0</v>
      </c>
      <c r="M275" s="1">
        <v>12.0</v>
      </c>
      <c r="N275" s="1">
        <v>0.0</v>
      </c>
      <c r="O275" s="1">
        <v>0.0</v>
      </c>
      <c r="P275" s="1">
        <v>17.0</v>
      </c>
      <c r="Q275" s="1">
        <v>14.0</v>
      </c>
    </row>
    <row r="276">
      <c r="A276" s="1">
        <f t="shared" si="1"/>
        <v>274</v>
      </c>
      <c r="B276" s="1" t="s">
        <v>1757</v>
      </c>
      <c r="C276" s="1" t="s">
        <v>1042</v>
      </c>
      <c r="D276" s="1" t="s">
        <v>31</v>
      </c>
      <c r="E276" s="1">
        <f t="shared" si="2"/>
        <v>232.5</v>
      </c>
      <c r="F276" s="1">
        <f t="shared" si="3"/>
        <v>2.87</v>
      </c>
      <c r="G276" s="1">
        <v>81.0</v>
      </c>
      <c r="H276" s="1">
        <v>17.0</v>
      </c>
      <c r="I276" s="1">
        <v>18.0</v>
      </c>
      <c r="J276" s="1">
        <v>35.0</v>
      </c>
      <c r="K276" s="1">
        <v>118.0</v>
      </c>
      <c r="L276" s="1">
        <v>3.0</v>
      </c>
      <c r="M276" s="1">
        <v>0.0</v>
      </c>
      <c r="N276" s="1">
        <v>0.0</v>
      </c>
      <c r="O276" s="1">
        <v>1.0</v>
      </c>
      <c r="P276" s="1">
        <v>24.0</v>
      </c>
      <c r="Q276" s="1">
        <v>70.0</v>
      </c>
    </row>
    <row r="277">
      <c r="A277" s="1">
        <f t="shared" si="1"/>
        <v>275</v>
      </c>
      <c r="B277" s="1" t="s">
        <v>1702</v>
      </c>
      <c r="C277" s="1" t="s">
        <v>1069</v>
      </c>
      <c r="D277" s="1" t="s">
        <v>66</v>
      </c>
      <c r="E277" s="1">
        <f t="shared" si="2"/>
        <v>232</v>
      </c>
      <c r="F277" s="1">
        <f t="shared" si="3"/>
        <v>3.36</v>
      </c>
      <c r="G277" s="1">
        <v>69.0</v>
      </c>
      <c r="H277" s="1">
        <v>7.0</v>
      </c>
      <c r="I277" s="1">
        <v>12.0</v>
      </c>
      <c r="J277" s="1">
        <v>19.0</v>
      </c>
      <c r="K277" s="1">
        <v>128.0</v>
      </c>
      <c r="L277" s="1">
        <v>0.0</v>
      </c>
      <c r="M277" s="1">
        <v>0.0</v>
      </c>
      <c r="N277" s="1">
        <v>1.0</v>
      </c>
      <c r="O277" s="1">
        <v>2.0</v>
      </c>
      <c r="P277" s="1">
        <v>44.0</v>
      </c>
      <c r="Q277" s="1">
        <v>167.0</v>
      </c>
    </row>
    <row r="278">
      <c r="A278" s="1">
        <f t="shared" si="1"/>
        <v>276</v>
      </c>
      <c r="B278" s="1" t="s">
        <v>1543</v>
      </c>
      <c r="C278" s="1" t="s">
        <v>1085</v>
      </c>
      <c r="D278" s="1" t="s">
        <v>31</v>
      </c>
      <c r="E278" s="1">
        <f t="shared" si="2"/>
        <v>231.75</v>
      </c>
      <c r="F278" s="1">
        <f t="shared" si="3"/>
        <v>2.86</v>
      </c>
      <c r="G278" s="1">
        <v>81.0</v>
      </c>
      <c r="H278" s="1">
        <v>15.0</v>
      </c>
      <c r="I278" s="1">
        <v>15.0</v>
      </c>
      <c r="J278" s="1">
        <v>30.0</v>
      </c>
      <c r="K278" s="1">
        <v>114.0</v>
      </c>
      <c r="L278" s="1">
        <v>1.0</v>
      </c>
      <c r="M278" s="1">
        <v>2.0</v>
      </c>
      <c r="N278" s="1">
        <v>1.0</v>
      </c>
      <c r="O278" s="1">
        <v>1.0</v>
      </c>
      <c r="P278" s="1">
        <v>103.0</v>
      </c>
      <c r="Q278" s="1">
        <v>65.0</v>
      </c>
    </row>
    <row r="279">
      <c r="A279" s="1">
        <f t="shared" si="1"/>
        <v>276</v>
      </c>
      <c r="B279" s="1" t="s">
        <v>1195</v>
      </c>
      <c r="C279" s="1" t="s">
        <v>1069</v>
      </c>
      <c r="D279" s="1" t="s">
        <v>66</v>
      </c>
      <c r="E279" s="1">
        <f t="shared" si="2"/>
        <v>231.75</v>
      </c>
      <c r="F279" s="1">
        <f t="shared" si="3"/>
        <v>2.9</v>
      </c>
      <c r="G279" s="1">
        <v>80.0</v>
      </c>
      <c r="H279" s="1">
        <v>5.0</v>
      </c>
      <c r="I279" s="1">
        <v>28.0</v>
      </c>
      <c r="J279" s="1">
        <v>33.0</v>
      </c>
      <c r="K279" s="1">
        <v>116.0</v>
      </c>
      <c r="L279" s="1">
        <v>1.0</v>
      </c>
      <c r="M279" s="1">
        <v>4.0</v>
      </c>
      <c r="N279" s="1">
        <v>1.0</v>
      </c>
      <c r="O279" s="1">
        <v>1.0</v>
      </c>
      <c r="P279" s="1">
        <v>87.0</v>
      </c>
      <c r="Q279" s="1">
        <v>83.0</v>
      </c>
    </row>
    <row r="280">
      <c r="A280" s="1">
        <f t="shared" si="1"/>
        <v>278</v>
      </c>
      <c r="B280" s="1" t="s">
        <v>2482</v>
      </c>
      <c r="C280" s="1" t="s">
        <v>1046</v>
      </c>
      <c r="D280" s="1" t="s">
        <v>28</v>
      </c>
      <c r="E280" s="1">
        <f t="shared" si="2"/>
        <v>231.5</v>
      </c>
      <c r="F280" s="1">
        <f t="shared" si="3"/>
        <v>3.31</v>
      </c>
      <c r="G280" s="1">
        <v>70.0</v>
      </c>
      <c r="H280" s="1">
        <v>15.0</v>
      </c>
      <c r="I280" s="1">
        <v>10.0</v>
      </c>
      <c r="J280" s="1">
        <v>25.0</v>
      </c>
      <c r="K280" s="1">
        <v>154.0</v>
      </c>
      <c r="L280" s="1">
        <v>2.0</v>
      </c>
      <c r="M280" s="1">
        <v>0.0</v>
      </c>
      <c r="N280" s="1">
        <v>0.0</v>
      </c>
      <c r="O280" s="1">
        <v>0.0</v>
      </c>
      <c r="P280" s="1">
        <v>154.0</v>
      </c>
      <c r="Q280" s="1">
        <v>37.0</v>
      </c>
    </row>
    <row r="281">
      <c r="A281" s="1">
        <f t="shared" si="1"/>
        <v>279</v>
      </c>
      <c r="B281" s="1" t="s">
        <v>1566</v>
      </c>
      <c r="C281" s="1" t="s">
        <v>1106</v>
      </c>
      <c r="D281" s="1" t="s">
        <v>5</v>
      </c>
      <c r="E281" s="1">
        <f t="shared" si="2"/>
        <v>231.3</v>
      </c>
      <c r="F281" s="1">
        <f t="shared" si="3"/>
        <v>5.03</v>
      </c>
      <c r="G281" s="1">
        <v>46.0</v>
      </c>
      <c r="R281" s="1">
        <v>19.0</v>
      </c>
      <c r="S281" s="1">
        <v>121.0</v>
      </c>
      <c r="T281" s="12">
        <v>1156.0</v>
      </c>
      <c r="U281" s="1">
        <v>3.0</v>
      </c>
    </row>
    <row r="282">
      <c r="A282" s="1">
        <f t="shared" si="1"/>
        <v>280</v>
      </c>
      <c r="B282" s="1" t="s">
        <v>1496</v>
      </c>
      <c r="C282" s="1" t="s">
        <v>1034</v>
      </c>
      <c r="D282" s="1" t="s">
        <v>66</v>
      </c>
      <c r="E282" s="1">
        <f t="shared" si="2"/>
        <v>231.25</v>
      </c>
      <c r="F282" s="1">
        <f t="shared" si="3"/>
        <v>3.17</v>
      </c>
      <c r="G282" s="1">
        <v>73.0</v>
      </c>
      <c r="H282" s="1">
        <v>2.0</v>
      </c>
      <c r="I282" s="1">
        <v>26.0</v>
      </c>
      <c r="J282" s="1">
        <v>28.0</v>
      </c>
      <c r="K282" s="1">
        <v>148.0</v>
      </c>
      <c r="L282" s="1">
        <v>1.0</v>
      </c>
      <c r="M282" s="1">
        <v>6.0</v>
      </c>
      <c r="N282" s="1">
        <v>0.0</v>
      </c>
      <c r="O282" s="1">
        <v>0.0</v>
      </c>
      <c r="P282" s="1">
        <v>73.0</v>
      </c>
      <c r="Q282" s="1">
        <v>104.0</v>
      </c>
    </row>
    <row r="283">
      <c r="A283" s="1">
        <f t="shared" si="1"/>
        <v>281</v>
      </c>
      <c r="B283" s="1" t="s">
        <v>1568</v>
      </c>
      <c r="C283" s="1" t="s">
        <v>1052</v>
      </c>
      <c r="D283" s="1" t="s">
        <v>66</v>
      </c>
      <c r="E283" s="1">
        <f t="shared" si="2"/>
        <v>230.75</v>
      </c>
      <c r="F283" s="1">
        <f t="shared" si="3"/>
        <v>3.04</v>
      </c>
      <c r="G283" s="1">
        <v>76.0</v>
      </c>
      <c r="H283" s="1">
        <v>3.0</v>
      </c>
      <c r="I283" s="1">
        <v>20.0</v>
      </c>
      <c r="J283" s="1">
        <v>23.0</v>
      </c>
      <c r="K283" s="1">
        <v>99.0</v>
      </c>
      <c r="L283" s="1">
        <v>0.0</v>
      </c>
      <c r="M283" s="1">
        <v>0.0</v>
      </c>
      <c r="N283" s="1">
        <v>0.0</v>
      </c>
      <c r="O283" s="1">
        <v>4.0</v>
      </c>
      <c r="P283" s="1">
        <v>141.0</v>
      </c>
      <c r="Q283" s="1">
        <v>129.0</v>
      </c>
    </row>
    <row r="284">
      <c r="A284" s="1">
        <f t="shared" si="1"/>
        <v>282</v>
      </c>
      <c r="B284" s="1" t="s">
        <v>1150</v>
      </c>
      <c r="C284" s="1" t="s">
        <v>1040</v>
      </c>
      <c r="D284" s="1" t="s">
        <v>28</v>
      </c>
      <c r="E284" s="1">
        <f t="shared" si="2"/>
        <v>230</v>
      </c>
      <c r="F284" s="1">
        <f t="shared" si="3"/>
        <v>3.59</v>
      </c>
      <c r="G284" s="1">
        <v>64.0</v>
      </c>
      <c r="H284" s="1">
        <v>21.0</v>
      </c>
      <c r="I284" s="1">
        <v>17.0</v>
      </c>
      <c r="J284" s="1">
        <v>38.0</v>
      </c>
      <c r="K284" s="1">
        <v>119.0</v>
      </c>
      <c r="L284" s="1">
        <v>7.0</v>
      </c>
      <c r="M284" s="1">
        <v>5.0</v>
      </c>
      <c r="N284" s="1">
        <v>0.0</v>
      </c>
      <c r="O284" s="1">
        <v>0.0</v>
      </c>
      <c r="P284" s="1">
        <v>60.0</v>
      </c>
      <c r="Q284" s="1">
        <v>20.0</v>
      </c>
    </row>
    <row r="285">
      <c r="A285" s="1">
        <f t="shared" si="1"/>
        <v>283</v>
      </c>
      <c r="B285" s="1" t="s">
        <v>2489</v>
      </c>
      <c r="C285" s="1" t="s">
        <v>1044</v>
      </c>
      <c r="D285" s="1" t="s">
        <v>31</v>
      </c>
      <c r="E285" s="1">
        <f t="shared" si="2"/>
        <v>229.25</v>
      </c>
      <c r="F285" s="1">
        <f t="shared" si="3"/>
        <v>2.94</v>
      </c>
      <c r="G285" s="1">
        <v>78.0</v>
      </c>
      <c r="H285" s="1">
        <v>15.0</v>
      </c>
      <c r="I285" s="1">
        <v>22.0</v>
      </c>
      <c r="J285" s="1">
        <v>37.0</v>
      </c>
      <c r="K285" s="1">
        <v>142.0</v>
      </c>
      <c r="L285" s="1">
        <v>1.0</v>
      </c>
      <c r="M285" s="1">
        <v>3.0</v>
      </c>
      <c r="N285" s="1">
        <v>1.0</v>
      </c>
      <c r="O285" s="1">
        <v>0.0</v>
      </c>
      <c r="P285" s="1">
        <v>25.0</v>
      </c>
      <c r="Q285" s="1">
        <v>33.0</v>
      </c>
    </row>
    <row r="286">
      <c r="A286" s="1">
        <f t="shared" si="1"/>
        <v>283</v>
      </c>
      <c r="B286" s="1" t="s">
        <v>1553</v>
      </c>
      <c r="C286" s="1" t="s">
        <v>1073</v>
      </c>
      <c r="D286" s="1" t="s">
        <v>66</v>
      </c>
      <c r="E286" s="1">
        <f t="shared" si="2"/>
        <v>229.25</v>
      </c>
      <c r="F286" s="1">
        <f t="shared" si="3"/>
        <v>3.14</v>
      </c>
      <c r="G286" s="1">
        <v>73.0</v>
      </c>
      <c r="H286" s="1">
        <v>7.0</v>
      </c>
      <c r="I286" s="1">
        <v>22.0</v>
      </c>
      <c r="J286" s="1">
        <v>29.0</v>
      </c>
      <c r="K286" s="1">
        <v>98.0</v>
      </c>
      <c r="L286" s="1">
        <v>0.0</v>
      </c>
      <c r="M286" s="1">
        <v>0.0</v>
      </c>
      <c r="N286" s="1">
        <v>0.0</v>
      </c>
      <c r="O286" s="1">
        <v>2.0</v>
      </c>
      <c r="P286" s="1">
        <v>53.0</v>
      </c>
      <c r="Q286" s="1">
        <v>131.0</v>
      </c>
    </row>
    <row r="287">
      <c r="A287" s="1">
        <f t="shared" si="1"/>
        <v>285</v>
      </c>
      <c r="B287" s="1" t="s">
        <v>1903</v>
      </c>
      <c r="C287" s="1" t="s">
        <v>1044</v>
      </c>
      <c r="D287" s="1" t="s">
        <v>31</v>
      </c>
      <c r="E287" s="1">
        <f t="shared" si="2"/>
        <v>228.75</v>
      </c>
      <c r="F287" s="1">
        <f t="shared" si="3"/>
        <v>3.22</v>
      </c>
      <c r="G287" s="1">
        <v>71.0</v>
      </c>
      <c r="H287" s="1">
        <v>14.0</v>
      </c>
      <c r="I287" s="1">
        <v>27.0</v>
      </c>
      <c r="J287" s="1">
        <v>41.0</v>
      </c>
      <c r="K287" s="1">
        <v>123.0</v>
      </c>
      <c r="L287" s="1">
        <v>5.0</v>
      </c>
      <c r="M287" s="1">
        <v>3.0</v>
      </c>
      <c r="N287" s="1">
        <v>0.0</v>
      </c>
      <c r="O287" s="1">
        <v>0.0</v>
      </c>
      <c r="P287" s="1">
        <v>23.0</v>
      </c>
      <c r="Q287" s="1">
        <v>35.0</v>
      </c>
    </row>
    <row r="288">
      <c r="A288" s="1">
        <f t="shared" si="1"/>
        <v>285</v>
      </c>
      <c r="B288" s="1" t="s">
        <v>2324</v>
      </c>
      <c r="C288" s="1" t="s">
        <v>1111</v>
      </c>
      <c r="D288" s="1" t="s">
        <v>31</v>
      </c>
      <c r="E288" s="1">
        <f t="shared" si="2"/>
        <v>228.75</v>
      </c>
      <c r="F288" s="1">
        <f t="shared" si="3"/>
        <v>3.47</v>
      </c>
      <c r="G288" s="1">
        <v>66.0</v>
      </c>
      <c r="H288" s="1">
        <v>19.0</v>
      </c>
      <c r="I288" s="1">
        <v>8.0</v>
      </c>
      <c r="J288" s="1">
        <v>27.0</v>
      </c>
      <c r="K288" s="1">
        <v>128.0</v>
      </c>
      <c r="L288" s="1">
        <v>0.0</v>
      </c>
      <c r="M288" s="1">
        <v>0.0</v>
      </c>
      <c r="N288" s="1">
        <v>3.0</v>
      </c>
      <c r="O288" s="1">
        <v>3.0</v>
      </c>
      <c r="P288" s="1">
        <v>63.0</v>
      </c>
      <c r="Q288" s="1">
        <v>55.0</v>
      </c>
    </row>
    <row r="289">
      <c r="A289" s="1">
        <f t="shared" si="1"/>
        <v>287</v>
      </c>
      <c r="B289" s="1" t="s">
        <v>1591</v>
      </c>
      <c r="C289" s="1" t="s">
        <v>1087</v>
      </c>
      <c r="D289" s="1" t="s">
        <v>28</v>
      </c>
      <c r="E289" s="1">
        <f t="shared" si="2"/>
        <v>228.25</v>
      </c>
      <c r="F289" s="1">
        <f t="shared" si="3"/>
        <v>2.82</v>
      </c>
      <c r="G289" s="1">
        <v>81.0</v>
      </c>
      <c r="H289" s="1">
        <v>18.0</v>
      </c>
      <c r="I289" s="1">
        <v>10.0</v>
      </c>
      <c r="J289" s="1">
        <v>28.0</v>
      </c>
      <c r="K289" s="1">
        <v>156.0</v>
      </c>
      <c r="L289" s="1">
        <v>1.0</v>
      </c>
      <c r="M289" s="1">
        <v>1.0</v>
      </c>
      <c r="N289" s="1">
        <v>0.0</v>
      </c>
      <c r="O289" s="1">
        <v>0.0</v>
      </c>
      <c r="P289" s="1">
        <v>87.0</v>
      </c>
      <c r="Q289" s="1">
        <v>35.0</v>
      </c>
    </row>
    <row r="290">
      <c r="A290" s="1">
        <f t="shared" si="1"/>
        <v>288</v>
      </c>
      <c r="B290" s="1" t="s">
        <v>2355</v>
      </c>
      <c r="C290" s="1" t="s">
        <v>1082</v>
      </c>
      <c r="D290" s="1" t="s">
        <v>66</v>
      </c>
      <c r="E290" s="1">
        <f t="shared" si="2"/>
        <v>228</v>
      </c>
      <c r="F290" s="1">
        <f t="shared" si="3"/>
        <v>3.21</v>
      </c>
      <c r="G290" s="1">
        <v>71.0</v>
      </c>
      <c r="H290" s="1">
        <v>6.0</v>
      </c>
      <c r="I290" s="1">
        <v>19.0</v>
      </c>
      <c r="J290" s="1">
        <v>25.0</v>
      </c>
      <c r="K290" s="1">
        <v>111.0</v>
      </c>
      <c r="L290" s="1">
        <v>0.0</v>
      </c>
      <c r="M290" s="1">
        <v>0.0</v>
      </c>
      <c r="N290" s="1">
        <v>0.0</v>
      </c>
      <c r="O290" s="1">
        <v>0.0</v>
      </c>
      <c r="P290" s="1">
        <v>84.0</v>
      </c>
      <c r="Q290" s="1">
        <v>135.0</v>
      </c>
    </row>
    <row r="291">
      <c r="A291" s="1">
        <f t="shared" si="1"/>
        <v>289</v>
      </c>
      <c r="B291" s="1" t="s">
        <v>1395</v>
      </c>
      <c r="C291" s="1" t="s">
        <v>1082</v>
      </c>
      <c r="D291" s="1" t="s">
        <v>66</v>
      </c>
      <c r="E291" s="1">
        <f t="shared" si="2"/>
        <v>227.75</v>
      </c>
      <c r="F291" s="1">
        <f t="shared" si="3"/>
        <v>2.78</v>
      </c>
      <c r="G291" s="1">
        <v>82.0</v>
      </c>
      <c r="H291" s="1">
        <v>3.0</v>
      </c>
      <c r="I291" s="1">
        <v>26.0</v>
      </c>
      <c r="J291" s="1">
        <v>29.0</v>
      </c>
      <c r="K291" s="1">
        <v>101.0</v>
      </c>
      <c r="L291" s="1">
        <v>0.0</v>
      </c>
      <c r="M291" s="1">
        <v>1.0</v>
      </c>
      <c r="N291" s="1">
        <v>0.0</v>
      </c>
      <c r="O291" s="1">
        <v>0.0</v>
      </c>
      <c r="P291" s="1">
        <v>137.0</v>
      </c>
      <c r="Q291" s="1">
        <v>103.0</v>
      </c>
    </row>
    <row r="292">
      <c r="A292" s="1">
        <f t="shared" si="1"/>
        <v>290</v>
      </c>
      <c r="B292" s="1" t="s">
        <v>1282</v>
      </c>
      <c r="C292" s="1" t="s">
        <v>1032</v>
      </c>
      <c r="D292" s="1" t="s">
        <v>31</v>
      </c>
      <c r="E292" s="1">
        <f t="shared" si="2"/>
        <v>226.5</v>
      </c>
      <c r="F292" s="1">
        <f t="shared" si="3"/>
        <v>2.9</v>
      </c>
      <c r="G292" s="1">
        <v>78.0</v>
      </c>
      <c r="H292" s="1">
        <v>15.0</v>
      </c>
      <c r="I292" s="1">
        <v>27.0</v>
      </c>
      <c r="J292" s="1">
        <v>42.0</v>
      </c>
      <c r="K292" s="1">
        <v>116.0</v>
      </c>
      <c r="L292" s="1">
        <v>4.0</v>
      </c>
      <c r="M292" s="1">
        <v>12.0</v>
      </c>
      <c r="N292" s="1">
        <v>0.0</v>
      </c>
      <c r="O292" s="1">
        <v>0.0</v>
      </c>
      <c r="P292" s="1">
        <v>22.0</v>
      </c>
      <c r="Q292" s="1">
        <v>29.0</v>
      </c>
    </row>
    <row r="293">
      <c r="A293" s="1">
        <f t="shared" si="1"/>
        <v>291</v>
      </c>
      <c r="B293" s="1" t="s">
        <v>1675</v>
      </c>
      <c r="C293" s="1" t="s">
        <v>1087</v>
      </c>
      <c r="D293" s="1" t="s">
        <v>66</v>
      </c>
      <c r="E293" s="1">
        <f t="shared" si="2"/>
        <v>226</v>
      </c>
      <c r="F293" s="1">
        <f t="shared" si="3"/>
        <v>2.86</v>
      </c>
      <c r="G293" s="1">
        <v>79.0</v>
      </c>
      <c r="H293" s="1">
        <v>4.0</v>
      </c>
      <c r="I293" s="1">
        <v>15.0</v>
      </c>
      <c r="J293" s="1">
        <v>19.0</v>
      </c>
      <c r="K293" s="1">
        <v>104.0</v>
      </c>
      <c r="L293" s="1">
        <v>0.0</v>
      </c>
      <c r="M293" s="1">
        <v>0.0</v>
      </c>
      <c r="N293" s="1">
        <v>1.0</v>
      </c>
      <c r="O293" s="1">
        <v>0.0</v>
      </c>
      <c r="P293" s="1">
        <v>118.0</v>
      </c>
      <c r="Q293" s="1">
        <v>159.0</v>
      </c>
    </row>
    <row r="294">
      <c r="A294" s="1">
        <f t="shared" si="1"/>
        <v>292</v>
      </c>
      <c r="B294" s="1" t="s">
        <v>1197</v>
      </c>
      <c r="C294" s="1" t="s">
        <v>1054</v>
      </c>
      <c r="D294" s="1" t="s">
        <v>36</v>
      </c>
      <c r="E294" s="1">
        <f t="shared" si="2"/>
        <v>225.75</v>
      </c>
      <c r="F294" s="1">
        <f t="shared" si="3"/>
        <v>4.7</v>
      </c>
      <c r="G294" s="1">
        <v>48.0</v>
      </c>
      <c r="H294" s="1">
        <v>12.0</v>
      </c>
      <c r="I294" s="1">
        <v>28.0</v>
      </c>
      <c r="J294" s="1">
        <v>40.0</v>
      </c>
      <c r="K294" s="1">
        <v>104.0</v>
      </c>
      <c r="L294" s="1">
        <v>3.0</v>
      </c>
      <c r="M294" s="1">
        <v>12.0</v>
      </c>
      <c r="N294" s="1">
        <v>0.0</v>
      </c>
      <c r="O294" s="1">
        <v>0.0</v>
      </c>
      <c r="P294" s="1">
        <v>57.0</v>
      </c>
      <c r="Q294" s="1">
        <v>43.0</v>
      </c>
    </row>
    <row r="295">
      <c r="A295" s="1">
        <f t="shared" si="1"/>
        <v>292</v>
      </c>
      <c r="B295" s="1" t="s">
        <v>2290</v>
      </c>
      <c r="C295" s="1" t="s">
        <v>1570</v>
      </c>
      <c r="D295" s="1" t="s">
        <v>31</v>
      </c>
      <c r="E295" s="1">
        <f t="shared" si="2"/>
        <v>225.75</v>
      </c>
      <c r="F295" s="1">
        <f t="shared" si="3"/>
        <v>3.09</v>
      </c>
      <c r="G295" s="1">
        <v>73.0</v>
      </c>
      <c r="H295" s="1">
        <v>18.0</v>
      </c>
      <c r="I295" s="1">
        <v>6.0</v>
      </c>
      <c r="J295" s="1">
        <v>24.0</v>
      </c>
      <c r="K295" s="1">
        <v>123.0</v>
      </c>
      <c r="L295" s="1">
        <v>7.0</v>
      </c>
      <c r="M295" s="1">
        <v>2.0</v>
      </c>
      <c r="N295" s="1">
        <v>1.0</v>
      </c>
      <c r="O295" s="1">
        <v>1.0</v>
      </c>
      <c r="P295" s="1">
        <v>145.0</v>
      </c>
      <c r="Q295" s="1">
        <v>50.0</v>
      </c>
    </row>
    <row r="296">
      <c r="A296" s="1">
        <f t="shared" si="1"/>
        <v>292</v>
      </c>
      <c r="B296" s="1" t="s">
        <v>1269</v>
      </c>
      <c r="C296" s="1" t="s">
        <v>1116</v>
      </c>
      <c r="D296" s="1" t="s">
        <v>28</v>
      </c>
      <c r="E296" s="1">
        <f t="shared" si="2"/>
        <v>225.75</v>
      </c>
      <c r="F296" s="1">
        <f t="shared" si="3"/>
        <v>2.89</v>
      </c>
      <c r="G296" s="1">
        <v>78.0</v>
      </c>
      <c r="H296" s="1">
        <v>12.0</v>
      </c>
      <c r="I296" s="1">
        <v>11.0</v>
      </c>
      <c r="J296" s="1">
        <v>23.0</v>
      </c>
      <c r="K296" s="1">
        <v>105.0</v>
      </c>
      <c r="L296" s="1">
        <v>0.0</v>
      </c>
      <c r="M296" s="1">
        <v>0.0</v>
      </c>
      <c r="N296" s="1">
        <v>1.0</v>
      </c>
      <c r="O296" s="1">
        <v>2.0</v>
      </c>
      <c r="P296" s="1">
        <v>223.0</v>
      </c>
      <c r="Q296" s="1">
        <v>49.0</v>
      </c>
    </row>
    <row r="297">
      <c r="A297" s="1">
        <f t="shared" si="1"/>
        <v>295</v>
      </c>
      <c r="B297" s="1" t="s">
        <v>1361</v>
      </c>
      <c r="C297" s="1" t="s">
        <v>1040</v>
      </c>
      <c r="D297" s="1" t="s">
        <v>31</v>
      </c>
      <c r="E297" s="1">
        <f t="shared" si="2"/>
        <v>225.5</v>
      </c>
      <c r="F297" s="1">
        <f t="shared" si="3"/>
        <v>2.78</v>
      </c>
      <c r="G297" s="1">
        <v>81.0</v>
      </c>
      <c r="H297" s="1">
        <v>19.0</v>
      </c>
      <c r="I297" s="1">
        <v>16.0</v>
      </c>
      <c r="J297" s="1">
        <v>35.0</v>
      </c>
      <c r="K297" s="1">
        <v>110.0</v>
      </c>
      <c r="L297" s="1">
        <v>4.0</v>
      </c>
      <c r="M297" s="1">
        <v>3.0</v>
      </c>
      <c r="N297" s="1">
        <v>0.0</v>
      </c>
      <c r="O297" s="1">
        <v>0.0</v>
      </c>
      <c r="P297" s="1">
        <v>76.0</v>
      </c>
      <c r="Q297" s="1">
        <v>36.0</v>
      </c>
    </row>
    <row r="298">
      <c r="A298" s="1">
        <f t="shared" si="1"/>
        <v>296</v>
      </c>
      <c r="B298" s="1" t="s">
        <v>1558</v>
      </c>
      <c r="C298" s="1" t="s">
        <v>1030</v>
      </c>
      <c r="D298" s="1" t="s">
        <v>5</v>
      </c>
      <c r="E298" s="1">
        <f t="shared" si="2"/>
        <v>224.1</v>
      </c>
      <c r="F298" s="1">
        <f t="shared" si="3"/>
        <v>6.06</v>
      </c>
      <c r="G298" s="1">
        <v>37.0</v>
      </c>
      <c r="R298" s="1">
        <v>18.0</v>
      </c>
      <c r="S298" s="1">
        <v>89.0</v>
      </c>
      <c r="T298" s="1">
        <v>982.0</v>
      </c>
      <c r="U298" s="1">
        <v>3.0</v>
      </c>
    </row>
    <row r="299">
      <c r="A299" s="1">
        <f t="shared" si="1"/>
        <v>297</v>
      </c>
      <c r="B299" s="1" t="s">
        <v>2496</v>
      </c>
      <c r="C299" s="1" t="s">
        <v>1120</v>
      </c>
      <c r="D299" s="1" t="s">
        <v>31</v>
      </c>
      <c r="E299" s="1">
        <f t="shared" si="2"/>
        <v>223.75</v>
      </c>
      <c r="F299" s="1">
        <f t="shared" si="3"/>
        <v>3.11</v>
      </c>
      <c r="G299" s="1">
        <v>72.0</v>
      </c>
      <c r="H299" s="1">
        <v>10.0</v>
      </c>
      <c r="I299" s="1">
        <v>25.0</v>
      </c>
      <c r="J299" s="1">
        <v>35.0</v>
      </c>
      <c r="K299" s="1">
        <v>120.0</v>
      </c>
      <c r="L299" s="1">
        <v>0.0</v>
      </c>
      <c r="M299" s="1">
        <v>8.0</v>
      </c>
      <c r="N299" s="1">
        <v>0.0</v>
      </c>
      <c r="O299" s="1">
        <v>1.0</v>
      </c>
      <c r="P299" s="1">
        <v>79.0</v>
      </c>
      <c r="Q299" s="1">
        <v>44.0</v>
      </c>
    </row>
    <row r="300">
      <c r="A300" s="1">
        <f t="shared" si="1"/>
        <v>297</v>
      </c>
      <c r="B300" s="1" t="s">
        <v>1301</v>
      </c>
      <c r="C300" s="1" t="s">
        <v>1044</v>
      </c>
      <c r="D300" s="1" t="s">
        <v>66</v>
      </c>
      <c r="E300" s="1">
        <f t="shared" si="2"/>
        <v>223.75</v>
      </c>
      <c r="F300" s="1">
        <f t="shared" si="3"/>
        <v>2.91</v>
      </c>
      <c r="G300" s="1">
        <v>77.0</v>
      </c>
      <c r="H300" s="1">
        <v>4.0</v>
      </c>
      <c r="I300" s="1">
        <v>18.0</v>
      </c>
      <c r="J300" s="1">
        <v>22.0</v>
      </c>
      <c r="K300" s="1">
        <v>109.0</v>
      </c>
      <c r="L300" s="1">
        <v>0.0</v>
      </c>
      <c r="M300" s="1">
        <v>3.0</v>
      </c>
      <c r="N300" s="1">
        <v>0.0</v>
      </c>
      <c r="O300" s="1">
        <v>1.0</v>
      </c>
      <c r="P300" s="1">
        <v>121.0</v>
      </c>
      <c r="Q300" s="1">
        <v>130.0</v>
      </c>
    </row>
    <row r="301">
      <c r="A301" s="1">
        <f t="shared" si="1"/>
        <v>299</v>
      </c>
      <c r="B301" s="1" t="s">
        <v>1879</v>
      </c>
      <c r="C301" s="1" t="s">
        <v>1038</v>
      </c>
      <c r="D301" s="1" t="s">
        <v>36</v>
      </c>
      <c r="E301" s="1">
        <f t="shared" si="2"/>
        <v>223.25</v>
      </c>
      <c r="F301" s="1">
        <f t="shared" si="3"/>
        <v>2.94</v>
      </c>
      <c r="G301" s="1">
        <v>76.0</v>
      </c>
      <c r="H301" s="1">
        <v>12.0</v>
      </c>
      <c r="I301" s="1">
        <v>7.0</v>
      </c>
      <c r="J301" s="1">
        <v>19.0</v>
      </c>
      <c r="K301" s="1">
        <v>135.0</v>
      </c>
      <c r="L301" s="1">
        <v>0.0</v>
      </c>
      <c r="M301" s="1">
        <v>0.0</v>
      </c>
      <c r="N301" s="1">
        <v>0.0</v>
      </c>
      <c r="O301" s="1">
        <v>0.0</v>
      </c>
      <c r="P301" s="1">
        <v>247.0</v>
      </c>
      <c r="Q301" s="1">
        <v>38.0</v>
      </c>
    </row>
    <row r="302">
      <c r="A302" s="1">
        <f t="shared" si="1"/>
        <v>299</v>
      </c>
      <c r="B302" s="1" t="s">
        <v>1279</v>
      </c>
      <c r="C302" s="1" t="s">
        <v>1042</v>
      </c>
      <c r="D302" s="1" t="s">
        <v>36</v>
      </c>
      <c r="E302" s="1">
        <f t="shared" si="2"/>
        <v>223.25</v>
      </c>
      <c r="F302" s="1">
        <f t="shared" si="3"/>
        <v>2.98</v>
      </c>
      <c r="G302" s="1">
        <v>75.0</v>
      </c>
      <c r="H302" s="1">
        <v>15.0</v>
      </c>
      <c r="I302" s="1">
        <v>15.0</v>
      </c>
      <c r="J302" s="1">
        <v>30.0</v>
      </c>
      <c r="K302" s="1">
        <v>111.0</v>
      </c>
      <c r="L302" s="1">
        <v>1.0</v>
      </c>
      <c r="M302" s="1">
        <v>1.0</v>
      </c>
      <c r="N302" s="1">
        <v>0.0</v>
      </c>
      <c r="O302" s="1">
        <v>1.0</v>
      </c>
      <c r="P302" s="1">
        <v>109.0</v>
      </c>
      <c r="Q302" s="1">
        <v>52.0</v>
      </c>
    </row>
    <row r="303">
      <c r="A303" s="1">
        <f t="shared" si="1"/>
        <v>299</v>
      </c>
      <c r="B303" s="1" t="s">
        <v>2506</v>
      </c>
      <c r="C303" s="1" t="s">
        <v>1030</v>
      </c>
      <c r="D303" s="1" t="s">
        <v>28</v>
      </c>
      <c r="E303" s="1">
        <f t="shared" si="2"/>
        <v>223.25</v>
      </c>
      <c r="F303" s="1">
        <f t="shared" si="3"/>
        <v>2.72</v>
      </c>
      <c r="G303" s="1">
        <v>82.0</v>
      </c>
      <c r="H303" s="1">
        <v>11.0</v>
      </c>
      <c r="I303" s="1">
        <v>15.0</v>
      </c>
      <c r="J303" s="1">
        <v>26.0</v>
      </c>
      <c r="K303" s="1">
        <v>141.0</v>
      </c>
      <c r="L303" s="1">
        <v>1.0</v>
      </c>
      <c r="M303" s="1">
        <v>1.0</v>
      </c>
      <c r="N303" s="1">
        <v>0.0</v>
      </c>
      <c r="O303" s="1">
        <v>2.0</v>
      </c>
      <c r="P303" s="1">
        <v>115.0</v>
      </c>
      <c r="Q303" s="1">
        <v>51.0</v>
      </c>
    </row>
    <row r="304">
      <c r="A304" s="1">
        <f t="shared" si="1"/>
        <v>302</v>
      </c>
      <c r="B304" s="1" t="s">
        <v>1180</v>
      </c>
      <c r="C304" s="1" t="s">
        <v>1106</v>
      </c>
      <c r="D304" s="1" t="s">
        <v>5</v>
      </c>
      <c r="E304" s="1">
        <f t="shared" si="2"/>
        <v>222.9</v>
      </c>
      <c r="F304" s="1">
        <f t="shared" si="3"/>
        <v>6.97</v>
      </c>
      <c r="G304" s="1">
        <v>32.0</v>
      </c>
      <c r="R304" s="1">
        <v>24.0</v>
      </c>
      <c r="S304" s="1">
        <v>59.0</v>
      </c>
      <c r="T304" s="1">
        <v>748.0</v>
      </c>
      <c r="U304" s="1">
        <v>5.0</v>
      </c>
    </row>
    <row r="305">
      <c r="A305" s="1">
        <f t="shared" si="1"/>
        <v>303</v>
      </c>
      <c r="B305" s="1" t="s">
        <v>1278</v>
      </c>
      <c r="C305" s="1" t="s">
        <v>1030</v>
      </c>
      <c r="D305" s="1" t="s">
        <v>31</v>
      </c>
      <c r="E305" s="1">
        <f t="shared" si="2"/>
        <v>222.75</v>
      </c>
      <c r="F305" s="1">
        <f t="shared" si="3"/>
        <v>3.38</v>
      </c>
      <c r="G305" s="1">
        <v>66.0</v>
      </c>
      <c r="H305" s="1">
        <v>16.0</v>
      </c>
      <c r="I305" s="1">
        <v>16.0</v>
      </c>
      <c r="J305" s="1">
        <v>32.0</v>
      </c>
      <c r="K305" s="1">
        <v>118.0</v>
      </c>
      <c r="L305" s="1">
        <v>4.0</v>
      </c>
      <c r="M305" s="1">
        <v>5.0</v>
      </c>
      <c r="N305" s="1">
        <v>3.0</v>
      </c>
      <c r="O305" s="1">
        <v>0.0</v>
      </c>
      <c r="P305" s="1">
        <v>33.0</v>
      </c>
      <c r="Q305" s="1">
        <v>59.0</v>
      </c>
    </row>
    <row r="306">
      <c r="A306" s="1">
        <f t="shared" si="1"/>
        <v>304</v>
      </c>
      <c r="B306" s="1" t="s">
        <v>1449</v>
      </c>
      <c r="C306" s="1" t="s">
        <v>1097</v>
      </c>
      <c r="D306" s="1" t="s">
        <v>31</v>
      </c>
      <c r="E306" s="1">
        <f t="shared" si="2"/>
        <v>222.5</v>
      </c>
      <c r="F306" s="1">
        <f t="shared" si="3"/>
        <v>2.82</v>
      </c>
      <c r="G306" s="1">
        <v>79.0</v>
      </c>
      <c r="H306" s="1">
        <v>11.0</v>
      </c>
      <c r="I306" s="1">
        <v>23.0</v>
      </c>
      <c r="J306" s="1">
        <v>34.0</v>
      </c>
      <c r="K306" s="1">
        <v>134.0</v>
      </c>
      <c r="L306" s="1">
        <v>1.0</v>
      </c>
      <c r="M306" s="1">
        <v>4.0</v>
      </c>
      <c r="N306" s="1">
        <v>0.0</v>
      </c>
      <c r="O306" s="1">
        <v>0.0</v>
      </c>
      <c r="P306" s="1">
        <v>66.0</v>
      </c>
      <c r="Q306" s="1">
        <v>41.0</v>
      </c>
    </row>
    <row r="307">
      <c r="A307" s="1">
        <f t="shared" si="1"/>
        <v>305</v>
      </c>
      <c r="B307" s="1" t="s">
        <v>2531</v>
      </c>
      <c r="C307" s="1" t="s">
        <v>1069</v>
      </c>
      <c r="D307" s="1" t="s">
        <v>28</v>
      </c>
      <c r="E307" s="1">
        <f t="shared" si="2"/>
        <v>221.25</v>
      </c>
      <c r="F307" s="1">
        <f t="shared" si="3"/>
        <v>3.4</v>
      </c>
      <c r="G307" s="1">
        <v>65.0</v>
      </c>
      <c r="H307" s="1">
        <v>16.0</v>
      </c>
      <c r="I307" s="1">
        <v>18.0</v>
      </c>
      <c r="J307" s="1">
        <v>34.0</v>
      </c>
      <c r="K307" s="1">
        <v>132.0</v>
      </c>
      <c r="L307" s="1">
        <v>0.0</v>
      </c>
      <c r="M307" s="1">
        <v>0.0</v>
      </c>
      <c r="N307" s="1">
        <v>2.0</v>
      </c>
      <c r="O307" s="1">
        <v>0.0</v>
      </c>
      <c r="P307" s="1">
        <v>57.0</v>
      </c>
      <c r="Q307" s="1">
        <v>22.0</v>
      </c>
    </row>
    <row r="308">
      <c r="A308" s="1">
        <f t="shared" si="1"/>
        <v>306</v>
      </c>
      <c r="B308" s="1" t="s">
        <v>1214</v>
      </c>
      <c r="C308" s="1" t="s">
        <v>1052</v>
      </c>
      <c r="D308" s="1" t="s">
        <v>31</v>
      </c>
      <c r="E308" s="1">
        <f t="shared" si="2"/>
        <v>221</v>
      </c>
      <c r="F308" s="1">
        <f t="shared" si="3"/>
        <v>3.45</v>
      </c>
      <c r="G308" s="1">
        <v>64.0</v>
      </c>
      <c r="H308" s="1">
        <v>14.0</v>
      </c>
      <c r="I308" s="1">
        <v>12.0</v>
      </c>
      <c r="J308" s="1">
        <v>26.0</v>
      </c>
      <c r="K308" s="1">
        <v>154.0</v>
      </c>
      <c r="L308" s="1">
        <v>2.0</v>
      </c>
      <c r="M308" s="1">
        <v>4.0</v>
      </c>
      <c r="N308" s="1">
        <v>0.0</v>
      </c>
      <c r="O308" s="1">
        <v>0.0</v>
      </c>
      <c r="P308" s="1">
        <v>126.0</v>
      </c>
      <c r="Q308" s="1">
        <v>27.0</v>
      </c>
    </row>
    <row r="309">
      <c r="A309" s="1">
        <f t="shared" si="1"/>
        <v>307</v>
      </c>
      <c r="B309" s="1" t="s">
        <v>1548</v>
      </c>
      <c r="C309" s="1" t="s">
        <v>1087</v>
      </c>
      <c r="D309" s="1" t="s">
        <v>66</v>
      </c>
      <c r="E309" s="1">
        <f t="shared" si="2"/>
        <v>220.75</v>
      </c>
      <c r="F309" s="1">
        <f t="shared" si="3"/>
        <v>2.83</v>
      </c>
      <c r="G309" s="1">
        <v>78.0</v>
      </c>
      <c r="H309" s="1">
        <v>5.0</v>
      </c>
      <c r="I309" s="1">
        <v>16.0</v>
      </c>
      <c r="J309" s="1">
        <v>21.0</v>
      </c>
      <c r="K309" s="1">
        <v>110.0</v>
      </c>
      <c r="L309" s="1">
        <v>0.0</v>
      </c>
      <c r="M309" s="1">
        <v>0.0</v>
      </c>
      <c r="N309" s="1">
        <v>0.0</v>
      </c>
      <c r="O309" s="1">
        <v>0.0</v>
      </c>
      <c r="P309" s="1">
        <v>149.0</v>
      </c>
      <c r="Q309" s="1">
        <v>116.0</v>
      </c>
    </row>
    <row r="310">
      <c r="A310" s="1">
        <f t="shared" si="1"/>
        <v>307</v>
      </c>
      <c r="B310" s="1" t="s">
        <v>1121</v>
      </c>
      <c r="C310" s="1" t="s">
        <v>1116</v>
      </c>
      <c r="D310" s="1" t="s">
        <v>66</v>
      </c>
      <c r="E310" s="1">
        <f t="shared" si="2"/>
        <v>220.75</v>
      </c>
      <c r="F310" s="1">
        <f t="shared" si="3"/>
        <v>3.74</v>
      </c>
      <c r="G310" s="1">
        <v>59.0</v>
      </c>
      <c r="H310" s="1">
        <v>6.0</v>
      </c>
      <c r="I310" s="1">
        <v>25.0</v>
      </c>
      <c r="J310" s="1">
        <v>31.0</v>
      </c>
      <c r="K310" s="1">
        <v>95.0</v>
      </c>
      <c r="L310" s="1">
        <v>3.0</v>
      </c>
      <c r="M310" s="1">
        <v>7.0</v>
      </c>
      <c r="N310" s="1">
        <v>1.0</v>
      </c>
      <c r="O310" s="1">
        <v>1.0</v>
      </c>
      <c r="P310" s="1">
        <v>55.0</v>
      </c>
      <c r="Q310" s="1">
        <v>107.0</v>
      </c>
    </row>
    <row r="311">
      <c r="A311" s="1">
        <f t="shared" si="1"/>
        <v>309</v>
      </c>
      <c r="B311" s="1" t="s">
        <v>1667</v>
      </c>
      <c r="C311" s="1" t="s">
        <v>1067</v>
      </c>
      <c r="D311" s="1" t="s">
        <v>66</v>
      </c>
      <c r="E311" s="1">
        <f t="shared" si="2"/>
        <v>219.5</v>
      </c>
      <c r="F311" s="1">
        <f t="shared" si="3"/>
        <v>3.38</v>
      </c>
      <c r="G311" s="1">
        <v>65.0</v>
      </c>
      <c r="H311" s="1">
        <v>3.0</v>
      </c>
      <c r="I311" s="1">
        <v>26.0</v>
      </c>
      <c r="J311" s="1">
        <v>29.0</v>
      </c>
      <c r="K311" s="1">
        <v>131.0</v>
      </c>
      <c r="L311" s="1">
        <v>1.0</v>
      </c>
      <c r="M311" s="1">
        <v>12.0</v>
      </c>
      <c r="N311" s="1">
        <v>0.0</v>
      </c>
      <c r="O311" s="1">
        <v>0.0</v>
      </c>
      <c r="P311" s="1">
        <v>122.0</v>
      </c>
      <c r="Q311" s="1">
        <v>64.0</v>
      </c>
    </row>
    <row r="312">
      <c r="A312" s="1">
        <f t="shared" si="1"/>
        <v>310</v>
      </c>
      <c r="B312" s="1" t="s">
        <v>1552</v>
      </c>
      <c r="C312" s="1" t="s">
        <v>1052</v>
      </c>
      <c r="D312" s="1" t="s">
        <v>66</v>
      </c>
      <c r="E312" s="1">
        <f t="shared" si="2"/>
        <v>219.25</v>
      </c>
      <c r="F312" s="1">
        <f t="shared" si="3"/>
        <v>2.67</v>
      </c>
      <c r="G312" s="1">
        <v>82.0</v>
      </c>
      <c r="H312" s="1">
        <v>1.0</v>
      </c>
      <c r="I312" s="1">
        <v>12.0</v>
      </c>
      <c r="J312" s="1">
        <v>13.0</v>
      </c>
      <c r="K312" s="1">
        <v>86.0</v>
      </c>
      <c r="L312" s="1">
        <v>1.0</v>
      </c>
      <c r="M312" s="1">
        <v>1.0</v>
      </c>
      <c r="N312" s="1">
        <v>0.0</v>
      </c>
      <c r="O312" s="1">
        <v>2.0</v>
      </c>
      <c r="P312" s="1">
        <v>233.0</v>
      </c>
      <c r="Q312" s="1">
        <v>147.0</v>
      </c>
    </row>
    <row r="313">
      <c r="A313" s="1">
        <f t="shared" si="1"/>
        <v>311</v>
      </c>
      <c r="B313" s="1" t="s">
        <v>1598</v>
      </c>
      <c r="C313" s="1" t="s">
        <v>1080</v>
      </c>
      <c r="D313" s="1" t="s">
        <v>66</v>
      </c>
      <c r="E313" s="1">
        <f t="shared" si="2"/>
        <v>218.75</v>
      </c>
      <c r="F313" s="1">
        <f t="shared" si="3"/>
        <v>3.59</v>
      </c>
      <c r="G313" s="1">
        <v>61.0</v>
      </c>
      <c r="H313" s="1">
        <v>9.0</v>
      </c>
      <c r="I313" s="1">
        <v>21.0</v>
      </c>
      <c r="J313" s="1">
        <v>30.0</v>
      </c>
      <c r="K313" s="1">
        <v>112.0</v>
      </c>
      <c r="L313" s="1">
        <v>1.0</v>
      </c>
      <c r="M313" s="1">
        <v>7.0</v>
      </c>
      <c r="N313" s="1">
        <v>0.0</v>
      </c>
      <c r="O313" s="1">
        <v>0.0</v>
      </c>
      <c r="P313" s="1">
        <v>37.0</v>
      </c>
      <c r="Q313" s="1">
        <v>100.0</v>
      </c>
    </row>
    <row r="314">
      <c r="A314" s="1">
        <f t="shared" si="1"/>
        <v>312</v>
      </c>
      <c r="B314" s="1" t="s">
        <v>1706</v>
      </c>
      <c r="C314" s="1" t="s">
        <v>1067</v>
      </c>
      <c r="D314" s="1" t="s">
        <v>28</v>
      </c>
      <c r="E314" s="1">
        <f t="shared" si="2"/>
        <v>218.25</v>
      </c>
      <c r="F314" s="1">
        <f t="shared" si="3"/>
        <v>2.8</v>
      </c>
      <c r="G314" s="1">
        <v>78.0</v>
      </c>
      <c r="H314" s="1">
        <v>14.0</v>
      </c>
      <c r="I314" s="1">
        <v>20.0</v>
      </c>
      <c r="J314" s="1">
        <v>34.0</v>
      </c>
      <c r="K314" s="1">
        <v>147.0</v>
      </c>
      <c r="L314" s="1">
        <v>4.0</v>
      </c>
      <c r="M314" s="1">
        <v>2.0</v>
      </c>
      <c r="N314" s="1">
        <v>0.0</v>
      </c>
      <c r="O314" s="1">
        <v>0.0</v>
      </c>
      <c r="P314" s="1">
        <v>29.0</v>
      </c>
      <c r="Q314" s="1">
        <v>29.0</v>
      </c>
    </row>
    <row r="315">
      <c r="A315" s="1">
        <f t="shared" si="1"/>
        <v>313</v>
      </c>
      <c r="B315" s="1" t="s">
        <v>1310</v>
      </c>
      <c r="C315" s="1" t="s">
        <v>1044</v>
      </c>
      <c r="D315" s="1" t="s">
        <v>28</v>
      </c>
      <c r="E315" s="1">
        <f t="shared" si="2"/>
        <v>218</v>
      </c>
      <c r="F315" s="1">
        <f t="shared" si="3"/>
        <v>2.95</v>
      </c>
      <c r="G315" s="1">
        <v>74.0</v>
      </c>
      <c r="H315" s="1">
        <v>19.0</v>
      </c>
      <c r="I315" s="1">
        <v>14.0</v>
      </c>
      <c r="J315" s="1">
        <v>33.0</v>
      </c>
      <c r="K315" s="1">
        <v>132.0</v>
      </c>
      <c r="L315" s="1">
        <v>7.0</v>
      </c>
      <c r="M315" s="1">
        <v>1.0</v>
      </c>
      <c r="N315" s="1">
        <v>0.0</v>
      </c>
      <c r="O315" s="1">
        <v>0.0</v>
      </c>
      <c r="P315" s="1">
        <v>32.0</v>
      </c>
      <c r="Q315" s="1">
        <v>33.0</v>
      </c>
    </row>
    <row r="316">
      <c r="A316" s="1">
        <f t="shared" si="1"/>
        <v>313</v>
      </c>
      <c r="B316" s="1" t="s">
        <v>1727</v>
      </c>
      <c r="C316" s="1" t="s">
        <v>1069</v>
      </c>
      <c r="D316" s="1" t="s">
        <v>31</v>
      </c>
      <c r="E316" s="1">
        <f t="shared" si="2"/>
        <v>218</v>
      </c>
      <c r="F316" s="1">
        <f t="shared" si="3"/>
        <v>2.76</v>
      </c>
      <c r="G316" s="1">
        <v>79.0</v>
      </c>
      <c r="H316" s="1">
        <v>14.0</v>
      </c>
      <c r="I316" s="1">
        <v>18.0</v>
      </c>
      <c r="J316" s="1">
        <v>32.0</v>
      </c>
      <c r="K316" s="1">
        <v>99.0</v>
      </c>
      <c r="L316" s="1">
        <v>0.0</v>
      </c>
      <c r="M316" s="1">
        <v>0.0</v>
      </c>
      <c r="N316" s="1">
        <v>5.0</v>
      </c>
      <c r="O316" s="1">
        <v>3.0</v>
      </c>
      <c r="P316" s="1">
        <v>30.0</v>
      </c>
      <c r="Q316" s="1">
        <v>56.0</v>
      </c>
    </row>
    <row r="317">
      <c r="A317" s="1">
        <f t="shared" si="1"/>
        <v>315</v>
      </c>
      <c r="B317" s="1" t="s">
        <v>1525</v>
      </c>
      <c r="C317" s="1" t="s">
        <v>1097</v>
      </c>
      <c r="D317" s="1" t="s">
        <v>31</v>
      </c>
      <c r="E317" s="1">
        <f t="shared" si="2"/>
        <v>217.75</v>
      </c>
      <c r="F317" s="1">
        <f t="shared" si="3"/>
        <v>2.69</v>
      </c>
      <c r="G317" s="1">
        <v>81.0</v>
      </c>
      <c r="H317" s="1">
        <v>7.0</v>
      </c>
      <c r="I317" s="1">
        <v>20.0</v>
      </c>
      <c r="J317" s="1">
        <v>27.0</v>
      </c>
      <c r="K317" s="1">
        <v>144.0</v>
      </c>
      <c r="L317" s="1">
        <v>1.0</v>
      </c>
      <c r="M317" s="1">
        <v>2.0</v>
      </c>
      <c r="N317" s="1">
        <v>0.0</v>
      </c>
      <c r="O317" s="1">
        <v>0.0</v>
      </c>
      <c r="P317" s="1">
        <v>115.0</v>
      </c>
      <c r="Q317" s="1">
        <v>51.0</v>
      </c>
    </row>
    <row r="318">
      <c r="A318" s="1">
        <f t="shared" si="1"/>
        <v>316</v>
      </c>
      <c r="B318" s="1" t="s">
        <v>1267</v>
      </c>
      <c r="C318" s="1" t="s">
        <v>1080</v>
      </c>
      <c r="D318" s="1" t="s">
        <v>66</v>
      </c>
      <c r="E318" s="1">
        <f t="shared" si="2"/>
        <v>217.5</v>
      </c>
      <c r="F318" s="1">
        <f t="shared" si="3"/>
        <v>2.69</v>
      </c>
      <c r="G318" s="1">
        <v>81.0</v>
      </c>
      <c r="H318" s="1">
        <v>4.0</v>
      </c>
      <c r="I318" s="1">
        <v>12.0</v>
      </c>
      <c r="J318" s="1">
        <v>16.0</v>
      </c>
      <c r="K318" s="1">
        <v>84.0</v>
      </c>
      <c r="L318" s="1">
        <v>0.0</v>
      </c>
      <c r="M318" s="1">
        <v>0.0</v>
      </c>
      <c r="N318" s="1">
        <v>0.0</v>
      </c>
      <c r="O318" s="1">
        <v>1.0</v>
      </c>
      <c r="P318" s="1">
        <v>200.0</v>
      </c>
      <c r="Q318" s="1">
        <v>139.0</v>
      </c>
    </row>
    <row r="319">
      <c r="A319" s="1">
        <f t="shared" si="1"/>
        <v>317</v>
      </c>
      <c r="B319" s="1" t="s">
        <v>2104</v>
      </c>
      <c r="C319" s="1" t="s">
        <v>1080</v>
      </c>
      <c r="D319" s="1" t="s">
        <v>31</v>
      </c>
      <c r="E319" s="1">
        <f t="shared" si="2"/>
        <v>217.25</v>
      </c>
      <c r="F319" s="1">
        <f t="shared" si="3"/>
        <v>4.35</v>
      </c>
      <c r="G319" s="1">
        <v>50.0</v>
      </c>
      <c r="H319" s="1">
        <v>13.0</v>
      </c>
      <c r="I319" s="1">
        <v>29.0</v>
      </c>
      <c r="J319" s="1">
        <v>42.0</v>
      </c>
      <c r="K319" s="1">
        <v>103.0</v>
      </c>
      <c r="L319" s="1">
        <v>1.0</v>
      </c>
      <c r="M319" s="1">
        <v>3.0</v>
      </c>
      <c r="N319" s="1">
        <v>1.0</v>
      </c>
      <c r="O319" s="1">
        <v>1.0</v>
      </c>
      <c r="P319" s="1">
        <v>35.0</v>
      </c>
      <c r="Q319" s="1">
        <v>15.0</v>
      </c>
    </row>
    <row r="320">
      <c r="A320" s="1">
        <f t="shared" si="1"/>
        <v>318</v>
      </c>
      <c r="B320" s="1" t="s">
        <v>1491</v>
      </c>
      <c r="C320" s="1" t="s">
        <v>1067</v>
      </c>
      <c r="D320" s="1" t="s">
        <v>36</v>
      </c>
      <c r="E320" s="1">
        <f t="shared" si="2"/>
        <v>216.75</v>
      </c>
      <c r="F320" s="1">
        <f t="shared" si="3"/>
        <v>2.78</v>
      </c>
      <c r="G320" s="1">
        <v>78.0</v>
      </c>
      <c r="H320" s="1">
        <v>14.0</v>
      </c>
      <c r="I320" s="1">
        <v>15.0</v>
      </c>
      <c r="J320" s="1">
        <v>29.0</v>
      </c>
      <c r="K320" s="1">
        <v>147.0</v>
      </c>
      <c r="L320" s="1">
        <v>7.0</v>
      </c>
      <c r="M320" s="1">
        <v>4.0</v>
      </c>
      <c r="N320" s="1">
        <v>0.0</v>
      </c>
      <c r="O320" s="1">
        <v>0.0</v>
      </c>
      <c r="P320" s="1">
        <v>87.0</v>
      </c>
      <c r="Q320" s="1">
        <v>27.0</v>
      </c>
    </row>
    <row r="321">
      <c r="A321" s="1">
        <f t="shared" si="1"/>
        <v>318</v>
      </c>
      <c r="B321" s="1" t="s">
        <v>1453</v>
      </c>
      <c r="C321" s="1" t="s">
        <v>1069</v>
      </c>
      <c r="D321" s="1" t="s">
        <v>66</v>
      </c>
      <c r="E321" s="1">
        <f t="shared" si="2"/>
        <v>216.75</v>
      </c>
      <c r="F321" s="1">
        <f t="shared" si="3"/>
        <v>2.74</v>
      </c>
      <c r="G321" s="1">
        <v>79.0</v>
      </c>
      <c r="H321" s="1">
        <v>9.0</v>
      </c>
      <c r="I321" s="1">
        <v>25.0</v>
      </c>
      <c r="J321" s="1">
        <v>34.0</v>
      </c>
      <c r="K321" s="1">
        <v>102.0</v>
      </c>
      <c r="L321" s="1">
        <v>1.0</v>
      </c>
      <c r="M321" s="1">
        <v>3.0</v>
      </c>
      <c r="N321" s="1">
        <v>1.0</v>
      </c>
      <c r="O321" s="1">
        <v>0.0</v>
      </c>
      <c r="P321" s="1">
        <v>21.0</v>
      </c>
      <c r="Q321" s="1">
        <v>86.0</v>
      </c>
    </row>
    <row r="322">
      <c r="A322" s="1">
        <f t="shared" si="1"/>
        <v>320</v>
      </c>
      <c r="B322" s="1" t="s">
        <v>2298</v>
      </c>
      <c r="C322" s="1" t="s">
        <v>1030</v>
      </c>
      <c r="D322" s="1" t="s">
        <v>36</v>
      </c>
      <c r="E322" s="1">
        <f t="shared" si="2"/>
        <v>216.5</v>
      </c>
      <c r="F322" s="1">
        <f t="shared" si="3"/>
        <v>2.71</v>
      </c>
      <c r="G322" s="1">
        <v>80.0</v>
      </c>
      <c r="H322" s="1">
        <v>14.0</v>
      </c>
      <c r="I322" s="1">
        <v>23.0</v>
      </c>
      <c r="J322" s="1">
        <v>37.0</v>
      </c>
      <c r="K322" s="1">
        <v>115.0</v>
      </c>
      <c r="L322" s="1">
        <v>1.0</v>
      </c>
      <c r="M322" s="1">
        <v>2.0</v>
      </c>
      <c r="N322" s="1">
        <v>0.0</v>
      </c>
      <c r="O322" s="1">
        <v>0.0</v>
      </c>
      <c r="P322" s="1">
        <v>36.0</v>
      </c>
      <c r="Q322" s="1">
        <v>36.0</v>
      </c>
    </row>
    <row r="323">
      <c r="A323" s="1">
        <f t="shared" si="1"/>
        <v>321</v>
      </c>
      <c r="B323" s="1" t="s">
        <v>2474</v>
      </c>
      <c r="C323" s="1" t="s">
        <v>1052</v>
      </c>
      <c r="D323" s="1" t="s">
        <v>31</v>
      </c>
      <c r="E323" s="1">
        <f t="shared" si="2"/>
        <v>215.75</v>
      </c>
      <c r="F323" s="1">
        <f t="shared" si="3"/>
        <v>2.63</v>
      </c>
      <c r="G323" s="1">
        <v>82.0</v>
      </c>
      <c r="H323" s="1">
        <v>13.0</v>
      </c>
      <c r="I323" s="1">
        <v>24.0</v>
      </c>
      <c r="J323" s="1">
        <v>37.0</v>
      </c>
      <c r="K323" s="1">
        <v>137.0</v>
      </c>
      <c r="L323" s="1">
        <v>1.0</v>
      </c>
      <c r="M323" s="1">
        <v>1.0</v>
      </c>
      <c r="N323" s="1">
        <v>0.0</v>
      </c>
      <c r="O323" s="1">
        <v>0.0</v>
      </c>
      <c r="P323" s="1">
        <v>13.0</v>
      </c>
      <c r="Q323" s="1">
        <v>27.0</v>
      </c>
    </row>
    <row r="324">
      <c r="A324" s="1">
        <f t="shared" si="1"/>
        <v>321</v>
      </c>
      <c r="B324" s="1" t="s">
        <v>2347</v>
      </c>
      <c r="C324" s="1" t="s">
        <v>1034</v>
      </c>
      <c r="D324" s="1" t="s">
        <v>31</v>
      </c>
      <c r="E324" s="1">
        <f t="shared" si="2"/>
        <v>215.75</v>
      </c>
      <c r="F324" s="1">
        <f t="shared" si="3"/>
        <v>2.7</v>
      </c>
      <c r="G324" s="1">
        <v>80.0</v>
      </c>
      <c r="H324" s="1">
        <v>13.0</v>
      </c>
      <c r="I324" s="1">
        <v>4.0</v>
      </c>
      <c r="J324" s="1">
        <v>17.0</v>
      </c>
      <c r="K324" s="1">
        <v>87.0</v>
      </c>
      <c r="L324" s="1">
        <v>0.0</v>
      </c>
      <c r="M324" s="1">
        <v>0.0</v>
      </c>
      <c r="N324" s="1">
        <v>2.0</v>
      </c>
      <c r="O324" s="1">
        <v>0.0</v>
      </c>
      <c r="P324" s="1">
        <v>269.0</v>
      </c>
      <c r="Q324" s="1">
        <v>61.0</v>
      </c>
    </row>
    <row r="325">
      <c r="A325" s="1">
        <f t="shared" si="1"/>
        <v>323</v>
      </c>
      <c r="B325" s="1" t="s">
        <v>1547</v>
      </c>
      <c r="C325" s="1" t="s">
        <v>1106</v>
      </c>
      <c r="D325" s="1" t="s">
        <v>31</v>
      </c>
      <c r="E325" s="1">
        <f t="shared" si="2"/>
        <v>215.25</v>
      </c>
      <c r="F325" s="1">
        <f t="shared" si="3"/>
        <v>2.91</v>
      </c>
      <c r="G325" s="1">
        <v>74.0</v>
      </c>
      <c r="H325" s="1">
        <v>14.0</v>
      </c>
      <c r="I325" s="1">
        <v>17.0</v>
      </c>
      <c r="J325" s="1">
        <v>31.0</v>
      </c>
      <c r="K325" s="1">
        <v>113.0</v>
      </c>
      <c r="L325" s="1">
        <v>0.0</v>
      </c>
      <c r="M325" s="1">
        <v>1.0</v>
      </c>
      <c r="N325" s="1">
        <v>1.0</v>
      </c>
      <c r="O325" s="1">
        <v>1.0</v>
      </c>
      <c r="P325" s="1">
        <v>101.0</v>
      </c>
      <c r="Q325" s="1">
        <v>31.0</v>
      </c>
    </row>
    <row r="326">
      <c r="A326" s="1">
        <f t="shared" si="1"/>
        <v>323</v>
      </c>
      <c r="B326" s="1" t="s">
        <v>1277</v>
      </c>
      <c r="C326" s="1" t="s">
        <v>1067</v>
      </c>
      <c r="D326" s="1" t="s">
        <v>31</v>
      </c>
      <c r="E326" s="1">
        <f t="shared" si="2"/>
        <v>215.25</v>
      </c>
      <c r="F326" s="1">
        <f t="shared" si="3"/>
        <v>2.91</v>
      </c>
      <c r="G326" s="1">
        <v>74.0</v>
      </c>
      <c r="H326" s="1">
        <v>9.0</v>
      </c>
      <c r="I326" s="1">
        <v>20.0</v>
      </c>
      <c r="J326" s="1">
        <v>29.0</v>
      </c>
      <c r="K326" s="1">
        <v>168.0</v>
      </c>
      <c r="L326" s="1">
        <v>2.0</v>
      </c>
      <c r="M326" s="1">
        <v>2.0</v>
      </c>
      <c r="N326" s="1">
        <v>0.0</v>
      </c>
      <c r="O326" s="1">
        <v>3.0</v>
      </c>
      <c r="P326" s="1">
        <v>33.0</v>
      </c>
      <c r="Q326" s="1">
        <v>33.0</v>
      </c>
    </row>
    <row r="327">
      <c r="A327" s="1">
        <f t="shared" si="1"/>
        <v>325</v>
      </c>
      <c r="B327" s="1" t="s">
        <v>2152</v>
      </c>
      <c r="C327" s="1" t="s">
        <v>1046</v>
      </c>
      <c r="D327" s="1" t="s">
        <v>66</v>
      </c>
      <c r="E327" s="1">
        <f t="shared" si="2"/>
        <v>215</v>
      </c>
      <c r="F327" s="1">
        <f t="shared" si="3"/>
        <v>2.65</v>
      </c>
      <c r="G327" s="1">
        <v>81.0</v>
      </c>
      <c r="H327" s="1">
        <v>5.0</v>
      </c>
      <c r="I327" s="1">
        <v>17.0</v>
      </c>
      <c r="J327" s="1">
        <v>22.0</v>
      </c>
      <c r="K327" s="1">
        <v>93.0</v>
      </c>
      <c r="L327" s="1">
        <v>0.0</v>
      </c>
      <c r="M327" s="1">
        <v>0.0</v>
      </c>
      <c r="N327" s="1">
        <v>0.0</v>
      </c>
      <c r="O327" s="1">
        <v>0.0</v>
      </c>
      <c r="P327" s="1">
        <v>124.0</v>
      </c>
      <c r="Q327" s="1">
        <v>128.0</v>
      </c>
    </row>
    <row r="328">
      <c r="A328" s="1">
        <f t="shared" si="1"/>
        <v>325</v>
      </c>
      <c r="B328" s="1" t="s">
        <v>2325</v>
      </c>
      <c r="C328" s="1" t="s">
        <v>1097</v>
      </c>
      <c r="D328" s="1" t="s">
        <v>31</v>
      </c>
      <c r="E328" s="1">
        <f t="shared" si="2"/>
        <v>215</v>
      </c>
      <c r="F328" s="1">
        <f t="shared" si="3"/>
        <v>3.84</v>
      </c>
      <c r="G328" s="1">
        <v>56.0</v>
      </c>
      <c r="H328" s="1">
        <v>15.0</v>
      </c>
      <c r="I328" s="1">
        <v>16.0</v>
      </c>
      <c r="J328" s="1">
        <v>31.0</v>
      </c>
      <c r="K328" s="1">
        <v>94.0</v>
      </c>
      <c r="L328" s="1">
        <v>0.0</v>
      </c>
      <c r="M328" s="1">
        <v>1.0</v>
      </c>
      <c r="N328" s="1">
        <v>2.0</v>
      </c>
      <c r="O328" s="1">
        <v>1.0</v>
      </c>
      <c r="P328" s="1">
        <v>114.0</v>
      </c>
      <c r="Q328" s="1">
        <v>36.0</v>
      </c>
    </row>
    <row r="329">
      <c r="A329" s="1">
        <f t="shared" si="1"/>
        <v>327</v>
      </c>
      <c r="B329" s="1" t="s">
        <v>1219</v>
      </c>
      <c r="C329" s="1" t="s">
        <v>1054</v>
      </c>
      <c r="D329" s="1" t="s">
        <v>36</v>
      </c>
      <c r="E329" s="1">
        <f t="shared" si="2"/>
        <v>214.75</v>
      </c>
      <c r="F329" s="1">
        <f t="shared" si="3"/>
        <v>2.59</v>
      </c>
      <c r="G329" s="1">
        <v>83.0</v>
      </c>
      <c r="H329" s="1">
        <v>12.0</v>
      </c>
      <c r="I329" s="1">
        <v>14.0</v>
      </c>
      <c r="J329" s="1">
        <v>26.0</v>
      </c>
      <c r="K329" s="1">
        <v>145.0</v>
      </c>
      <c r="L329" s="1">
        <v>0.0</v>
      </c>
      <c r="M329" s="1">
        <v>0.0</v>
      </c>
      <c r="N329" s="1">
        <v>0.0</v>
      </c>
      <c r="O329" s="1">
        <v>0.0</v>
      </c>
      <c r="P329" s="1">
        <v>107.0</v>
      </c>
      <c r="Q329" s="1">
        <v>39.0</v>
      </c>
    </row>
    <row r="330">
      <c r="A330" s="1">
        <f t="shared" si="1"/>
        <v>328</v>
      </c>
      <c r="B330" s="1" t="s">
        <v>2590</v>
      </c>
      <c r="C330" s="1" t="s">
        <v>1044</v>
      </c>
      <c r="D330" s="1" t="s">
        <v>66</v>
      </c>
      <c r="E330" s="1">
        <f t="shared" si="2"/>
        <v>213.75</v>
      </c>
      <c r="F330" s="1">
        <f t="shared" si="3"/>
        <v>2.64</v>
      </c>
      <c r="G330" s="1">
        <v>81.0</v>
      </c>
      <c r="H330" s="1">
        <v>5.0</v>
      </c>
      <c r="I330" s="1">
        <v>18.0</v>
      </c>
      <c r="J330" s="1">
        <v>23.0</v>
      </c>
      <c r="K330" s="1">
        <v>81.0</v>
      </c>
      <c r="L330" s="1">
        <v>0.0</v>
      </c>
      <c r="M330" s="1">
        <v>0.0</v>
      </c>
      <c r="N330" s="1">
        <v>1.0</v>
      </c>
      <c r="O330" s="1">
        <v>0.0</v>
      </c>
      <c r="P330" s="1">
        <v>91.0</v>
      </c>
      <c r="Q330" s="1">
        <v>144.0</v>
      </c>
    </row>
    <row r="331">
      <c r="A331" s="1">
        <f t="shared" si="1"/>
        <v>329</v>
      </c>
      <c r="B331" s="1" t="s">
        <v>2158</v>
      </c>
      <c r="C331" s="1" t="s">
        <v>1036</v>
      </c>
      <c r="D331" s="1" t="s">
        <v>36</v>
      </c>
      <c r="E331" s="1">
        <f t="shared" si="2"/>
        <v>213.25</v>
      </c>
      <c r="F331" s="1">
        <f t="shared" si="3"/>
        <v>2.7</v>
      </c>
      <c r="G331" s="1">
        <v>79.0</v>
      </c>
      <c r="H331" s="1">
        <v>15.0</v>
      </c>
      <c r="I331" s="1">
        <v>11.0</v>
      </c>
      <c r="J331" s="1">
        <v>26.0</v>
      </c>
      <c r="K331" s="1">
        <v>111.0</v>
      </c>
      <c r="L331" s="1">
        <v>0.0</v>
      </c>
      <c r="M331" s="1">
        <v>0.0</v>
      </c>
      <c r="N331" s="1">
        <v>1.0</v>
      </c>
      <c r="O331" s="1">
        <v>0.0</v>
      </c>
      <c r="P331" s="1">
        <v>191.0</v>
      </c>
      <c r="Q331" s="1">
        <v>15.0</v>
      </c>
    </row>
    <row r="332">
      <c r="A332" s="1">
        <f t="shared" si="1"/>
        <v>330</v>
      </c>
      <c r="B332" s="1" t="s">
        <v>2588</v>
      </c>
      <c r="C332" s="1" t="s">
        <v>1078</v>
      </c>
      <c r="D332" s="1" t="s">
        <v>36</v>
      </c>
      <c r="E332" s="1">
        <f t="shared" si="2"/>
        <v>213</v>
      </c>
      <c r="F332" s="1">
        <f t="shared" si="3"/>
        <v>3.33</v>
      </c>
      <c r="G332" s="1">
        <v>64.0</v>
      </c>
      <c r="H332" s="1">
        <v>16.0</v>
      </c>
      <c r="I332" s="1">
        <v>18.0</v>
      </c>
      <c r="J332" s="1">
        <v>34.0</v>
      </c>
      <c r="K332" s="1">
        <v>141.0</v>
      </c>
      <c r="L332" s="1">
        <v>4.0</v>
      </c>
      <c r="M332" s="1">
        <v>5.0</v>
      </c>
      <c r="N332" s="1">
        <v>0.0</v>
      </c>
      <c r="O332" s="1">
        <v>0.0</v>
      </c>
      <c r="P332" s="1">
        <v>28.0</v>
      </c>
      <c r="Q332" s="1">
        <v>19.0</v>
      </c>
    </row>
    <row r="333">
      <c r="A333" s="1">
        <f t="shared" si="1"/>
        <v>331</v>
      </c>
      <c r="B333" s="1" t="s">
        <v>1648</v>
      </c>
      <c r="C333" s="1" t="s">
        <v>1052</v>
      </c>
      <c r="D333" s="1" t="s">
        <v>5</v>
      </c>
      <c r="E333" s="1">
        <f t="shared" si="2"/>
        <v>211.8</v>
      </c>
      <c r="F333" s="1">
        <f t="shared" si="3"/>
        <v>5.88</v>
      </c>
      <c r="G333" s="1">
        <v>36.0</v>
      </c>
      <c r="R333" s="1">
        <v>15.0</v>
      </c>
      <c r="S333" s="1">
        <v>89.0</v>
      </c>
      <c r="T333" s="1">
        <v>971.0</v>
      </c>
      <c r="U333" s="1">
        <v>3.0</v>
      </c>
    </row>
    <row r="334">
      <c r="A334" s="1">
        <f t="shared" si="1"/>
        <v>332</v>
      </c>
      <c r="B334" s="1" t="s">
        <v>1839</v>
      </c>
      <c r="C334" s="1" t="s">
        <v>1073</v>
      </c>
      <c r="D334" s="1" t="s">
        <v>28</v>
      </c>
      <c r="E334" s="1">
        <f t="shared" si="2"/>
        <v>209.75</v>
      </c>
      <c r="F334" s="1">
        <f t="shared" si="3"/>
        <v>2.56</v>
      </c>
      <c r="G334" s="1">
        <v>82.0</v>
      </c>
      <c r="H334" s="1">
        <v>10.0</v>
      </c>
      <c r="I334" s="1">
        <v>16.0</v>
      </c>
      <c r="J334" s="1">
        <v>26.0</v>
      </c>
      <c r="K334" s="1">
        <v>123.0</v>
      </c>
      <c r="L334" s="1">
        <v>0.0</v>
      </c>
      <c r="M334" s="1">
        <v>0.0</v>
      </c>
      <c r="N334" s="1">
        <v>1.0</v>
      </c>
      <c r="O334" s="1">
        <v>0.0</v>
      </c>
      <c r="P334" s="1">
        <v>137.0</v>
      </c>
      <c r="Q334" s="1">
        <v>38.0</v>
      </c>
    </row>
    <row r="335">
      <c r="A335" s="1">
        <f t="shared" si="1"/>
        <v>333</v>
      </c>
      <c r="B335" s="1" t="s">
        <v>1696</v>
      </c>
      <c r="C335" s="1" t="s">
        <v>1080</v>
      </c>
      <c r="D335" s="1" t="s">
        <v>36</v>
      </c>
      <c r="E335" s="1">
        <f t="shared" si="2"/>
        <v>209.25</v>
      </c>
      <c r="F335" s="1">
        <f t="shared" si="3"/>
        <v>2.62</v>
      </c>
      <c r="G335" s="1">
        <v>80.0</v>
      </c>
      <c r="H335" s="1">
        <v>9.0</v>
      </c>
      <c r="I335" s="1">
        <v>11.0</v>
      </c>
      <c r="J335" s="1">
        <v>20.0</v>
      </c>
      <c r="K335" s="1">
        <v>95.0</v>
      </c>
      <c r="L335" s="1">
        <v>3.0</v>
      </c>
      <c r="M335" s="1">
        <v>0.0</v>
      </c>
      <c r="N335" s="1">
        <v>0.0</v>
      </c>
      <c r="O335" s="1">
        <v>0.0</v>
      </c>
      <c r="P335" s="1">
        <v>305.0</v>
      </c>
      <c r="Q335" s="1">
        <v>24.0</v>
      </c>
    </row>
    <row r="336">
      <c r="A336" s="1">
        <f t="shared" si="1"/>
        <v>334</v>
      </c>
      <c r="B336" s="1" t="s">
        <v>2593</v>
      </c>
      <c r="C336" s="1" t="s">
        <v>1080</v>
      </c>
      <c r="D336" s="1" t="s">
        <v>66</v>
      </c>
      <c r="E336" s="1">
        <f t="shared" si="2"/>
        <v>208.75</v>
      </c>
      <c r="F336" s="1">
        <f t="shared" si="3"/>
        <v>2.82</v>
      </c>
      <c r="G336" s="1">
        <v>74.0</v>
      </c>
      <c r="H336" s="1">
        <v>2.0</v>
      </c>
      <c r="I336" s="1">
        <v>10.0</v>
      </c>
      <c r="J336" s="1">
        <v>12.0</v>
      </c>
      <c r="K336" s="1">
        <v>105.0</v>
      </c>
      <c r="L336" s="1">
        <v>0.0</v>
      </c>
      <c r="M336" s="1">
        <v>0.0</v>
      </c>
      <c r="N336" s="1">
        <v>0.0</v>
      </c>
      <c r="O336" s="1">
        <v>0.0</v>
      </c>
      <c r="P336" s="1">
        <v>165.0</v>
      </c>
      <c r="Q336" s="1">
        <v>152.0</v>
      </c>
    </row>
    <row r="337">
      <c r="A337" s="1">
        <f t="shared" si="1"/>
        <v>335</v>
      </c>
      <c r="B337" s="1" t="s">
        <v>1678</v>
      </c>
      <c r="C337" s="1" t="s">
        <v>1069</v>
      </c>
      <c r="D337" s="1" t="s">
        <v>31</v>
      </c>
      <c r="E337" s="1">
        <f t="shared" si="2"/>
        <v>207.25</v>
      </c>
      <c r="F337" s="1">
        <f t="shared" si="3"/>
        <v>2.56</v>
      </c>
      <c r="G337" s="1">
        <v>81.0</v>
      </c>
      <c r="H337" s="1">
        <v>13.0</v>
      </c>
      <c r="I337" s="1">
        <v>25.0</v>
      </c>
      <c r="J337" s="1">
        <v>38.0</v>
      </c>
      <c r="K337" s="1">
        <v>103.0</v>
      </c>
      <c r="L337" s="1">
        <v>2.0</v>
      </c>
      <c r="M337" s="1">
        <v>5.0</v>
      </c>
      <c r="N337" s="1">
        <v>0.0</v>
      </c>
      <c r="O337" s="1">
        <v>4.0</v>
      </c>
      <c r="P337" s="1">
        <v>19.0</v>
      </c>
      <c r="Q337" s="1">
        <v>19.0</v>
      </c>
    </row>
    <row r="338">
      <c r="A338" s="1">
        <f t="shared" si="1"/>
        <v>336</v>
      </c>
      <c r="B338" s="1" t="s">
        <v>1345</v>
      </c>
      <c r="C338" s="1" t="s">
        <v>1038</v>
      </c>
      <c r="D338" s="1" t="s">
        <v>31</v>
      </c>
      <c r="E338" s="1">
        <f t="shared" si="2"/>
        <v>207</v>
      </c>
      <c r="F338" s="1">
        <f t="shared" si="3"/>
        <v>2.69</v>
      </c>
      <c r="G338" s="1">
        <v>77.0</v>
      </c>
      <c r="H338" s="1">
        <v>11.0</v>
      </c>
      <c r="I338" s="1">
        <v>23.0</v>
      </c>
      <c r="J338" s="1">
        <v>34.0</v>
      </c>
      <c r="K338" s="1">
        <v>114.0</v>
      </c>
      <c r="L338" s="1">
        <v>1.0</v>
      </c>
      <c r="M338" s="1">
        <v>6.0</v>
      </c>
      <c r="N338" s="1">
        <v>0.0</v>
      </c>
      <c r="O338" s="1">
        <v>0.0</v>
      </c>
      <c r="P338" s="1">
        <v>54.0</v>
      </c>
      <c r="Q338" s="1">
        <v>36.0</v>
      </c>
    </row>
    <row r="339">
      <c r="A339" s="1">
        <f t="shared" si="1"/>
        <v>336</v>
      </c>
      <c r="B339" s="1" t="s">
        <v>1400</v>
      </c>
      <c r="C339" s="1" t="s">
        <v>1034</v>
      </c>
      <c r="D339" s="1" t="s">
        <v>28</v>
      </c>
      <c r="E339" s="1">
        <f t="shared" si="2"/>
        <v>207</v>
      </c>
      <c r="F339" s="1">
        <f t="shared" si="3"/>
        <v>3.23</v>
      </c>
      <c r="G339" s="1">
        <v>64.0</v>
      </c>
      <c r="H339" s="1">
        <v>8.0</v>
      </c>
      <c r="I339" s="1">
        <v>26.0</v>
      </c>
      <c r="J339" s="1">
        <v>34.0</v>
      </c>
      <c r="K339" s="1">
        <v>100.0</v>
      </c>
      <c r="L339" s="1">
        <v>2.0</v>
      </c>
      <c r="M339" s="1">
        <v>6.0</v>
      </c>
      <c r="N339" s="1">
        <v>0.0</v>
      </c>
      <c r="O339" s="1">
        <v>0.0</v>
      </c>
      <c r="P339" s="1">
        <v>104.0</v>
      </c>
      <c r="Q339" s="1">
        <v>34.0</v>
      </c>
    </row>
    <row r="340">
      <c r="A340" s="1">
        <f t="shared" si="1"/>
        <v>338</v>
      </c>
      <c r="B340" s="1" t="s">
        <v>2586</v>
      </c>
      <c r="C340" s="1" t="s">
        <v>1172</v>
      </c>
      <c r="D340" s="1" t="s">
        <v>5</v>
      </c>
      <c r="E340" s="1">
        <f t="shared" si="2"/>
        <v>206.4</v>
      </c>
      <c r="F340" s="1">
        <f t="shared" si="3"/>
        <v>5.29</v>
      </c>
      <c r="G340" s="1">
        <v>39.0</v>
      </c>
      <c r="R340" s="1">
        <v>14.0</v>
      </c>
      <c r="S340" s="1">
        <v>108.0</v>
      </c>
      <c r="T340" s="12">
        <v>1068.0</v>
      </c>
      <c r="U340" s="1">
        <v>2.0</v>
      </c>
    </row>
    <row r="341">
      <c r="A341" s="1">
        <f t="shared" si="1"/>
        <v>339</v>
      </c>
      <c r="B341" s="1" t="s">
        <v>1527</v>
      </c>
      <c r="C341" s="1" t="s">
        <v>1030</v>
      </c>
      <c r="D341" s="1" t="s">
        <v>66</v>
      </c>
      <c r="E341" s="1">
        <f t="shared" si="2"/>
        <v>206.25</v>
      </c>
      <c r="F341" s="1">
        <f t="shared" si="3"/>
        <v>2.52</v>
      </c>
      <c r="G341" s="1">
        <v>82.0</v>
      </c>
      <c r="H341" s="1">
        <v>4.0</v>
      </c>
      <c r="I341" s="1">
        <v>23.0</v>
      </c>
      <c r="J341" s="1">
        <v>27.0</v>
      </c>
      <c r="K341" s="1">
        <v>116.0</v>
      </c>
      <c r="L341" s="1">
        <v>0.0</v>
      </c>
      <c r="M341" s="1">
        <v>9.0</v>
      </c>
      <c r="N341" s="1">
        <v>0.0</v>
      </c>
      <c r="O341" s="1">
        <v>0.0</v>
      </c>
      <c r="P341" s="1">
        <v>65.0</v>
      </c>
      <c r="Q341" s="1">
        <v>90.0</v>
      </c>
    </row>
    <row r="342">
      <c r="A342" s="1">
        <f t="shared" si="1"/>
        <v>340</v>
      </c>
      <c r="B342" s="1" t="s">
        <v>2523</v>
      </c>
      <c r="C342" s="1" t="s">
        <v>1040</v>
      </c>
      <c r="D342" s="1" t="s">
        <v>66</v>
      </c>
      <c r="E342" s="1">
        <f t="shared" si="2"/>
        <v>206</v>
      </c>
      <c r="F342" s="1">
        <f t="shared" si="3"/>
        <v>3.38</v>
      </c>
      <c r="G342" s="1">
        <v>61.0</v>
      </c>
      <c r="H342" s="1">
        <v>4.0</v>
      </c>
      <c r="I342" s="1">
        <v>26.0</v>
      </c>
      <c r="J342" s="1">
        <v>30.0</v>
      </c>
      <c r="K342" s="1">
        <v>111.0</v>
      </c>
      <c r="L342" s="1">
        <v>0.0</v>
      </c>
      <c r="M342" s="1">
        <v>10.0</v>
      </c>
      <c r="N342" s="1">
        <v>0.0</v>
      </c>
      <c r="O342" s="1">
        <v>0.0</v>
      </c>
      <c r="P342" s="1">
        <v>54.0</v>
      </c>
      <c r="Q342" s="1">
        <v>82.0</v>
      </c>
    </row>
    <row r="343">
      <c r="A343" s="1">
        <f t="shared" si="1"/>
        <v>340</v>
      </c>
      <c r="B343" s="1" t="s">
        <v>2498</v>
      </c>
      <c r="C343" s="1" t="s">
        <v>1175</v>
      </c>
      <c r="D343" s="1" t="s">
        <v>36</v>
      </c>
      <c r="E343" s="1">
        <f t="shared" si="2"/>
        <v>206</v>
      </c>
      <c r="F343" s="1">
        <f t="shared" si="3"/>
        <v>2.58</v>
      </c>
      <c r="G343" s="1">
        <v>80.0</v>
      </c>
      <c r="H343" s="1">
        <v>17.0</v>
      </c>
      <c r="I343" s="1">
        <v>13.0</v>
      </c>
      <c r="J343" s="1">
        <v>30.0</v>
      </c>
      <c r="K343" s="1">
        <v>100.0</v>
      </c>
      <c r="L343" s="1">
        <v>0.0</v>
      </c>
      <c r="M343" s="1">
        <v>0.0</v>
      </c>
      <c r="N343" s="1">
        <v>1.0</v>
      </c>
      <c r="O343" s="1">
        <v>1.0</v>
      </c>
      <c r="P343" s="1">
        <v>88.0</v>
      </c>
      <c r="Q343" s="1">
        <v>29.0</v>
      </c>
    </row>
    <row r="344">
      <c r="A344" s="1">
        <f t="shared" si="1"/>
        <v>342</v>
      </c>
      <c r="B344" s="1" t="s">
        <v>1413</v>
      </c>
      <c r="C344" s="1" t="s">
        <v>1087</v>
      </c>
      <c r="D344" s="1" t="s">
        <v>66</v>
      </c>
      <c r="E344" s="1">
        <f t="shared" si="2"/>
        <v>205.75</v>
      </c>
      <c r="F344" s="1">
        <f t="shared" si="3"/>
        <v>2.51</v>
      </c>
      <c r="G344" s="1">
        <v>82.0</v>
      </c>
      <c r="H344" s="1">
        <v>4.0</v>
      </c>
      <c r="I344" s="1">
        <v>22.0</v>
      </c>
      <c r="J344" s="1">
        <v>26.0</v>
      </c>
      <c r="K344" s="1">
        <v>116.0</v>
      </c>
      <c r="L344" s="1">
        <v>0.0</v>
      </c>
      <c r="M344" s="1">
        <v>10.0</v>
      </c>
      <c r="N344" s="1">
        <v>0.0</v>
      </c>
      <c r="O344" s="1">
        <v>0.0</v>
      </c>
      <c r="P344" s="1">
        <v>77.0</v>
      </c>
      <c r="Q344" s="1">
        <v>89.0</v>
      </c>
    </row>
    <row r="345">
      <c r="A345" s="1">
        <f t="shared" si="1"/>
        <v>343</v>
      </c>
      <c r="B345" s="1" t="s">
        <v>1510</v>
      </c>
      <c r="C345" s="1" t="s">
        <v>1030</v>
      </c>
      <c r="D345" s="1" t="s">
        <v>66</v>
      </c>
      <c r="E345" s="1">
        <f t="shared" si="2"/>
        <v>204.75</v>
      </c>
      <c r="F345" s="1">
        <f t="shared" si="3"/>
        <v>2.88</v>
      </c>
      <c r="G345" s="1">
        <v>71.0</v>
      </c>
      <c r="H345" s="1">
        <v>2.0</v>
      </c>
      <c r="I345" s="1">
        <v>13.0</v>
      </c>
      <c r="J345" s="1">
        <v>15.0</v>
      </c>
      <c r="K345" s="1">
        <v>82.0</v>
      </c>
      <c r="L345" s="1">
        <v>0.0</v>
      </c>
      <c r="M345" s="1">
        <v>0.0</v>
      </c>
      <c r="N345" s="1">
        <v>0.0</v>
      </c>
      <c r="O345" s="1">
        <v>0.0</v>
      </c>
      <c r="P345" s="1">
        <v>107.0</v>
      </c>
      <c r="Q345" s="1">
        <v>178.0</v>
      </c>
    </row>
    <row r="346">
      <c r="A346" s="1">
        <f t="shared" si="1"/>
        <v>344</v>
      </c>
      <c r="B346" s="1" t="s">
        <v>2509</v>
      </c>
      <c r="C346" s="1" t="s">
        <v>1073</v>
      </c>
      <c r="D346" s="1" t="s">
        <v>31</v>
      </c>
      <c r="E346" s="1">
        <f t="shared" si="2"/>
        <v>204.5</v>
      </c>
      <c r="F346" s="1">
        <f t="shared" si="3"/>
        <v>2.52</v>
      </c>
      <c r="G346" s="1">
        <v>81.0</v>
      </c>
      <c r="H346" s="1">
        <v>10.0</v>
      </c>
      <c r="I346" s="1">
        <v>18.0</v>
      </c>
      <c r="J346" s="1">
        <v>28.0</v>
      </c>
      <c r="K346" s="1">
        <v>131.0</v>
      </c>
      <c r="L346" s="1">
        <v>2.0</v>
      </c>
      <c r="M346" s="1">
        <v>5.0</v>
      </c>
      <c r="N346" s="1">
        <v>0.0</v>
      </c>
      <c r="O346" s="1">
        <v>0.0</v>
      </c>
      <c r="P346" s="1">
        <v>82.0</v>
      </c>
      <c r="Q346" s="1">
        <v>39.0</v>
      </c>
    </row>
    <row r="347">
      <c r="A347" s="1">
        <f t="shared" si="1"/>
        <v>344</v>
      </c>
      <c r="B347" s="1" t="s">
        <v>1160</v>
      </c>
      <c r="C347" s="1" t="s">
        <v>1038</v>
      </c>
      <c r="D347" s="1" t="s">
        <v>66</v>
      </c>
      <c r="E347" s="1">
        <f t="shared" si="2"/>
        <v>204.5</v>
      </c>
      <c r="F347" s="1">
        <f t="shared" si="3"/>
        <v>3.79</v>
      </c>
      <c r="G347" s="1">
        <v>54.0</v>
      </c>
      <c r="H347" s="1">
        <v>7.0</v>
      </c>
      <c r="I347" s="1">
        <v>21.0</v>
      </c>
      <c r="J347" s="1">
        <v>28.0</v>
      </c>
      <c r="K347" s="1">
        <v>79.0</v>
      </c>
      <c r="L347" s="1">
        <v>1.0</v>
      </c>
      <c r="M347" s="1">
        <v>1.0</v>
      </c>
      <c r="N347" s="1">
        <v>0.0</v>
      </c>
      <c r="O347" s="1">
        <v>1.0</v>
      </c>
      <c r="P347" s="1">
        <v>92.0</v>
      </c>
      <c r="Q347" s="1">
        <v>91.0</v>
      </c>
    </row>
    <row r="348">
      <c r="A348" s="1">
        <f t="shared" si="1"/>
        <v>346</v>
      </c>
      <c r="B348" s="1" t="s">
        <v>2327</v>
      </c>
      <c r="C348" s="1" t="s">
        <v>1116</v>
      </c>
      <c r="D348" s="1" t="s">
        <v>31</v>
      </c>
      <c r="E348" s="1">
        <f t="shared" si="2"/>
        <v>204.25</v>
      </c>
      <c r="F348" s="1">
        <f t="shared" si="3"/>
        <v>2.49</v>
      </c>
      <c r="G348" s="1">
        <v>82.0</v>
      </c>
      <c r="H348" s="1">
        <v>15.0</v>
      </c>
      <c r="I348" s="1">
        <v>15.0</v>
      </c>
      <c r="J348" s="1">
        <v>30.0</v>
      </c>
      <c r="K348" s="1">
        <v>95.0</v>
      </c>
      <c r="L348" s="1">
        <v>4.0</v>
      </c>
      <c r="M348" s="1">
        <v>3.0</v>
      </c>
      <c r="N348" s="1">
        <v>0.0</v>
      </c>
      <c r="O348" s="1">
        <v>0.0</v>
      </c>
      <c r="P348" s="1">
        <v>127.0</v>
      </c>
      <c r="Q348" s="1">
        <v>25.0</v>
      </c>
    </row>
    <row r="349">
      <c r="A349" s="1">
        <f t="shared" si="1"/>
        <v>346</v>
      </c>
      <c r="B349" s="1" t="s">
        <v>1378</v>
      </c>
      <c r="C349" s="1" t="s">
        <v>1076</v>
      </c>
      <c r="D349" s="1" t="s">
        <v>28</v>
      </c>
      <c r="E349" s="1">
        <f t="shared" si="2"/>
        <v>204.25</v>
      </c>
      <c r="F349" s="1">
        <f t="shared" si="3"/>
        <v>3.24</v>
      </c>
      <c r="G349" s="1">
        <v>63.0</v>
      </c>
      <c r="H349" s="1">
        <v>10.0</v>
      </c>
      <c r="I349" s="1">
        <v>14.0</v>
      </c>
      <c r="J349" s="1">
        <v>24.0</v>
      </c>
      <c r="K349" s="1">
        <v>159.0</v>
      </c>
      <c r="L349" s="1">
        <v>1.0</v>
      </c>
      <c r="M349" s="1">
        <v>2.0</v>
      </c>
      <c r="N349" s="1">
        <v>0.0</v>
      </c>
      <c r="O349" s="1">
        <v>0.0</v>
      </c>
      <c r="P349" s="1">
        <v>97.0</v>
      </c>
      <c r="Q349" s="1">
        <v>27.0</v>
      </c>
    </row>
    <row r="350">
      <c r="A350" s="1">
        <f t="shared" si="1"/>
        <v>348</v>
      </c>
      <c r="B350" s="1" t="s">
        <v>1877</v>
      </c>
      <c r="C350" s="1" t="s">
        <v>1076</v>
      </c>
      <c r="D350" s="1" t="s">
        <v>28</v>
      </c>
      <c r="E350" s="1">
        <f t="shared" si="2"/>
        <v>204</v>
      </c>
      <c r="F350" s="1">
        <f t="shared" si="3"/>
        <v>6.18</v>
      </c>
      <c r="G350" s="1">
        <v>33.0</v>
      </c>
      <c r="H350" s="1">
        <v>11.0</v>
      </c>
      <c r="I350" s="1">
        <v>26.0</v>
      </c>
      <c r="J350" s="1">
        <v>37.0</v>
      </c>
      <c r="K350" s="1">
        <v>113.0</v>
      </c>
      <c r="L350" s="1">
        <v>1.0</v>
      </c>
      <c r="M350" s="1">
        <v>11.0</v>
      </c>
      <c r="N350" s="1">
        <v>0.0</v>
      </c>
      <c r="O350" s="1">
        <v>0.0</v>
      </c>
      <c r="P350" s="1">
        <v>22.0</v>
      </c>
      <c r="Q350" s="1">
        <v>29.0</v>
      </c>
    </row>
    <row r="351">
      <c r="A351" s="1">
        <f t="shared" si="1"/>
        <v>349</v>
      </c>
      <c r="B351" s="1" t="s">
        <v>2499</v>
      </c>
      <c r="C351" s="1" t="s">
        <v>1034</v>
      </c>
      <c r="D351" s="1" t="s">
        <v>5</v>
      </c>
      <c r="E351" s="1">
        <f t="shared" si="2"/>
        <v>203.4</v>
      </c>
      <c r="F351" s="1">
        <f t="shared" si="3"/>
        <v>6.16</v>
      </c>
      <c r="G351" s="1">
        <v>33.0</v>
      </c>
      <c r="R351" s="1">
        <v>20.0</v>
      </c>
      <c r="S351" s="1">
        <v>85.0</v>
      </c>
      <c r="T351" s="1">
        <v>883.0</v>
      </c>
      <c r="U351" s="1">
        <v>2.0</v>
      </c>
    </row>
    <row r="352">
      <c r="A352" s="1">
        <f t="shared" si="1"/>
        <v>350</v>
      </c>
      <c r="B352" s="1" t="s">
        <v>1401</v>
      </c>
      <c r="C352" s="1" t="s">
        <v>1087</v>
      </c>
      <c r="D352" s="1" t="s">
        <v>36</v>
      </c>
      <c r="E352" s="1">
        <f t="shared" si="2"/>
        <v>202.75</v>
      </c>
      <c r="F352" s="1">
        <f t="shared" si="3"/>
        <v>2.78</v>
      </c>
      <c r="G352" s="1">
        <v>73.0</v>
      </c>
      <c r="H352" s="1">
        <v>8.0</v>
      </c>
      <c r="I352" s="1">
        <v>15.0</v>
      </c>
      <c r="J352" s="1">
        <v>23.0</v>
      </c>
      <c r="K352" s="1">
        <v>95.0</v>
      </c>
      <c r="L352" s="1">
        <v>3.0</v>
      </c>
      <c r="M352" s="1">
        <v>0.0</v>
      </c>
      <c r="N352" s="1">
        <v>0.0</v>
      </c>
      <c r="O352" s="1">
        <v>1.0</v>
      </c>
      <c r="P352" s="1">
        <v>209.0</v>
      </c>
      <c r="Q352" s="1">
        <v>40.0</v>
      </c>
    </row>
    <row r="353">
      <c r="A353" s="1">
        <f t="shared" si="1"/>
        <v>350</v>
      </c>
      <c r="B353" s="1" t="s">
        <v>1292</v>
      </c>
      <c r="C353" s="1" t="s">
        <v>1052</v>
      </c>
      <c r="D353" s="1" t="s">
        <v>66</v>
      </c>
      <c r="E353" s="1">
        <f t="shared" si="2"/>
        <v>202.75</v>
      </c>
      <c r="F353" s="1">
        <f t="shared" si="3"/>
        <v>2.41</v>
      </c>
      <c r="G353" s="1">
        <v>84.0</v>
      </c>
      <c r="H353" s="1">
        <v>2.0</v>
      </c>
      <c r="I353" s="1">
        <v>23.0</v>
      </c>
      <c r="J353" s="1">
        <v>25.0</v>
      </c>
      <c r="K353" s="1">
        <v>87.0</v>
      </c>
      <c r="L353" s="1">
        <v>1.0</v>
      </c>
      <c r="M353" s="1">
        <v>4.0</v>
      </c>
      <c r="N353" s="1">
        <v>0.0</v>
      </c>
      <c r="O353" s="1">
        <v>1.0</v>
      </c>
      <c r="P353" s="1">
        <v>101.0</v>
      </c>
      <c r="Q353" s="1">
        <v>108.0</v>
      </c>
    </row>
    <row r="354">
      <c r="A354" s="1">
        <f t="shared" si="1"/>
        <v>352</v>
      </c>
      <c r="B354" s="1" t="s">
        <v>1854</v>
      </c>
      <c r="C354" s="1" t="s">
        <v>1065</v>
      </c>
      <c r="D354" s="1" t="s">
        <v>31</v>
      </c>
      <c r="E354" s="1">
        <f t="shared" si="2"/>
        <v>202.5</v>
      </c>
      <c r="F354" s="1">
        <f t="shared" si="3"/>
        <v>2.66</v>
      </c>
      <c r="G354" s="1">
        <v>76.0</v>
      </c>
      <c r="H354" s="1">
        <v>10.0</v>
      </c>
      <c r="I354" s="1">
        <v>19.0</v>
      </c>
      <c r="J354" s="1">
        <v>29.0</v>
      </c>
      <c r="K354" s="1">
        <v>82.0</v>
      </c>
      <c r="L354" s="1">
        <v>2.0</v>
      </c>
      <c r="M354" s="1">
        <v>3.0</v>
      </c>
      <c r="N354" s="1">
        <v>2.0</v>
      </c>
      <c r="O354" s="1">
        <v>0.0</v>
      </c>
      <c r="P354" s="1">
        <v>94.0</v>
      </c>
      <c r="Q354" s="1">
        <v>64.0</v>
      </c>
    </row>
    <row r="355">
      <c r="A355" s="1">
        <f t="shared" si="1"/>
        <v>353</v>
      </c>
      <c r="B355" s="1" t="s">
        <v>2693</v>
      </c>
      <c r="C355" s="1" t="s">
        <v>1570</v>
      </c>
      <c r="D355" s="1" t="s">
        <v>28</v>
      </c>
      <c r="E355" s="1">
        <f t="shared" si="2"/>
        <v>202</v>
      </c>
      <c r="F355" s="1">
        <f t="shared" si="3"/>
        <v>3.16</v>
      </c>
      <c r="G355" s="1">
        <v>64.0</v>
      </c>
      <c r="H355" s="1">
        <v>16.0</v>
      </c>
      <c r="I355" s="1">
        <v>20.0</v>
      </c>
      <c r="J355" s="1">
        <v>36.0</v>
      </c>
      <c r="K355" s="1">
        <v>108.0</v>
      </c>
      <c r="L355" s="1">
        <v>4.0</v>
      </c>
      <c r="M355" s="1">
        <v>7.0</v>
      </c>
      <c r="N355" s="1">
        <v>0.0</v>
      </c>
      <c r="O355" s="1">
        <v>0.0</v>
      </c>
      <c r="P355" s="1">
        <v>38.0</v>
      </c>
      <c r="Q355" s="1">
        <v>13.0</v>
      </c>
    </row>
    <row r="356">
      <c r="A356" s="1">
        <f t="shared" si="1"/>
        <v>354</v>
      </c>
      <c r="B356" s="1" t="s">
        <v>1210</v>
      </c>
      <c r="C356" s="1" t="s">
        <v>1069</v>
      </c>
      <c r="D356" s="1" t="s">
        <v>28</v>
      </c>
      <c r="E356" s="1">
        <f t="shared" si="2"/>
        <v>201.75</v>
      </c>
      <c r="F356" s="1">
        <f t="shared" si="3"/>
        <v>2.84</v>
      </c>
      <c r="G356" s="1">
        <v>71.0</v>
      </c>
      <c r="H356" s="1">
        <v>13.0</v>
      </c>
      <c r="I356" s="1">
        <v>14.0</v>
      </c>
      <c r="J356" s="1">
        <v>27.0</v>
      </c>
      <c r="K356" s="1">
        <v>115.0</v>
      </c>
      <c r="L356" s="1">
        <v>4.0</v>
      </c>
      <c r="M356" s="1">
        <v>2.0</v>
      </c>
      <c r="N356" s="1">
        <v>0.0</v>
      </c>
      <c r="O356" s="1">
        <v>0.0</v>
      </c>
      <c r="P356" s="1">
        <v>121.0</v>
      </c>
      <c r="Q356" s="1">
        <v>27.0</v>
      </c>
    </row>
    <row r="357">
      <c r="A357" s="1">
        <f t="shared" si="1"/>
        <v>354</v>
      </c>
      <c r="B357" s="1" t="s">
        <v>2317</v>
      </c>
      <c r="C357" s="1" t="s">
        <v>1036</v>
      </c>
      <c r="D357" s="1" t="s">
        <v>66</v>
      </c>
      <c r="E357" s="1">
        <f t="shared" si="2"/>
        <v>201.75</v>
      </c>
      <c r="F357" s="1">
        <f t="shared" si="3"/>
        <v>2.8</v>
      </c>
      <c r="G357" s="1">
        <v>72.0</v>
      </c>
      <c r="H357" s="1">
        <v>3.0</v>
      </c>
      <c r="I357" s="1">
        <v>13.0</v>
      </c>
      <c r="J357" s="1">
        <v>16.0</v>
      </c>
      <c r="K357" s="1">
        <v>63.0</v>
      </c>
      <c r="L357" s="1">
        <v>0.0</v>
      </c>
      <c r="M357" s="1">
        <v>0.0</v>
      </c>
      <c r="N357" s="1">
        <v>0.0</v>
      </c>
      <c r="O357" s="1">
        <v>1.0</v>
      </c>
      <c r="P357" s="1">
        <v>93.0</v>
      </c>
      <c r="Q357" s="1">
        <v>185.0</v>
      </c>
    </row>
    <row r="358">
      <c r="A358" s="1">
        <f t="shared" si="1"/>
        <v>356</v>
      </c>
      <c r="B358" s="1" t="s">
        <v>2600</v>
      </c>
      <c r="C358" s="1" t="s">
        <v>1172</v>
      </c>
      <c r="D358" s="1" t="s">
        <v>31</v>
      </c>
      <c r="E358" s="1">
        <f t="shared" si="2"/>
        <v>201.5</v>
      </c>
      <c r="F358" s="1">
        <f t="shared" si="3"/>
        <v>2.88</v>
      </c>
      <c r="G358" s="1">
        <v>70.0</v>
      </c>
      <c r="H358" s="1">
        <v>9.0</v>
      </c>
      <c r="I358" s="1">
        <v>19.0</v>
      </c>
      <c r="J358" s="1">
        <v>28.0</v>
      </c>
      <c r="K358" s="1">
        <v>101.0</v>
      </c>
      <c r="L358" s="1">
        <v>0.0</v>
      </c>
      <c r="M358" s="1">
        <v>0.0</v>
      </c>
      <c r="N358" s="1">
        <v>1.0</v>
      </c>
      <c r="O358" s="1">
        <v>2.0</v>
      </c>
      <c r="P358" s="1">
        <v>136.0</v>
      </c>
      <c r="Q358" s="1">
        <v>27.0</v>
      </c>
    </row>
    <row r="359">
      <c r="A359" s="1">
        <f t="shared" si="1"/>
        <v>357</v>
      </c>
      <c r="B359" s="1" t="s">
        <v>1208</v>
      </c>
      <c r="C359" s="1" t="s">
        <v>1040</v>
      </c>
      <c r="D359" s="1" t="s">
        <v>5</v>
      </c>
      <c r="E359" s="1">
        <f t="shared" si="2"/>
        <v>201.3</v>
      </c>
      <c r="F359" s="1">
        <f t="shared" si="3"/>
        <v>6.1</v>
      </c>
      <c r="G359" s="1">
        <v>33.0</v>
      </c>
      <c r="R359" s="1">
        <v>14.0</v>
      </c>
      <c r="S359" s="1">
        <v>91.0</v>
      </c>
      <c r="T359" s="1">
        <v>966.0</v>
      </c>
      <c r="U359" s="1">
        <v>2.0</v>
      </c>
    </row>
    <row r="360">
      <c r="A360" s="1">
        <f t="shared" si="1"/>
        <v>358</v>
      </c>
      <c r="B360" s="1" t="s">
        <v>2694</v>
      </c>
      <c r="C360" s="1" t="s">
        <v>1116</v>
      </c>
      <c r="D360" s="1" t="s">
        <v>66</v>
      </c>
      <c r="E360" s="1">
        <f t="shared" si="2"/>
        <v>201.25</v>
      </c>
      <c r="F360" s="1">
        <f t="shared" si="3"/>
        <v>4.79</v>
      </c>
      <c r="G360" s="1">
        <v>42.0</v>
      </c>
      <c r="H360" s="1">
        <v>4.0</v>
      </c>
      <c r="I360" s="1">
        <v>27.0</v>
      </c>
      <c r="J360" s="1">
        <v>31.0</v>
      </c>
      <c r="K360" s="1">
        <v>115.0</v>
      </c>
      <c r="L360" s="1">
        <v>1.0</v>
      </c>
      <c r="M360" s="1">
        <v>15.0</v>
      </c>
      <c r="N360" s="1">
        <v>0.0</v>
      </c>
      <c r="O360" s="1">
        <v>0.0</v>
      </c>
      <c r="P360" s="1">
        <v>77.0</v>
      </c>
      <c r="Q360" s="1">
        <v>51.0</v>
      </c>
    </row>
    <row r="361">
      <c r="A361" s="1">
        <f t="shared" si="1"/>
        <v>359</v>
      </c>
      <c r="B361" s="1" t="s">
        <v>2338</v>
      </c>
      <c r="C361" s="1" t="s">
        <v>1091</v>
      </c>
      <c r="D361" s="1" t="s">
        <v>31</v>
      </c>
      <c r="E361" s="1">
        <f t="shared" si="2"/>
        <v>201</v>
      </c>
      <c r="F361" s="1">
        <f t="shared" si="3"/>
        <v>2.79</v>
      </c>
      <c r="G361" s="1">
        <v>72.0</v>
      </c>
      <c r="H361" s="1">
        <v>13.0</v>
      </c>
      <c r="I361" s="1">
        <v>18.0</v>
      </c>
      <c r="J361" s="1">
        <v>31.0</v>
      </c>
      <c r="K361" s="1">
        <v>115.0</v>
      </c>
      <c r="L361" s="1">
        <v>1.0</v>
      </c>
      <c r="M361" s="1">
        <v>1.0</v>
      </c>
      <c r="N361" s="1">
        <v>0.0</v>
      </c>
      <c r="O361" s="1">
        <v>0.0</v>
      </c>
      <c r="P361" s="1">
        <v>72.0</v>
      </c>
      <c r="Q361" s="1">
        <v>26.0</v>
      </c>
    </row>
    <row r="362">
      <c r="A362" s="1">
        <f t="shared" si="1"/>
        <v>360</v>
      </c>
      <c r="B362" s="1" t="s">
        <v>2088</v>
      </c>
      <c r="C362" s="1" t="s">
        <v>1065</v>
      </c>
      <c r="D362" s="1" t="s">
        <v>28</v>
      </c>
      <c r="E362" s="1">
        <f t="shared" si="2"/>
        <v>200.75</v>
      </c>
      <c r="F362" s="1">
        <f t="shared" si="3"/>
        <v>3.35</v>
      </c>
      <c r="G362" s="1">
        <v>60.0</v>
      </c>
      <c r="H362" s="1">
        <v>9.0</v>
      </c>
      <c r="I362" s="1">
        <v>22.0</v>
      </c>
      <c r="J362" s="1">
        <v>31.0</v>
      </c>
      <c r="K362" s="1">
        <v>96.0</v>
      </c>
      <c r="L362" s="1">
        <v>2.0</v>
      </c>
      <c r="M362" s="1">
        <v>7.0</v>
      </c>
      <c r="N362" s="1">
        <v>0.0</v>
      </c>
      <c r="O362" s="1">
        <v>0.0</v>
      </c>
      <c r="P362" s="1">
        <v>123.0</v>
      </c>
      <c r="Q362" s="1">
        <v>31.0</v>
      </c>
    </row>
    <row r="363">
      <c r="A363" s="1">
        <f t="shared" si="1"/>
        <v>361</v>
      </c>
      <c r="B363" s="1" t="s">
        <v>1350</v>
      </c>
      <c r="C363" s="1" t="s">
        <v>1073</v>
      </c>
      <c r="D363" s="1" t="s">
        <v>31</v>
      </c>
      <c r="E363" s="1">
        <f t="shared" si="2"/>
        <v>200.5</v>
      </c>
      <c r="F363" s="1">
        <f t="shared" si="3"/>
        <v>4.01</v>
      </c>
      <c r="G363" s="1">
        <v>50.0</v>
      </c>
      <c r="H363" s="1">
        <v>11.0</v>
      </c>
      <c r="I363" s="1">
        <v>17.0</v>
      </c>
      <c r="J363" s="1">
        <v>28.0</v>
      </c>
      <c r="K363" s="1">
        <v>121.0</v>
      </c>
      <c r="L363" s="1">
        <v>0.0</v>
      </c>
      <c r="M363" s="1">
        <v>2.0</v>
      </c>
      <c r="N363" s="1">
        <v>0.0</v>
      </c>
      <c r="O363" s="1">
        <v>0.0</v>
      </c>
      <c r="P363" s="1">
        <v>122.0</v>
      </c>
      <c r="Q363" s="1">
        <v>18.0</v>
      </c>
    </row>
    <row r="364">
      <c r="A364" s="1">
        <f t="shared" si="1"/>
        <v>362</v>
      </c>
      <c r="B364" s="1" t="s">
        <v>1386</v>
      </c>
      <c r="C364" s="1" t="s">
        <v>1054</v>
      </c>
      <c r="D364" s="1" t="s">
        <v>66</v>
      </c>
      <c r="E364" s="1">
        <f t="shared" si="2"/>
        <v>200.25</v>
      </c>
      <c r="F364" s="1">
        <f t="shared" si="3"/>
        <v>2.44</v>
      </c>
      <c r="G364" s="1">
        <v>82.0</v>
      </c>
      <c r="H364" s="1">
        <v>4.0</v>
      </c>
      <c r="I364" s="1">
        <v>14.0</v>
      </c>
      <c r="J364" s="1">
        <v>18.0</v>
      </c>
      <c r="K364" s="1">
        <v>111.0</v>
      </c>
      <c r="L364" s="1">
        <v>0.0</v>
      </c>
      <c r="M364" s="1">
        <v>1.0</v>
      </c>
      <c r="N364" s="1">
        <v>1.0</v>
      </c>
      <c r="O364" s="1">
        <v>0.0</v>
      </c>
      <c r="P364" s="1">
        <v>61.0</v>
      </c>
      <c r="Q364" s="1">
        <v>135.0</v>
      </c>
    </row>
    <row r="365">
      <c r="A365" s="1">
        <f t="shared" si="1"/>
        <v>363</v>
      </c>
      <c r="B365" s="1" t="s">
        <v>2289</v>
      </c>
      <c r="C365" s="1" t="s">
        <v>1036</v>
      </c>
      <c r="D365" s="1" t="s">
        <v>5</v>
      </c>
      <c r="E365" s="1">
        <f t="shared" si="2"/>
        <v>199.5</v>
      </c>
      <c r="F365" s="1">
        <f t="shared" si="3"/>
        <v>4.75</v>
      </c>
      <c r="G365" s="1">
        <v>42.0</v>
      </c>
      <c r="R365" s="1">
        <v>23.0</v>
      </c>
      <c r="S365" s="1">
        <v>109.0</v>
      </c>
      <c r="T365" s="1">
        <v>960.0</v>
      </c>
      <c r="U365" s="1">
        <v>2.0</v>
      </c>
    </row>
    <row r="366">
      <c r="A366" s="1">
        <f t="shared" si="1"/>
        <v>364</v>
      </c>
      <c r="B366" s="1" t="s">
        <v>2695</v>
      </c>
      <c r="C366" s="1" t="s">
        <v>1570</v>
      </c>
      <c r="D366" s="1" t="s">
        <v>5</v>
      </c>
      <c r="E366" s="1">
        <f t="shared" si="2"/>
        <v>198.9</v>
      </c>
      <c r="F366" s="1">
        <f t="shared" si="3"/>
        <v>4.63</v>
      </c>
      <c r="G366" s="1">
        <v>43.0</v>
      </c>
      <c r="R366" s="1">
        <v>18.0</v>
      </c>
      <c r="S366" s="1">
        <v>122.0</v>
      </c>
      <c r="T366" s="12">
        <v>1083.0</v>
      </c>
      <c r="U366" s="1">
        <v>1.0</v>
      </c>
    </row>
    <row r="367">
      <c r="A367" s="1">
        <f t="shared" si="1"/>
        <v>365</v>
      </c>
      <c r="B367" s="1" t="s">
        <v>1340</v>
      </c>
      <c r="C367" s="1" t="s">
        <v>1067</v>
      </c>
      <c r="D367" s="1" t="s">
        <v>5</v>
      </c>
      <c r="E367" s="1">
        <f t="shared" si="2"/>
        <v>198.6</v>
      </c>
      <c r="F367" s="1">
        <f t="shared" si="3"/>
        <v>5.37</v>
      </c>
      <c r="G367" s="1">
        <v>37.0</v>
      </c>
      <c r="R367" s="1">
        <v>15.0</v>
      </c>
      <c r="S367" s="1">
        <v>109.0</v>
      </c>
      <c r="T367" s="12">
        <v>1037.0</v>
      </c>
      <c r="U367" s="1">
        <v>2.0</v>
      </c>
    </row>
    <row r="368">
      <c r="A368" s="1">
        <f t="shared" si="1"/>
        <v>366</v>
      </c>
      <c r="B368" s="1" t="s">
        <v>2696</v>
      </c>
      <c r="C368" s="1" t="s">
        <v>1570</v>
      </c>
      <c r="D368" s="1" t="s">
        <v>36</v>
      </c>
      <c r="E368" s="1">
        <f t="shared" si="2"/>
        <v>198.5</v>
      </c>
      <c r="F368" s="1">
        <f t="shared" si="3"/>
        <v>2.72</v>
      </c>
      <c r="G368" s="1">
        <v>73.0</v>
      </c>
      <c r="H368" s="1">
        <v>16.0</v>
      </c>
      <c r="I368" s="1">
        <v>15.0</v>
      </c>
      <c r="J368" s="1">
        <v>31.0</v>
      </c>
      <c r="K368" s="1">
        <v>134.0</v>
      </c>
      <c r="L368" s="1">
        <v>1.0</v>
      </c>
      <c r="M368" s="1">
        <v>1.0</v>
      </c>
      <c r="N368" s="1">
        <v>0.0</v>
      </c>
      <c r="O368" s="1">
        <v>0.0</v>
      </c>
      <c r="P368" s="1">
        <v>18.0</v>
      </c>
      <c r="Q368" s="1">
        <v>20.0</v>
      </c>
    </row>
    <row r="369">
      <c r="A369" s="1">
        <f t="shared" si="1"/>
        <v>366</v>
      </c>
      <c r="B369" s="1" t="s">
        <v>1624</v>
      </c>
      <c r="C369" s="1" t="s">
        <v>1046</v>
      </c>
      <c r="D369" s="1" t="s">
        <v>31</v>
      </c>
      <c r="E369" s="1">
        <f t="shared" si="2"/>
        <v>198.5</v>
      </c>
      <c r="F369" s="1">
        <f t="shared" si="3"/>
        <v>2.68</v>
      </c>
      <c r="G369" s="1">
        <v>74.0</v>
      </c>
      <c r="H369" s="1">
        <v>9.0</v>
      </c>
      <c r="I369" s="1">
        <v>7.0</v>
      </c>
      <c r="J369" s="1">
        <v>16.0</v>
      </c>
      <c r="K369" s="1">
        <v>114.0</v>
      </c>
      <c r="L369" s="1">
        <v>0.0</v>
      </c>
      <c r="M369" s="1">
        <v>0.0</v>
      </c>
      <c r="N369" s="1">
        <v>2.0</v>
      </c>
      <c r="O369" s="1">
        <v>0.0</v>
      </c>
      <c r="P369" s="1">
        <v>200.0</v>
      </c>
      <c r="Q369" s="1">
        <v>52.0</v>
      </c>
    </row>
    <row r="370">
      <c r="A370" s="1">
        <f t="shared" si="1"/>
        <v>368</v>
      </c>
      <c r="B370" s="1" t="s">
        <v>1476</v>
      </c>
      <c r="C370" s="1" t="s">
        <v>1034</v>
      </c>
      <c r="D370" s="1" t="s">
        <v>66</v>
      </c>
      <c r="E370" s="1">
        <f t="shared" si="2"/>
        <v>198</v>
      </c>
      <c r="F370" s="1">
        <f t="shared" si="3"/>
        <v>3.41</v>
      </c>
      <c r="G370" s="1">
        <v>58.0</v>
      </c>
      <c r="H370" s="1">
        <v>5.0</v>
      </c>
      <c r="I370" s="1">
        <v>11.0</v>
      </c>
      <c r="J370" s="1">
        <v>16.0</v>
      </c>
      <c r="K370" s="1">
        <v>107.0</v>
      </c>
      <c r="L370" s="1">
        <v>1.0</v>
      </c>
      <c r="M370" s="1">
        <v>0.0</v>
      </c>
      <c r="N370" s="1">
        <v>0.0</v>
      </c>
      <c r="O370" s="1">
        <v>0.0</v>
      </c>
      <c r="P370" s="1">
        <v>198.0</v>
      </c>
      <c r="Q370" s="1">
        <v>79.0</v>
      </c>
    </row>
    <row r="371">
      <c r="A371" s="1">
        <f t="shared" si="1"/>
        <v>369</v>
      </c>
      <c r="B371" s="1" t="s">
        <v>1680</v>
      </c>
      <c r="C371" s="1" t="s">
        <v>1046</v>
      </c>
      <c r="D371" s="1" t="s">
        <v>66</v>
      </c>
      <c r="E371" s="1">
        <f t="shared" si="2"/>
        <v>197.25</v>
      </c>
      <c r="F371" s="1">
        <f t="shared" si="3"/>
        <v>2.53</v>
      </c>
      <c r="G371" s="1">
        <v>78.0</v>
      </c>
      <c r="H371" s="1">
        <v>2.0</v>
      </c>
      <c r="I371" s="1">
        <v>21.0</v>
      </c>
      <c r="J371" s="1">
        <v>23.0</v>
      </c>
      <c r="K371" s="1">
        <v>105.0</v>
      </c>
      <c r="L371" s="1">
        <v>0.0</v>
      </c>
      <c r="M371" s="1">
        <v>2.0</v>
      </c>
      <c r="N371" s="1">
        <v>1.0</v>
      </c>
      <c r="O371" s="1">
        <v>0.0</v>
      </c>
      <c r="P371" s="1">
        <v>91.0</v>
      </c>
      <c r="Q371" s="1">
        <v>96.0</v>
      </c>
    </row>
    <row r="372">
      <c r="A372" s="1">
        <f t="shared" si="1"/>
        <v>370</v>
      </c>
      <c r="B372" s="1" t="s">
        <v>2326</v>
      </c>
      <c r="C372" s="1" t="s">
        <v>1076</v>
      </c>
      <c r="D372" s="1" t="s">
        <v>66</v>
      </c>
      <c r="E372" s="1">
        <f t="shared" si="2"/>
        <v>196.5</v>
      </c>
      <c r="F372" s="1">
        <f t="shared" si="3"/>
        <v>2.52</v>
      </c>
      <c r="G372" s="1">
        <v>78.0</v>
      </c>
      <c r="H372" s="1">
        <v>4.0</v>
      </c>
      <c r="I372" s="1">
        <v>26.0</v>
      </c>
      <c r="J372" s="1">
        <v>30.0</v>
      </c>
      <c r="K372" s="1">
        <v>108.0</v>
      </c>
      <c r="L372" s="1">
        <v>1.0</v>
      </c>
      <c r="M372" s="1">
        <v>13.0</v>
      </c>
      <c r="N372" s="1">
        <v>0.0</v>
      </c>
      <c r="O372" s="1">
        <v>0.0</v>
      </c>
      <c r="P372" s="1">
        <v>38.0</v>
      </c>
      <c r="Q372" s="1">
        <v>74.0</v>
      </c>
    </row>
    <row r="373">
      <c r="A373" s="1">
        <f t="shared" si="1"/>
        <v>371</v>
      </c>
      <c r="B373" s="1" t="s">
        <v>1422</v>
      </c>
      <c r="C373" s="1" t="s">
        <v>1097</v>
      </c>
      <c r="D373" s="1" t="s">
        <v>36</v>
      </c>
      <c r="E373" s="1">
        <f t="shared" si="2"/>
        <v>196.25</v>
      </c>
      <c r="F373" s="1">
        <f t="shared" si="3"/>
        <v>3.44</v>
      </c>
      <c r="G373" s="1">
        <v>57.0</v>
      </c>
      <c r="H373" s="1">
        <v>13.0</v>
      </c>
      <c r="I373" s="1">
        <v>10.0</v>
      </c>
      <c r="J373" s="1">
        <v>23.0</v>
      </c>
      <c r="K373" s="1">
        <v>134.0</v>
      </c>
      <c r="L373" s="1">
        <v>2.0</v>
      </c>
      <c r="M373" s="1">
        <v>4.0</v>
      </c>
      <c r="N373" s="1">
        <v>1.0</v>
      </c>
      <c r="O373" s="1">
        <v>0.0</v>
      </c>
      <c r="P373" s="1">
        <v>113.0</v>
      </c>
      <c r="Q373" s="1">
        <v>21.0</v>
      </c>
    </row>
    <row r="374">
      <c r="A374" s="1">
        <f t="shared" si="1"/>
        <v>372</v>
      </c>
      <c r="B374" s="1" t="s">
        <v>2453</v>
      </c>
      <c r="C374" s="1" t="s">
        <v>1087</v>
      </c>
      <c r="D374" s="1" t="s">
        <v>28</v>
      </c>
      <c r="E374" s="1">
        <f t="shared" si="2"/>
        <v>195.75</v>
      </c>
      <c r="F374" s="1">
        <f t="shared" si="3"/>
        <v>2.39</v>
      </c>
      <c r="G374" s="1">
        <v>82.0</v>
      </c>
      <c r="H374" s="1">
        <v>6.0</v>
      </c>
      <c r="I374" s="1">
        <v>20.0</v>
      </c>
      <c r="J374" s="1">
        <v>26.0</v>
      </c>
      <c r="K374" s="1">
        <v>78.0</v>
      </c>
      <c r="L374" s="1">
        <v>0.0</v>
      </c>
      <c r="M374" s="1">
        <v>0.0</v>
      </c>
      <c r="N374" s="1">
        <v>0.0</v>
      </c>
      <c r="O374" s="1">
        <v>0.0</v>
      </c>
      <c r="P374" s="1">
        <v>203.0</v>
      </c>
      <c r="Q374" s="1">
        <v>38.0</v>
      </c>
    </row>
    <row r="375">
      <c r="A375" s="1">
        <f t="shared" si="1"/>
        <v>372</v>
      </c>
      <c r="B375" s="1" t="s">
        <v>2591</v>
      </c>
      <c r="C375" s="1" t="s">
        <v>1106</v>
      </c>
      <c r="D375" s="1" t="s">
        <v>28</v>
      </c>
      <c r="E375" s="1">
        <f t="shared" si="2"/>
        <v>195.75</v>
      </c>
      <c r="F375" s="1">
        <f t="shared" si="3"/>
        <v>3.01</v>
      </c>
      <c r="G375" s="1">
        <v>65.0</v>
      </c>
      <c r="H375" s="1">
        <v>10.0</v>
      </c>
      <c r="I375" s="1">
        <v>17.0</v>
      </c>
      <c r="J375" s="1">
        <v>27.0</v>
      </c>
      <c r="K375" s="1">
        <v>114.0</v>
      </c>
      <c r="L375" s="1">
        <v>2.0</v>
      </c>
      <c r="M375" s="1">
        <v>3.0</v>
      </c>
      <c r="N375" s="1">
        <v>1.0</v>
      </c>
      <c r="O375" s="1">
        <v>1.0</v>
      </c>
      <c r="P375" s="1">
        <v>55.0</v>
      </c>
      <c r="Q375" s="1">
        <v>50.0</v>
      </c>
    </row>
    <row r="376">
      <c r="A376" s="1">
        <f t="shared" si="1"/>
        <v>374</v>
      </c>
      <c r="B376" s="1" t="s">
        <v>2595</v>
      </c>
      <c r="C376" s="1" t="s">
        <v>1044</v>
      </c>
      <c r="D376" s="1" t="s">
        <v>5</v>
      </c>
      <c r="E376" s="1">
        <f t="shared" si="2"/>
        <v>195.6</v>
      </c>
      <c r="F376" s="1">
        <f t="shared" si="3"/>
        <v>5.43</v>
      </c>
      <c r="G376" s="1">
        <v>36.0</v>
      </c>
      <c r="R376" s="1">
        <v>14.0</v>
      </c>
      <c r="S376" s="1">
        <v>101.0</v>
      </c>
      <c r="T376" s="1">
        <v>997.0</v>
      </c>
      <c r="U376" s="1">
        <v>2.0</v>
      </c>
    </row>
    <row r="377">
      <c r="A377" s="1">
        <f t="shared" si="1"/>
        <v>375</v>
      </c>
      <c r="B377" s="1" t="s">
        <v>1663</v>
      </c>
      <c r="C377" s="1" t="s">
        <v>1034</v>
      </c>
      <c r="D377" s="1" t="s">
        <v>28</v>
      </c>
      <c r="E377" s="1">
        <f t="shared" si="2"/>
        <v>195.25</v>
      </c>
      <c r="F377" s="1">
        <f t="shared" si="3"/>
        <v>2.64</v>
      </c>
      <c r="G377" s="1">
        <v>74.0</v>
      </c>
      <c r="H377" s="1">
        <v>10.0</v>
      </c>
      <c r="I377" s="1">
        <v>18.0</v>
      </c>
      <c r="J377" s="1">
        <v>28.0</v>
      </c>
      <c r="K377" s="1">
        <v>118.0</v>
      </c>
      <c r="L377" s="1">
        <v>2.0</v>
      </c>
      <c r="M377" s="1">
        <v>9.0</v>
      </c>
      <c r="N377" s="1">
        <v>0.0</v>
      </c>
      <c r="O377" s="1">
        <v>0.0</v>
      </c>
      <c r="P377" s="1">
        <v>135.0</v>
      </c>
      <c r="Q377" s="1">
        <v>7.0</v>
      </c>
    </row>
    <row r="378">
      <c r="A378" s="1">
        <f t="shared" si="1"/>
        <v>375</v>
      </c>
      <c r="B378" s="1" t="s">
        <v>2316</v>
      </c>
      <c r="C378" s="1" t="s">
        <v>1046</v>
      </c>
      <c r="D378" s="1" t="s">
        <v>28</v>
      </c>
      <c r="E378" s="1">
        <f t="shared" si="2"/>
        <v>195.25</v>
      </c>
      <c r="F378" s="1">
        <f t="shared" si="3"/>
        <v>3</v>
      </c>
      <c r="G378" s="1">
        <v>65.0</v>
      </c>
      <c r="H378" s="1">
        <v>9.0</v>
      </c>
      <c r="I378" s="1">
        <v>22.0</v>
      </c>
      <c r="J378" s="1">
        <v>31.0</v>
      </c>
      <c r="K378" s="1">
        <v>84.0</v>
      </c>
      <c r="L378" s="1">
        <v>0.0</v>
      </c>
      <c r="M378" s="1">
        <v>0.0</v>
      </c>
      <c r="N378" s="1">
        <v>0.0</v>
      </c>
      <c r="O378" s="1">
        <v>0.0</v>
      </c>
      <c r="P378" s="1">
        <v>87.0</v>
      </c>
      <c r="Q378" s="1">
        <v>50.0</v>
      </c>
    </row>
    <row r="379">
      <c r="A379" s="1">
        <f t="shared" si="1"/>
        <v>377</v>
      </c>
      <c r="B379" s="1" t="s">
        <v>1626</v>
      </c>
      <c r="C379" s="1" t="s">
        <v>1091</v>
      </c>
      <c r="D379" s="1" t="s">
        <v>5</v>
      </c>
      <c r="E379" s="1">
        <f t="shared" si="2"/>
        <v>195</v>
      </c>
      <c r="F379" s="1">
        <f t="shared" si="3"/>
        <v>6.29</v>
      </c>
      <c r="G379" s="1">
        <v>31.0</v>
      </c>
      <c r="R379" s="1">
        <v>16.0</v>
      </c>
      <c r="S379" s="1">
        <v>81.0</v>
      </c>
      <c r="T379" s="1">
        <v>895.0</v>
      </c>
      <c r="U379" s="1">
        <v>0.0</v>
      </c>
    </row>
    <row r="380">
      <c r="A380" s="1">
        <f t="shared" si="1"/>
        <v>378</v>
      </c>
      <c r="B380" s="1" t="s">
        <v>1335</v>
      </c>
      <c r="C380" s="1" t="s">
        <v>1175</v>
      </c>
      <c r="D380" s="1" t="s">
        <v>66</v>
      </c>
      <c r="E380" s="1">
        <f t="shared" si="2"/>
        <v>194.5</v>
      </c>
      <c r="F380" s="1">
        <f t="shared" si="3"/>
        <v>2.37</v>
      </c>
      <c r="G380" s="1">
        <v>82.0</v>
      </c>
      <c r="H380" s="1">
        <v>1.0</v>
      </c>
      <c r="I380" s="1">
        <v>21.0</v>
      </c>
      <c r="J380" s="1">
        <v>22.0</v>
      </c>
      <c r="K380" s="1">
        <v>71.0</v>
      </c>
      <c r="L380" s="1">
        <v>0.0</v>
      </c>
      <c r="M380" s="1">
        <v>0.0</v>
      </c>
      <c r="N380" s="1">
        <v>1.0</v>
      </c>
      <c r="O380" s="1">
        <v>0.0</v>
      </c>
      <c r="P380" s="1">
        <v>202.0</v>
      </c>
      <c r="Q380" s="1">
        <v>78.0</v>
      </c>
    </row>
    <row r="381">
      <c r="A381" s="1">
        <f t="shared" si="1"/>
        <v>379</v>
      </c>
      <c r="B381" s="1" t="s">
        <v>1616</v>
      </c>
      <c r="C381" s="1" t="s">
        <v>1172</v>
      </c>
      <c r="D381" s="1" t="s">
        <v>66</v>
      </c>
      <c r="E381" s="1">
        <f t="shared" si="2"/>
        <v>194.25</v>
      </c>
      <c r="F381" s="1">
        <f t="shared" si="3"/>
        <v>2.63</v>
      </c>
      <c r="G381" s="1">
        <v>74.0</v>
      </c>
      <c r="H381" s="1">
        <v>1.0</v>
      </c>
      <c r="I381" s="1">
        <v>13.0</v>
      </c>
      <c r="J381" s="1">
        <v>14.0</v>
      </c>
      <c r="K381" s="1">
        <v>102.0</v>
      </c>
      <c r="L381" s="1">
        <v>0.0</v>
      </c>
      <c r="M381" s="1">
        <v>0.0</v>
      </c>
      <c r="N381" s="1">
        <v>0.0</v>
      </c>
      <c r="O381" s="1">
        <v>0.0</v>
      </c>
      <c r="P381" s="1">
        <v>187.0</v>
      </c>
      <c r="Q381" s="1">
        <v>106.0</v>
      </c>
    </row>
    <row r="382">
      <c r="A382" s="1">
        <f t="shared" si="1"/>
        <v>380</v>
      </c>
      <c r="B382" s="1" t="s">
        <v>2136</v>
      </c>
      <c r="C382" s="1" t="s">
        <v>1091</v>
      </c>
      <c r="D382" s="1" t="s">
        <v>66</v>
      </c>
      <c r="E382" s="1">
        <f t="shared" si="2"/>
        <v>193.75</v>
      </c>
      <c r="F382" s="1">
        <f t="shared" si="3"/>
        <v>2.48</v>
      </c>
      <c r="G382" s="1">
        <v>78.0</v>
      </c>
      <c r="H382" s="1">
        <v>2.0</v>
      </c>
      <c r="I382" s="1">
        <v>14.0</v>
      </c>
      <c r="J382" s="1">
        <v>16.0</v>
      </c>
      <c r="K382" s="1">
        <v>105.0</v>
      </c>
      <c r="L382" s="1">
        <v>0.0</v>
      </c>
      <c r="M382" s="1">
        <v>1.0</v>
      </c>
      <c r="N382" s="1">
        <v>0.0</v>
      </c>
      <c r="O382" s="1">
        <v>0.0</v>
      </c>
      <c r="P382" s="1">
        <v>121.0</v>
      </c>
      <c r="Q382" s="1">
        <v>120.0</v>
      </c>
    </row>
    <row r="383">
      <c r="A383" s="1">
        <f t="shared" si="1"/>
        <v>381</v>
      </c>
      <c r="B383" s="1" t="s">
        <v>1272</v>
      </c>
      <c r="C383" s="1" t="s">
        <v>1065</v>
      </c>
      <c r="D383" s="1" t="s">
        <v>66</v>
      </c>
      <c r="E383" s="1">
        <f t="shared" si="2"/>
        <v>193.5</v>
      </c>
      <c r="F383" s="1">
        <f t="shared" si="3"/>
        <v>2.61</v>
      </c>
      <c r="G383" s="1">
        <v>74.0</v>
      </c>
      <c r="H383" s="1">
        <v>3.0</v>
      </c>
      <c r="I383" s="1">
        <v>13.0</v>
      </c>
      <c r="J383" s="1">
        <v>16.0</v>
      </c>
      <c r="K383" s="1">
        <v>96.0</v>
      </c>
      <c r="L383" s="1">
        <v>0.0</v>
      </c>
      <c r="M383" s="1">
        <v>0.0</v>
      </c>
      <c r="N383" s="1">
        <v>0.0</v>
      </c>
      <c r="O383" s="1">
        <v>1.0</v>
      </c>
      <c r="P383" s="1">
        <v>184.0</v>
      </c>
      <c r="Q383" s="1">
        <v>90.0</v>
      </c>
    </row>
    <row r="384">
      <c r="A384" s="1">
        <f t="shared" si="1"/>
        <v>382</v>
      </c>
      <c r="B384" s="1" t="s">
        <v>1077</v>
      </c>
      <c r="C384" s="1" t="s">
        <v>1078</v>
      </c>
      <c r="D384" s="1" t="s">
        <v>31</v>
      </c>
      <c r="E384" s="1">
        <f t="shared" si="2"/>
        <v>193</v>
      </c>
      <c r="F384" s="1">
        <f t="shared" si="3"/>
        <v>2.38</v>
      </c>
      <c r="G384" s="1">
        <v>81.0</v>
      </c>
      <c r="H384" s="1">
        <v>12.0</v>
      </c>
      <c r="I384" s="1">
        <v>16.0</v>
      </c>
      <c r="J384" s="1">
        <v>28.0</v>
      </c>
      <c r="K384" s="1">
        <v>118.0</v>
      </c>
      <c r="L384" s="1">
        <v>0.0</v>
      </c>
      <c r="M384" s="1">
        <v>4.0</v>
      </c>
      <c r="N384" s="1">
        <v>0.0</v>
      </c>
      <c r="O384" s="1">
        <v>0.0</v>
      </c>
      <c r="P384" s="1">
        <v>86.0</v>
      </c>
      <c r="Q384" s="1">
        <v>21.0</v>
      </c>
    </row>
    <row r="385">
      <c r="A385" s="1">
        <f t="shared" si="1"/>
        <v>382</v>
      </c>
      <c r="B385" s="1" t="s">
        <v>1421</v>
      </c>
      <c r="C385" s="1" t="s">
        <v>1030</v>
      </c>
      <c r="D385" s="1" t="s">
        <v>66</v>
      </c>
      <c r="E385" s="1">
        <f t="shared" si="2"/>
        <v>193</v>
      </c>
      <c r="F385" s="1">
        <f t="shared" si="3"/>
        <v>2.76</v>
      </c>
      <c r="G385" s="1">
        <v>70.0</v>
      </c>
      <c r="H385" s="1">
        <v>7.0</v>
      </c>
      <c r="I385" s="1">
        <v>7.0</v>
      </c>
      <c r="J385" s="1">
        <v>14.0</v>
      </c>
      <c r="K385" s="1">
        <v>100.0</v>
      </c>
      <c r="L385" s="1">
        <v>0.0</v>
      </c>
      <c r="M385" s="1">
        <v>0.0</v>
      </c>
      <c r="N385" s="1">
        <v>0.0</v>
      </c>
      <c r="O385" s="1">
        <v>0.0</v>
      </c>
      <c r="P385" s="1">
        <v>228.0</v>
      </c>
      <c r="Q385" s="1">
        <v>67.0</v>
      </c>
    </row>
    <row r="386">
      <c r="A386" s="1">
        <f t="shared" si="1"/>
        <v>384</v>
      </c>
      <c r="B386" s="1" t="s">
        <v>1710</v>
      </c>
      <c r="C386" s="1" t="s">
        <v>1044</v>
      </c>
      <c r="D386" s="1" t="s">
        <v>66</v>
      </c>
      <c r="E386" s="1">
        <f t="shared" si="2"/>
        <v>192.25</v>
      </c>
      <c r="F386" s="1">
        <f t="shared" si="3"/>
        <v>2.37</v>
      </c>
      <c r="G386" s="1">
        <v>81.0</v>
      </c>
      <c r="H386" s="1">
        <v>3.0</v>
      </c>
      <c r="I386" s="1">
        <v>11.0</v>
      </c>
      <c r="J386" s="1">
        <v>14.0</v>
      </c>
      <c r="K386" s="1">
        <v>71.0</v>
      </c>
      <c r="L386" s="1">
        <v>0.0</v>
      </c>
      <c r="M386" s="1">
        <v>0.0</v>
      </c>
      <c r="N386" s="1">
        <v>0.0</v>
      </c>
      <c r="O386" s="1">
        <v>0.0</v>
      </c>
      <c r="P386" s="1">
        <v>139.0</v>
      </c>
      <c r="Q386" s="1">
        <v>151.0</v>
      </c>
    </row>
    <row r="387">
      <c r="A387" s="1">
        <f t="shared" si="1"/>
        <v>384</v>
      </c>
      <c r="B387" s="1" t="s">
        <v>1590</v>
      </c>
      <c r="C387" s="1" t="s">
        <v>1175</v>
      </c>
      <c r="D387" s="1" t="s">
        <v>66</v>
      </c>
      <c r="E387" s="1">
        <f t="shared" si="2"/>
        <v>192.25</v>
      </c>
      <c r="F387" s="1">
        <f t="shared" si="3"/>
        <v>2.67</v>
      </c>
      <c r="G387" s="1">
        <v>72.0</v>
      </c>
      <c r="H387" s="1">
        <v>3.0</v>
      </c>
      <c r="I387" s="1">
        <v>22.0</v>
      </c>
      <c r="J387" s="1">
        <v>25.0</v>
      </c>
      <c r="K387" s="1">
        <v>100.0</v>
      </c>
      <c r="L387" s="1">
        <v>0.0</v>
      </c>
      <c r="M387" s="1">
        <v>1.0</v>
      </c>
      <c r="N387" s="1">
        <v>0.0</v>
      </c>
      <c r="O387" s="1">
        <v>0.0</v>
      </c>
      <c r="P387" s="1">
        <v>23.0</v>
      </c>
      <c r="Q387" s="1">
        <v>114.0</v>
      </c>
    </row>
    <row r="388">
      <c r="A388" s="1">
        <f t="shared" si="1"/>
        <v>386</v>
      </c>
      <c r="B388" s="1" t="s">
        <v>1490</v>
      </c>
      <c r="C388" s="1" t="s">
        <v>1038</v>
      </c>
      <c r="D388" s="1" t="s">
        <v>31</v>
      </c>
      <c r="E388" s="1">
        <f t="shared" si="2"/>
        <v>191.75</v>
      </c>
      <c r="F388" s="1">
        <f t="shared" si="3"/>
        <v>2.7</v>
      </c>
      <c r="G388" s="1">
        <v>71.0</v>
      </c>
      <c r="H388" s="1">
        <v>8.0</v>
      </c>
      <c r="I388" s="1">
        <v>13.0</v>
      </c>
      <c r="J388" s="1">
        <v>21.0</v>
      </c>
      <c r="K388" s="1">
        <v>134.0</v>
      </c>
      <c r="L388" s="1">
        <v>0.0</v>
      </c>
      <c r="M388" s="1">
        <v>0.0</v>
      </c>
      <c r="N388" s="1">
        <v>0.0</v>
      </c>
      <c r="O388" s="1">
        <v>0.0</v>
      </c>
      <c r="P388" s="1">
        <v>129.0</v>
      </c>
      <c r="Q388" s="1">
        <v>35.0</v>
      </c>
    </row>
    <row r="389">
      <c r="A389" s="1">
        <f t="shared" si="1"/>
        <v>386</v>
      </c>
      <c r="B389" s="1" t="s">
        <v>2099</v>
      </c>
      <c r="C389" s="1" t="s">
        <v>1036</v>
      </c>
      <c r="D389" s="1" t="s">
        <v>36</v>
      </c>
      <c r="E389" s="1">
        <f t="shared" si="2"/>
        <v>191.75</v>
      </c>
      <c r="F389" s="1">
        <f t="shared" si="3"/>
        <v>2.82</v>
      </c>
      <c r="G389" s="1">
        <v>68.0</v>
      </c>
      <c r="H389" s="1">
        <v>12.0</v>
      </c>
      <c r="I389" s="1">
        <v>10.0</v>
      </c>
      <c r="J389" s="1">
        <v>22.0</v>
      </c>
      <c r="K389" s="1">
        <v>92.0</v>
      </c>
      <c r="L389" s="1">
        <v>0.0</v>
      </c>
      <c r="M389" s="1">
        <v>0.0</v>
      </c>
      <c r="N389" s="1">
        <v>0.0</v>
      </c>
      <c r="O389" s="1">
        <v>1.0</v>
      </c>
      <c r="P389" s="1">
        <v>161.0</v>
      </c>
      <c r="Q389" s="1">
        <v>39.0</v>
      </c>
    </row>
    <row r="390">
      <c r="A390" s="1">
        <f t="shared" si="1"/>
        <v>388</v>
      </c>
      <c r="B390" s="1" t="s">
        <v>1844</v>
      </c>
      <c r="C390" s="1" t="s">
        <v>1111</v>
      </c>
      <c r="D390" s="1" t="s">
        <v>66</v>
      </c>
      <c r="E390" s="1">
        <f t="shared" si="2"/>
        <v>191.5</v>
      </c>
      <c r="F390" s="1">
        <f t="shared" si="3"/>
        <v>2.7</v>
      </c>
      <c r="G390" s="1">
        <v>71.0</v>
      </c>
      <c r="H390" s="1">
        <v>6.0</v>
      </c>
      <c r="I390" s="1">
        <v>14.0</v>
      </c>
      <c r="J390" s="1">
        <v>20.0</v>
      </c>
      <c r="K390" s="1">
        <v>77.0</v>
      </c>
      <c r="L390" s="1">
        <v>3.0</v>
      </c>
      <c r="M390" s="1">
        <v>4.0</v>
      </c>
      <c r="N390" s="1">
        <v>0.0</v>
      </c>
      <c r="O390" s="1">
        <v>0.0</v>
      </c>
      <c r="P390" s="1">
        <v>58.0</v>
      </c>
      <c r="Q390" s="1">
        <v>139.0</v>
      </c>
    </row>
    <row r="391">
      <c r="A391" s="1">
        <f t="shared" si="1"/>
        <v>389</v>
      </c>
      <c r="B391" s="1" t="s">
        <v>1708</v>
      </c>
      <c r="C391" s="1" t="s">
        <v>1570</v>
      </c>
      <c r="D391" s="1" t="s">
        <v>66</v>
      </c>
      <c r="E391" s="1">
        <f t="shared" si="2"/>
        <v>191.25</v>
      </c>
      <c r="F391" s="1">
        <f t="shared" si="3"/>
        <v>2.77</v>
      </c>
      <c r="G391" s="1">
        <v>69.0</v>
      </c>
      <c r="H391" s="1">
        <v>5.0</v>
      </c>
      <c r="I391" s="1">
        <v>15.0</v>
      </c>
      <c r="J391" s="1">
        <v>20.0</v>
      </c>
      <c r="K391" s="1">
        <v>114.0</v>
      </c>
      <c r="L391" s="1">
        <v>1.0</v>
      </c>
      <c r="M391" s="1">
        <v>7.0</v>
      </c>
      <c r="N391" s="1">
        <v>0.0</v>
      </c>
      <c r="O391" s="1">
        <v>1.0</v>
      </c>
      <c r="P391" s="1">
        <v>55.0</v>
      </c>
      <c r="Q391" s="1">
        <v>102.0</v>
      </c>
    </row>
    <row r="392">
      <c r="A392" s="1">
        <f t="shared" si="1"/>
        <v>390</v>
      </c>
      <c r="B392" s="1" t="s">
        <v>2109</v>
      </c>
      <c r="C392" s="1" t="s">
        <v>1046</v>
      </c>
      <c r="D392" s="1" t="s">
        <v>28</v>
      </c>
      <c r="E392" s="1">
        <f t="shared" si="2"/>
        <v>191</v>
      </c>
      <c r="F392" s="1">
        <f t="shared" si="3"/>
        <v>2.51</v>
      </c>
      <c r="G392" s="1">
        <v>76.0</v>
      </c>
      <c r="H392" s="1">
        <v>14.0</v>
      </c>
      <c r="I392" s="1">
        <v>10.0</v>
      </c>
      <c r="J392" s="1">
        <v>24.0</v>
      </c>
      <c r="K392" s="1">
        <v>151.0</v>
      </c>
      <c r="L392" s="1">
        <v>3.0</v>
      </c>
      <c r="M392" s="1">
        <v>4.0</v>
      </c>
      <c r="N392" s="1">
        <v>0.0</v>
      </c>
      <c r="O392" s="1">
        <v>0.0</v>
      </c>
      <c r="P392" s="1">
        <v>44.0</v>
      </c>
      <c r="Q392" s="1">
        <v>23.0</v>
      </c>
    </row>
    <row r="393">
      <c r="A393" s="1">
        <f t="shared" si="1"/>
        <v>391</v>
      </c>
      <c r="B393" s="1" t="s">
        <v>2597</v>
      </c>
      <c r="C393" s="1" t="s">
        <v>1085</v>
      </c>
      <c r="D393" s="1" t="s">
        <v>66</v>
      </c>
      <c r="E393" s="1">
        <f t="shared" si="2"/>
        <v>190.75</v>
      </c>
      <c r="F393" s="1">
        <f t="shared" si="3"/>
        <v>2.48</v>
      </c>
      <c r="G393" s="1">
        <v>77.0</v>
      </c>
      <c r="H393" s="1">
        <v>1.0</v>
      </c>
      <c r="I393" s="1">
        <v>8.0</v>
      </c>
      <c r="J393" s="1">
        <v>9.0</v>
      </c>
      <c r="K393" s="1">
        <v>77.0</v>
      </c>
      <c r="L393" s="1">
        <v>0.0</v>
      </c>
      <c r="M393" s="1">
        <v>0.0</v>
      </c>
      <c r="N393" s="1">
        <v>0.0</v>
      </c>
      <c r="O393" s="1">
        <v>0.0</v>
      </c>
      <c r="P393" s="1">
        <v>191.0</v>
      </c>
      <c r="Q393" s="1">
        <v>152.0</v>
      </c>
    </row>
    <row r="394">
      <c r="A394" s="1">
        <f t="shared" si="1"/>
        <v>392</v>
      </c>
      <c r="B394" s="1" t="s">
        <v>2697</v>
      </c>
      <c r="C394" s="1" t="s">
        <v>1570</v>
      </c>
      <c r="D394" s="1" t="s">
        <v>66</v>
      </c>
      <c r="E394" s="1">
        <f t="shared" si="2"/>
        <v>190</v>
      </c>
      <c r="F394" s="1">
        <f t="shared" si="3"/>
        <v>2.41</v>
      </c>
      <c r="G394" s="1">
        <v>79.0</v>
      </c>
      <c r="H394" s="1">
        <v>3.0</v>
      </c>
      <c r="I394" s="1">
        <v>24.0</v>
      </c>
      <c r="J394" s="1">
        <v>27.0</v>
      </c>
      <c r="K394" s="1">
        <v>71.0</v>
      </c>
      <c r="L394" s="1">
        <v>1.0</v>
      </c>
      <c r="M394" s="1">
        <v>7.0</v>
      </c>
      <c r="N394" s="1">
        <v>0.0</v>
      </c>
      <c r="O394" s="1">
        <v>0.0</v>
      </c>
      <c r="P394" s="1">
        <v>84.0</v>
      </c>
      <c r="Q394" s="1">
        <v>96.0</v>
      </c>
    </row>
    <row r="395">
      <c r="A395" s="1">
        <f t="shared" si="1"/>
        <v>393</v>
      </c>
      <c r="B395" s="1" t="s">
        <v>2641</v>
      </c>
      <c r="C395" s="1" t="s">
        <v>1570</v>
      </c>
      <c r="D395" s="1" t="s">
        <v>36</v>
      </c>
      <c r="E395" s="1">
        <f t="shared" si="2"/>
        <v>189.25</v>
      </c>
      <c r="F395" s="1">
        <f t="shared" si="3"/>
        <v>2.52</v>
      </c>
      <c r="G395" s="1">
        <v>75.0</v>
      </c>
      <c r="H395" s="1">
        <v>12.0</v>
      </c>
      <c r="I395" s="1">
        <v>9.0</v>
      </c>
      <c r="J395" s="1">
        <v>21.0</v>
      </c>
      <c r="K395" s="1">
        <v>86.0</v>
      </c>
      <c r="L395" s="1">
        <v>0.0</v>
      </c>
      <c r="M395" s="1">
        <v>0.0</v>
      </c>
      <c r="N395" s="1">
        <v>1.0</v>
      </c>
      <c r="O395" s="1">
        <v>0.0</v>
      </c>
      <c r="P395" s="1">
        <v>177.0</v>
      </c>
      <c r="Q395" s="1">
        <v>38.0</v>
      </c>
    </row>
    <row r="396">
      <c r="A396" s="1">
        <f t="shared" si="1"/>
        <v>394</v>
      </c>
      <c r="B396" s="1" t="s">
        <v>1533</v>
      </c>
      <c r="C396" s="1" t="s">
        <v>1067</v>
      </c>
      <c r="D396" s="1" t="s">
        <v>66</v>
      </c>
      <c r="E396" s="1">
        <f t="shared" si="2"/>
        <v>188.75</v>
      </c>
      <c r="F396" s="1">
        <f t="shared" si="3"/>
        <v>2.9</v>
      </c>
      <c r="G396" s="1">
        <v>65.0</v>
      </c>
      <c r="H396" s="1">
        <v>3.0</v>
      </c>
      <c r="I396" s="1">
        <v>16.0</v>
      </c>
      <c r="J396" s="1">
        <v>19.0</v>
      </c>
      <c r="K396" s="1">
        <v>93.0</v>
      </c>
      <c r="L396" s="1">
        <v>0.0</v>
      </c>
      <c r="M396" s="1">
        <v>1.0</v>
      </c>
      <c r="N396" s="1">
        <v>1.0</v>
      </c>
      <c r="O396" s="1">
        <v>0.0</v>
      </c>
      <c r="P396" s="1">
        <v>83.0</v>
      </c>
      <c r="Q396" s="1">
        <v>116.0</v>
      </c>
    </row>
    <row r="397">
      <c r="A397" s="1">
        <f t="shared" si="1"/>
        <v>395</v>
      </c>
      <c r="B397" s="1" t="s">
        <v>2306</v>
      </c>
      <c r="C397" s="1" t="s">
        <v>1052</v>
      </c>
      <c r="D397" s="1" t="s">
        <v>31</v>
      </c>
      <c r="E397" s="1">
        <f t="shared" si="2"/>
        <v>188.25</v>
      </c>
      <c r="F397" s="1">
        <f t="shared" si="3"/>
        <v>2.65</v>
      </c>
      <c r="G397" s="1">
        <v>71.0</v>
      </c>
      <c r="H397" s="1">
        <v>8.0</v>
      </c>
      <c r="I397" s="1">
        <v>20.0</v>
      </c>
      <c r="J397" s="1">
        <v>28.0</v>
      </c>
      <c r="K397" s="1">
        <v>121.0</v>
      </c>
      <c r="L397" s="1">
        <v>1.0</v>
      </c>
      <c r="M397" s="1">
        <v>2.0</v>
      </c>
      <c r="N397" s="1">
        <v>0.0</v>
      </c>
      <c r="O397" s="1">
        <v>0.0</v>
      </c>
      <c r="P397" s="1">
        <v>89.0</v>
      </c>
      <c r="Q397" s="1">
        <v>19.0</v>
      </c>
    </row>
    <row r="398">
      <c r="A398" s="1">
        <f t="shared" si="1"/>
        <v>395</v>
      </c>
      <c r="B398" s="1" t="s">
        <v>1339</v>
      </c>
      <c r="C398" s="1" t="s">
        <v>1034</v>
      </c>
      <c r="D398" s="1" t="s">
        <v>36</v>
      </c>
      <c r="E398" s="1">
        <f t="shared" si="2"/>
        <v>188.25</v>
      </c>
      <c r="F398" s="1">
        <f t="shared" si="3"/>
        <v>2.69</v>
      </c>
      <c r="G398" s="1">
        <v>70.0</v>
      </c>
      <c r="H398" s="1">
        <v>13.0</v>
      </c>
      <c r="I398" s="1">
        <v>13.0</v>
      </c>
      <c r="J398" s="1">
        <v>26.0</v>
      </c>
      <c r="K398" s="1">
        <v>95.0</v>
      </c>
      <c r="L398" s="1">
        <v>0.0</v>
      </c>
      <c r="M398" s="1">
        <v>0.0</v>
      </c>
      <c r="N398" s="1">
        <v>0.0</v>
      </c>
      <c r="O398" s="1">
        <v>2.0</v>
      </c>
      <c r="P398" s="1">
        <v>129.0</v>
      </c>
      <c r="Q398" s="1">
        <v>14.0</v>
      </c>
    </row>
    <row r="399">
      <c r="A399" s="1">
        <f t="shared" si="1"/>
        <v>397</v>
      </c>
      <c r="B399" s="1" t="s">
        <v>1468</v>
      </c>
      <c r="C399" s="1" t="s">
        <v>1054</v>
      </c>
      <c r="D399" s="1" t="s">
        <v>28</v>
      </c>
      <c r="E399" s="1">
        <f t="shared" si="2"/>
        <v>188</v>
      </c>
      <c r="F399" s="1">
        <f t="shared" si="3"/>
        <v>2.29</v>
      </c>
      <c r="G399" s="1">
        <v>82.0</v>
      </c>
      <c r="H399" s="1">
        <v>7.0</v>
      </c>
      <c r="I399" s="1">
        <v>12.0</v>
      </c>
      <c r="J399" s="1">
        <v>19.0</v>
      </c>
      <c r="K399" s="1">
        <v>91.0</v>
      </c>
      <c r="L399" s="1">
        <v>0.0</v>
      </c>
      <c r="M399" s="1">
        <v>1.0</v>
      </c>
      <c r="N399" s="1">
        <v>0.0</v>
      </c>
      <c r="O399" s="1">
        <v>1.0</v>
      </c>
      <c r="P399" s="1">
        <v>206.0</v>
      </c>
      <c r="Q399" s="1">
        <v>43.0</v>
      </c>
    </row>
    <row r="400">
      <c r="A400" s="1">
        <f t="shared" si="1"/>
        <v>398</v>
      </c>
      <c r="B400" s="1" t="s">
        <v>1164</v>
      </c>
      <c r="C400" s="1" t="s">
        <v>1042</v>
      </c>
      <c r="D400" s="1" t="s">
        <v>5</v>
      </c>
      <c r="E400" s="1">
        <f t="shared" si="2"/>
        <v>187.8</v>
      </c>
      <c r="F400" s="1">
        <f t="shared" si="3"/>
        <v>6.06</v>
      </c>
      <c r="G400" s="1">
        <v>31.0</v>
      </c>
      <c r="R400" s="1">
        <v>17.0</v>
      </c>
      <c r="S400" s="1">
        <v>74.0</v>
      </c>
      <c r="T400" s="1">
        <v>796.0</v>
      </c>
      <c r="U400" s="1">
        <v>3.0</v>
      </c>
    </row>
    <row r="401">
      <c r="A401" s="1">
        <f t="shared" si="1"/>
        <v>399</v>
      </c>
      <c r="B401" s="1" t="s">
        <v>2385</v>
      </c>
      <c r="C401" s="1" t="s">
        <v>1085</v>
      </c>
      <c r="D401" s="1" t="s">
        <v>28</v>
      </c>
      <c r="E401" s="1">
        <f t="shared" si="2"/>
        <v>187.5</v>
      </c>
      <c r="F401" s="1">
        <f t="shared" si="3"/>
        <v>2.44</v>
      </c>
      <c r="G401" s="1">
        <v>77.0</v>
      </c>
      <c r="H401" s="1">
        <v>7.0</v>
      </c>
      <c r="I401" s="1">
        <v>11.0</v>
      </c>
      <c r="J401" s="1">
        <v>18.0</v>
      </c>
      <c r="K401" s="1">
        <v>102.0</v>
      </c>
      <c r="L401" s="1">
        <v>0.0</v>
      </c>
      <c r="M401" s="1">
        <v>0.0</v>
      </c>
      <c r="N401" s="1">
        <v>0.0</v>
      </c>
      <c r="O401" s="1">
        <v>0.0</v>
      </c>
      <c r="P401" s="1">
        <v>208.0</v>
      </c>
      <c r="Q401" s="1">
        <v>40.0</v>
      </c>
    </row>
    <row r="402">
      <c r="A402" s="1">
        <f t="shared" si="1"/>
        <v>400</v>
      </c>
      <c r="B402" s="1" t="s">
        <v>2626</v>
      </c>
      <c r="C402" s="1" t="s">
        <v>1044</v>
      </c>
      <c r="D402" s="1" t="s">
        <v>28</v>
      </c>
      <c r="E402" s="1">
        <f t="shared" si="2"/>
        <v>187</v>
      </c>
      <c r="F402" s="1">
        <f t="shared" si="3"/>
        <v>2.63</v>
      </c>
      <c r="G402" s="1">
        <v>71.0</v>
      </c>
      <c r="H402" s="1">
        <v>7.0</v>
      </c>
      <c r="I402" s="1">
        <v>28.0</v>
      </c>
      <c r="J402" s="1">
        <v>35.0</v>
      </c>
      <c r="K402" s="1">
        <v>88.0</v>
      </c>
      <c r="L402" s="1">
        <v>2.0</v>
      </c>
      <c r="M402" s="1">
        <v>5.0</v>
      </c>
      <c r="N402" s="1">
        <v>0.0</v>
      </c>
      <c r="O402" s="1">
        <v>0.0</v>
      </c>
      <c r="P402" s="1">
        <v>54.0</v>
      </c>
      <c r="Q402" s="1">
        <v>28.0</v>
      </c>
    </row>
    <row r="403">
      <c r="A403" s="1">
        <f t="shared" si="1"/>
        <v>401</v>
      </c>
      <c r="B403" s="1" t="s">
        <v>2698</v>
      </c>
      <c r="C403" s="1" t="s">
        <v>1570</v>
      </c>
      <c r="D403" s="1" t="s">
        <v>28</v>
      </c>
      <c r="E403" s="1">
        <f t="shared" si="2"/>
        <v>186.75</v>
      </c>
      <c r="F403" s="1">
        <f t="shared" si="3"/>
        <v>2.33</v>
      </c>
      <c r="G403" s="1">
        <v>80.0</v>
      </c>
      <c r="H403" s="1">
        <v>11.0</v>
      </c>
      <c r="I403" s="1">
        <v>8.0</v>
      </c>
      <c r="J403" s="1">
        <v>19.0</v>
      </c>
      <c r="K403" s="1">
        <v>119.0</v>
      </c>
      <c r="L403" s="1">
        <v>0.0</v>
      </c>
      <c r="M403" s="1">
        <v>0.0</v>
      </c>
      <c r="N403" s="1">
        <v>1.0</v>
      </c>
      <c r="O403" s="1">
        <v>1.0</v>
      </c>
      <c r="P403" s="1">
        <v>65.0</v>
      </c>
      <c r="Q403" s="1">
        <v>67.0</v>
      </c>
    </row>
    <row r="404">
      <c r="A404" s="1">
        <f t="shared" si="1"/>
        <v>402</v>
      </c>
      <c r="B404" s="1" t="s">
        <v>2503</v>
      </c>
      <c r="C404" s="1" t="s">
        <v>1034</v>
      </c>
      <c r="D404" s="1" t="s">
        <v>66</v>
      </c>
      <c r="E404" s="1">
        <f t="shared" si="2"/>
        <v>186.5</v>
      </c>
      <c r="F404" s="1">
        <f t="shared" si="3"/>
        <v>2.52</v>
      </c>
      <c r="G404" s="1">
        <v>74.0</v>
      </c>
      <c r="H404" s="1">
        <v>4.0</v>
      </c>
      <c r="I404" s="1">
        <v>19.0</v>
      </c>
      <c r="J404" s="1">
        <v>23.0</v>
      </c>
      <c r="K404" s="1">
        <v>113.0</v>
      </c>
      <c r="L404" s="1">
        <v>0.0</v>
      </c>
      <c r="M404" s="1">
        <v>0.0</v>
      </c>
      <c r="N404" s="1">
        <v>0.0</v>
      </c>
      <c r="O404" s="1">
        <v>0.0</v>
      </c>
      <c r="P404" s="1">
        <v>96.0</v>
      </c>
      <c r="Q404" s="1">
        <v>62.0</v>
      </c>
    </row>
    <row r="405">
      <c r="A405" s="1">
        <f t="shared" si="1"/>
        <v>403</v>
      </c>
      <c r="B405" s="1" t="s">
        <v>1475</v>
      </c>
      <c r="C405" s="1" t="s">
        <v>1067</v>
      </c>
      <c r="D405" s="1" t="s">
        <v>28</v>
      </c>
      <c r="E405" s="1">
        <f t="shared" si="2"/>
        <v>186</v>
      </c>
      <c r="F405" s="1">
        <f t="shared" si="3"/>
        <v>3.21</v>
      </c>
      <c r="G405" s="1">
        <v>58.0</v>
      </c>
      <c r="H405" s="1">
        <v>13.0</v>
      </c>
      <c r="I405" s="1">
        <v>17.0</v>
      </c>
      <c r="J405" s="1">
        <v>30.0</v>
      </c>
      <c r="K405" s="1">
        <v>115.0</v>
      </c>
      <c r="L405" s="1">
        <v>2.0</v>
      </c>
      <c r="M405" s="1">
        <v>7.0</v>
      </c>
      <c r="N405" s="1">
        <v>0.0</v>
      </c>
      <c r="O405" s="1">
        <v>0.0</v>
      </c>
      <c r="P405" s="1">
        <v>28.0</v>
      </c>
      <c r="Q405" s="1">
        <v>24.0</v>
      </c>
    </row>
    <row r="406">
      <c r="A406" s="1">
        <f t="shared" si="1"/>
        <v>403</v>
      </c>
      <c r="B406" s="1" t="s">
        <v>1492</v>
      </c>
      <c r="C406" s="1" t="s">
        <v>1078</v>
      </c>
      <c r="D406" s="1" t="s">
        <v>66</v>
      </c>
      <c r="E406" s="1">
        <f t="shared" si="2"/>
        <v>186</v>
      </c>
      <c r="F406" s="1">
        <f t="shared" si="3"/>
        <v>3.1</v>
      </c>
      <c r="G406" s="1">
        <v>60.0</v>
      </c>
      <c r="H406" s="1">
        <v>4.0</v>
      </c>
      <c r="I406" s="1">
        <v>14.0</v>
      </c>
      <c r="J406" s="1">
        <v>18.0</v>
      </c>
      <c r="K406" s="1">
        <v>78.0</v>
      </c>
      <c r="L406" s="1">
        <v>0.0</v>
      </c>
      <c r="M406" s="1">
        <v>2.0</v>
      </c>
      <c r="N406" s="1">
        <v>0.0</v>
      </c>
      <c r="O406" s="1">
        <v>0.0</v>
      </c>
      <c r="P406" s="1">
        <v>78.0</v>
      </c>
      <c r="Q406" s="1">
        <v>135.0</v>
      </c>
    </row>
    <row r="407">
      <c r="A407" s="1">
        <f t="shared" si="1"/>
        <v>405</v>
      </c>
      <c r="B407" s="1" t="s">
        <v>2699</v>
      </c>
      <c r="C407" s="1" t="s">
        <v>1570</v>
      </c>
      <c r="D407" s="1" t="s">
        <v>66</v>
      </c>
      <c r="E407" s="1">
        <f t="shared" si="2"/>
        <v>185.25</v>
      </c>
      <c r="F407" s="1">
        <f t="shared" si="3"/>
        <v>2.99</v>
      </c>
      <c r="G407" s="1">
        <v>62.0</v>
      </c>
      <c r="H407" s="1">
        <v>4.0</v>
      </c>
      <c r="I407" s="1">
        <v>12.0</v>
      </c>
      <c r="J407" s="1">
        <v>16.0</v>
      </c>
      <c r="K407" s="1">
        <v>75.0</v>
      </c>
      <c r="L407" s="1">
        <v>0.0</v>
      </c>
      <c r="M407" s="1">
        <v>0.0</v>
      </c>
      <c r="N407" s="1">
        <v>0.0</v>
      </c>
      <c r="O407" s="1">
        <v>1.0</v>
      </c>
      <c r="P407" s="1">
        <v>151.0</v>
      </c>
      <c r="Q407" s="1">
        <v>108.0</v>
      </c>
    </row>
    <row r="408">
      <c r="A408" s="1">
        <f t="shared" si="1"/>
        <v>406</v>
      </c>
      <c r="B408" s="1" t="s">
        <v>2493</v>
      </c>
      <c r="C408" s="1" t="s">
        <v>1038</v>
      </c>
      <c r="D408" s="1" t="s">
        <v>36</v>
      </c>
      <c r="E408" s="1">
        <f t="shared" si="2"/>
        <v>185</v>
      </c>
      <c r="F408" s="1">
        <f t="shared" si="3"/>
        <v>2.64</v>
      </c>
      <c r="G408" s="1">
        <v>70.0</v>
      </c>
      <c r="H408" s="1">
        <v>7.0</v>
      </c>
      <c r="I408" s="1">
        <v>13.0</v>
      </c>
      <c r="J408" s="1">
        <v>20.0</v>
      </c>
      <c r="K408" s="1">
        <v>129.0</v>
      </c>
      <c r="L408" s="1">
        <v>2.0</v>
      </c>
      <c r="M408" s="1">
        <v>5.0</v>
      </c>
      <c r="N408" s="1">
        <v>0.0</v>
      </c>
      <c r="O408" s="1">
        <v>0.0</v>
      </c>
      <c r="P408" s="1">
        <v>140.0</v>
      </c>
      <c r="Q408" s="1">
        <v>30.0</v>
      </c>
    </row>
    <row r="409">
      <c r="A409" s="1">
        <f t="shared" si="1"/>
        <v>406</v>
      </c>
      <c r="B409" s="1" t="s">
        <v>1554</v>
      </c>
      <c r="C409" s="1" t="s">
        <v>1082</v>
      </c>
      <c r="D409" s="1" t="s">
        <v>66</v>
      </c>
      <c r="E409" s="1">
        <f t="shared" si="2"/>
        <v>185</v>
      </c>
      <c r="F409" s="1">
        <f t="shared" si="3"/>
        <v>2.31</v>
      </c>
      <c r="G409" s="1">
        <v>80.0</v>
      </c>
      <c r="H409" s="1">
        <v>2.0</v>
      </c>
      <c r="I409" s="1">
        <v>18.0</v>
      </c>
      <c r="J409" s="1">
        <v>20.0</v>
      </c>
      <c r="K409" s="1">
        <v>94.0</v>
      </c>
      <c r="L409" s="1">
        <v>0.0</v>
      </c>
      <c r="M409" s="1">
        <v>0.0</v>
      </c>
      <c r="N409" s="1">
        <v>0.0</v>
      </c>
      <c r="O409" s="1">
        <v>1.0</v>
      </c>
      <c r="P409" s="1">
        <v>82.0</v>
      </c>
      <c r="Q409" s="1">
        <v>105.0</v>
      </c>
    </row>
    <row r="410">
      <c r="A410" s="1">
        <f t="shared" si="1"/>
        <v>408</v>
      </c>
      <c r="B410" s="1" t="s">
        <v>1539</v>
      </c>
      <c r="C410" s="1" t="s">
        <v>1078</v>
      </c>
      <c r="D410" s="1" t="s">
        <v>5</v>
      </c>
      <c r="E410" s="1">
        <f t="shared" si="2"/>
        <v>184.5</v>
      </c>
      <c r="F410" s="1">
        <f t="shared" si="3"/>
        <v>4.01</v>
      </c>
      <c r="G410" s="1">
        <v>46.0</v>
      </c>
      <c r="R410" s="1">
        <v>16.0</v>
      </c>
      <c r="S410" s="1">
        <v>149.0</v>
      </c>
      <c r="T410" s="12">
        <v>1180.0</v>
      </c>
      <c r="U410" s="1">
        <v>2.0</v>
      </c>
    </row>
    <row r="411">
      <c r="A411" s="1">
        <f t="shared" si="1"/>
        <v>409</v>
      </c>
      <c r="B411" s="1" t="s">
        <v>1297</v>
      </c>
      <c r="C411" s="1" t="s">
        <v>1082</v>
      </c>
      <c r="D411" s="1" t="s">
        <v>36</v>
      </c>
      <c r="E411" s="1">
        <f t="shared" si="2"/>
        <v>184</v>
      </c>
      <c r="F411" s="1">
        <f t="shared" si="3"/>
        <v>2.42</v>
      </c>
      <c r="G411" s="1">
        <v>76.0</v>
      </c>
      <c r="H411" s="1">
        <v>11.0</v>
      </c>
      <c r="I411" s="1">
        <v>8.0</v>
      </c>
      <c r="J411" s="1">
        <v>19.0</v>
      </c>
      <c r="K411" s="1">
        <v>77.0</v>
      </c>
      <c r="L411" s="1">
        <v>0.0</v>
      </c>
      <c r="M411" s="1">
        <v>0.0</v>
      </c>
      <c r="N411" s="1">
        <v>2.0</v>
      </c>
      <c r="O411" s="1">
        <v>0.0</v>
      </c>
      <c r="P411" s="1">
        <v>200.0</v>
      </c>
      <c r="Q411" s="1">
        <v>36.0</v>
      </c>
    </row>
    <row r="412">
      <c r="A412" s="1">
        <f t="shared" si="1"/>
        <v>410</v>
      </c>
      <c r="B412" s="1" t="s">
        <v>2245</v>
      </c>
      <c r="C412" s="1" t="s">
        <v>1172</v>
      </c>
      <c r="D412" s="1" t="s">
        <v>28</v>
      </c>
      <c r="E412" s="1">
        <f t="shared" si="2"/>
        <v>183.75</v>
      </c>
      <c r="F412" s="1">
        <f t="shared" si="3"/>
        <v>3.34</v>
      </c>
      <c r="G412" s="1">
        <v>55.0</v>
      </c>
      <c r="H412" s="1">
        <v>12.0</v>
      </c>
      <c r="I412" s="1">
        <v>11.0</v>
      </c>
      <c r="J412" s="1">
        <v>23.0</v>
      </c>
      <c r="K412" s="1">
        <v>96.0</v>
      </c>
      <c r="L412" s="1">
        <v>0.0</v>
      </c>
      <c r="M412" s="1">
        <v>0.0</v>
      </c>
      <c r="N412" s="1">
        <v>1.0</v>
      </c>
      <c r="O412" s="1">
        <v>0.0</v>
      </c>
      <c r="P412" s="1">
        <v>135.0</v>
      </c>
      <c r="Q412" s="1">
        <v>26.0</v>
      </c>
    </row>
    <row r="413">
      <c r="A413" s="1">
        <f t="shared" si="1"/>
        <v>411</v>
      </c>
      <c r="B413" s="1" t="s">
        <v>1178</v>
      </c>
      <c r="C413" s="1" t="s">
        <v>1111</v>
      </c>
      <c r="D413" s="1" t="s">
        <v>66</v>
      </c>
      <c r="E413" s="1">
        <f t="shared" si="2"/>
        <v>183</v>
      </c>
      <c r="F413" s="1">
        <f t="shared" si="3"/>
        <v>3.45</v>
      </c>
      <c r="G413" s="1">
        <v>53.0</v>
      </c>
      <c r="H413" s="1">
        <v>5.0</v>
      </c>
      <c r="I413" s="1">
        <v>15.0</v>
      </c>
      <c r="J413" s="1">
        <v>20.0</v>
      </c>
      <c r="K413" s="1">
        <v>117.0</v>
      </c>
      <c r="L413" s="1">
        <v>3.0</v>
      </c>
      <c r="M413" s="1">
        <v>5.0</v>
      </c>
      <c r="N413" s="1">
        <v>0.0</v>
      </c>
      <c r="O413" s="1">
        <v>0.0</v>
      </c>
      <c r="P413" s="1">
        <v>74.0</v>
      </c>
      <c r="Q413" s="1">
        <v>77.0</v>
      </c>
    </row>
    <row r="414">
      <c r="A414" s="1">
        <f t="shared" si="1"/>
        <v>412</v>
      </c>
      <c r="B414" s="1" t="s">
        <v>1946</v>
      </c>
      <c r="C414" s="1" t="s">
        <v>1069</v>
      </c>
      <c r="D414" s="1" t="s">
        <v>28</v>
      </c>
      <c r="E414" s="1">
        <f t="shared" si="2"/>
        <v>181.75</v>
      </c>
      <c r="F414" s="1">
        <f t="shared" si="3"/>
        <v>2.3</v>
      </c>
      <c r="G414" s="1">
        <v>79.0</v>
      </c>
      <c r="H414" s="1">
        <v>6.0</v>
      </c>
      <c r="I414" s="1">
        <v>14.0</v>
      </c>
      <c r="J414" s="1">
        <v>20.0</v>
      </c>
      <c r="K414" s="1">
        <v>74.0</v>
      </c>
      <c r="L414" s="1">
        <v>2.0</v>
      </c>
      <c r="M414" s="1">
        <v>2.0</v>
      </c>
      <c r="N414" s="1">
        <v>0.0</v>
      </c>
      <c r="O414" s="1">
        <v>0.0</v>
      </c>
      <c r="P414" s="1">
        <v>259.0</v>
      </c>
      <c r="Q414" s="1">
        <v>22.0</v>
      </c>
    </row>
    <row r="415">
      <c r="A415" s="1">
        <f t="shared" si="1"/>
        <v>413</v>
      </c>
      <c r="B415" s="1" t="s">
        <v>1764</v>
      </c>
      <c r="C415" s="1" t="s">
        <v>1030</v>
      </c>
      <c r="D415" s="1" t="s">
        <v>31</v>
      </c>
      <c r="E415" s="1">
        <f t="shared" si="2"/>
        <v>181</v>
      </c>
      <c r="F415" s="1">
        <f t="shared" si="3"/>
        <v>2.59</v>
      </c>
      <c r="G415" s="1">
        <v>70.0</v>
      </c>
      <c r="H415" s="1">
        <v>11.0</v>
      </c>
      <c r="I415" s="1">
        <v>15.0</v>
      </c>
      <c r="J415" s="1">
        <v>26.0</v>
      </c>
      <c r="K415" s="1">
        <v>114.0</v>
      </c>
      <c r="L415" s="1">
        <v>4.0</v>
      </c>
      <c r="M415" s="1">
        <v>1.0</v>
      </c>
      <c r="N415" s="1">
        <v>0.0</v>
      </c>
      <c r="O415" s="1">
        <v>0.0</v>
      </c>
      <c r="P415" s="1">
        <v>48.0</v>
      </c>
      <c r="Q415" s="1">
        <v>35.0</v>
      </c>
    </row>
    <row r="416">
      <c r="A416" s="1">
        <f t="shared" si="1"/>
        <v>414</v>
      </c>
      <c r="B416" s="1" t="s">
        <v>2494</v>
      </c>
      <c r="C416" s="1" t="s">
        <v>1570</v>
      </c>
      <c r="D416" s="1" t="s">
        <v>66</v>
      </c>
      <c r="E416" s="1">
        <f t="shared" si="2"/>
        <v>180.75</v>
      </c>
      <c r="F416" s="1">
        <f t="shared" si="3"/>
        <v>2.92</v>
      </c>
      <c r="G416" s="1">
        <v>62.0</v>
      </c>
      <c r="H416" s="1">
        <v>3.0</v>
      </c>
      <c r="I416" s="1">
        <v>27.0</v>
      </c>
      <c r="J416" s="1">
        <v>30.0</v>
      </c>
      <c r="K416" s="1">
        <v>78.0</v>
      </c>
      <c r="L416" s="1">
        <v>0.0</v>
      </c>
      <c r="M416" s="1">
        <v>5.0</v>
      </c>
      <c r="N416" s="1">
        <v>0.0</v>
      </c>
      <c r="O416" s="1">
        <v>0.0</v>
      </c>
      <c r="P416" s="1">
        <v>61.0</v>
      </c>
      <c r="Q416" s="1">
        <v>64.0</v>
      </c>
    </row>
    <row r="417">
      <c r="A417" s="1">
        <f t="shared" si="1"/>
        <v>415</v>
      </c>
      <c r="B417" s="1" t="s">
        <v>2636</v>
      </c>
      <c r="C417" s="1" t="s">
        <v>1030</v>
      </c>
      <c r="D417" s="1" t="s">
        <v>28</v>
      </c>
      <c r="E417" s="1">
        <f t="shared" si="2"/>
        <v>180.25</v>
      </c>
      <c r="F417" s="1">
        <f t="shared" si="3"/>
        <v>2.77</v>
      </c>
      <c r="G417" s="1">
        <v>65.0</v>
      </c>
      <c r="H417" s="1">
        <v>12.0</v>
      </c>
      <c r="I417" s="1">
        <v>15.0</v>
      </c>
      <c r="J417" s="1">
        <v>27.0</v>
      </c>
      <c r="K417" s="1">
        <v>104.0</v>
      </c>
      <c r="L417" s="1">
        <v>5.0</v>
      </c>
      <c r="M417" s="1">
        <v>2.0</v>
      </c>
      <c r="N417" s="1">
        <v>0.0</v>
      </c>
      <c r="O417" s="1">
        <v>0.0</v>
      </c>
      <c r="P417" s="1">
        <v>55.0</v>
      </c>
      <c r="Q417" s="1">
        <v>31.0</v>
      </c>
    </row>
    <row r="418">
      <c r="A418" s="1">
        <f t="shared" si="1"/>
        <v>416</v>
      </c>
      <c r="B418" s="1" t="s">
        <v>1928</v>
      </c>
      <c r="C418" s="1" t="s">
        <v>1078</v>
      </c>
      <c r="D418" s="1" t="s">
        <v>5</v>
      </c>
      <c r="E418" s="1">
        <f t="shared" si="2"/>
        <v>179.7</v>
      </c>
      <c r="F418" s="1">
        <f t="shared" si="3"/>
        <v>5.8</v>
      </c>
      <c r="G418" s="1">
        <v>31.0</v>
      </c>
      <c r="R418" s="1">
        <v>10.0</v>
      </c>
      <c r="S418" s="1">
        <v>61.0</v>
      </c>
      <c r="T418" s="1">
        <v>784.0</v>
      </c>
      <c r="U418" s="1">
        <v>2.0</v>
      </c>
    </row>
    <row r="419">
      <c r="A419" s="1">
        <f t="shared" si="1"/>
        <v>417</v>
      </c>
      <c r="B419" s="1" t="s">
        <v>2481</v>
      </c>
      <c r="C419" s="1" t="s">
        <v>1120</v>
      </c>
      <c r="D419" s="1" t="s">
        <v>31</v>
      </c>
      <c r="E419" s="1">
        <f t="shared" si="2"/>
        <v>179.5</v>
      </c>
      <c r="F419" s="1">
        <f t="shared" si="3"/>
        <v>2.49</v>
      </c>
      <c r="G419" s="1">
        <v>72.0</v>
      </c>
      <c r="H419" s="1">
        <v>17.0</v>
      </c>
      <c r="I419" s="1">
        <v>14.0</v>
      </c>
      <c r="J419" s="1">
        <v>31.0</v>
      </c>
      <c r="K419" s="1">
        <v>78.0</v>
      </c>
      <c r="L419" s="1">
        <v>0.0</v>
      </c>
      <c r="M419" s="1">
        <v>0.0</v>
      </c>
      <c r="N419" s="1">
        <v>1.0</v>
      </c>
      <c r="O419" s="1">
        <v>0.0</v>
      </c>
      <c r="P419" s="1">
        <v>12.0</v>
      </c>
      <c r="Q419" s="1">
        <v>34.0</v>
      </c>
    </row>
    <row r="420">
      <c r="A420" s="1">
        <f t="shared" si="1"/>
        <v>418</v>
      </c>
      <c r="B420" s="1" t="s">
        <v>1189</v>
      </c>
      <c r="C420" s="1" t="s">
        <v>1076</v>
      </c>
      <c r="D420" s="1" t="s">
        <v>31</v>
      </c>
      <c r="E420" s="1">
        <f t="shared" si="2"/>
        <v>179</v>
      </c>
      <c r="F420" s="1">
        <f t="shared" si="3"/>
        <v>2.93</v>
      </c>
      <c r="G420" s="1">
        <v>61.0</v>
      </c>
      <c r="H420" s="1">
        <v>13.0</v>
      </c>
      <c r="I420" s="1">
        <v>12.0</v>
      </c>
      <c r="J420" s="1">
        <v>25.0</v>
      </c>
      <c r="K420" s="1">
        <v>99.0</v>
      </c>
      <c r="L420" s="1">
        <v>4.0</v>
      </c>
      <c r="M420" s="1">
        <v>2.0</v>
      </c>
      <c r="N420" s="1">
        <v>2.0</v>
      </c>
      <c r="O420" s="1">
        <v>1.0</v>
      </c>
      <c r="P420" s="1">
        <v>68.0</v>
      </c>
      <c r="Q420" s="1">
        <v>24.0</v>
      </c>
    </row>
    <row r="421">
      <c r="A421" s="1">
        <f t="shared" si="1"/>
        <v>419</v>
      </c>
      <c r="B421" s="1" t="s">
        <v>1366</v>
      </c>
      <c r="C421" s="1" t="s">
        <v>1054</v>
      </c>
      <c r="D421" s="1" t="s">
        <v>28</v>
      </c>
      <c r="E421" s="1">
        <f t="shared" si="2"/>
        <v>178.75</v>
      </c>
      <c r="F421" s="1">
        <f t="shared" si="3"/>
        <v>2.21</v>
      </c>
      <c r="G421" s="1">
        <v>81.0</v>
      </c>
      <c r="H421" s="1">
        <v>12.0</v>
      </c>
      <c r="I421" s="1">
        <v>12.0</v>
      </c>
      <c r="J421" s="1">
        <v>24.0</v>
      </c>
      <c r="K421" s="1">
        <v>109.0</v>
      </c>
      <c r="L421" s="1">
        <v>0.0</v>
      </c>
      <c r="M421" s="1">
        <v>0.0</v>
      </c>
      <c r="N421" s="1">
        <v>0.0</v>
      </c>
      <c r="O421" s="1">
        <v>0.0</v>
      </c>
      <c r="P421" s="1">
        <v>57.0</v>
      </c>
      <c r="Q421" s="1">
        <v>40.0</v>
      </c>
    </row>
    <row r="422">
      <c r="A422" s="1">
        <f t="shared" si="1"/>
        <v>419</v>
      </c>
      <c r="B422" s="1" t="s">
        <v>2613</v>
      </c>
      <c r="C422" s="1" t="s">
        <v>1120</v>
      </c>
      <c r="D422" s="1" t="s">
        <v>28</v>
      </c>
      <c r="E422" s="1">
        <f t="shared" si="2"/>
        <v>178.75</v>
      </c>
      <c r="F422" s="1">
        <f t="shared" si="3"/>
        <v>2.52</v>
      </c>
      <c r="G422" s="1">
        <v>71.0</v>
      </c>
      <c r="H422" s="1">
        <v>6.0</v>
      </c>
      <c r="I422" s="1">
        <v>13.0</v>
      </c>
      <c r="J422" s="1">
        <v>19.0</v>
      </c>
      <c r="K422" s="1">
        <v>95.0</v>
      </c>
      <c r="L422" s="1">
        <v>1.0</v>
      </c>
      <c r="M422" s="1">
        <v>1.0</v>
      </c>
      <c r="N422" s="1">
        <v>1.0</v>
      </c>
      <c r="O422" s="1">
        <v>0.0</v>
      </c>
      <c r="P422" s="1">
        <v>185.0</v>
      </c>
      <c r="Q422" s="1">
        <v>34.0</v>
      </c>
    </row>
    <row r="423">
      <c r="A423" s="1">
        <f t="shared" si="1"/>
        <v>421</v>
      </c>
      <c r="B423" s="1" t="s">
        <v>1748</v>
      </c>
      <c r="C423" s="1" t="s">
        <v>1078</v>
      </c>
      <c r="D423" s="1" t="s">
        <v>66</v>
      </c>
      <c r="E423" s="1">
        <f t="shared" si="2"/>
        <v>178.25</v>
      </c>
      <c r="F423" s="1">
        <f t="shared" si="3"/>
        <v>2.2</v>
      </c>
      <c r="G423" s="1">
        <v>81.0</v>
      </c>
      <c r="H423" s="1">
        <v>2.0</v>
      </c>
      <c r="I423" s="1">
        <v>12.0</v>
      </c>
      <c r="J423" s="1">
        <v>14.0</v>
      </c>
      <c r="K423" s="1">
        <v>75.0</v>
      </c>
      <c r="L423" s="1">
        <v>0.0</v>
      </c>
      <c r="M423" s="1">
        <v>0.0</v>
      </c>
      <c r="N423" s="1">
        <v>0.0</v>
      </c>
      <c r="O423" s="1">
        <v>0.0</v>
      </c>
      <c r="P423" s="1">
        <v>105.0</v>
      </c>
      <c r="Q423" s="1">
        <v>139.0</v>
      </c>
    </row>
    <row r="424">
      <c r="A424" s="1">
        <f t="shared" si="1"/>
        <v>422</v>
      </c>
      <c r="B424" s="1" t="s">
        <v>2199</v>
      </c>
      <c r="C424" s="1" t="s">
        <v>1097</v>
      </c>
      <c r="D424" s="1" t="s">
        <v>5</v>
      </c>
      <c r="E424" s="1">
        <f t="shared" si="2"/>
        <v>178.2</v>
      </c>
      <c r="F424" s="1">
        <f t="shared" si="3"/>
        <v>4.35</v>
      </c>
      <c r="G424" s="1">
        <v>41.0</v>
      </c>
      <c r="R424" s="1">
        <v>15.0</v>
      </c>
      <c r="S424" s="1">
        <v>129.0</v>
      </c>
      <c r="T424" s="12">
        <v>1059.0</v>
      </c>
      <c r="U424" s="1">
        <v>3.0</v>
      </c>
    </row>
    <row r="425">
      <c r="A425" s="1">
        <f t="shared" si="1"/>
        <v>423</v>
      </c>
      <c r="B425" s="1" t="s">
        <v>2094</v>
      </c>
      <c r="C425" s="1" t="s">
        <v>1087</v>
      </c>
      <c r="D425" s="1" t="s">
        <v>31</v>
      </c>
      <c r="E425" s="1">
        <f t="shared" si="2"/>
        <v>178</v>
      </c>
      <c r="F425" s="1">
        <f t="shared" si="3"/>
        <v>2.54</v>
      </c>
      <c r="G425" s="1">
        <v>70.0</v>
      </c>
      <c r="H425" s="1">
        <v>14.0</v>
      </c>
      <c r="I425" s="1">
        <v>9.0</v>
      </c>
      <c r="J425" s="1">
        <v>23.0</v>
      </c>
      <c r="K425" s="1">
        <v>110.0</v>
      </c>
      <c r="L425" s="1">
        <v>2.0</v>
      </c>
      <c r="M425" s="1">
        <v>3.0</v>
      </c>
      <c r="N425" s="1">
        <v>0.0</v>
      </c>
      <c r="O425" s="1">
        <v>0.0</v>
      </c>
      <c r="P425" s="1">
        <v>102.0</v>
      </c>
      <c r="Q425" s="1">
        <v>15.0</v>
      </c>
    </row>
    <row r="426">
      <c r="A426" s="1">
        <f t="shared" si="1"/>
        <v>424</v>
      </c>
      <c r="B426" s="1" t="s">
        <v>2224</v>
      </c>
      <c r="C426" s="1" t="s">
        <v>1078</v>
      </c>
      <c r="D426" s="1" t="s">
        <v>28</v>
      </c>
      <c r="E426" s="1">
        <f t="shared" si="2"/>
        <v>177.75</v>
      </c>
      <c r="F426" s="1">
        <f t="shared" si="3"/>
        <v>2.47</v>
      </c>
      <c r="G426" s="1">
        <v>72.0</v>
      </c>
      <c r="H426" s="1">
        <v>11.0</v>
      </c>
      <c r="I426" s="1">
        <v>10.0</v>
      </c>
      <c r="J426" s="1">
        <v>21.0</v>
      </c>
      <c r="K426" s="1">
        <v>115.0</v>
      </c>
      <c r="L426" s="1">
        <v>1.0</v>
      </c>
      <c r="M426" s="1">
        <v>0.0</v>
      </c>
      <c r="N426" s="1">
        <v>0.0</v>
      </c>
      <c r="O426" s="1">
        <v>0.0</v>
      </c>
      <c r="P426" s="1">
        <v>115.0</v>
      </c>
      <c r="Q426" s="1">
        <v>24.0</v>
      </c>
    </row>
    <row r="427">
      <c r="A427" s="1">
        <f t="shared" si="1"/>
        <v>425</v>
      </c>
      <c r="B427" s="1" t="s">
        <v>2178</v>
      </c>
      <c r="C427" s="1" t="s">
        <v>1156</v>
      </c>
      <c r="D427" s="1" t="s">
        <v>66</v>
      </c>
      <c r="E427" s="1">
        <f t="shared" si="2"/>
        <v>177.25</v>
      </c>
      <c r="F427" s="1">
        <f t="shared" si="3"/>
        <v>3.17</v>
      </c>
      <c r="G427" s="1">
        <v>56.0</v>
      </c>
      <c r="H427" s="1">
        <v>1.0</v>
      </c>
      <c r="I427" s="1">
        <v>28.0</v>
      </c>
      <c r="J427" s="1">
        <v>29.0</v>
      </c>
      <c r="K427" s="1">
        <v>71.0</v>
      </c>
      <c r="L427" s="1">
        <v>0.0</v>
      </c>
      <c r="M427" s="1">
        <v>1.0</v>
      </c>
      <c r="N427" s="1">
        <v>0.0</v>
      </c>
      <c r="O427" s="1">
        <v>0.0</v>
      </c>
      <c r="P427" s="1">
        <v>27.0</v>
      </c>
      <c r="Q427" s="1">
        <v>93.0</v>
      </c>
    </row>
    <row r="428">
      <c r="A428" s="1">
        <f t="shared" si="1"/>
        <v>426</v>
      </c>
      <c r="B428" s="1" t="s">
        <v>1075</v>
      </c>
      <c r="C428" s="1" t="s">
        <v>1076</v>
      </c>
      <c r="D428" s="1" t="s">
        <v>28</v>
      </c>
      <c r="E428" s="1">
        <f t="shared" si="2"/>
        <v>176.5</v>
      </c>
      <c r="F428" s="1">
        <f t="shared" si="3"/>
        <v>3.46</v>
      </c>
      <c r="G428" s="1">
        <v>51.0</v>
      </c>
      <c r="H428" s="1">
        <v>8.0</v>
      </c>
      <c r="I428" s="1">
        <v>25.0</v>
      </c>
      <c r="J428" s="1">
        <v>33.0</v>
      </c>
      <c r="K428" s="1">
        <v>91.0</v>
      </c>
      <c r="L428" s="1">
        <v>1.0</v>
      </c>
      <c r="M428" s="1">
        <v>7.0</v>
      </c>
      <c r="N428" s="1">
        <v>0.0</v>
      </c>
      <c r="O428" s="1">
        <v>0.0</v>
      </c>
      <c r="P428" s="1">
        <v>36.0</v>
      </c>
      <c r="Q428" s="1">
        <v>22.0</v>
      </c>
    </row>
    <row r="429">
      <c r="A429" s="1">
        <f t="shared" si="1"/>
        <v>427</v>
      </c>
      <c r="B429" s="1" t="s">
        <v>1381</v>
      </c>
      <c r="C429" s="1" t="s">
        <v>1054</v>
      </c>
      <c r="D429" s="1" t="s">
        <v>31</v>
      </c>
      <c r="E429" s="1">
        <f t="shared" si="2"/>
        <v>176</v>
      </c>
      <c r="F429" s="1">
        <f t="shared" si="3"/>
        <v>3.14</v>
      </c>
      <c r="G429" s="1">
        <v>56.0</v>
      </c>
      <c r="H429" s="1">
        <v>10.0</v>
      </c>
      <c r="I429" s="1">
        <v>15.0</v>
      </c>
      <c r="J429" s="1">
        <v>25.0</v>
      </c>
      <c r="K429" s="1">
        <v>139.0</v>
      </c>
      <c r="L429" s="1">
        <v>3.0</v>
      </c>
      <c r="M429" s="1">
        <v>5.0</v>
      </c>
      <c r="N429" s="1">
        <v>0.0</v>
      </c>
      <c r="O429" s="1">
        <v>0.0</v>
      </c>
      <c r="P429" s="1">
        <v>24.0</v>
      </c>
      <c r="Q429" s="1">
        <v>21.0</v>
      </c>
    </row>
    <row r="430">
      <c r="A430" s="1">
        <f t="shared" si="1"/>
        <v>427</v>
      </c>
      <c r="B430" s="1" t="s">
        <v>1320</v>
      </c>
      <c r="C430" s="1" t="s">
        <v>1065</v>
      </c>
      <c r="D430" s="1" t="s">
        <v>66</v>
      </c>
      <c r="E430" s="1">
        <f t="shared" si="2"/>
        <v>176</v>
      </c>
      <c r="F430" s="1">
        <f t="shared" si="3"/>
        <v>2.98</v>
      </c>
      <c r="G430" s="1">
        <v>59.0</v>
      </c>
      <c r="H430" s="1">
        <v>5.0</v>
      </c>
      <c r="I430" s="1">
        <v>18.0</v>
      </c>
      <c r="J430" s="1">
        <v>23.0</v>
      </c>
      <c r="K430" s="1">
        <v>88.0</v>
      </c>
      <c r="L430" s="1">
        <v>1.0</v>
      </c>
      <c r="M430" s="1">
        <v>5.0</v>
      </c>
      <c r="N430" s="1">
        <v>0.0</v>
      </c>
      <c r="O430" s="1">
        <v>1.0</v>
      </c>
      <c r="P430" s="1">
        <v>32.0</v>
      </c>
      <c r="Q430" s="1">
        <v>91.0</v>
      </c>
    </row>
    <row r="431">
      <c r="A431" s="1">
        <f t="shared" si="1"/>
        <v>429</v>
      </c>
      <c r="B431" s="1" t="s">
        <v>2599</v>
      </c>
      <c r="C431" s="1" t="s">
        <v>1106</v>
      </c>
      <c r="D431" s="1" t="s">
        <v>66</v>
      </c>
      <c r="E431" s="1">
        <f t="shared" si="2"/>
        <v>175.25</v>
      </c>
      <c r="F431" s="1">
        <f t="shared" si="3"/>
        <v>2.25</v>
      </c>
      <c r="G431" s="1">
        <v>78.0</v>
      </c>
      <c r="H431" s="1">
        <v>3.0</v>
      </c>
      <c r="I431" s="1">
        <v>14.0</v>
      </c>
      <c r="J431" s="1">
        <v>17.0</v>
      </c>
      <c r="K431" s="1">
        <v>82.0</v>
      </c>
      <c r="L431" s="1">
        <v>0.0</v>
      </c>
      <c r="M431" s="1">
        <v>0.0</v>
      </c>
      <c r="N431" s="1">
        <v>0.0</v>
      </c>
      <c r="O431" s="1">
        <v>0.0</v>
      </c>
      <c r="P431" s="1">
        <v>61.0</v>
      </c>
      <c r="Q431" s="1">
        <v>127.0</v>
      </c>
    </row>
    <row r="432">
      <c r="A432" s="1">
        <f t="shared" si="1"/>
        <v>430</v>
      </c>
      <c r="B432" s="1" t="s">
        <v>2700</v>
      </c>
      <c r="C432" s="1" t="s">
        <v>1570</v>
      </c>
      <c r="D432" s="1" t="s">
        <v>5</v>
      </c>
      <c r="E432" s="1">
        <f t="shared" si="2"/>
        <v>174.9</v>
      </c>
      <c r="F432" s="1">
        <f t="shared" si="3"/>
        <v>5.3</v>
      </c>
      <c r="G432" s="1">
        <v>33.0</v>
      </c>
      <c r="R432" s="1">
        <v>16.0</v>
      </c>
      <c r="S432" s="1">
        <v>115.0</v>
      </c>
      <c r="T432" s="1">
        <v>998.0</v>
      </c>
      <c r="U432" s="1">
        <v>0.0</v>
      </c>
    </row>
    <row r="433">
      <c r="A433" s="1">
        <f t="shared" si="1"/>
        <v>431</v>
      </c>
      <c r="B433" s="1" t="s">
        <v>1661</v>
      </c>
      <c r="C433" s="1" t="s">
        <v>1044</v>
      </c>
      <c r="D433" s="1" t="s">
        <v>36</v>
      </c>
      <c r="E433" s="1">
        <f t="shared" si="2"/>
        <v>174.75</v>
      </c>
      <c r="F433" s="1">
        <f t="shared" si="3"/>
        <v>2.13</v>
      </c>
      <c r="G433" s="1">
        <v>82.0</v>
      </c>
      <c r="H433" s="1">
        <v>8.0</v>
      </c>
      <c r="I433" s="1">
        <v>21.0</v>
      </c>
      <c r="J433" s="1">
        <v>29.0</v>
      </c>
      <c r="K433" s="1">
        <v>85.0</v>
      </c>
      <c r="L433" s="1">
        <v>0.0</v>
      </c>
      <c r="M433" s="1">
        <v>1.0</v>
      </c>
      <c r="N433" s="1">
        <v>0.0</v>
      </c>
      <c r="O433" s="1">
        <v>3.0</v>
      </c>
      <c r="P433" s="1">
        <v>35.0</v>
      </c>
      <c r="Q433" s="1">
        <v>37.0</v>
      </c>
    </row>
    <row r="434">
      <c r="A434" s="1">
        <f t="shared" si="1"/>
        <v>432</v>
      </c>
      <c r="B434" s="1" t="s">
        <v>2592</v>
      </c>
      <c r="C434" s="1" t="s">
        <v>1120</v>
      </c>
      <c r="D434" s="1" t="s">
        <v>66</v>
      </c>
      <c r="E434" s="1">
        <f t="shared" si="2"/>
        <v>174.5</v>
      </c>
      <c r="F434" s="1">
        <f t="shared" si="3"/>
        <v>4.06</v>
      </c>
      <c r="G434" s="1">
        <v>43.0</v>
      </c>
      <c r="H434" s="1">
        <v>5.0</v>
      </c>
      <c r="I434" s="1">
        <v>21.0</v>
      </c>
      <c r="J434" s="1">
        <v>26.0</v>
      </c>
      <c r="K434" s="1">
        <v>92.0</v>
      </c>
      <c r="L434" s="1">
        <v>0.0</v>
      </c>
      <c r="M434" s="1">
        <v>3.0</v>
      </c>
      <c r="N434" s="1">
        <v>0.0</v>
      </c>
      <c r="O434" s="1">
        <v>0.0</v>
      </c>
      <c r="P434" s="1">
        <v>60.0</v>
      </c>
      <c r="Q434" s="1">
        <v>56.0</v>
      </c>
    </row>
    <row r="435">
      <c r="A435" s="1">
        <f t="shared" si="1"/>
        <v>433</v>
      </c>
      <c r="B435" s="1" t="s">
        <v>1602</v>
      </c>
      <c r="C435" s="1" t="s">
        <v>1048</v>
      </c>
      <c r="D435" s="1" t="s">
        <v>31</v>
      </c>
      <c r="E435" s="1">
        <f t="shared" si="2"/>
        <v>173.75</v>
      </c>
      <c r="F435" s="1">
        <f t="shared" si="3"/>
        <v>2.41</v>
      </c>
      <c r="G435" s="1">
        <v>72.0</v>
      </c>
      <c r="H435" s="1">
        <v>6.0</v>
      </c>
      <c r="I435" s="1">
        <v>8.0</v>
      </c>
      <c r="J435" s="1">
        <v>14.0</v>
      </c>
      <c r="K435" s="1">
        <v>99.0</v>
      </c>
      <c r="L435" s="1">
        <v>0.0</v>
      </c>
      <c r="M435" s="1">
        <v>0.0</v>
      </c>
      <c r="N435" s="1">
        <v>0.0</v>
      </c>
      <c r="O435" s="1">
        <v>0.0</v>
      </c>
      <c r="P435" s="1">
        <v>221.0</v>
      </c>
      <c r="Q435" s="1">
        <v>36.0</v>
      </c>
    </row>
    <row r="436">
      <c r="A436" s="1">
        <f t="shared" si="1"/>
        <v>433</v>
      </c>
      <c r="B436" s="1" t="s">
        <v>1068</v>
      </c>
      <c r="C436" s="1" t="s">
        <v>1048</v>
      </c>
      <c r="D436" s="1" t="s">
        <v>66</v>
      </c>
      <c r="E436" s="1">
        <f t="shared" si="2"/>
        <v>173.75</v>
      </c>
      <c r="F436" s="1">
        <f t="shared" si="3"/>
        <v>2.71</v>
      </c>
      <c r="G436" s="1">
        <v>64.0</v>
      </c>
      <c r="H436" s="1">
        <v>4.0</v>
      </c>
      <c r="I436" s="1">
        <v>11.0</v>
      </c>
      <c r="J436" s="1">
        <v>15.0</v>
      </c>
      <c r="K436" s="1">
        <v>79.0</v>
      </c>
      <c r="L436" s="1">
        <v>0.0</v>
      </c>
      <c r="M436" s="1">
        <v>1.0</v>
      </c>
      <c r="N436" s="1">
        <v>0.0</v>
      </c>
      <c r="O436" s="1">
        <v>0.0</v>
      </c>
      <c r="P436" s="1">
        <v>127.0</v>
      </c>
      <c r="Q436" s="1">
        <v>103.0</v>
      </c>
    </row>
    <row r="437">
      <c r="A437" s="1">
        <f t="shared" si="1"/>
        <v>435</v>
      </c>
      <c r="B437" s="1" t="s">
        <v>1261</v>
      </c>
      <c r="C437" s="1" t="s">
        <v>1085</v>
      </c>
      <c r="D437" s="1" t="s">
        <v>31</v>
      </c>
      <c r="E437" s="1">
        <f t="shared" si="2"/>
        <v>173.5</v>
      </c>
      <c r="F437" s="1">
        <f t="shared" si="3"/>
        <v>2.59</v>
      </c>
      <c r="G437" s="1">
        <v>67.0</v>
      </c>
      <c r="H437" s="1">
        <v>6.0</v>
      </c>
      <c r="I437" s="1">
        <v>16.0</v>
      </c>
      <c r="J437" s="1">
        <v>22.0</v>
      </c>
      <c r="K437" s="1">
        <v>94.0</v>
      </c>
      <c r="L437" s="1">
        <v>0.0</v>
      </c>
      <c r="M437" s="1">
        <v>0.0</v>
      </c>
      <c r="N437" s="1">
        <v>0.0</v>
      </c>
      <c r="O437" s="1">
        <v>0.0</v>
      </c>
      <c r="P437" s="1">
        <v>106.0</v>
      </c>
      <c r="Q437" s="1">
        <v>50.0</v>
      </c>
    </row>
    <row r="438">
      <c r="A438" s="1">
        <f t="shared" si="1"/>
        <v>436</v>
      </c>
      <c r="B438" s="1" t="s">
        <v>1576</v>
      </c>
      <c r="C438" s="1" t="s">
        <v>1042</v>
      </c>
      <c r="D438" s="1" t="s">
        <v>31</v>
      </c>
      <c r="E438" s="1">
        <f t="shared" si="2"/>
        <v>173</v>
      </c>
      <c r="F438" s="1">
        <f t="shared" si="3"/>
        <v>2.19</v>
      </c>
      <c r="G438" s="1">
        <v>79.0</v>
      </c>
      <c r="H438" s="1">
        <v>10.0</v>
      </c>
      <c r="I438" s="1">
        <v>16.0</v>
      </c>
      <c r="J438" s="1">
        <v>26.0</v>
      </c>
      <c r="K438" s="1">
        <v>106.0</v>
      </c>
      <c r="L438" s="1">
        <v>1.0</v>
      </c>
      <c r="M438" s="1">
        <v>1.0</v>
      </c>
      <c r="N438" s="1">
        <v>1.0</v>
      </c>
      <c r="O438" s="1">
        <v>0.0</v>
      </c>
      <c r="P438" s="1">
        <v>56.0</v>
      </c>
      <c r="Q438" s="1">
        <v>22.0</v>
      </c>
    </row>
    <row r="439">
      <c r="A439" s="1">
        <f t="shared" si="1"/>
        <v>437</v>
      </c>
      <c r="B439" s="1" t="s">
        <v>2294</v>
      </c>
      <c r="C439" s="1" t="s">
        <v>1032</v>
      </c>
      <c r="D439" s="1" t="s">
        <v>31</v>
      </c>
      <c r="E439" s="1">
        <f t="shared" si="2"/>
        <v>172.5</v>
      </c>
      <c r="F439" s="1">
        <f t="shared" si="3"/>
        <v>2.27</v>
      </c>
      <c r="G439" s="1">
        <v>76.0</v>
      </c>
      <c r="H439" s="1">
        <v>8.0</v>
      </c>
      <c r="I439" s="1">
        <v>19.0</v>
      </c>
      <c r="J439" s="1">
        <v>27.0</v>
      </c>
      <c r="K439" s="1">
        <v>121.0</v>
      </c>
      <c r="L439" s="1">
        <v>2.0</v>
      </c>
      <c r="M439" s="1">
        <v>10.0</v>
      </c>
      <c r="N439" s="1">
        <v>0.0</v>
      </c>
      <c r="O439" s="1">
        <v>0.0</v>
      </c>
      <c r="P439" s="1">
        <v>16.0</v>
      </c>
      <c r="Q439" s="1">
        <v>30.0</v>
      </c>
    </row>
    <row r="440">
      <c r="A440" s="1">
        <f t="shared" si="1"/>
        <v>437</v>
      </c>
      <c r="B440" s="1" t="s">
        <v>1435</v>
      </c>
      <c r="C440" s="1" t="s">
        <v>1038</v>
      </c>
      <c r="D440" s="1" t="s">
        <v>66</v>
      </c>
      <c r="E440" s="1">
        <f t="shared" si="2"/>
        <v>172.5</v>
      </c>
      <c r="F440" s="1">
        <f t="shared" si="3"/>
        <v>2.4</v>
      </c>
      <c r="G440" s="1">
        <v>72.0</v>
      </c>
      <c r="H440" s="1">
        <v>2.0</v>
      </c>
      <c r="I440" s="1">
        <v>8.0</v>
      </c>
      <c r="J440" s="1">
        <v>10.0</v>
      </c>
      <c r="K440" s="1">
        <v>116.0</v>
      </c>
      <c r="L440" s="1">
        <v>0.0</v>
      </c>
      <c r="M440" s="1">
        <v>0.0</v>
      </c>
      <c r="N440" s="1">
        <v>0.0</v>
      </c>
      <c r="O440" s="1">
        <v>2.0</v>
      </c>
      <c r="P440" s="1">
        <v>134.0</v>
      </c>
      <c r="Q440" s="1">
        <v>88.0</v>
      </c>
    </row>
    <row r="441">
      <c r="A441" s="1">
        <f t="shared" si="1"/>
        <v>439</v>
      </c>
      <c r="B441" s="1" t="s">
        <v>1697</v>
      </c>
      <c r="C441" s="1" t="s">
        <v>1106</v>
      </c>
      <c r="D441" s="1" t="s">
        <v>66</v>
      </c>
      <c r="E441" s="1">
        <f t="shared" si="2"/>
        <v>172</v>
      </c>
      <c r="F441" s="1">
        <f t="shared" si="3"/>
        <v>2.69</v>
      </c>
      <c r="G441" s="1">
        <v>64.0</v>
      </c>
      <c r="H441" s="1">
        <v>2.0</v>
      </c>
      <c r="I441" s="1">
        <v>9.0</v>
      </c>
      <c r="J441" s="1">
        <v>11.0</v>
      </c>
      <c r="K441" s="1">
        <v>102.0</v>
      </c>
      <c r="L441" s="1">
        <v>0.0</v>
      </c>
      <c r="M441" s="1">
        <v>0.0</v>
      </c>
      <c r="N441" s="1">
        <v>0.0</v>
      </c>
      <c r="O441" s="1">
        <v>0.0</v>
      </c>
      <c r="P441" s="1">
        <v>128.0</v>
      </c>
      <c r="Q441" s="1">
        <v>106.0</v>
      </c>
    </row>
    <row r="442">
      <c r="A442" s="1">
        <f t="shared" si="1"/>
        <v>439</v>
      </c>
      <c r="B442" s="1" t="s">
        <v>1211</v>
      </c>
      <c r="C442" s="1" t="s">
        <v>1069</v>
      </c>
      <c r="D442" s="1" t="s">
        <v>66</v>
      </c>
      <c r="E442" s="1">
        <f t="shared" si="2"/>
        <v>172</v>
      </c>
      <c r="F442" s="1">
        <f t="shared" si="3"/>
        <v>2.18</v>
      </c>
      <c r="G442" s="1">
        <v>79.0</v>
      </c>
      <c r="H442" s="1">
        <v>2.0</v>
      </c>
      <c r="I442" s="1">
        <v>17.0</v>
      </c>
      <c r="J442" s="1">
        <v>19.0</v>
      </c>
      <c r="K442" s="1">
        <v>115.0</v>
      </c>
      <c r="L442" s="1">
        <v>0.0</v>
      </c>
      <c r="M442" s="1">
        <v>2.0</v>
      </c>
      <c r="N442" s="1">
        <v>0.0</v>
      </c>
      <c r="O442" s="1">
        <v>0.0</v>
      </c>
      <c r="P442" s="1">
        <v>52.0</v>
      </c>
      <c r="Q442" s="1">
        <v>83.0</v>
      </c>
    </row>
    <row r="443">
      <c r="A443" s="1">
        <f t="shared" si="1"/>
        <v>441</v>
      </c>
      <c r="B443" s="1" t="s">
        <v>2307</v>
      </c>
      <c r="C443" s="1" t="s">
        <v>1046</v>
      </c>
      <c r="D443" s="1" t="s">
        <v>36</v>
      </c>
      <c r="E443" s="1">
        <f t="shared" si="2"/>
        <v>171.75</v>
      </c>
      <c r="F443" s="1">
        <f t="shared" si="3"/>
        <v>2.12</v>
      </c>
      <c r="G443" s="1">
        <v>81.0</v>
      </c>
      <c r="H443" s="1">
        <v>11.0</v>
      </c>
      <c r="I443" s="1">
        <v>18.0</v>
      </c>
      <c r="J443" s="1">
        <v>29.0</v>
      </c>
      <c r="K443" s="1">
        <v>107.0</v>
      </c>
      <c r="L443" s="1">
        <v>1.0</v>
      </c>
      <c r="M443" s="1">
        <v>2.0</v>
      </c>
      <c r="N443" s="1">
        <v>0.0</v>
      </c>
      <c r="O443" s="1">
        <v>0.0</v>
      </c>
      <c r="P443" s="1">
        <v>3.0</v>
      </c>
      <c r="Q443" s="1">
        <v>28.0</v>
      </c>
    </row>
    <row r="444">
      <c r="A444" s="1">
        <f t="shared" si="1"/>
        <v>441</v>
      </c>
      <c r="B444" s="1" t="s">
        <v>1654</v>
      </c>
      <c r="C444" s="1" t="s">
        <v>1087</v>
      </c>
      <c r="D444" s="1" t="s">
        <v>28</v>
      </c>
      <c r="E444" s="1">
        <f t="shared" si="2"/>
        <v>171.75</v>
      </c>
      <c r="F444" s="1">
        <f t="shared" si="3"/>
        <v>2.56</v>
      </c>
      <c r="G444" s="1">
        <v>67.0</v>
      </c>
      <c r="H444" s="1">
        <v>6.0</v>
      </c>
      <c r="I444" s="1">
        <v>8.0</v>
      </c>
      <c r="J444" s="1">
        <v>14.0</v>
      </c>
      <c r="K444" s="1">
        <v>62.0</v>
      </c>
      <c r="L444" s="1">
        <v>0.0</v>
      </c>
      <c r="M444" s="1">
        <v>0.0</v>
      </c>
      <c r="N444" s="1">
        <v>0.0</v>
      </c>
      <c r="O444" s="1">
        <v>0.0</v>
      </c>
      <c r="P444" s="1">
        <v>275.0</v>
      </c>
      <c r="Q444" s="1">
        <v>42.0</v>
      </c>
    </row>
    <row r="445">
      <c r="A445" s="1">
        <f t="shared" si="1"/>
        <v>441</v>
      </c>
      <c r="B445" s="1" t="s">
        <v>1529</v>
      </c>
      <c r="C445" s="1" t="s">
        <v>1097</v>
      </c>
      <c r="D445" s="1" t="s">
        <v>66</v>
      </c>
      <c r="E445" s="1">
        <f t="shared" si="2"/>
        <v>171.75</v>
      </c>
      <c r="F445" s="1">
        <f t="shared" si="3"/>
        <v>3.01</v>
      </c>
      <c r="G445" s="1">
        <v>57.0</v>
      </c>
      <c r="H445" s="1">
        <v>6.0</v>
      </c>
      <c r="I445" s="1">
        <v>11.0</v>
      </c>
      <c r="J445" s="1">
        <v>17.0</v>
      </c>
      <c r="K445" s="1">
        <v>102.0</v>
      </c>
      <c r="L445" s="1">
        <v>0.0</v>
      </c>
      <c r="M445" s="1">
        <v>0.0</v>
      </c>
      <c r="N445" s="1">
        <v>1.0</v>
      </c>
      <c r="O445" s="1">
        <v>0.0</v>
      </c>
      <c r="P445" s="1">
        <v>107.0</v>
      </c>
      <c r="Q445" s="1">
        <v>64.0</v>
      </c>
    </row>
    <row r="446">
      <c r="A446" s="1">
        <f t="shared" si="1"/>
        <v>444</v>
      </c>
      <c r="B446" s="1" t="s">
        <v>1964</v>
      </c>
      <c r="C446" s="1" t="s">
        <v>1034</v>
      </c>
      <c r="D446" s="1" t="s">
        <v>5</v>
      </c>
      <c r="E446" s="1">
        <f t="shared" si="2"/>
        <v>171.6</v>
      </c>
      <c r="F446" s="1">
        <f t="shared" si="3"/>
        <v>6.6</v>
      </c>
      <c r="G446" s="1">
        <v>26.0</v>
      </c>
      <c r="R446" s="1">
        <v>21.0</v>
      </c>
      <c r="S446" s="1">
        <v>75.0</v>
      </c>
      <c r="T446" s="1">
        <v>737.0</v>
      </c>
      <c r="U446" s="1">
        <v>0.0</v>
      </c>
    </row>
    <row r="447">
      <c r="A447" s="1">
        <f t="shared" si="1"/>
        <v>445</v>
      </c>
      <c r="B447" s="1" t="s">
        <v>2624</v>
      </c>
      <c r="C447" s="1" t="s">
        <v>1036</v>
      </c>
      <c r="D447" s="1" t="s">
        <v>31</v>
      </c>
      <c r="E447" s="1">
        <f t="shared" si="2"/>
        <v>171</v>
      </c>
      <c r="F447" s="1">
        <f t="shared" si="3"/>
        <v>2.22</v>
      </c>
      <c r="G447" s="1">
        <v>77.0</v>
      </c>
      <c r="H447" s="1">
        <v>12.0</v>
      </c>
      <c r="I447" s="1">
        <v>10.0</v>
      </c>
      <c r="J447" s="1">
        <v>22.0</v>
      </c>
      <c r="K447" s="1">
        <v>123.0</v>
      </c>
      <c r="L447" s="1">
        <v>2.0</v>
      </c>
      <c r="M447" s="1">
        <v>1.0</v>
      </c>
      <c r="N447" s="1">
        <v>0.0</v>
      </c>
      <c r="O447" s="1">
        <v>1.0</v>
      </c>
      <c r="P447" s="1">
        <v>46.0</v>
      </c>
      <c r="Q447" s="1">
        <v>24.0</v>
      </c>
    </row>
    <row r="448">
      <c r="A448" s="1">
        <f t="shared" si="1"/>
        <v>446</v>
      </c>
      <c r="B448" s="1" t="s">
        <v>1514</v>
      </c>
      <c r="C448" s="1" t="s">
        <v>1175</v>
      </c>
      <c r="D448" s="1" t="s">
        <v>28</v>
      </c>
      <c r="E448" s="1">
        <f t="shared" si="2"/>
        <v>170.75</v>
      </c>
      <c r="F448" s="1">
        <f t="shared" si="3"/>
        <v>2.08</v>
      </c>
      <c r="G448" s="1">
        <v>82.0</v>
      </c>
      <c r="H448" s="1">
        <v>7.0</v>
      </c>
      <c r="I448" s="1">
        <v>10.0</v>
      </c>
      <c r="J448" s="1">
        <v>17.0</v>
      </c>
      <c r="K448" s="1">
        <v>84.0</v>
      </c>
      <c r="L448" s="1">
        <v>0.0</v>
      </c>
      <c r="M448" s="1">
        <v>0.0</v>
      </c>
      <c r="N448" s="1">
        <v>1.0</v>
      </c>
      <c r="O448" s="1">
        <v>0.0</v>
      </c>
      <c r="P448" s="1">
        <v>125.0</v>
      </c>
      <c r="Q448" s="1">
        <v>68.0</v>
      </c>
    </row>
    <row r="449">
      <c r="A449" s="1">
        <f t="shared" si="1"/>
        <v>447</v>
      </c>
      <c r="B449" s="1" t="s">
        <v>2416</v>
      </c>
      <c r="C449" s="1" t="s">
        <v>1156</v>
      </c>
      <c r="D449" s="1" t="s">
        <v>66</v>
      </c>
      <c r="E449" s="1">
        <f t="shared" si="2"/>
        <v>170.5</v>
      </c>
      <c r="F449" s="1">
        <f t="shared" si="3"/>
        <v>2.13</v>
      </c>
      <c r="G449" s="1">
        <v>80.0</v>
      </c>
      <c r="H449" s="1">
        <v>5.0</v>
      </c>
      <c r="I449" s="1">
        <v>16.0</v>
      </c>
      <c r="J449" s="1">
        <v>21.0</v>
      </c>
      <c r="K449" s="1">
        <v>99.0</v>
      </c>
      <c r="L449" s="1">
        <v>0.0</v>
      </c>
      <c r="M449" s="1">
        <v>0.0</v>
      </c>
      <c r="N449" s="1">
        <v>0.0</v>
      </c>
      <c r="O449" s="1">
        <v>0.0</v>
      </c>
      <c r="P449" s="1">
        <v>80.0</v>
      </c>
      <c r="Q449" s="1">
        <v>61.0</v>
      </c>
    </row>
    <row r="450">
      <c r="A450" s="1">
        <f t="shared" si="1"/>
        <v>448</v>
      </c>
      <c r="B450" s="1" t="s">
        <v>1331</v>
      </c>
      <c r="C450" s="1" t="s">
        <v>1052</v>
      </c>
      <c r="D450" s="1" t="s">
        <v>66</v>
      </c>
      <c r="E450" s="1">
        <f t="shared" si="2"/>
        <v>170</v>
      </c>
      <c r="F450" s="1">
        <f t="shared" si="3"/>
        <v>2.24</v>
      </c>
      <c r="G450" s="1">
        <v>76.0</v>
      </c>
      <c r="H450" s="1">
        <v>2.0</v>
      </c>
      <c r="I450" s="1">
        <v>8.0</v>
      </c>
      <c r="J450" s="1">
        <v>10.0</v>
      </c>
      <c r="K450" s="1">
        <v>94.0</v>
      </c>
      <c r="L450" s="1">
        <v>0.0</v>
      </c>
      <c r="M450" s="1">
        <v>0.0</v>
      </c>
      <c r="N450" s="1">
        <v>0.0</v>
      </c>
      <c r="O450" s="1">
        <v>1.0</v>
      </c>
      <c r="P450" s="1">
        <v>184.0</v>
      </c>
      <c r="Q450" s="1">
        <v>84.0</v>
      </c>
    </row>
    <row r="451">
      <c r="A451" s="1">
        <f t="shared" si="1"/>
        <v>448</v>
      </c>
      <c r="B451" s="1" t="s">
        <v>1220</v>
      </c>
      <c r="C451" s="1" t="s">
        <v>1106</v>
      </c>
      <c r="D451" s="1" t="s">
        <v>28</v>
      </c>
      <c r="E451" s="1">
        <f t="shared" si="2"/>
        <v>170</v>
      </c>
      <c r="F451" s="1">
        <f t="shared" si="3"/>
        <v>2.13</v>
      </c>
      <c r="G451" s="1">
        <v>80.0</v>
      </c>
      <c r="H451" s="1">
        <v>14.0</v>
      </c>
      <c r="I451" s="1">
        <v>12.0</v>
      </c>
      <c r="J451" s="1">
        <v>26.0</v>
      </c>
      <c r="K451" s="1">
        <v>60.0</v>
      </c>
      <c r="L451" s="1">
        <v>0.0</v>
      </c>
      <c r="M451" s="1">
        <v>0.0</v>
      </c>
      <c r="N451" s="1">
        <v>2.0</v>
      </c>
      <c r="O451" s="1">
        <v>0.0</v>
      </c>
      <c r="P451" s="1">
        <v>86.0</v>
      </c>
      <c r="Q451" s="1">
        <v>31.0</v>
      </c>
    </row>
    <row r="452">
      <c r="A452" s="1">
        <f t="shared" si="1"/>
        <v>450</v>
      </c>
      <c r="B452" s="1" t="s">
        <v>1863</v>
      </c>
      <c r="C452" s="1" t="s">
        <v>1040</v>
      </c>
      <c r="D452" s="1" t="s">
        <v>31</v>
      </c>
      <c r="E452" s="1">
        <f t="shared" si="2"/>
        <v>169.75</v>
      </c>
      <c r="F452" s="1">
        <f t="shared" si="3"/>
        <v>2.26</v>
      </c>
      <c r="G452" s="1">
        <v>75.0</v>
      </c>
      <c r="H452" s="1">
        <v>11.0</v>
      </c>
      <c r="I452" s="1">
        <v>12.0</v>
      </c>
      <c r="J452" s="1">
        <v>23.0</v>
      </c>
      <c r="K452" s="1">
        <v>133.0</v>
      </c>
      <c r="L452" s="1">
        <v>3.0</v>
      </c>
      <c r="M452" s="1">
        <v>4.0</v>
      </c>
      <c r="N452" s="1">
        <v>0.0</v>
      </c>
      <c r="O452" s="1">
        <v>0.0</v>
      </c>
      <c r="P452" s="1">
        <v>29.0</v>
      </c>
      <c r="Q452" s="1">
        <v>21.0</v>
      </c>
    </row>
    <row r="453">
      <c r="A453" s="1">
        <f t="shared" si="1"/>
        <v>451</v>
      </c>
      <c r="B453" s="1" t="s">
        <v>2266</v>
      </c>
      <c r="C453" s="1" t="s">
        <v>1570</v>
      </c>
      <c r="D453" s="1" t="s">
        <v>31</v>
      </c>
      <c r="E453" s="1">
        <f t="shared" si="2"/>
        <v>169.5</v>
      </c>
      <c r="F453" s="1">
        <f t="shared" si="3"/>
        <v>2.07</v>
      </c>
      <c r="G453" s="1">
        <v>82.0</v>
      </c>
      <c r="H453" s="1">
        <v>9.0</v>
      </c>
      <c r="I453" s="1">
        <v>10.0</v>
      </c>
      <c r="J453" s="1">
        <v>19.0</v>
      </c>
      <c r="K453" s="1">
        <v>110.0</v>
      </c>
      <c r="L453" s="1">
        <v>0.0</v>
      </c>
      <c r="M453" s="1">
        <v>0.0</v>
      </c>
      <c r="N453" s="1">
        <v>1.0</v>
      </c>
      <c r="O453" s="1">
        <v>1.0</v>
      </c>
      <c r="P453" s="1">
        <v>72.0</v>
      </c>
      <c r="Q453" s="1">
        <v>44.0</v>
      </c>
    </row>
    <row r="454">
      <c r="A454" s="1">
        <f t="shared" si="1"/>
        <v>452</v>
      </c>
      <c r="B454" s="1" t="s">
        <v>1411</v>
      </c>
      <c r="C454" s="1" t="s">
        <v>1116</v>
      </c>
      <c r="D454" s="1" t="s">
        <v>31</v>
      </c>
      <c r="E454" s="1">
        <f t="shared" si="2"/>
        <v>169.25</v>
      </c>
      <c r="F454" s="1">
        <f t="shared" si="3"/>
        <v>2.45</v>
      </c>
      <c r="G454" s="1">
        <v>69.0</v>
      </c>
      <c r="H454" s="1">
        <v>11.0</v>
      </c>
      <c r="I454" s="1">
        <v>14.0</v>
      </c>
      <c r="J454" s="1">
        <v>25.0</v>
      </c>
      <c r="K454" s="1">
        <v>82.0</v>
      </c>
      <c r="L454" s="1">
        <v>0.0</v>
      </c>
      <c r="M454" s="1">
        <v>0.0</v>
      </c>
      <c r="N454" s="1">
        <v>1.0</v>
      </c>
      <c r="O454" s="1">
        <v>0.0</v>
      </c>
      <c r="P454" s="1">
        <v>71.0</v>
      </c>
      <c r="Q454" s="1">
        <v>34.0</v>
      </c>
    </row>
    <row r="455">
      <c r="A455" s="1">
        <f t="shared" si="1"/>
        <v>453</v>
      </c>
      <c r="B455" s="1" t="s">
        <v>1524</v>
      </c>
      <c r="C455" s="1" t="s">
        <v>1111</v>
      </c>
      <c r="D455" s="1" t="s">
        <v>36</v>
      </c>
      <c r="E455" s="1">
        <f t="shared" si="2"/>
        <v>169</v>
      </c>
      <c r="F455" s="1">
        <f t="shared" si="3"/>
        <v>2.38</v>
      </c>
      <c r="G455" s="1">
        <v>71.0</v>
      </c>
      <c r="H455" s="1">
        <v>11.0</v>
      </c>
      <c r="I455" s="1">
        <v>7.0</v>
      </c>
      <c r="J455" s="1">
        <v>18.0</v>
      </c>
      <c r="K455" s="1">
        <v>116.0</v>
      </c>
      <c r="L455" s="1">
        <v>0.0</v>
      </c>
      <c r="M455" s="1">
        <v>0.0</v>
      </c>
      <c r="N455" s="1">
        <v>0.0</v>
      </c>
      <c r="O455" s="1">
        <v>0.0</v>
      </c>
      <c r="P455" s="1">
        <v>124.0</v>
      </c>
      <c r="Q455" s="1">
        <v>19.0</v>
      </c>
    </row>
    <row r="456">
      <c r="A456" s="1">
        <f t="shared" si="1"/>
        <v>454</v>
      </c>
      <c r="B456" s="1" t="s">
        <v>1147</v>
      </c>
      <c r="C456" s="1" t="s">
        <v>1085</v>
      </c>
      <c r="D456" s="1" t="s">
        <v>28</v>
      </c>
      <c r="E456" s="1">
        <f t="shared" si="2"/>
        <v>168.75</v>
      </c>
      <c r="F456" s="1">
        <f t="shared" si="3"/>
        <v>2.91</v>
      </c>
      <c r="G456" s="1">
        <v>58.0</v>
      </c>
      <c r="H456" s="1">
        <v>9.0</v>
      </c>
      <c r="I456" s="1">
        <v>13.0</v>
      </c>
      <c r="J456" s="1">
        <v>22.0</v>
      </c>
      <c r="K456" s="1">
        <v>99.0</v>
      </c>
      <c r="L456" s="1">
        <v>3.0</v>
      </c>
      <c r="M456" s="1">
        <v>3.0</v>
      </c>
      <c r="N456" s="1">
        <v>0.0</v>
      </c>
      <c r="O456" s="1">
        <v>0.0</v>
      </c>
      <c r="P456" s="1">
        <v>87.0</v>
      </c>
      <c r="Q456" s="1">
        <v>36.0</v>
      </c>
    </row>
    <row r="457">
      <c r="A457" s="1">
        <f t="shared" si="1"/>
        <v>455</v>
      </c>
      <c r="B457" s="1" t="s">
        <v>1811</v>
      </c>
      <c r="C457" s="1" t="s">
        <v>1040</v>
      </c>
      <c r="D457" s="1" t="s">
        <v>66</v>
      </c>
      <c r="E457" s="1">
        <f t="shared" si="2"/>
        <v>168.5</v>
      </c>
      <c r="F457" s="1">
        <f t="shared" si="3"/>
        <v>2.13</v>
      </c>
      <c r="G457" s="1">
        <v>79.0</v>
      </c>
      <c r="H457" s="1">
        <v>3.0</v>
      </c>
      <c r="I457" s="1">
        <v>10.0</v>
      </c>
      <c r="J457" s="1">
        <v>13.0</v>
      </c>
      <c r="K457" s="1">
        <v>84.0</v>
      </c>
      <c r="L457" s="1">
        <v>0.0</v>
      </c>
      <c r="M457" s="1">
        <v>0.0</v>
      </c>
      <c r="N457" s="1">
        <v>0.0</v>
      </c>
      <c r="O457" s="1">
        <v>0.0</v>
      </c>
      <c r="P457" s="1">
        <v>94.0</v>
      </c>
      <c r="Q457" s="1">
        <v>119.0</v>
      </c>
    </row>
    <row r="458">
      <c r="A458" s="1">
        <f t="shared" si="1"/>
        <v>456</v>
      </c>
      <c r="B458" s="1" t="s">
        <v>1322</v>
      </c>
      <c r="C458" s="1" t="s">
        <v>1065</v>
      </c>
      <c r="D458" s="1" t="s">
        <v>36</v>
      </c>
      <c r="E458" s="1">
        <f t="shared" si="2"/>
        <v>168.25</v>
      </c>
      <c r="F458" s="1">
        <f t="shared" si="3"/>
        <v>2.67</v>
      </c>
      <c r="G458" s="1">
        <v>63.0</v>
      </c>
      <c r="H458" s="1">
        <v>14.0</v>
      </c>
      <c r="I458" s="1">
        <v>9.0</v>
      </c>
      <c r="J458" s="1">
        <v>23.0</v>
      </c>
      <c r="K458" s="1">
        <v>125.0</v>
      </c>
      <c r="L458" s="1">
        <v>2.0</v>
      </c>
      <c r="M458" s="1">
        <v>3.0</v>
      </c>
      <c r="N458" s="1">
        <v>0.0</v>
      </c>
      <c r="O458" s="1">
        <v>0.0</v>
      </c>
      <c r="P458" s="1">
        <v>35.0</v>
      </c>
      <c r="Q458" s="1">
        <v>14.0</v>
      </c>
    </row>
    <row r="459">
      <c r="A459" s="1">
        <f t="shared" si="1"/>
        <v>457</v>
      </c>
      <c r="B459" s="1" t="s">
        <v>1265</v>
      </c>
      <c r="C459" s="1" t="s">
        <v>1067</v>
      </c>
      <c r="D459" s="1" t="s">
        <v>31</v>
      </c>
      <c r="E459" s="1">
        <f t="shared" si="2"/>
        <v>167.5</v>
      </c>
      <c r="F459" s="1">
        <f t="shared" si="3"/>
        <v>2.18</v>
      </c>
      <c r="G459" s="1">
        <v>77.0</v>
      </c>
      <c r="H459" s="1">
        <v>12.0</v>
      </c>
      <c r="I459" s="1">
        <v>13.0</v>
      </c>
      <c r="J459" s="1">
        <v>25.0</v>
      </c>
      <c r="K459" s="1">
        <v>118.0</v>
      </c>
      <c r="L459" s="1">
        <v>3.0</v>
      </c>
      <c r="M459" s="1">
        <v>7.0</v>
      </c>
      <c r="N459" s="1">
        <v>0.0</v>
      </c>
      <c r="O459" s="1">
        <v>0.0</v>
      </c>
      <c r="P459" s="1">
        <v>30.0</v>
      </c>
      <c r="Q459" s="1">
        <v>16.0</v>
      </c>
    </row>
    <row r="460">
      <c r="A460" s="1">
        <f t="shared" si="1"/>
        <v>457</v>
      </c>
      <c r="B460" s="1" t="s">
        <v>1050</v>
      </c>
      <c r="C460" s="1" t="s">
        <v>1032</v>
      </c>
      <c r="D460" s="1" t="s">
        <v>31</v>
      </c>
      <c r="E460" s="1">
        <f t="shared" si="2"/>
        <v>167.5</v>
      </c>
      <c r="F460" s="1">
        <f t="shared" si="3"/>
        <v>3.1</v>
      </c>
      <c r="G460" s="1">
        <v>54.0</v>
      </c>
      <c r="H460" s="1">
        <v>7.0</v>
      </c>
      <c r="I460" s="1">
        <v>20.0</v>
      </c>
      <c r="J460" s="1">
        <v>27.0</v>
      </c>
      <c r="K460" s="1">
        <v>130.0</v>
      </c>
      <c r="L460" s="1">
        <v>1.0</v>
      </c>
      <c r="M460" s="1">
        <v>5.0</v>
      </c>
      <c r="N460" s="1">
        <v>0.0</v>
      </c>
      <c r="O460" s="1">
        <v>0.0</v>
      </c>
      <c r="P460" s="1">
        <v>16.0</v>
      </c>
      <c r="Q460" s="1">
        <v>14.0</v>
      </c>
    </row>
    <row r="461">
      <c r="A461" s="1">
        <f t="shared" si="1"/>
        <v>457</v>
      </c>
      <c r="B461" s="1" t="s">
        <v>2359</v>
      </c>
      <c r="C461" s="1" t="s">
        <v>1054</v>
      </c>
      <c r="D461" s="1" t="s">
        <v>66</v>
      </c>
      <c r="E461" s="1">
        <f t="shared" si="2"/>
        <v>167.5</v>
      </c>
      <c r="F461" s="1">
        <f t="shared" si="3"/>
        <v>2.09</v>
      </c>
      <c r="G461" s="1">
        <v>80.0</v>
      </c>
      <c r="H461" s="1">
        <v>1.0</v>
      </c>
      <c r="I461" s="1">
        <v>6.0</v>
      </c>
      <c r="J461" s="1">
        <v>7.0</v>
      </c>
      <c r="K461" s="1">
        <v>100.0</v>
      </c>
      <c r="L461" s="1">
        <v>0.0</v>
      </c>
      <c r="M461" s="1">
        <v>0.0</v>
      </c>
      <c r="N461" s="1">
        <v>0.0</v>
      </c>
      <c r="O461" s="1">
        <v>0.0</v>
      </c>
      <c r="P461" s="1">
        <v>144.0</v>
      </c>
      <c r="Q461" s="1">
        <v>118.0</v>
      </c>
    </row>
    <row r="462">
      <c r="A462" s="1">
        <f t="shared" si="1"/>
        <v>457</v>
      </c>
      <c r="B462" s="1" t="s">
        <v>1692</v>
      </c>
      <c r="C462" s="1" t="s">
        <v>1085</v>
      </c>
      <c r="D462" s="1" t="s">
        <v>31</v>
      </c>
      <c r="E462" s="1">
        <f t="shared" si="2"/>
        <v>167.5</v>
      </c>
      <c r="F462" s="1">
        <f t="shared" si="3"/>
        <v>2.07</v>
      </c>
      <c r="G462" s="1">
        <v>81.0</v>
      </c>
      <c r="H462" s="1">
        <v>6.0</v>
      </c>
      <c r="I462" s="1">
        <v>19.0</v>
      </c>
      <c r="J462" s="1">
        <v>25.0</v>
      </c>
      <c r="K462" s="1">
        <v>105.0</v>
      </c>
      <c r="L462" s="1">
        <v>0.0</v>
      </c>
      <c r="M462" s="1">
        <v>1.0</v>
      </c>
      <c r="N462" s="1">
        <v>0.0</v>
      </c>
      <c r="O462" s="1">
        <v>1.0</v>
      </c>
      <c r="P462" s="1">
        <v>28.0</v>
      </c>
      <c r="Q462" s="1">
        <v>44.0</v>
      </c>
    </row>
    <row r="463">
      <c r="A463" s="1">
        <f t="shared" si="1"/>
        <v>461</v>
      </c>
      <c r="B463" s="1" t="s">
        <v>2486</v>
      </c>
      <c r="C463" s="1" t="s">
        <v>1111</v>
      </c>
      <c r="D463" s="1" t="s">
        <v>66</v>
      </c>
      <c r="E463" s="1">
        <f t="shared" si="2"/>
        <v>167.25</v>
      </c>
      <c r="F463" s="1">
        <f t="shared" si="3"/>
        <v>2.04</v>
      </c>
      <c r="G463" s="1">
        <v>82.0</v>
      </c>
      <c r="H463" s="1">
        <v>0.0</v>
      </c>
      <c r="I463" s="1">
        <v>10.0</v>
      </c>
      <c r="J463" s="1">
        <v>10.0</v>
      </c>
      <c r="K463" s="1">
        <v>57.0</v>
      </c>
      <c r="L463" s="1">
        <v>0.0</v>
      </c>
      <c r="M463" s="1">
        <v>0.0</v>
      </c>
      <c r="N463" s="1">
        <v>0.0</v>
      </c>
      <c r="O463" s="1">
        <v>2.0</v>
      </c>
      <c r="P463" s="1">
        <v>45.0</v>
      </c>
      <c r="Q463" s="1">
        <v>187.0</v>
      </c>
    </row>
    <row r="464">
      <c r="A464" s="1">
        <f t="shared" si="1"/>
        <v>462</v>
      </c>
      <c r="B464" s="1" t="s">
        <v>2701</v>
      </c>
      <c r="C464" s="1" t="s">
        <v>1054</v>
      </c>
      <c r="D464" s="1" t="s">
        <v>66</v>
      </c>
      <c r="E464" s="1">
        <f t="shared" si="2"/>
        <v>167</v>
      </c>
      <c r="F464" s="1">
        <f t="shared" si="3"/>
        <v>5.22</v>
      </c>
      <c r="G464" s="1">
        <v>32.0</v>
      </c>
      <c r="H464" s="1">
        <v>12.0</v>
      </c>
      <c r="I464" s="1">
        <v>10.0</v>
      </c>
      <c r="J464" s="1">
        <v>22.0</v>
      </c>
      <c r="K464" s="1">
        <v>93.0</v>
      </c>
      <c r="L464" s="1">
        <v>6.0</v>
      </c>
      <c r="M464" s="1">
        <v>6.0</v>
      </c>
      <c r="N464" s="1">
        <v>0.0</v>
      </c>
      <c r="O464" s="1">
        <v>0.0</v>
      </c>
      <c r="P464" s="1">
        <v>60.0</v>
      </c>
      <c r="Q464" s="1">
        <v>43.0</v>
      </c>
    </row>
    <row r="465">
      <c r="A465" s="1">
        <f t="shared" si="1"/>
        <v>463</v>
      </c>
      <c r="B465" s="1" t="s">
        <v>1105</v>
      </c>
      <c r="C465" s="1" t="s">
        <v>1106</v>
      </c>
      <c r="D465" s="1" t="s">
        <v>31</v>
      </c>
      <c r="E465" s="1">
        <f t="shared" si="2"/>
        <v>166.75</v>
      </c>
      <c r="F465" s="1">
        <f t="shared" si="3"/>
        <v>2.38</v>
      </c>
      <c r="G465" s="1">
        <v>70.0</v>
      </c>
      <c r="H465" s="1">
        <v>9.0</v>
      </c>
      <c r="I465" s="1">
        <v>24.0</v>
      </c>
      <c r="J465" s="1">
        <v>33.0</v>
      </c>
      <c r="K465" s="1">
        <v>80.0</v>
      </c>
      <c r="L465" s="1">
        <v>3.0</v>
      </c>
      <c r="M465" s="1">
        <v>4.0</v>
      </c>
      <c r="N465" s="1">
        <v>0.0</v>
      </c>
      <c r="O465" s="1">
        <v>0.0</v>
      </c>
      <c r="P465" s="1">
        <v>13.0</v>
      </c>
      <c r="Q465" s="1">
        <v>22.0</v>
      </c>
    </row>
    <row r="466">
      <c r="A466" s="1">
        <f t="shared" si="1"/>
        <v>464</v>
      </c>
      <c r="B466" s="1" t="s">
        <v>2343</v>
      </c>
      <c r="C466" s="1" t="s">
        <v>1172</v>
      </c>
      <c r="D466" s="1" t="s">
        <v>28</v>
      </c>
      <c r="E466" s="1">
        <f t="shared" si="2"/>
        <v>166.25</v>
      </c>
      <c r="F466" s="1">
        <f t="shared" si="3"/>
        <v>2.44</v>
      </c>
      <c r="G466" s="1">
        <v>68.0</v>
      </c>
      <c r="H466" s="1">
        <v>14.0</v>
      </c>
      <c r="I466" s="1">
        <v>7.0</v>
      </c>
      <c r="J466" s="1">
        <v>21.0</v>
      </c>
      <c r="K466" s="1">
        <v>117.0</v>
      </c>
      <c r="L466" s="1">
        <v>2.0</v>
      </c>
      <c r="M466" s="1">
        <v>2.0</v>
      </c>
      <c r="N466" s="1">
        <v>0.0</v>
      </c>
      <c r="O466" s="1">
        <v>0.0</v>
      </c>
      <c r="P466" s="1">
        <v>51.0</v>
      </c>
      <c r="Q466" s="1">
        <v>22.0</v>
      </c>
    </row>
    <row r="467">
      <c r="A467" s="1">
        <f t="shared" si="1"/>
        <v>464</v>
      </c>
      <c r="B467" s="1" t="s">
        <v>1669</v>
      </c>
      <c r="C467" s="1" t="s">
        <v>1030</v>
      </c>
      <c r="D467" s="1" t="s">
        <v>28</v>
      </c>
      <c r="E467" s="1">
        <f t="shared" si="2"/>
        <v>166.25</v>
      </c>
      <c r="F467" s="1">
        <f t="shared" si="3"/>
        <v>2.19</v>
      </c>
      <c r="G467" s="1">
        <v>76.0</v>
      </c>
      <c r="H467" s="1">
        <v>12.0</v>
      </c>
      <c r="I467" s="1">
        <v>13.0</v>
      </c>
      <c r="J467" s="1">
        <v>25.0</v>
      </c>
      <c r="K467" s="1">
        <v>100.0</v>
      </c>
      <c r="L467" s="1">
        <v>1.0</v>
      </c>
      <c r="M467" s="1">
        <v>0.0</v>
      </c>
      <c r="N467" s="1">
        <v>0.0</v>
      </c>
      <c r="O467" s="1">
        <v>0.0</v>
      </c>
      <c r="P467" s="1">
        <v>35.0</v>
      </c>
      <c r="Q467" s="1">
        <v>29.0</v>
      </c>
    </row>
    <row r="468">
      <c r="A468" s="1">
        <f t="shared" si="1"/>
        <v>466</v>
      </c>
      <c r="B468" s="1" t="s">
        <v>2479</v>
      </c>
      <c r="C468" s="1" t="s">
        <v>1076</v>
      </c>
      <c r="D468" s="1" t="s">
        <v>66</v>
      </c>
      <c r="E468" s="1">
        <f t="shared" si="2"/>
        <v>166</v>
      </c>
      <c r="F468" s="1">
        <f t="shared" si="3"/>
        <v>3.32</v>
      </c>
      <c r="G468" s="1">
        <v>50.0</v>
      </c>
      <c r="H468" s="1">
        <v>4.0</v>
      </c>
      <c r="I468" s="1">
        <v>13.0</v>
      </c>
      <c r="J468" s="1">
        <v>17.0</v>
      </c>
      <c r="K468" s="1">
        <v>107.0</v>
      </c>
      <c r="L468" s="1">
        <v>3.0</v>
      </c>
      <c r="M468" s="1">
        <v>2.0</v>
      </c>
      <c r="N468" s="1">
        <v>0.0</v>
      </c>
      <c r="O468" s="1">
        <v>0.0</v>
      </c>
      <c r="P468" s="1">
        <v>68.0</v>
      </c>
      <c r="Q468" s="1">
        <v>77.0</v>
      </c>
    </row>
    <row r="469">
      <c r="A469" s="1">
        <f t="shared" si="1"/>
        <v>467</v>
      </c>
      <c r="B469" s="1" t="s">
        <v>1597</v>
      </c>
      <c r="C469" s="1" t="s">
        <v>1040</v>
      </c>
      <c r="D469" s="1" t="s">
        <v>36</v>
      </c>
      <c r="E469" s="1">
        <f t="shared" si="2"/>
        <v>165.5</v>
      </c>
      <c r="F469" s="1">
        <f t="shared" si="3"/>
        <v>2.51</v>
      </c>
      <c r="G469" s="1">
        <v>66.0</v>
      </c>
      <c r="H469" s="1">
        <v>8.0</v>
      </c>
      <c r="I469" s="1">
        <v>12.0</v>
      </c>
      <c r="J469" s="1">
        <v>20.0</v>
      </c>
      <c r="K469" s="1">
        <v>80.0</v>
      </c>
      <c r="L469" s="1">
        <v>0.0</v>
      </c>
      <c r="M469" s="1">
        <v>0.0</v>
      </c>
      <c r="N469" s="1">
        <v>0.0</v>
      </c>
      <c r="O469" s="1">
        <v>0.0</v>
      </c>
      <c r="P469" s="1">
        <v>120.0</v>
      </c>
      <c r="Q469" s="1">
        <v>47.0</v>
      </c>
    </row>
    <row r="470">
      <c r="A470" s="1">
        <f t="shared" si="1"/>
        <v>468</v>
      </c>
      <c r="B470" s="1" t="s">
        <v>2524</v>
      </c>
      <c r="C470" s="1" t="s">
        <v>1054</v>
      </c>
      <c r="D470" s="1" t="s">
        <v>31</v>
      </c>
      <c r="E470" s="1">
        <f t="shared" si="2"/>
        <v>164.75</v>
      </c>
      <c r="F470" s="1">
        <f t="shared" si="3"/>
        <v>3.43</v>
      </c>
      <c r="G470" s="1">
        <v>48.0</v>
      </c>
      <c r="H470" s="1">
        <v>8.0</v>
      </c>
      <c r="I470" s="1">
        <v>21.0</v>
      </c>
      <c r="J470" s="1">
        <v>29.0</v>
      </c>
      <c r="K470" s="1">
        <v>89.0</v>
      </c>
      <c r="L470" s="1">
        <v>2.0</v>
      </c>
      <c r="M470" s="1">
        <v>10.0</v>
      </c>
      <c r="N470" s="1">
        <v>0.0</v>
      </c>
      <c r="O470" s="1">
        <v>1.0</v>
      </c>
      <c r="P470" s="1">
        <v>13.0</v>
      </c>
      <c r="Q470" s="1">
        <v>32.0</v>
      </c>
    </row>
    <row r="471">
      <c r="A471" s="1">
        <f t="shared" si="1"/>
        <v>469</v>
      </c>
      <c r="B471" s="1" t="s">
        <v>1858</v>
      </c>
      <c r="C471" s="1" t="s">
        <v>1036</v>
      </c>
      <c r="D471" s="1" t="s">
        <v>66</v>
      </c>
      <c r="E471" s="1">
        <f t="shared" si="2"/>
        <v>164.25</v>
      </c>
      <c r="F471" s="1">
        <f t="shared" si="3"/>
        <v>2.35</v>
      </c>
      <c r="G471" s="1">
        <v>70.0</v>
      </c>
      <c r="H471" s="1">
        <v>5.0</v>
      </c>
      <c r="I471" s="1">
        <v>12.0</v>
      </c>
      <c r="J471" s="1">
        <v>17.0</v>
      </c>
      <c r="K471" s="1">
        <v>94.0</v>
      </c>
      <c r="L471" s="1">
        <v>0.0</v>
      </c>
      <c r="M471" s="1">
        <v>1.0</v>
      </c>
      <c r="N471" s="1">
        <v>0.0</v>
      </c>
      <c r="O471" s="1">
        <v>1.0</v>
      </c>
      <c r="P471" s="1">
        <v>109.0</v>
      </c>
      <c r="Q471" s="1">
        <v>59.0</v>
      </c>
    </row>
    <row r="472">
      <c r="A472" s="1">
        <f t="shared" si="1"/>
        <v>470</v>
      </c>
      <c r="B472" s="1" t="s">
        <v>2305</v>
      </c>
      <c r="C472" s="1" t="s">
        <v>1120</v>
      </c>
      <c r="D472" s="1" t="s">
        <v>66</v>
      </c>
      <c r="E472" s="1">
        <f t="shared" si="2"/>
        <v>163.75</v>
      </c>
      <c r="F472" s="1">
        <f t="shared" si="3"/>
        <v>3.15</v>
      </c>
      <c r="G472" s="1">
        <v>52.0</v>
      </c>
      <c r="H472" s="1">
        <v>5.0</v>
      </c>
      <c r="I472" s="1">
        <v>15.0</v>
      </c>
      <c r="J472" s="1">
        <v>20.0</v>
      </c>
      <c r="K472" s="1">
        <v>59.0</v>
      </c>
      <c r="L472" s="1">
        <v>0.0</v>
      </c>
      <c r="M472" s="1">
        <v>0.0</v>
      </c>
      <c r="N472" s="1">
        <v>0.0</v>
      </c>
      <c r="O472" s="1">
        <v>0.0</v>
      </c>
      <c r="P472" s="1">
        <v>79.0</v>
      </c>
      <c r="Q472" s="1">
        <v>94.0</v>
      </c>
    </row>
    <row r="473">
      <c r="A473" s="1">
        <f t="shared" si="1"/>
        <v>470</v>
      </c>
      <c r="B473" s="1" t="s">
        <v>1582</v>
      </c>
      <c r="C473" s="1" t="s">
        <v>1172</v>
      </c>
      <c r="D473" s="1" t="s">
        <v>66</v>
      </c>
      <c r="E473" s="1">
        <f t="shared" si="2"/>
        <v>163.75</v>
      </c>
      <c r="F473" s="1">
        <f t="shared" si="3"/>
        <v>3.15</v>
      </c>
      <c r="G473" s="1">
        <v>52.0</v>
      </c>
      <c r="H473" s="1">
        <v>5.0</v>
      </c>
      <c r="I473" s="1">
        <v>8.0</v>
      </c>
      <c r="J473" s="1">
        <v>13.0</v>
      </c>
      <c r="K473" s="1">
        <v>84.0</v>
      </c>
      <c r="L473" s="1">
        <v>0.0</v>
      </c>
      <c r="M473" s="1">
        <v>0.0</v>
      </c>
      <c r="N473" s="1">
        <v>0.0</v>
      </c>
      <c r="O473" s="1">
        <v>0.0</v>
      </c>
      <c r="P473" s="1">
        <v>119.0</v>
      </c>
      <c r="Q473" s="1">
        <v>91.0</v>
      </c>
    </row>
    <row r="474">
      <c r="A474" s="1">
        <f t="shared" si="1"/>
        <v>472</v>
      </c>
      <c r="B474" s="1" t="s">
        <v>2576</v>
      </c>
      <c r="C474" s="1" t="s">
        <v>1032</v>
      </c>
      <c r="D474" s="1" t="s">
        <v>28</v>
      </c>
      <c r="E474" s="1">
        <f t="shared" si="2"/>
        <v>163.25</v>
      </c>
      <c r="F474" s="1">
        <f t="shared" si="3"/>
        <v>2.59</v>
      </c>
      <c r="G474" s="1">
        <v>63.0</v>
      </c>
      <c r="H474" s="1">
        <v>6.0</v>
      </c>
      <c r="I474" s="1">
        <v>18.0</v>
      </c>
      <c r="J474" s="1">
        <v>24.0</v>
      </c>
      <c r="K474" s="1">
        <v>79.0</v>
      </c>
      <c r="L474" s="1">
        <v>0.0</v>
      </c>
      <c r="M474" s="1">
        <v>5.0</v>
      </c>
      <c r="N474" s="1">
        <v>0.0</v>
      </c>
      <c r="O474" s="1">
        <v>0.0</v>
      </c>
      <c r="P474" s="1">
        <v>143.0</v>
      </c>
      <c r="Q474" s="1">
        <v>14.0</v>
      </c>
    </row>
    <row r="475">
      <c r="A475" s="1">
        <f t="shared" si="1"/>
        <v>472</v>
      </c>
      <c r="B475" s="1" t="s">
        <v>2293</v>
      </c>
      <c r="C475" s="1" t="s">
        <v>1038</v>
      </c>
      <c r="D475" s="1" t="s">
        <v>66</v>
      </c>
      <c r="E475" s="1">
        <f t="shared" si="2"/>
        <v>163.25</v>
      </c>
      <c r="F475" s="1">
        <f t="shared" si="3"/>
        <v>2.63</v>
      </c>
      <c r="G475" s="1">
        <v>62.0</v>
      </c>
      <c r="H475" s="1">
        <v>5.0</v>
      </c>
      <c r="I475" s="1">
        <v>9.0</v>
      </c>
      <c r="J475" s="1">
        <v>14.0</v>
      </c>
      <c r="K475" s="1">
        <v>99.0</v>
      </c>
      <c r="L475" s="1">
        <v>1.0</v>
      </c>
      <c r="M475" s="1">
        <v>2.0</v>
      </c>
      <c r="N475" s="1">
        <v>0.0</v>
      </c>
      <c r="O475" s="1">
        <v>0.0</v>
      </c>
      <c r="P475" s="1">
        <v>81.0</v>
      </c>
      <c r="Q475" s="1">
        <v>88.0</v>
      </c>
    </row>
    <row r="476">
      <c r="A476" s="1">
        <f t="shared" si="1"/>
        <v>474</v>
      </c>
      <c r="B476" s="1" t="s">
        <v>1581</v>
      </c>
      <c r="C476" s="1" t="s">
        <v>1172</v>
      </c>
      <c r="D476" s="1" t="s">
        <v>66</v>
      </c>
      <c r="E476" s="1">
        <f t="shared" si="2"/>
        <v>162.75</v>
      </c>
      <c r="F476" s="1">
        <f t="shared" si="3"/>
        <v>2.71</v>
      </c>
      <c r="G476" s="1">
        <v>60.0</v>
      </c>
      <c r="H476" s="1">
        <v>1.0</v>
      </c>
      <c r="I476" s="1">
        <v>13.0</v>
      </c>
      <c r="J476" s="1">
        <v>14.0</v>
      </c>
      <c r="K476" s="1">
        <v>74.0</v>
      </c>
      <c r="L476" s="1">
        <v>1.0</v>
      </c>
      <c r="M476" s="1">
        <v>3.0</v>
      </c>
      <c r="N476" s="1">
        <v>0.0</v>
      </c>
      <c r="O476" s="1">
        <v>0.0</v>
      </c>
      <c r="P476" s="1">
        <v>97.0</v>
      </c>
      <c r="Q476" s="1">
        <v>116.0</v>
      </c>
    </row>
    <row r="477">
      <c r="A477" s="1">
        <f t="shared" si="1"/>
        <v>475</v>
      </c>
      <c r="B477" s="1" t="s">
        <v>2330</v>
      </c>
      <c r="C477" s="1" t="s">
        <v>1048</v>
      </c>
      <c r="D477" s="1" t="s">
        <v>36</v>
      </c>
      <c r="E477" s="1">
        <f t="shared" si="2"/>
        <v>161.75</v>
      </c>
      <c r="F477" s="1">
        <f t="shared" si="3"/>
        <v>2.74</v>
      </c>
      <c r="G477" s="1">
        <v>59.0</v>
      </c>
      <c r="H477" s="1">
        <v>5.0</v>
      </c>
      <c r="I477" s="1">
        <v>10.0</v>
      </c>
      <c r="J477" s="1">
        <v>15.0</v>
      </c>
      <c r="K477" s="1">
        <v>116.0</v>
      </c>
      <c r="L477" s="1">
        <v>0.0</v>
      </c>
      <c r="M477" s="1">
        <v>1.0</v>
      </c>
      <c r="N477" s="1">
        <v>0.0</v>
      </c>
      <c r="O477" s="1">
        <v>0.0</v>
      </c>
      <c r="P477" s="1">
        <v>89.0</v>
      </c>
      <c r="Q477" s="1">
        <v>58.0</v>
      </c>
    </row>
    <row r="478">
      <c r="A478" s="1">
        <f t="shared" si="1"/>
        <v>475</v>
      </c>
      <c r="B478" s="1" t="s">
        <v>2103</v>
      </c>
      <c r="C478" s="1" t="s">
        <v>1120</v>
      </c>
      <c r="D478" s="1" t="s">
        <v>66</v>
      </c>
      <c r="E478" s="1">
        <f t="shared" si="2"/>
        <v>161.75</v>
      </c>
      <c r="F478" s="1">
        <f t="shared" si="3"/>
        <v>2.19</v>
      </c>
      <c r="G478" s="1">
        <v>74.0</v>
      </c>
      <c r="H478" s="1">
        <v>1.0</v>
      </c>
      <c r="I478" s="1">
        <v>9.0</v>
      </c>
      <c r="J478" s="1">
        <v>10.0</v>
      </c>
      <c r="K478" s="1">
        <v>57.0</v>
      </c>
      <c r="L478" s="1">
        <v>0.0</v>
      </c>
      <c r="M478" s="1">
        <v>0.0</v>
      </c>
      <c r="N478" s="1">
        <v>0.0</v>
      </c>
      <c r="O478" s="1">
        <v>1.0</v>
      </c>
      <c r="P478" s="1">
        <v>137.0</v>
      </c>
      <c r="Q478" s="1">
        <v>131.0</v>
      </c>
    </row>
    <row r="479">
      <c r="A479" s="1">
        <f t="shared" si="1"/>
        <v>477</v>
      </c>
      <c r="B479" s="1" t="s">
        <v>2340</v>
      </c>
      <c r="C479" s="1" t="s">
        <v>1120</v>
      </c>
      <c r="D479" s="1" t="s">
        <v>5</v>
      </c>
      <c r="E479" s="1">
        <f t="shared" si="2"/>
        <v>161.1</v>
      </c>
      <c r="F479" s="1">
        <f t="shared" si="3"/>
        <v>4.6</v>
      </c>
      <c r="G479" s="1">
        <v>35.0</v>
      </c>
      <c r="R479" s="1">
        <v>9.0</v>
      </c>
      <c r="S479" s="1">
        <v>98.0</v>
      </c>
      <c r="T479" s="1">
        <v>927.0</v>
      </c>
      <c r="U479" s="1">
        <v>1.0</v>
      </c>
    </row>
    <row r="480">
      <c r="A480" s="1">
        <f t="shared" si="1"/>
        <v>478</v>
      </c>
      <c r="B480" s="1" t="s">
        <v>2335</v>
      </c>
      <c r="C480" s="1" t="s">
        <v>1065</v>
      </c>
      <c r="D480" s="1" t="s">
        <v>31</v>
      </c>
      <c r="E480" s="1">
        <f t="shared" si="2"/>
        <v>161</v>
      </c>
      <c r="F480" s="1">
        <f t="shared" si="3"/>
        <v>2.6</v>
      </c>
      <c r="G480" s="1">
        <v>62.0</v>
      </c>
      <c r="H480" s="1">
        <v>7.0</v>
      </c>
      <c r="I480" s="1">
        <v>13.0</v>
      </c>
      <c r="J480" s="1">
        <v>20.0</v>
      </c>
      <c r="K480" s="1">
        <v>53.0</v>
      </c>
      <c r="L480" s="1">
        <v>0.0</v>
      </c>
      <c r="M480" s="1">
        <v>0.0</v>
      </c>
      <c r="N480" s="1">
        <v>1.0</v>
      </c>
      <c r="O480" s="1">
        <v>0.0</v>
      </c>
      <c r="P480" s="1">
        <v>178.0</v>
      </c>
      <c r="Q480" s="1">
        <v>35.0</v>
      </c>
    </row>
    <row r="481">
      <c r="A481" s="1">
        <f t="shared" si="1"/>
        <v>479</v>
      </c>
      <c r="B481" s="1" t="s">
        <v>2665</v>
      </c>
      <c r="C481" s="1" t="s">
        <v>1032</v>
      </c>
      <c r="D481" s="1" t="s">
        <v>28</v>
      </c>
      <c r="E481" s="1">
        <f t="shared" si="2"/>
        <v>160.25</v>
      </c>
      <c r="F481" s="1">
        <f t="shared" si="3"/>
        <v>2.72</v>
      </c>
      <c r="G481" s="1">
        <v>59.0</v>
      </c>
      <c r="H481" s="1">
        <v>12.0</v>
      </c>
      <c r="I481" s="1">
        <v>13.0</v>
      </c>
      <c r="J481" s="1">
        <v>25.0</v>
      </c>
      <c r="K481" s="1">
        <v>101.0</v>
      </c>
      <c r="L481" s="1">
        <v>3.0</v>
      </c>
      <c r="M481" s="1">
        <v>4.0</v>
      </c>
      <c r="N481" s="1">
        <v>0.0</v>
      </c>
      <c r="O481" s="1">
        <v>0.0</v>
      </c>
      <c r="P481" s="1">
        <v>45.0</v>
      </c>
      <c r="Q481" s="1">
        <v>11.0</v>
      </c>
    </row>
    <row r="482">
      <c r="A482" s="1">
        <f t="shared" si="1"/>
        <v>479</v>
      </c>
      <c r="B482" s="1" t="s">
        <v>2691</v>
      </c>
      <c r="C482" s="1" t="s">
        <v>1046</v>
      </c>
      <c r="D482" s="1" t="s">
        <v>36</v>
      </c>
      <c r="E482" s="1">
        <f t="shared" si="2"/>
        <v>160.25</v>
      </c>
      <c r="F482" s="1">
        <f t="shared" si="3"/>
        <v>2.54</v>
      </c>
      <c r="G482" s="1">
        <v>63.0</v>
      </c>
      <c r="H482" s="1">
        <v>7.0</v>
      </c>
      <c r="I482" s="1">
        <v>20.0</v>
      </c>
      <c r="J482" s="1">
        <v>27.0</v>
      </c>
      <c r="K482" s="1">
        <v>105.0</v>
      </c>
      <c r="L482" s="1">
        <v>1.0</v>
      </c>
      <c r="M482" s="1">
        <v>8.0</v>
      </c>
      <c r="N482" s="1">
        <v>0.0</v>
      </c>
      <c r="O482" s="1">
        <v>1.0</v>
      </c>
      <c r="P482" s="1">
        <v>15.0</v>
      </c>
      <c r="Q482" s="1">
        <v>21.0</v>
      </c>
    </row>
    <row r="483">
      <c r="A483" s="1">
        <f t="shared" si="1"/>
        <v>481</v>
      </c>
      <c r="B483" s="1" t="s">
        <v>1719</v>
      </c>
      <c r="C483" s="1" t="s">
        <v>1032</v>
      </c>
      <c r="D483" s="1" t="s">
        <v>66</v>
      </c>
      <c r="E483" s="1">
        <f t="shared" si="2"/>
        <v>159.5</v>
      </c>
      <c r="F483" s="1">
        <f t="shared" si="3"/>
        <v>2.49</v>
      </c>
      <c r="G483" s="1">
        <v>64.0</v>
      </c>
      <c r="H483" s="1">
        <v>4.0</v>
      </c>
      <c r="I483" s="1">
        <v>13.0</v>
      </c>
      <c r="J483" s="1">
        <v>17.0</v>
      </c>
      <c r="K483" s="1">
        <v>98.0</v>
      </c>
      <c r="L483" s="1">
        <v>0.0</v>
      </c>
      <c r="M483" s="1">
        <v>0.0</v>
      </c>
      <c r="N483" s="1">
        <v>0.0</v>
      </c>
      <c r="O483" s="1">
        <v>0.0</v>
      </c>
      <c r="P483" s="1">
        <v>100.0</v>
      </c>
      <c r="Q483" s="1">
        <v>57.0</v>
      </c>
    </row>
    <row r="484">
      <c r="A484" s="1">
        <f t="shared" si="1"/>
        <v>482</v>
      </c>
      <c r="B484" s="1" t="s">
        <v>2346</v>
      </c>
      <c r="C484" s="1" t="s">
        <v>1036</v>
      </c>
      <c r="D484" s="1" t="s">
        <v>36</v>
      </c>
      <c r="E484" s="1">
        <f t="shared" si="2"/>
        <v>159</v>
      </c>
      <c r="F484" s="1">
        <f t="shared" si="3"/>
        <v>2.52</v>
      </c>
      <c r="G484" s="1">
        <v>63.0</v>
      </c>
      <c r="H484" s="1">
        <v>7.0</v>
      </c>
      <c r="I484" s="1">
        <v>12.0</v>
      </c>
      <c r="J484" s="1">
        <v>19.0</v>
      </c>
      <c r="K484" s="1">
        <v>141.0</v>
      </c>
      <c r="L484" s="1">
        <v>2.0</v>
      </c>
      <c r="M484" s="1">
        <v>4.0</v>
      </c>
      <c r="N484" s="1">
        <v>0.0</v>
      </c>
      <c r="O484" s="1">
        <v>0.0</v>
      </c>
      <c r="P484" s="1">
        <v>46.0</v>
      </c>
      <c r="Q484" s="1">
        <v>19.0</v>
      </c>
    </row>
    <row r="485">
      <c r="A485" s="1">
        <f t="shared" si="1"/>
        <v>483</v>
      </c>
      <c r="B485" s="1" t="s">
        <v>2702</v>
      </c>
      <c r="C485" s="1" t="s">
        <v>1570</v>
      </c>
      <c r="D485" s="1" t="s">
        <v>31</v>
      </c>
      <c r="E485" s="1">
        <f t="shared" si="2"/>
        <v>158.5</v>
      </c>
      <c r="F485" s="1">
        <f t="shared" si="3"/>
        <v>2.88</v>
      </c>
      <c r="G485" s="1">
        <v>55.0</v>
      </c>
      <c r="H485" s="1">
        <v>9.0</v>
      </c>
      <c r="I485" s="1">
        <v>11.0</v>
      </c>
      <c r="J485" s="1">
        <v>20.0</v>
      </c>
      <c r="K485" s="1">
        <v>91.0</v>
      </c>
      <c r="L485" s="1">
        <v>0.0</v>
      </c>
      <c r="M485" s="1">
        <v>1.0</v>
      </c>
      <c r="N485" s="1">
        <v>0.0</v>
      </c>
      <c r="O485" s="1">
        <v>0.0</v>
      </c>
      <c r="P485" s="1">
        <v>104.0</v>
      </c>
      <c r="Q485" s="1">
        <v>27.0</v>
      </c>
    </row>
    <row r="486">
      <c r="A486" s="1">
        <f t="shared" si="1"/>
        <v>484</v>
      </c>
      <c r="B486" s="1" t="s">
        <v>1843</v>
      </c>
      <c r="C486" s="1" t="s">
        <v>1120</v>
      </c>
      <c r="D486" s="1" t="s">
        <v>28</v>
      </c>
      <c r="E486" s="1">
        <f t="shared" si="2"/>
        <v>158.25</v>
      </c>
      <c r="F486" s="1">
        <f t="shared" si="3"/>
        <v>2.43</v>
      </c>
      <c r="G486" s="1">
        <v>65.0</v>
      </c>
      <c r="H486" s="1">
        <v>7.0</v>
      </c>
      <c r="I486" s="1">
        <v>13.0</v>
      </c>
      <c r="J486" s="1">
        <v>20.0</v>
      </c>
      <c r="K486" s="1">
        <v>70.0</v>
      </c>
      <c r="L486" s="1">
        <v>2.0</v>
      </c>
      <c r="M486" s="1">
        <v>0.0</v>
      </c>
      <c r="N486" s="1">
        <v>0.0</v>
      </c>
      <c r="O486" s="1">
        <v>0.0</v>
      </c>
      <c r="P486" s="1">
        <v>159.0</v>
      </c>
      <c r="Q486" s="1">
        <v>26.0</v>
      </c>
    </row>
    <row r="487">
      <c r="A487" s="1">
        <f t="shared" si="1"/>
        <v>485</v>
      </c>
      <c r="B487" s="1" t="s">
        <v>1689</v>
      </c>
      <c r="C487" s="1" t="s">
        <v>1080</v>
      </c>
      <c r="D487" s="1" t="s">
        <v>28</v>
      </c>
      <c r="E487" s="1">
        <f t="shared" si="2"/>
        <v>157.25</v>
      </c>
      <c r="F487" s="1">
        <f t="shared" si="3"/>
        <v>2.91</v>
      </c>
      <c r="G487" s="1">
        <v>54.0</v>
      </c>
      <c r="H487" s="1">
        <v>8.0</v>
      </c>
      <c r="I487" s="1">
        <v>1.0</v>
      </c>
      <c r="J487" s="1">
        <v>9.0</v>
      </c>
      <c r="K487" s="1">
        <v>85.0</v>
      </c>
      <c r="L487" s="1">
        <v>0.0</v>
      </c>
      <c r="M487" s="1">
        <v>0.0</v>
      </c>
      <c r="N487" s="1">
        <v>0.0</v>
      </c>
      <c r="O487" s="1">
        <v>0.0</v>
      </c>
      <c r="P487" s="1">
        <v>277.0</v>
      </c>
      <c r="Q487" s="1">
        <v>13.0</v>
      </c>
    </row>
    <row r="488">
      <c r="A488" s="1">
        <f t="shared" si="1"/>
        <v>485</v>
      </c>
      <c r="B488" s="1" t="s">
        <v>1281</v>
      </c>
      <c r="C488" s="1" t="s">
        <v>1067</v>
      </c>
      <c r="D488" s="1" t="s">
        <v>66</v>
      </c>
      <c r="E488" s="1">
        <f t="shared" si="2"/>
        <v>157.25</v>
      </c>
      <c r="F488" s="1">
        <f t="shared" si="3"/>
        <v>2.67</v>
      </c>
      <c r="G488" s="1">
        <v>59.0</v>
      </c>
      <c r="H488" s="1">
        <v>4.0</v>
      </c>
      <c r="I488" s="1">
        <v>10.0</v>
      </c>
      <c r="J488" s="1">
        <v>14.0</v>
      </c>
      <c r="K488" s="1">
        <v>64.0</v>
      </c>
      <c r="L488" s="1">
        <v>0.0</v>
      </c>
      <c r="M488" s="1">
        <v>0.0</v>
      </c>
      <c r="N488" s="1">
        <v>1.0</v>
      </c>
      <c r="O488" s="1">
        <v>0.0</v>
      </c>
      <c r="P488" s="1">
        <v>103.0</v>
      </c>
      <c r="Q488" s="1">
        <v>99.0</v>
      </c>
    </row>
    <row r="489">
      <c r="A489" s="1">
        <f t="shared" si="1"/>
        <v>487</v>
      </c>
      <c r="B489" s="1" t="s">
        <v>1690</v>
      </c>
      <c r="C489" s="1" t="s">
        <v>1172</v>
      </c>
      <c r="D489" s="1" t="s">
        <v>31</v>
      </c>
      <c r="E489" s="1">
        <f t="shared" si="2"/>
        <v>156.5</v>
      </c>
      <c r="F489" s="1">
        <f t="shared" si="3"/>
        <v>2.3</v>
      </c>
      <c r="G489" s="1">
        <v>68.0</v>
      </c>
      <c r="H489" s="1">
        <v>5.0</v>
      </c>
      <c r="I489" s="1">
        <v>13.0</v>
      </c>
      <c r="J489" s="1">
        <v>18.0</v>
      </c>
      <c r="K489" s="1">
        <v>102.0</v>
      </c>
      <c r="L489" s="1">
        <v>0.0</v>
      </c>
      <c r="M489" s="1">
        <v>0.0</v>
      </c>
      <c r="N489" s="1">
        <v>1.0</v>
      </c>
      <c r="O489" s="1">
        <v>1.0</v>
      </c>
      <c r="P489" s="1">
        <v>126.0</v>
      </c>
      <c r="Q489" s="1">
        <v>17.0</v>
      </c>
    </row>
    <row r="490">
      <c r="A490" s="1">
        <f t="shared" si="1"/>
        <v>488</v>
      </c>
      <c r="B490" s="1" t="s">
        <v>2048</v>
      </c>
      <c r="C490" s="1" t="s">
        <v>1052</v>
      </c>
      <c r="D490" s="1" t="s">
        <v>31</v>
      </c>
      <c r="E490" s="1">
        <f t="shared" si="2"/>
        <v>156</v>
      </c>
      <c r="F490" s="1">
        <f t="shared" si="3"/>
        <v>3.63</v>
      </c>
      <c r="G490" s="1">
        <v>43.0</v>
      </c>
      <c r="H490" s="1">
        <v>8.0</v>
      </c>
      <c r="I490" s="1">
        <v>9.0</v>
      </c>
      <c r="J490" s="1">
        <v>17.0</v>
      </c>
      <c r="K490" s="1">
        <v>76.0</v>
      </c>
      <c r="L490" s="1">
        <v>0.0</v>
      </c>
      <c r="M490" s="1">
        <v>0.0</v>
      </c>
      <c r="N490" s="1">
        <v>1.0</v>
      </c>
      <c r="O490" s="1">
        <v>0.0</v>
      </c>
      <c r="P490" s="1">
        <v>138.0</v>
      </c>
      <c r="Q490" s="1">
        <v>37.0</v>
      </c>
    </row>
    <row r="491">
      <c r="A491" s="1">
        <f t="shared" si="1"/>
        <v>488</v>
      </c>
      <c r="B491" s="1" t="s">
        <v>2098</v>
      </c>
      <c r="C491" s="1" t="s">
        <v>1080</v>
      </c>
      <c r="D491" s="1" t="s">
        <v>66</v>
      </c>
      <c r="E491" s="1">
        <f t="shared" si="2"/>
        <v>156</v>
      </c>
      <c r="F491" s="1">
        <f t="shared" si="3"/>
        <v>2.56</v>
      </c>
      <c r="G491" s="1">
        <v>61.0</v>
      </c>
      <c r="H491" s="1">
        <v>3.0</v>
      </c>
      <c r="I491" s="1">
        <v>12.0</v>
      </c>
      <c r="J491" s="1">
        <v>15.0</v>
      </c>
      <c r="K491" s="1">
        <v>77.0</v>
      </c>
      <c r="L491" s="1">
        <v>0.0</v>
      </c>
      <c r="M491" s="1">
        <v>0.0</v>
      </c>
      <c r="N491" s="1">
        <v>0.0</v>
      </c>
      <c r="O491" s="1">
        <v>2.0</v>
      </c>
      <c r="P491" s="1">
        <v>104.0</v>
      </c>
      <c r="Q491" s="1">
        <v>76.0</v>
      </c>
    </row>
    <row r="492">
      <c r="A492" s="1">
        <f t="shared" si="1"/>
        <v>490</v>
      </c>
      <c r="B492" s="1" t="s">
        <v>2703</v>
      </c>
      <c r="C492" s="1" t="s">
        <v>1570</v>
      </c>
      <c r="D492" s="1" t="s">
        <v>66</v>
      </c>
      <c r="E492" s="1">
        <f t="shared" si="2"/>
        <v>155.5</v>
      </c>
      <c r="F492" s="1">
        <f t="shared" si="3"/>
        <v>2.19</v>
      </c>
      <c r="G492" s="1">
        <v>71.0</v>
      </c>
      <c r="H492" s="1">
        <v>2.0</v>
      </c>
      <c r="I492" s="1">
        <v>7.0</v>
      </c>
      <c r="J492" s="1">
        <v>9.0</v>
      </c>
      <c r="K492" s="1">
        <v>95.0</v>
      </c>
      <c r="L492" s="1">
        <v>0.0</v>
      </c>
      <c r="M492" s="1">
        <v>0.0</v>
      </c>
      <c r="N492" s="1">
        <v>0.0</v>
      </c>
      <c r="O492" s="1">
        <v>0.0</v>
      </c>
      <c r="P492" s="1">
        <v>76.0</v>
      </c>
      <c r="Q492" s="1">
        <v>118.0</v>
      </c>
    </row>
    <row r="493">
      <c r="A493" s="1">
        <f t="shared" si="1"/>
        <v>491</v>
      </c>
      <c r="B493" s="1" t="s">
        <v>1794</v>
      </c>
      <c r="C493" s="1" t="s">
        <v>1030</v>
      </c>
      <c r="D493" s="1" t="s">
        <v>31</v>
      </c>
      <c r="E493" s="1">
        <f t="shared" si="2"/>
        <v>155.25</v>
      </c>
      <c r="F493" s="1">
        <f t="shared" si="3"/>
        <v>2.04</v>
      </c>
      <c r="G493" s="1">
        <v>76.0</v>
      </c>
      <c r="H493" s="1">
        <v>6.0</v>
      </c>
      <c r="I493" s="1">
        <v>9.0</v>
      </c>
      <c r="J493" s="1">
        <v>15.0</v>
      </c>
      <c r="K493" s="1">
        <v>108.0</v>
      </c>
      <c r="L493" s="1">
        <v>0.0</v>
      </c>
      <c r="M493" s="1">
        <v>0.0</v>
      </c>
      <c r="N493" s="1">
        <v>2.0</v>
      </c>
      <c r="O493" s="1">
        <v>0.0</v>
      </c>
      <c r="P493" s="1">
        <v>71.0</v>
      </c>
      <c r="Q493" s="1">
        <v>51.0</v>
      </c>
    </row>
    <row r="494">
      <c r="A494" s="1">
        <f t="shared" si="1"/>
        <v>492</v>
      </c>
      <c r="B494" s="1" t="s">
        <v>2181</v>
      </c>
      <c r="C494" s="1" t="s">
        <v>1078</v>
      </c>
      <c r="D494" s="1" t="s">
        <v>28</v>
      </c>
      <c r="E494" s="1">
        <f t="shared" si="2"/>
        <v>154.5</v>
      </c>
      <c r="F494" s="1">
        <f t="shared" si="3"/>
        <v>2.49</v>
      </c>
      <c r="G494" s="1">
        <v>62.0</v>
      </c>
      <c r="H494" s="1">
        <v>12.0</v>
      </c>
      <c r="I494" s="1">
        <v>9.0</v>
      </c>
      <c r="J494" s="1">
        <v>21.0</v>
      </c>
      <c r="K494" s="1">
        <v>67.0</v>
      </c>
      <c r="L494" s="1">
        <v>0.0</v>
      </c>
      <c r="M494" s="1">
        <v>0.0</v>
      </c>
      <c r="N494" s="1">
        <v>0.0</v>
      </c>
      <c r="O494" s="1">
        <v>0.0</v>
      </c>
      <c r="P494" s="1">
        <v>142.0</v>
      </c>
      <c r="Q494" s="1">
        <v>9.0</v>
      </c>
    </row>
    <row r="495">
      <c r="A495" s="1">
        <f t="shared" si="1"/>
        <v>492</v>
      </c>
      <c r="B495" s="1" t="s">
        <v>1540</v>
      </c>
      <c r="C495" s="1" t="s">
        <v>1040</v>
      </c>
      <c r="D495" s="1" t="s">
        <v>31</v>
      </c>
      <c r="E495" s="1">
        <f t="shared" si="2"/>
        <v>154.5</v>
      </c>
      <c r="F495" s="1">
        <f t="shared" si="3"/>
        <v>2.34</v>
      </c>
      <c r="G495" s="1">
        <v>66.0</v>
      </c>
      <c r="H495" s="1">
        <v>6.0</v>
      </c>
      <c r="I495" s="1">
        <v>17.0</v>
      </c>
      <c r="J495" s="1">
        <v>23.0</v>
      </c>
      <c r="K495" s="1">
        <v>74.0</v>
      </c>
      <c r="L495" s="1">
        <v>0.0</v>
      </c>
      <c r="M495" s="1">
        <v>2.0</v>
      </c>
      <c r="N495" s="1">
        <v>0.0</v>
      </c>
      <c r="O495" s="1">
        <v>0.0</v>
      </c>
      <c r="P495" s="1">
        <v>64.0</v>
      </c>
      <c r="Q495" s="1">
        <v>47.0</v>
      </c>
    </row>
    <row r="496">
      <c r="A496" s="1">
        <f t="shared" si="1"/>
        <v>494</v>
      </c>
      <c r="B496" s="1" t="s">
        <v>1233</v>
      </c>
      <c r="C496" s="1" t="s">
        <v>1073</v>
      </c>
      <c r="D496" s="1" t="s">
        <v>28</v>
      </c>
      <c r="E496" s="1">
        <f t="shared" si="2"/>
        <v>154</v>
      </c>
      <c r="F496" s="1">
        <f t="shared" si="3"/>
        <v>2</v>
      </c>
      <c r="G496" s="1">
        <v>77.0</v>
      </c>
      <c r="H496" s="1">
        <v>10.0</v>
      </c>
      <c r="I496" s="1">
        <v>5.0</v>
      </c>
      <c r="J496" s="1">
        <v>15.0</v>
      </c>
      <c r="K496" s="1">
        <v>106.0</v>
      </c>
      <c r="L496" s="1">
        <v>0.0</v>
      </c>
      <c r="M496" s="1">
        <v>0.0</v>
      </c>
      <c r="N496" s="1">
        <v>0.0</v>
      </c>
      <c r="O496" s="1">
        <v>0.0</v>
      </c>
      <c r="P496" s="1">
        <v>126.0</v>
      </c>
      <c r="Q496" s="1">
        <v>19.0</v>
      </c>
    </row>
    <row r="497">
      <c r="A497" s="1">
        <f t="shared" si="1"/>
        <v>495</v>
      </c>
      <c r="B497" s="1" t="s">
        <v>2607</v>
      </c>
      <c r="C497" s="1" t="s">
        <v>1082</v>
      </c>
      <c r="D497" s="1" t="s">
        <v>28</v>
      </c>
      <c r="E497" s="1">
        <f t="shared" si="2"/>
        <v>153.5</v>
      </c>
      <c r="F497" s="1">
        <f t="shared" si="3"/>
        <v>2.48</v>
      </c>
      <c r="G497" s="1">
        <v>62.0</v>
      </c>
      <c r="H497" s="1">
        <v>7.0</v>
      </c>
      <c r="I497" s="1">
        <v>16.0</v>
      </c>
      <c r="J497" s="1">
        <v>23.0</v>
      </c>
      <c r="K497" s="1">
        <v>92.0</v>
      </c>
      <c r="L497" s="1">
        <v>1.0</v>
      </c>
      <c r="M497" s="1">
        <v>3.0</v>
      </c>
      <c r="N497" s="1">
        <v>0.0</v>
      </c>
      <c r="O497" s="1">
        <v>0.0</v>
      </c>
      <c r="P497" s="1">
        <v>56.0</v>
      </c>
      <c r="Q497" s="1">
        <v>28.0</v>
      </c>
    </row>
    <row r="498">
      <c r="A498" s="1">
        <f t="shared" si="1"/>
        <v>496</v>
      </c>
      <c r="B498" s="1" t="s">
        <v>1804</v>
      </c>
      <c r="C498" s="1" t="s">
        <v>1080</v>
      </c>
      <c r="D498" s="1" t="s">
        <v>28</v>
      </c>
      <c r="E498" s="1">
        <f t="shared" si="2"/>
        <v>153.25</v>
      </c>
      <c r="F498" s="1">
        <f t="shared" si="3"/>
        <v>2.25</v>
      </c>
      <c r="G498" s="1">
        <v>68.0</v>
      </c>
      <c r="H498" s="1">
        <v>8.0</v>
      </c>
      <c r="I498" s="1">
        <v>9.0</v>
      </c>
      <c r="J498" s="1">
        <v>17.0</v>
      </c>
      <c r="K498" s="1">
        <v>116.0</v>
      </c>
      <c r="L498" s="1">
        <v>0.0</v>
      </c>
      <c r="M498" s="1">
        <v>0.0</v>
      </c>
      <c r="N498" s="1">
        <v>1.0</v>
      </c>
      <c r="O498" s="1">
        <v>0.0</v>
      </c>
      <c r="P498" s="1">
        <v>75.0</v>
      </c>
      <c r="Q498" s="1">
        <v>23.0</v>
      </c>
    </row>
    <row r="499">
      <c r="A499" s="1">
        <f t="shared" si="1"/>
        <v>497</v>
      </c>
      <c r="B499" s="1" t="s">
        <v>1562</v>
      </c>
      <c r="C499" s="1" t="s">
        <v>1067</v>
      </c>
      <c r="D499" s="1" t="s">
        <v>31</v>
      </c>
      <c r="E499" s="1">
        <f t="shared" si="2"/>
        <v>151</v>
      </c>
      <c r="F499" s="1">
        <f t="shared" si="3"/>
        <v>2.1</v>
      </c>
      <c r="G499" s="1">
        <v>72.0</v>
      </c>
      <c r="H499" s="1">
        <v>5.0</v>
      </c>
      <c r="I499" s="1">
        <v>13.0</v>
      </c>
      <c r="J499" s="1">
        <v>18.0</v>
      </c>
      <c r="K499" s="1">
        <v>78.0</v>
      </c>
      <c r="L499" s="1">
        <v>0.0</v>
      </c>
      <c r="M499" s="1">
        <v>0.0</v>
      </c>
      <c r="N499" s="1">
        <v>0.0</v>
      </c>
      <c r="O499" s="1">
        <v>0.0</v>
      </c>
      <c r="P499" s="1">
        <v>144.0</v>
      </c>
      <c r="Q499" s="1">
        <v>29.0</v>
      </c>
    </row>
    <row r="500">
      <c r="A500" s="1">
        <f t="shared" si="1"/>
        <v>498</v>
      </c>
      <c r="B500" s="1" t="s">
        <v>2370</v>
      </c>
      <c r="C500" s="1" t="s">
        <v>1038</v>
      </c>
      <c r="D500" s="1" t="s">
        <v>66</v>
      </c>
      <c r="E500" s="1">
        <f t="shared" si="2"/>
        <v>150.75</v>
      </c>
      <c r="F500" s="1">
        <f t="shared" si="3"/>
        <v>2.47</v>
      </c>
      <c r="G500" s="1">
        <v>61.0</v>
      </c>
      <c r="H500" s="1">
        <v>4.0</v>
      </c>
      <c r="I500" s="1">
        <v>9.0</v>
      </c>
      <c r="J500" s="1">
        <v>13.0</v>
      </c>
      <c r="K500" s="1">
        <v>97.0</v>
      </c>
      <c r="L500" s="1">
        <v>2.0</v>
      </c>
      <c r="M500" s="1">
        <v>1.0</v>
      </c>
      <c r="N500" s="1">
        <v>0.0</v>
      </c>
      <c r="O500" s="1">
        <v>0.0</v>
      </c>
      <c r="P500" s="1">
        <v>77.0</v>
      </c>
      <c r="Q500" s="1">
        <v>76.0</v>
      </c>
    </row>
    <row r="501">
      <c r="A501" s="1">
        <f t="shared" si="1"/>
        <v>499</v>
      </c>
      <c r="B501" s="1" t="s">
        <v>1886</v>
      </c>
      <c r="C501" s="1" t="s">
        <v>1082</v>
      </c>
      <c r="D501" s="1" t="s">
        <v>5</v>
      </c>
      <c r="E501" s="1">
        <f t="shared" si="2"/>
        <v>150.6</v>
      </c>
      <c r="F501" s="1">
        <f t="shared" si="3"/>
        <v>5.58</v>
      </c>
      <c r="G501" s="1">
        <v>27.0</v>
      </c>
      <c r="R501" s="1">
        <v>16.0</v>
      </c>
      <c r="S501" s="1">
        <v>74.0</v>
      </c>
      <c r="T501" s="1">
        <v>702.0</v>
      </c>
      <c r="U501" s="1">
        <v>1.0</v>
      </c>
    </row>
    <row r="502">
      <c r="A502" s="1">
        <f t="shared" si="1"/>
        <v>500</v>
      </c>
      <c r="B502" s="1" t="s">
        <v>1633</v>
      </c>
      <c r="C502" s="1" t="s">
        <v>1073</v>
      </c>
      <c r="D502" s="1" t="s">
        <v>5</v>
      </c>
      <c r="E502" s="1">
        <f t="shared" si="2"/>
        <v>150.3</v>
      </c>
      <c r="F502" s="1">
        <f t="shared" si="3"/>
        <v>4.18</v>
      </c>
      <c r="G502" s="1">
        <v>36.0</v>
      </c>
      <c r="R502" s="1">
        <v>13.0</v>
      </c>
      <c r="S502" s="1">
        <v>93.0</v>
      </c>
      <c r="T502" s="1">
        <v>836.0</v>
      </c>
      <c r="U502" s="1">
        <v>0.0</v>
      </c>
    </row>
    <row r="503">
      <c r="A503" s="1">
        <f t="shared" si="1"/>
        <v>501</v>
      </c>
      <c r="B503" s="1" t="s">
        <v>1802</v>
      </c>
      <c r="C503" s="1" t="s">
        <v>1040</v>
      </c>
      <c r="D503" s="1" t="s">
        <v>28</v>
      </c>
      <c r="E503" s="1">
        <f t="shared" si="2"/>
        <v>150.25</v>
      </c>
      <c r="F503" s="1">
        <f t="shared" si="3"/>
        <v>2.38</v>
      </c>
      <c r="G503" s="1">
        <v>63.0</v>
      </c>
      <c r="H503" s="1">
        <v>12.0</v>
      </c>
      <c r="I503" s="1">
        <v>5.0</v>
      </c>
      <c r="J503" s="1">
        <v>17.0</v>
      </c>
      <c r="K503" s="1">
        <v>67.0</v>
      </c>
      <c r="L503" s="1">
        <v>0.0</v>
      </c>
      <c r="M503" s="1">
        <v>0.0</v>
      </c>
      <c r="N503" s="1">
        <v>0.0</v>
      </c>
      <c r="O503" s="1">
        <v>0.0</v>
      </c>
      <c r="P503" s="1">
        <v>129.0</v>
      </c>
      <c r="Q503" s="1">
        <v>31.0</v>
      </c>
    </row>
    <row r="504">
      <c r="A504" s="1">
        <f t="shared" si="1"/>
        <v>502</v>
      </c>
      <c r="B504" s="1" t="s">
        <v>1605</v>
      </c>
      <c r="C504" s="1" t="s">
        <v>1073</v>
      </c>
      <c r="D504" s="1" t="s">
        <v>66</v>
      </c>
      <c r="E504" s="1">
        <f t="shared" si="2"/>
        <v>150</v>
      </c>
      <c r="F504" s="1">
        <f t="shared" si="3"/>
        <v>1.92</v>
      </c>
      <c r="G504" s="1">
        <v>78.0</v>
      </c>
      <c r="H504" s="1">
        <v>3.0</v>
      </c>
      <c r="I504" s="1">
        <v>11.0</v>
      </c>
      <c r="J504" s="1">
        <v>14.0</v>
      </c>
      <c r="K504" s="1">
        <v>102.0</v>
      </c>
      <c r="L504" s="1">
        <v>0.0</v>
      </c>
      <c r="M504" s="1">
        <v>0.0</v>
      </c>
      <c r="N504" s="1">
        <v>0.0</v>
      </c>
      <c r="O504" s="1">
        <v>0.0</v>
      </c>
      <c r="P504" s="1">
        <v>42.0</v>
      </c>
      <c r="Q504" s="1">
        <v>84.0</v>
      </c>
    </row>
    <row r="505">
      <c r="A505" s="1">
        <f t="shared" si="1"/>
        <v>503</v>
      </c>
      <c r="B505" s="1" t="s">
        <v>1875</v>
      </c>
      <c r="C505" s="1" t="s">
        <v>1030</v>
      </c>
      <c r="D505" s="1" t="s">
        <v>28</v>
      </c>
      <c r="E505" s="1">
        <f t="shared" si="2"/>
        <v>149.5</v>
      </c>
      <c r="F505" s="1">
        <f t="shared" si="3"/>
        <v>2.34</v>
      </c>
      <c r="G505" s="1">
        <v>64.0</v>
      </c>
      <c r="H505" s="1">
        <v>4.0</v>
      </c>
      <c r="I505" s="1">
        <v>19.0</v>
      </c>
      <c r="J505" s="1">
        <v>23.0</v>
      </c>
      <c r="K505" s="1">
        <v>86.0</v>
      </c>
      <c r="L505" s="1">
        <v>0.0</v>
      </c>
      <c r="M505" s="1">
        <v>0.0</v>
      </c>
      <c r="N505" s="1">
        <v>1.0</v>
      </c>
      <c r="O505" s="1">
        <v>2.0</v>
      </c>
      <c r="P505" s="1">
        <v>50.0</v>
      </c>
      <c r="Q505" s="1">
        <v>26.0</v>
      </c>
    </row>
    <row r="506">
      <c r="A506" s="1">
        <f t="shared" si="1"/>
        <v>504</v>
      </c>
      <c r="B506" s="1" t="s">
        <v>1559</v>
      </c>
      <c r="C506" s="1" t="s">
        <v>1116</v>
      </c>
      <c r="D506" s="1" t="s">
        <v>5</v>
      </c>
      <c r="E506" s="1">
        <f t="shared" si="2"/>
        <v>149.4</v>
      </c>
      <c r="F506" s="1">
        <f t="shared" si="3"/>
        <v>7.11</v>
      </c>
      <c r="G506" s="1">
        <v>21.0</v>
      </c>
      <c r="R506" s="1">
        <v>13.0</v>
      </c>
      <c r="S506" s="1">
        <v>49.0</v>
      </c>
      <c r="T506" s="1">
        <v>603.0</v>
      </c>
      <c r="U506" s="1">
        <v>1.0</v>
      </c>
    </row>
    <row r="507">
      <c r="A507" s="1">
        <f t="shared" si="1"/>
        <v>505</v>
      </c>
      <c r="B507" s="1" t="s">
        <v>1226</v>
      </c>
      <c r="C507" s="1" t="s">
        <v>1111</v>
      </c>
      <c r="D507" s="1" t="s">
        <v>36</v>
      </c>
      <c r="E507" s="1">
        <f t="shared" si="2"/>
        <v>149.25</v>
      </c>
      <c r="F507" s="1">
        <f t="shared" si="3"/>
        <v>3.18</v>
      </c>
      <c r="G507" s="1">
        <v>47.0</v>
      </c>
      <c r="H507" s="1">
        <v>13.0</v>
      </c>
      <c r="I507" s="1">
        <v>5.0</v>
      </c>
      <c r="J507" s="1">
        <v>18.0</v>
      </c>
      <c r="K507" s="1">
        <v>118.0</v>
      </c>
      <c r="L507" s="1">
        <v>4.0</v>
      </c>
      <c r="M507" s="1">
        <v>2.0</v>
      </c>
      <c r="N507" s="1">
        <v>0.0</v>
      </c>
      <c r="O507" s="1">
        <v>0.0</v>
      </c>
      <c r="P507" s="1">
        <v>33.0</v>
      </c>
      <c r="Q507" s="1">
        <v>17.0</v>
      </c>
    </row>
    <row r="508">
      <c r="A508" s="1">
        <f t="shared" si="1"/>
        <v>505</v>
      </c>
      <c r="B508" s="1" t="s">
        <v>1074</v>
      </c>
      <c r="C508" s="1" t="s">
        <v>1054</v>
      </c>
      <c r="D508" s="1" t="s">
        <v>31</v>
      </c>
      <c r="E508" s="1">
        <f t="shared" si="2"/>
        <v>149.25</v>
      </c>
      <c r="F508" s="1">
        <f t="shared" si="3"/>
        <v>2.57</v>
      </c>
      <c r="G508" s="1">
        <v>58.0</v>
      </c>
      <c r="H508" s="1">
        <v>7.0</v>
      </c>
      <c r="I508" s="1">
        <v>7.0</v>
      </c>
      <c r="J508" s="1">
        <v>14.0</v>
      </c>
      <c r="K508" s="1">
        <v>111.0</v>
      </c>
      <c r="L508" s="1">
        <v>0.0</v>
      </c>
      <c r="M508" s="1">
        <v>0.0</v>
      </c>
      <c r="N508" s="1">
        <v>0.0</v>
      </c>
      <c r="O508" s="1">
        <v>0.0</v>
      </c>
      <c r="P508" s="1">
        <v>117.0</v>
      </c>
      <c r="Q508" s="1">
        <v>24.0</v>
      </c>
    </row>
    <row r="509">
      <c r="A509" s="1">
        <f t="shared" si="1"/>
        <v>507</v>
      </c>
      <c r="B509" s="1" t="s">
        <v>2202</v>
      </c>
      <c r="C509" s="1" t="s">
        <v>1120</v>
      </c>
      <c r="D509" s="1" t="s">
        <v>31</v>
      </c>
      <c r="E509" s="1">
        <f t="shared" si="2"/>
        <v>148.5</v>
      </c>
      <c r="F509" s="1">
        <f t="shared" si="3"/>
        <v>2.43</v>
      </c>
      <c r="G509" s="1">
        <v>61.0</v>
      </c>
      <c r="H509" s="1">
        <v>7.0</v>
      </c>
      <c r="I509" s="1">
        <v>10.0</v>
      </c>
      <c r="J509" s="1">
        <v>17.0</v>
      </c>
      <c r="K509" s="1">
        <v>107.0</v>
      </c>
      <c r="L509" s="1">
        <v>0.0</v>
      </c>
      <c r="M509" s="1">
        <v>0.0</v>
      </c>
      <c r="N509" s="1">
        <v>1.0</v>
      </c>
      <c r="O509" s="1">
        <v>3.0</v>
      </c>
      <c r="P509" s="1">
        <v>50.0</v>
      </c>
      <c r="Q509" s="1">
        <v>26.0</v>
      </c>
    </row>
    <row r="510">
      <c r="A510" s="1">
        <f t="shared" si="1"/>
        <v>508</v>
      </c>
      <c r="B510" s="1" t="s">
        <v>1229</v>
      </c>
      <c r="C510" s="1" t="s">
        <v>1120</v>
      </c>
      <c r="D510" s="1" t="s">
        <v>66</v>
      </c>
      <c r="E510" s="1">
        <f t="shared" si="2"/>
        <v>147.5</v>
      </c>
      <c r="F510" s="1">
        <f t="shared" si="3"/>
        <v>3.21</v>
      </c>
      <c r="G510" s="1">
        <v>46.0</v>
      </c>
      <c r="H510" s="1">
        <v>5.0</v>
      </c>
      <c r="I510" s="1">
        <v>18.0</v>
      </c>
      <c r="J510" s="1">
        <v>23.0</v>
      </c>
      <c r="K510" s="1">
        <v>73.0</v>
      </c>
      <c r="L510" s="1">
        <v>1.0</v>
      </c>
      <c r="M510" s="1">
        <v>4.0</v>
      </c>
      <c r="N510" s="1">
        <v>0.0</v>
      </c>
      <c r="O510" s="1">
        <v>1.0</v>
      </c>
      <c r="P510" s="1">
        <v>66.0</v>
      </c>
      <c r="Q510" s="1">
        <v>32.0</v>
      </c>
    </row>
    <row r="511">
      <c r="A511" s="1">
        <f t="shared" si="1"/>
        <v>509</v>
      </c>
      <c r="B511" s="1" t="s">
        <v>1479</v>
      </c>
      <c r="C511" s="1" t="s">
        <v>1082</v>
      </c>
      <c r="D511" s="1" t="s">
        <v>31</v>
      </c>
      <c r="E511" s="1">
        <f t="shared" si="2"/>
        <v>146.25</v>
      </c>
      <c r="F511" s="1">
        <f t="shared" si="3"/>
        <v>2.29</v>
      </c>
      <c r="G511" s="1">
        <v>64.0</v>
      </c>
      <c r="H511" s="1">
        <v>8.0</v>
      </c>
      <c r="I511" s="1">
        <v>14.0</v>
      </c>
      <c r="J511" s="1">
        <v>22.0</v>
      </c>
      <c r="K511" s="1">
        <v>47.0</v>
      </c>
      <c r="L511" s="1">
        <v>0.0</v>
      </c>
      <c r="M511" s="1">
        <v>0.0</v>
      </c>
      <c r="N511" s="1">
        <v>0.0</v>
      </c>
      <c r="O511" s="1">
        <v>1.0</v>
      </c>
      <c r="P511" s="1">
        <v>97.0</v>
      </c>
      <c r="Q511" s="1">
        <v>37.0</v>
      </c>
    </row>
    <row r="512">
      <c r="A512" s="1">
        <f t="shared" si="1"/>
        <v>509</v>
      </c>
      <c r="B512" s="1" t="s">
        <v>2304</v>
      </c>
      <c r="C512" s="1" t="s">
        <v>1048</v>
      </c>
      <c r="D512" s="1" t="s">
        <v>66</v>
      </c>
      <c r="E512" s="1">
        <f t="shared" si="2"/>
        <v>146.25</v>
      </c>
      <c r="F512" s="1">
        <f t="shared" si="3"/>
        <v>2.09</v>
      </c>
      <c r="G512" s="1">
        <v>70.0</v>
      </c>
      <c r="H512" s="1">
        <v>1.0</v>
      </c>
      <c r="I512" s="1">
        <v>10.0</v>
      </c>
      <c r="J512" s="1">
        <v>11.0</v>
      </c>
      <c r="K512" s="1">
        <v>64.0</v>
      </c>
      <c r="L512" s="1">
        <v>0.0</v>
      </c>
      <c r="M512" s="1">
        <v>0.0</v>
      </c>
      <c r="N512" s="1">
        <v>0.0</v>
      </c>
      <c r="O512" s="1">
        <v>1.0</v>
      </c>
      <c r="P512" s="1">
        <v>133.0</v>
      </c>
      <c r="Q512" s="1">
        <v>89.0</v>
      </c>
    </row>
    <row r="513">
      <c r="A513" s="1">
        <f t="shared" si="1"/>
        <v>511</v>
      </c>
      <c r="B513" s="1" t="s">
        <v>1620</v>
      </c>
      <c r="C513" s="1" t="s">
        <v>1085</v>
      </c>
      <c r="D513" s="1" t="s">
        <v>28</v>
      </c>
      <c r="E513" s="1">
        <f t="shared" si="2"/>
        <v>146</v>
      </c>
      <c r="F513" s="1">
        <f t="shared" si="3"/>
        <v>1.87</v>
      </c>
      <c r="G513" s="1">
        <v>78.0</v>
      </c>
      <c r="H513" s="1">
        <v>6.0</v>
      </c>
      <c r="I513" s="1">
        <v>11.0</v>
      </c>
      <c r="J513" s="1">
        <v>17.0</v>
      </c>
      <c r="K513" s="1">
        <v>106.0</v>
      </c>
      <c r="L513" s="1">
        <v>1.0</v>
      </c>
      <c r="M513" s="1">
        <v>0.0</v>
      </c>
      <c r="N513" s="1">
        <v>0.0</v>
      </c>
      <c r="O513" s="1">
        <v>0.0</v>
      </c>
      <c r="P513" s="1">
        <v>68.0</v>
      </c>
      <c r="Q513" s="1">
        <v>32.0</v>
      </c>
    </row>
    <row r="514">
      <c r="A514" s="1">
        <f t="shared" si="1"/>
        <v>512</v>
      </c>
      <c r="B514" s="1" t="s">
        <v>2477</v>
      </c>
      <c r="C514" s="1" t="s">
        <v>1038</v>
      </c>
      <c r="D514" s="1" t="s">
        <v>31</v>
      </c>
      <c r="E514" s="1">
        <f t="shared" si="2"/>
        <v>145.5</v>
      </c>
      <c r="F514" s="1">
        <f t="shared" si="3"/>
        <v>2.08</v>
      </c>
      <c r="G514" s="1">
        <v>70.0</v>
      </c>
      <c r="H514" s="1">
        <v>7.0</v>
      </c>
      <c r="I514" s="1">
        <v>5.0</v>
      </c>
      <c r="J514" s="1">
        <v>12.0</v>
      </c>
      <c r="K514" s="1">
        <v>103.0</v>
      </c>
      <c r="L514" s="1">
        <v>0.0</v>
      </c>
      <c r="M514" s="1">
        <v>0.0</v>
      </c>
      <c r="N514" s="1">
        <v>0.0</v>
      </c>
      <c r="O514" s="1">
        <v>0.0</v>
      </c>
      <c r="P514" s="1">
        <v>86.0</v>
      </c>
      <c r="Q514" s="1">
        <v>52.0</v>
      </c>
    </row>
    <row r="515">
      <c r="A515" s="1">
        <f t="shared" si="1"/>
        <v>512</v>
      </c>
      <c r="B515" s="1" t="s">
        <v>2250</v>
      </c>
      <c r="C515" s="1" t="s">
        <v>1044</v>
      </c>
      <c r="D515" s="1" t="s">
        <v>66</v>
      </c>
      <c r="E515" s="1">
        <f t="shared" si="2"/>
        <v>145.5</v>
      </c>
      <c r="F515" s="1">
        <f t="shared" si="3"/>
        <v>2.75</v>
      </c>
      <c r="G515" s="1">
        <v>53.0</v>
      </c>
      <c r="H515" s="1">
        <v>1.0</v>
      </c>
      <c r="I515" s="1">
        <v>4.0</v>
      </c>
      <c r="J515" s="1">
        <v>5.0</v>
      </c>
      <c r="K515" s="1">
        <v>59.0</v>
      </c>
      <c r="L515" s="1">
        <v>0.0</v>
      </c>
      <c r="M515" s="1">
        <v>0.0</v>
      </c>
      <c r="N515" s="1">
        <v>0.0</v>
      </c>
      <c r="O515" s="1">
        <v>0.0</v>
      </c>
      <c r="P515" s="1">
        <v>212.0</v>
      </c>
      <c r="Q515" s="1">
        <v>93.0</v>
      </c>
    </row>
    <row r="516">
      <c r="A516" s="1">
        <f t="shared" si="1"/>
        <v>512</v>
      </c>
      <c r="B516" s="1" t="s">
        <v>2704</v>
      </c>
      <c r="C516" s="1" t="s">
        <v>1570</v>
      </c>
      <c r="D516" s="1" t="s">
        <v>31</v>
      </c>
      <c r="E516" s="1">
        <f t="shared" si="2"/>
        <v>145.5</v>
      </c>
      <c r="F516" s="1">
        <f t="shared" si="3"/>
        <v>2.05</v>
      </c>
      <c r="G516" s="1">
        <v>71.0</v>
      </c>
      <c r="H516" s="1">
        <v>7.0</v>
      </c>
      <c r="I516" s="1">
        <v>13.0</v>
      </c>
      <c r="J516" s="1">
        <v>20.0</v>
      </c>
      <c r="K516" s="1">
        <v>87.0</v>
      </c>
      <c r="L516" s="1">
        <v>0.0</v>
      </c>
      <c r="M516" s="1">
        <v>0.0</v>
      </c>
      <c r="N516" s="1">
        <v>2.0</v>
      </c>
      <c r="O516" s="1">
        <v>2.0</v>
      </c>
      <c r="P516" s="1">
        <v>32.0</v>
      </c>
      <c r="Q516" s="1">
        <v>31.0</v>
      </c>
    </row>
    <row r="517">
      <c r="A517" s="1">
        <f t="shared" si="1"/>
        <v>515</v>
      </c>
      <c r="B517" s="1" t="s">
        <v>1650</v>
      </c>
      <c r="C517" s="1" t="s">
        <v>1038</v>
      </c>
      <c r="D517" s="1" t="s">
        <v>66</v>
      </c>
      <c r="E517" s="1">
        <f t="shared" si="2"/>
        <v>145</v>
      </c>
      <c r="F517" s="1">
        <f t="shared" si="3"/>
        <v>2.2</v>
      </c>
      <c r="G517" s="1">
        <v>66.0</v>
      </c>
      <c r="H517" s="1">
        <v>3.0</v>
      </c>
      <c r="I517" s="1">
        <v>15.0</v>
      </c>
      <c r="J517" s="1">
        <v>18.0</v>
      </c>
      <c r="K517" s="1">
        <v>90.0</v>
      </c>
      <c r="L517" s="1">
        <v>1.0</v>
      </c>
      <c r="M517" s="1">
        <v>5.0</v>
      </c>
      <c r="N517" s="1">
        <v>0.0</v>
      </c>
      <c r="O517" s="1">
        <v>0.0</v>
      </c>
      <c r="P517" s="1">
        <v>46.0</v>
      </c>
      <c r="Q517" s="1">
        <v>60.0</v>
      </c>
    </row>
    <row r="518">
      <c r="A518" s="1">
        <f t="shared" si="1"/>
        <v>516</v>
      </c>
      <c r="B518" s="1" t="s">
        <v>1947</v>
      </c>
      <c r="C518" s="1" t="s">
        <v>1044</v>
      </c>
      <c r="D518" s="1" t="s">
        <v>66</v>
      </c>
      <c r="E518" s="1">
        <f t="shared" si="2"/>
        <v>144.5</v>
      </c>
      <c r="F518" s="1">
        <f t="shared" si="3"/>
        <v>2.58</v>
      </c>
      <c r="G518" s="1">
        <v>56.0</v>
      </c>
      <c r="H518" s="1">
        <v>7.0</v>
      </c>
      <c r="I518" s="1">
        <v>8.0</v>
      </c>
      <c r="J518" s="1">
        <v>15.0</v>
      </c>
      <c r="K518" s="1">
        <v>79.0</v>
      </c>
      <c r="L518" s="1">
        <v>4.0</v>
      </c>
      <c r="M518" s="1">
        <v>4.0</v>
      </c>
      <c r="N518" s="1">
        <v>0.0</v>
      </c>
      <c r="O518" s="1">
        <v>0.0</v>
      </c>
      <c r="P518" s="1">
        <v>34.0</v>
      </c>
      <c r="Q518" s="1">
        <v>82.0</v>
      </c>
    </row>
    <row r="519">
      <c r="A519" s="1">
        <f t="shared" si="1"/>
        <v>517</v>
      </c>
      <c r="B519" s="1" t="s">
        <v>2421</v>
      </c>
      <c r="C519" s="1" t="s">
        <v>1046</v>
      </c>
      <c r="D519" s="1" t="s">
        <v>66</v>
      </c>
      <c r="E519" s="1">
        <f t="shared" si="2"/>
        <v>143.25</v>
      </c>
      <c r="F519" s="1">
        <f t="shared" si="3"/>
        <v>3.49</v>
      </c>
      <c r="G519" s="1">
        <v>41.0</v>
      </c>
      <c r="H519" s="1">
        <v>2.0</v>
      </c>
      <c r="I519" s="1">
        <v>14.0</v>
      </c>
      <c r="J519" s="1">
        <v>16.0</v>
      </c>
      <c r="K519" s="1">
        <v>91.0</v>
      </c>
      <c r="L519" s="1">
        <v>0.0</v>
      </c>
      <c r="M519" s="1">
        <v>1.0</v>
      </c>
      <c r="N519" s="1">
        <v>0.0</v>
      </c>
      <c r="O519" s="1">
        <v>0.0</v>
      </c>
      <c r="P519" s="1">
        <v>101.0</v>
      </c>
      <c r="Q519" s="1">
        <v>43.0</v>
      </c>
    </row>
    <row r="520">
      <c r="A520" s="1">
        <f t="shared" si="1"/>
        <v>518</v>
      </c>
      <c r="B520" s="1" t="s">
        <v>2303</v>
      </c>
      <c r="C520" s="1" t="s">
        <v>1067</v>
      </c>
      <c r="D520" s="1" t="s">
        <v>31</v>
      </c>
      <c r="E520" s="1">
        <f t="shared" si="2"/>
        <v>142.5</v>
      </c>
      <c r="F520" s="1">
        <f t="shared" si="3"/>
        <v>1.95</v>
      </c>
      <c r="G520" s="1">
        <v>73.0</v>
      </c>
      <c r="H520" s="1">
        <v>6.0</v>
      </c>
      <c r="I520" s="1">
        <v>8.0</v>
      </c>
      <c r="J520" s="1">
        <v>14.0</v>
      </c>
      <c r="K520" s="1">
        <v>79.0</v>
      </c>
      <c r="L520" s="1">
        <v>0.0</v>
      </c>
      <c r="M520" s="1">
        <v>0.0</v>
      </c>
      <c r="N520" s="1">
        <v>1.0</v>
      </c>
      <c r="O520" s="1">
        <v>0.0</v>
      </c>
      <c r="P520" s="1">
        <v>112.0</v>
      </c>
      <c r="Q520" s="1">
        <v>44.0</v>
      </c>
    </row>
    <row r="521">
      <c r="A521" s="1">
        <f t="shared" si="1"/>
        <v>519</v>
      </c>
      <c r="B521" s="1" t="s">
        <v>1709</v>
      </c>
      <c r="C521" s="1" t="s">
        <v>1067</v>
      </c>
      <c r="D521" s="1" t="s">
        <v>66</v>
      </c>
      <c r="E521" s="1">
        <f t="shared" si="2"/>
        <v>142.25</v>
      </c>
      <c r="F521" s="1">
        <f t="shared" si="3"/>
        <v>2.26</v>
      </c>
      <c r="G521" s="1">
        <v>63.0</v>
      </c>
      <c r="H521" s="1">
        <v>6.0</v>
      </c>
      <c r="I521" s="1">
        <v>7.0</v>
      </c>
      <c r="J521" s="1">
        <v>13.0</v>
      </c>
      <c r="K521" s="1">
        <v>83.0</v>
      </c>
      <c r="L521" s="1">
        <v>0.0</v>
      </c>
      <c r="M521" s="1">
        <v>0.0</v>
      </c>
      <c r="N521" s="1">
        <v>0.0</v>
      </c>
      <c r="O521" s="1">
        <v>1.0</v>
      </c>
      <c r="P521" s="1">
        <v>53.0</v>
      </c>
      <c r="Q521" s="1">
        <v>75.0</v>
      </c>
    </row>
    <row r="522">
      <c r="A522" s="1">
        <f t="shared" si="1"/>
        <v>520</v>
      </c>
      <c r="B522" s="1" t="s">
        <v>2598</v>
      </c>
      <c r="C522" s="1" t="s">
        <v>1175</v>
      </c>
      <c r="D522" s="1" t="s">
        <v>31</v>
      </c>
      <c r="E522" s="1">
        <f t="shared" si="2"/>
        <v>141.75</v>
      </c>
      <c r="F522" s="1">
        <f t="shared" si="3"/>
        <v>1.79</v>
      </c>
      <c r="G522" s="1">
        <v>79.0</v>
      </c>
      <c r="H522" s="1">
        <v>12.0</v>
      </c>
      <c r="I522" s="1">
        <v>4.0</v>
      </c>
      <c r="J522" s="1">
        <v>16.0</v>
      </c>
      <c r="K522" s="1">
        <v>79.0</v>
      </c>
      <c r="L522" s="1">
        <v>0.0</v>
      </c>
      <c r="M522" s="1">
        <v>0.0</v>
      </c>
      <c r="N522" s="1">
        <v>0.0</v>
      </c>
      <c r="O522" s="1">
        <v>0.0</v>
      </c>
      <c r="P522" s="1">
        <v>67.0</v>
      </c>
      <c r="Q522" s="1">
        <v>39.0</v>
      </c>
    </row>
    <row r="523">
      <c r="A523" s="1">
        <f t="shared" si="1"/>
        <v>520</v>
      </c>
      <c r="B523" s="1" t="s">
        <v>2052</v>
      </c>
      <c r="C523" s="1" t="s">
        <v>1036</v>
      </c>
      <c r="D523" s="1" t="s">
        <v>31</v>
      </c>
      <c r="E523" s="1">
        <f t="shared" si="2"/>
        <v>141.75</v>
      </c>
      <c r="F523" s="1">
        <f t="shared" si="3"/>
        <v>2.36</v>
      </c>
      <c r="G523" s="1">
        <v>60.0</v>
      </c>
      <c r="H523" s="1">
        <v>3.0</v>
      </c>
      <c r="I523" s="1">
        <v>15.0</v>
      </c>
      <c r="J523" s="1">
        <v>18.0</v>
      </c>
      <c r="K523" s="1">
        <v>64.0</v>
      </c>
      <c r="L523" s="1">
        <v>0.0</v>
      </c>
      <c r="M523" s="1">
        <v>0.0</v>
      </c>
      <c r="N523" s="1">
        <v>1.0</v>
      </c>
      <c r="O523" s="1">
        <v>1.0</v>
      </c>
      <c r="P523" s="1">
        <v>123.0</v>
      </c>
      <c r="Q523" s="1">
        <v>33.0</v>
      </c>
    </row>
    <row r="524">
      <c r="A524" s="1">
        <f t="shared" si="1"/>
        <v>522</v>
      </c>
      <c r="B524" s="1" t="s">
        <v>1703</v>
      </c>
      <c r="C524" s="1" t="s">
        <v>1080</v>
      </c>
      <c r="D524" s="1" t="s">
        <v>66</v>
      </c>
      <c r="E524" s="1">
        <f t="shared" si="2"/>
        <v>141.25</v>
      </c>
      <c r="F524" s="1">
        <f t="shared" si="3"/>
        <v>2.48</v>
      </c>
      <c r="G524" s="1">
        <v>57.0</v>
      </c>
      <c r="H524" s="1">
        <v>3.0</v>
      </c>
      <c r="I524" s="1">
        <v>12.0</v>
      </c>
      <c r="J524" s="1">
        <v>15.0</v>
      </c>
      <c r="K524" s="1">
        <v>72.0</v>
      </c>
      <c r="L524" s="1">
        <v>0.0</v>
      </c>
      <c r="M524" s="1">
        <v>0.0</v>
      </c>
      <c r="N524" s="1">
        <v>1.0</v>
      </c>
      <c r="O524" s="1">
        <v>0.0</v>
      </c>
      <c r="P524" s="1">
        <v>71.0</v>
      </c>
      <c r="Q524" s="1">
        <v>72.0</v>
      </c>
    </row>
    <row r="525">
      <c r="A525" s="1">
        <f t="shared" si="1"/>
        <v>523</v>
      </c>
      <c r="B525" s="1" t="s">
        <v>1485</v>
      </c>
      <c r="C525" s="1" t="s">
        <v>1116</v>
      </c>
      <c r="D525" s="1" t="s">
        <v>36</v>
      </c>
      <c r="E525" s="1">
        <f t="shared" si="2"/>
        <v>141</v>
      </c>
      <c r="F525" s="1">
        <f t="shared" si="3"/>
        <v>1.83</v>
      </c>
      <c r="G525" s="1">
        <v>77.0</v>
      </c>
      <c r="H525" s="1">
        <v>9.0</v>
      </c>
      <c r="I525" s="1">
        <v>15.0</v>
      </c>
      <c r="J525" s="1">
        <v>24.0</v>
      </c>
      <c r="K525" s="1">
        <v>74.0</v>
      </c>
      <c r="L525" s="1">
        <v>5.0</v>
      </c>
      <c r="M525" s="1">
        <v>2.0</v>
      </c>
      <c r="N525" s="1">
        <v>0.0</v>
      </c>
      <c r="O525" s="1">
        <v>0.0</v>
      </c>
      <c r="P525" s="1">
        <v>32.0</v>
      </c>
      <c r="Q525" s="1">
        <v>21.0</v>
      </c>
    </row>
    <row r="526">
      <c r="A526" s="1">
        <f t="shared" si="1"/>
        <v>523</v>
      </c>
      <c r="B526" s="1" t="s">
        <v>2705</v>
      </c>
      <c r="C526" s="1" t="s">
        <v>1106</v>
      </c>
      <c r="D526" s="1" t="s">
        <v>28</v>
      </c>
      <c r="E526" s="1">
        <f t="shared" si="2"/>
        <v>141</v>
      </c>
      <c r="F526" s="1">
        <f t="shared" si="3"/>
        <v>2.35</v>
      </c>
      <c r="G526" s="1">
        <v>60.0</v>
      </c>
      <c r="H526" s="1">
        <v>8.0</v>
      </c>
      <c r="I526" s="1">
        <v>12.0</v>
      </c>
      <c r="J526" s="1">
        <v>20.0</v>
      </c>
      <c r="K526" s="1">
        <v>77.0</v>
      </c>
      <c r="L526" s="1">
        <v>0.0</v>
      </c>
      <c r="M526" s="1">
        <v>1.0</v>
      </c>
      <c r="N526" s="1">
        <v>0.0</v>
      </c>
      <c r="O526" s="1">
        <v>0.0</v>
      </c>
      <c r="P526" s="1">
        <v>48.0</v>
      </c>
      <c r="Q526" s="1">
        <v>37.0</v>
      </c>
    </row>
    <row r="527">
      <c r="A527" s="1">
        <f t="shared" si="1"/>
        <v>525</v>
      </c>
      <c r="B527" s="1" t="s">
        <v>1234</v>
      </c>
      <c r="C527" s="1" t="s">
        <v>1069</v>
      </c>
      <c r="D527" s="1" t="s">
        <v>5</v>
      </c>
      <c r="E527" s="1">
        <f t="shared" si="2"/>
        <v>140.7</v>
      </c>
      <c r="F527" s="1">
        <f t="shared" si="3"/>
        <v>4.02</v>
      </c>
      <c r="G527" s="1">
        <v>35.0</v>
      </c>
      <c r="R527" s="1">
        <v>11.0</v>
      </c>
      <c r="S527" s="1">
        <v>108.0</v>
      </c>
      <c r="T527" s="1">
        <v>889.0</v>
      </c>
      <c r="U527" s="1">
        <v>1.0</v>
      </c>
    </row>
    <row r="528">
      <c r="A528" s="1">
        <f t="shared" si="1"/>
        <v>526</v>
      </c>
      <c r="B528" s="1" t="s">
        <v>1438</v>
      </c>
      <c r="C528" s="1" t="s">
        <v>1156</v>
      </c>
      <c r="D528" s="1" t="s">
        <v>31</v>
      </c>
      <c r="E528" s="1">
        <f t="shared" si="2"/>
        <v>140.5</v>
      </c>
      <c r="F528" s="1">
        <f t="shared" si="3"/>
        <v>1.87</v>
      </c>
      <c r="G528" s="1">
        <v>75.0</v>
      </c>
      <c r="H528" s="1">
        <v>2.0</v>
      </c>
      <c r="I528" s="1">
        <v>23.0</v>
      </c>
      <c r="J528" s="1">
        <v>25.0</v>
      </c>
      <c r="K528" s="1">
        <v>64.0</v>
      </c>
      <c r="L528" s="1">
        <v>1.0</v>
      </c>
      <c r="M528" s="1">
        <v>5.0</v>
      </c>
      <c r="N528" s="1">
        <v>1.0</v>
      </c>
      <c r="O528" s="1">
        <v>2.0</v>
      </c>
      <c r="P528" s="1">
        <v>34.0</v>
      </c>
      <c r="Q528" s="1">
        <v>32.0</v>
      </c>
    </row>
    <row r="529">
      <c r="A529" s="1">
        <f t="shared" si="1"/>
        <v>527</v>
      </c>
      <c r="B529" s="1" t="s">
        <v>2315</v>
      </c>
      <c r="C529" s="1" t="s">
        <v>1082</v>
      </c>
      <c r="D529" s="1" t="s">
        <v>28</v>
      </c>
      <c r="E529" s="1">
        <f t="shared" si="2"/>
        <v>140</v>
      </c>
      <c r="F529" s="1">
        <f t="shared" si="3"/>
        <v>2.41</v>
      </c>
      <c r="G529" s="1">
        <v>58.0</v>
      </c>
      <c r="H529" s="1">
        <v>5.0</v>
      </c>
      <c r="I529" s="1">
        <v>14.0</v>
      </c>
      <c r="J529" s="1">
        <v>19.0</v>
      </c>
      <c r="K529" s="1">
        <v>99.0</v>
      </c>
      <c r="L529" s="1">
        <v>0.0</v>
      </c>
      <c r="M529" s="1">
        <v>0.0</v>
      </c>
      <c r="N529" s="1">
        <v>0.0</v>
      </c>
      <c r="O529" s="1">
        <v>0.0</v>
      </c>
      <c r="P529" s="1">
        <v>64.0</v>
      </c>
      <c r="Q529" s="1">
        <v>20.0</v>
      </c>
    </row>
    <row r="530">
      <c r="A530" s="1">
        <f t="shared" si="1"/>
        <v>528</v>
      </c>
      <c r="B530" s="1" t="s">
        <v>2117</v>
      </c>
      <c r="C530" s="1" t="s">
        <v>1156</v>
      </c>
      <c r="D530" s="1" t="s">
        <v>66</v>
      </c>
      <c r="E530" s="1">
        <f t="shared" si="2"/>
        <v>139.75</v>
      </c>
      <c r="F530" s="1">
        <f t="shared" si="3"/>
        <v>1.91</v>
      </c>
      <c r="G530" s="1">
        <v>73.0</v>
      </c>
      <c r="H530" s="1">
        <v>2.0</v>
      </c>
      <c r="I530" s="1">
        <v>15.0</v>
      </c>
      <c r="J530" s="1">
        <v>17.0</v>
      </c>
      <c r="K530" s="1">
        <v>54.0</v>
      </c>
      <c r="L530" s="1">
        <v>0.0</v>
      </c>
      <c r="M530" s="1">
        <v>0.0</v>
      </c>
      <c r="N530" s="1">
        <v>0.0</v>
      </c>
      <c r="O530" s="1">
        <v>0.0</v>
      </c>
      <c r="P530" s="1">
        <v>73.0</v>
      </c>
      <c r="Q530" s="1">
        <v>81.0</v>
      </c>
    </row>
    <row r="531">
      <c r="A531" s="1">
        <f t="shared" si="1"/>
        <v>529</v>
      </c>
      <c r="B531" s="1" t="s">
        <v>1314</v>
      </c>
      <c r="C531" s="1" t="s">
        <v>1120</v>
      </c>
      <c r="D531" s="1" t="s">
        <v>31</v>
      </c>
      <c r="E531" s="1">
        <f t="shared" si="2"/>
        <v>138</v>
      </c>
      <c r="F531" s="1">
        <f t="shared" si="3"/>
        <v>2.23</v>
      </c>
      <c r="G531" s="1">
        <v>62.0</v>
      </c>
      <c r="H531" s="1">
        <v>8.0</v>
      </c>
      <c r="I531" s="1">
        <v>10.0</v>
      </c>
      <c r="J531" s="1">
        <v>18.0</v>
      </c>
      <c r="K531" s="1">
        <v>74.0</v>
      </c>
      <c r="L531" s="1">
        <v>4.0</v>
      </c>
      <c r="M531" s="1">
        <v>0.0</v>
      </c>
      <c r="N531" s="1">
        <v>0.0</v>
      </c>
      <c r="O531" s="1">
        <v>0.0</v>
      </c>
      <c r="P531" s="1">
        <v>84.0</v>
      </c>
      <c r="Q531" s="1">
        <v>28.0</v>
      </c>
    </row>
    <row r="532">
      <c r="A532" s="1">
        <f t="shared" si="1"/>
        <v>530</v>
      </c>
      <c r="B532" s="1" t="s">
        <v>1432</v>
      </c>
      <c r="C532" s="1" t="s">
        <v>1054</v>
      </c>
      <c r="D532" s="1" t="s">
        <v>31</v>
      </c>
      <c r="E532" s="1">
        <f t="shared" si="2"/>
        <v>137.75</v>
      </c>
      <c r="F532" s="1">
        <f t="shared" si="3"/>
        <v>2.81</v>
      </c>
      <c r="G532" s="1">
        <v>49.0</v>
      </c>
      <c r="H532" s="1">
        <v>6.0</v>
      </c>
      <c r="I532" s="1">
        <v>11.0</v>
      </c>
      <c r="J532" s="1">
        <v>17.0</v>
      </c>
      <c r="K532" s="1">
        <v>88.0</v>
      </c>
      <c r="L532" s="1">
        <v>0.0</v>
      </c>
      <c r="M532" s="1">
        <v>1.0</v>
      </c>
      <c r="N532" s="1">
        <v>0.0</v>
      </c>
      <c r="O532" s="1">
        <v>0.0</v>
      </c>
      <c r="P532" s="1">
        <v>67.0</v>
      </c>
      <c r="Q532" s="1">
        <v>34.0</v>
      </c>
    </row>
    <row r="533">
      <c r="A533" s="1">
        <f t="shared" si="1"/>
        <v>531</v>
      </c>
      <c r="B533" s="1" t="s">
        <v>2583</v>
      </c>
      <c r="C533" s="1" t="s">
        <v>1076</v>
      </c>
      <c r="D533" s="1" t="s">
        <v>5</v>
      </c>
      <c r="E533" s="1">
        <f t="shared" si="2"/>
        <v>137.7</v>
      </c>
      <c r="F533" s="1">
        <f t="shared" si="3"/>
        <v>5.99</v>
      </c>
      <c r="G533" s="1">
        <v>23.0</v>
      </c>
      <c r="R533" s="1">
        <v>10.0</v>
      </c>
      <c r="S533" s="1">
        <v>55.0</v>
      </c>
      <c r="T533" s="1">
        <v>614.0</v>
      </c>
      <c r="U533" s="1">
        <v>2.0</v>
      </c>
    </row>
    <row r="534">
      <c r="A534" s="1">
        <f t="shared" si="1"/>
        <v>532</v>
      </c>
      <c r="B534" s="1" t="s">
        <v>2706</v>
      </c>
      <c r="C534" s="1" t="s">
        <v>1044</v>
      </c>
      <c r="D534" s="1" t="s">
        <v>36</v>
      </c>
      <c r="E534" s="1">
        <f t="shared" si="2"/>
        <v>136.25</v>
      </c>
      <c r="F534" s="1">
        <f t="shared" si="3"/>
        <v>2.62</v>
      </c>
      <c r="G534" s="1">
        <v>52.0</v>
      </c>
      <c r="H534" s="1">
        <v>7.0</v>
      </c>
      <c r="I534" s="1">
        <v>10.0</v>
      </c>
      <c r="J534" s="1">
        <v>17.0</v>
      </c>
      <c r="K534" s="1">
        <v>76.0</v>
      </c>
      <c r="L534" s="1">
        <v>1.0</v>
      </c>
      <c r="M534" s="1">
        <v>0.0</v>
      </c>
      <c r="N534" s="1">
        <v>0.0</v>
      </c>
      <c r="O534" s="1">
        <v>1.0</v>
      </c>
      <c r="P534" s="1">
        <v>89.0</v>
      </c>
      <c r="Q534" s="1">
        <v>25.0</v>
      </c>
    </row>
    <row r="535">
      <c r="A535" s="1">
        <f t="shared" si="1"/>
        <v>533</v>
      </c>
      <c r="B535" s="1" t="s">
        <v>2292</v>
      </c>
      <c r="C535" s="1" t="s">
        <v>1091</v>
      </c>
      <c r="D535" s="1" t="s">
        <v>28</v>
      </c>
      <c r="E535" s="1">
        <f t="shared" si="2"/>
        <v>136</v>
      </c>
      <c r="F535" s="1">
        <f t="shared" si="3"/>
        <v>2.03</v>
      </c>
      <c r="G535" s="1">
        <v>67.0</v>
      </c>
      <c r="H535" s="1">
        <v>6.0</v>
      </c>
      <c r="I535" s="1">
        <v>12.0</v>
      </c>
      <c r="J535" s="1">
        <v>18.0</v>
      </c>
      <c r="K535" s="1">
        <v>65.0</v>
      </c>
      <c r="L535" s="1">
        <v>0.0</v>
      </c>
      <c r="M535" s="1">
        <v>0.0</v>
      </c>
      <c r="N535" s="1">
        <v>1.0</v>
      </c>
      <c r="O535" s="1">
        <v>0.0</v>
      </c>
      <c r="P535" s="1">
        <v>96.0</v>
      </c>
      <c r="Q535" s="1">
        <v>29.0</v>
      </c>
    </row>
    <row r="536">
      <c r="A536" s="1">
        <f t="shared" si="1"/>
        <v>534</v>
      </c>
      <c r="B536" s="1" t="s">
        <v>2707</v>
      </c>
      <c r="C536" s="1" t="s">
        <v>1156</v>
      </c>
      <c r="D536" s="1" t="s">
        <v>31</v>
      </c>
      <c r="E536" s="1">
        <f t="shared" si="2"/>
        <v>135.25</v>
      </c>
      <c r="F536" s="1">
        <f t="shared" si="3"/>
        <v>2.22</v>
      </c>
      <c r="G536" s="1">
        <v>61.0</v>
      </c>
      <c r="H536" s="1">
        <v>6.0</v>
      </c>
      <c r="I536" s="1">
        <v>8.0</v>
      </c>
      <c r="J536" s="1">
        <v>14.0</v>
      </c>
      <c r="K536" s="1">
        <v>63.0</v>
      </c>
      <c r="L536" s="1">
        <v>0.0</v>
      </c>
      <c r="M536" s="1">
        <v>0.0</v>
      </c>
      <c r="N536" s="1">
        <v>0.0</v>
      </c>
      <c r="O536" s="1">
        <v>1.0</v>
      </c>
      <c r="P536" s="1">
        <v>147.0</v>
      </c>
      <c r="Q536" s="1">
        <v>28.0</v>
      </c>
    </row>
    <row r="537">
      <c r="A537" s="1">
        <f t="shared" si="1"/>
        <v>535</v>
      </c>
      <c r="B537" s="1" t="s">
        <v>1344</v>
      </c>
      <c r="C537" s="1" t="s">
        <v>1054</v>
      </c>
      <c r="D537" s="1" t="s">
        <v>66</v>
      </c>
      <c r="E537" s="1">
        <f t="shared" si="2"/>
        <v>135</v>
      </c>
      <c r="F537" s="1">
        <f t="shared" si="3"/>
        <v>1.9</v>
      </c>
      <c r="G537" s="1">
        <v>71.0</v>
      </c>
      <c r="H537" s="1">
        <v>2.0</v>
      </c>
      <c r="I537" s="1">
        <v>5.0</v>
      </c>
      <c r="J537" s="1">
        <v>7.0</v>
      </c>
      <c r="K537" s="1">
        <v>67.0</v>
      </c>
      <c r="L537" s="1">
        <v>0.0</v>
      </c>
      <c r="M537" s="1">
        <v>0.0</v>
      </c>
      <c r="N537" s="1">
        <v>0.0</v>
      </c>
      <c r="O537" s="1">
        <v>0.0</v>
      </c>
      <c r="P537" s="1">
        <v>78.0</v>
      </c>
      <c r="Q537" s="1">
        <v>116.0</v>
      </c>
    </row>
    <row r="538">
      <c r="A538" s="1">
        <f t="shared" si="1"/>
        <v>536</v>
      </c>
      <c r="B538" s="1" t="s">
        <v>2112</v>
      </c>
      <c r="C538" s="1" t="s">
        <v>1091</v>
      </c>
      <c r="D538" s="1" t="s">
        <v>5</v>
      </c>
      <c r="E538" s="1">
        <f t="shared" si="2"/>
        <v>134.1</v>
      </c>
      <c r="F538" s="1">
        <f t="shared" si="3"/>
        <v>5.16</v>
      </c>
      <c r="G538" s="1">
        <v>26.0</v>
      </c>
      <c r="R538" s="1">
        <v>11.0</v>
      </c>
      <c r="S538" s="1">
        <v>69.0</v>
      </c>
      <c r="T538" s="1">
        <v>672.0</v>
      </c>
      <c r="U538" s="1">
        <v>1.0</v>
      </c>
    </row>
    <row r="539">
      <c r="A539" s="1">
        <f t="shared" si="1"/>
        <v>537</v>
      </c>
      <c r="B539" s="1" t="s">
        <v>2272</v>
      </c>
      <c r="C539" s="1" t="s">
        <v>1065</v>
      </c>
      <c r="D539" s="1" t="s">
        <v>36</v>
      </c>
      <c r="E539" s="1">
        <f t="shared" si="2"/>
        <v>133.25</v>
      </c>
      <c r="F539" s="1">
        <f t="shared" si="3"/>
        <v>4.44</v>
      </c>
      <c r="G539" s="1">
        <v>30.0</v>
      </c>
      <c r="H539" s="1">
        <v>11.0</v>
      </c>
      <c r="I539" s="1">
        <v>9.0</v>
      </c>
      <c r="J539" s="1">
        <v>20.0</v>
      </c>
      <c r="K539" s="1">
        <v>94.0</v>
      </c>
      <c r="L539" s="1">
        <v>1.0</v>
      </c>
      <c r="M539" s="1">
        <v>3.0</v>
      </c>
      <c r="N539" s="1">
        <v>0.0</v>
      </c>
      <c r="O539" s="1">
        <v>0.0</v>
      </c>
      <c r="P539" s="1">
        <v>17.0</v>
      </c>
      <c r="Q539" s="1">
        <v>11.0</v>
      </c>
    </row>
    <row r="540">
      <c r="A540" s="1">
        <f t="shared" si="1"/>
        <v>538</v>
      </c>
      <c r="B540" s="1" t="s">
        <v>1375</v>
      </c>
      <c r="C540" s="1" t="s">
        <v>1085</v>
      </c>
      <c r="D540" s="1" t="s">
        <v>66</v>
      </c>
      <c r="E540" s="1">
        <f t="shared" si="2"/>
        <v>132.75</v>
      </c>
      <c r="F540" s="1">
        <f t="shared" si="3"/>
        <v>2.33</v>
      </c>
      <c r="G540" s="1">
        <v>57.0</v>
      </c>
      <c r="H540" s="1">
        <v>4.0</v>
      </c>
      <c r="I540" s="1">
        <v>8.0</v>
      </c>
      <c r="J540" s="1">
        <v>12.0</v>
      </c>
      <c r="K540" s="1">
        <v>55.0</v>
      </c>
      <c r="L540" s="1">
        <v>0.0</v>
      </c>
      <c r="M540" s="1">
        <v>0.0</v>
      </c>
      <c r="N540" s="1">
        <v>0.0</v>
      </c>
      <c r="O540" s="1">
        <v>0.0</v>
      </c>
      <c r="P540" s="1">
        <v>135.0</v>
      </c>
      <c r="Q540" s="1">
        <v>59.0</v>
      </c>
    </row>
    <row r="541">
      <c r="A541" s="1">
        <f t="shared" si="1"/>
        <v>538</v>
      </c>
      <c r="B541" s="1" t="s">
        <v>2204</v>
      </c>
      <c r="C541" s="1" t="s">
        <v>1048</v>
      </c>
      <c r="D541" s="1" t="s">
        <v>66</v>
      </c>
      <c r="E541" s="1">
        <f t="shared" si="2"/>
        <v>132.75</v>
      </c>
      <c r="F541" s="1">
        <f t="shared" si="3"/>
        <v>2.82</v>
      </c>
      <c r="G541" s="1">
        <v>47.0</v>
      </c>
      <c r="H541" s="1">
        <v>2.0</v>
      </c>
      <c r="I541" s="1">
        <v>15.0</v>
      </c>
      <c r="J541" s="1">
        <v>17.0</v>
      </c>
      <c r="K541" s="1">
        <v>57.0</v>
      </c>
      <c r="L541" s="1">
        <v>0.0</v>
      </c>
      <c r="M541" s="1">
        <v>1.0</v>
      </c>
      <c r="N541" s="1">
        <v>0.0</v>
      </c>
      <c r="O541" s="1">
        <v>0.0</v>
      </c>
      <c r="P541" s="1">
        <v>59.0</v>
      </c>
      <c r="Q541" s="1">
        <v>71.0</v>
      </c>
    </row>
    <row r="542">
      <c r="A542" s="1">
        <f t="shared" si="1"/>
        <v>538</v>
      </c>
      <c r="B542" s="1" t="s">
        <v>1431</v>
      </c>
      <c r="C542" s="1" t="s">
        <v>1046</v>
      </c>
      <c r="D542" s="1" t="s">
        <v>66</v>
      </c>
      <c r="E542" s="1">
        <f t="shared" si="2"/>
        <v>132.75</v>
      </c>
      <c r="F542" s="1">
        <f t="shared" si="3"/>
        <v>2.41</v>
      </c>
      <c r="G542" s="1">
        <v>55.0</v>
      </c>
      <c r="H542" s="1">
        <v>2.0</v>
      </c>
      <c r="I542" s="1">
        <v>10.0</v>
      </c>
      <c r="J542" s="1">
        <v>12.0</v>
      </c>
      <c r="K542" s="1">
        <v>51.0</v>
      </c>
      <c r="L542" s="1">
        <v>0.0</v>
      </c>
      <c r="M542" s="1">
        <v>0.0</v>
      </c>
      <c r="N542" s="1">
        <v>0.0</v>
      </c>
      <c r="O542" s="1">
        <v>0.0</v>
      </c>
      <c r="P542" s="1">
        <v>29.0</v>
      </c>
      <c r="Q542" s="1">
        <v>122.0</v>
      </c>
    </row>
    <row r="543">
      <c r="A543" s="1">
        <f t="shared" si="1"/>
        <v>541</v>
      </c>
      <c r="B543" s="1" t="s">
        <v>2594</v>
      </c>
      <c r="C543" s="1" t="s">
        <v>1097</v>
      </c>
      <c r="D543" s="1" t="s">
        <v>31</v>
      </c>
      <c r="E543" s="1">
        <f t="shared" si="2"/>
        <v>132.5</v>
      </c>
      <c r="F543" s="1">
        <f t="shared" si="3"/>
        <v>2.1</v>
      </c>
      <c r="G543" s="1">
        <v>63.0</v>
      </c>
      <c r="H543" s="1">
        <v>8.0</v>
      </c>
      <c r="I543" s="1">
        <v>13.0</v>
      </c>
      <c r="J543" s="1">
        <v>21.0</v>
      </c>
      <c r="K543" s="1">
        <v>75.0</v>
      </c>
      <c r="L543" s="1">
        <v>2.0</v>
      </c>
      <c r="M543" s="1">
        <v>4.0</v>
      </c>
      <c r="N543" s="1">
        <v>0.0</v>
      </c>
      <c r="O543" s="1">
        <v>0.0</v>
      </c>
      <c r="P543" s="1">
        <v>28.0</v>
      </c>
      <c r="Q543" s="1">
        <v>26.0</v>
      </c>
    </row>
    <row r="544">
      <c r="A544" s="1">
        <f t="shared" si="1"/>
        <v>541</v>
      </c>
      <c r="B544" s="1" t="s">
        <v>2373</v>
      </c>
      <c r="C544" s="1" t="s">
        <v>1044</v>
      </c>
      <c r="D544" s="1" t="s">
        <v>66</v>
      </c>
      <c r="E544" s="1">
        <f t="shared" si="2"/>
        <v>132.5</v>
      </c>
      <c r="F544" s="1">
        <f t="shared" si="3"/>
        <v>2.17</v>
      </c>
      <c r="G544" s="1">
        <v>61.0</v>
      </c>
      <c r="H544" s="1">
        <v>1.0</v>
      </c>
      <c r="I544" s="1">
        <v>9.0</v>
      </c>
      <c r="J544" s="1">
        <v>10.0</v>
      </c>
      <c r="K544" s="1">
        <v>65.0</v>
      </c>
      <c r="L544" s="1">
        <v>0.0</v>
      </c>
      <c r="M544" s="1">
        <v>2.0</v>
      </c>
      <c r="N544" s="1">
        <v>0.0</v>
      </c>
      <c r="O544" s="1">
        <v>0.0</v>
      </c>
      <c r="P544" s="1">
        <v>110.0</v>
      </c>
      <c r="Q544" s="1">
        <v>82.0</v>
      </c>
    </row>
    <row r="545">
      <c r="A545" s="1">
        <f t="shared" si="1"/>
        <v>543</v>
      </c>
      <c r="B545" s="1" t="s">
        <v>2708</v>
      </c>
      <c r="C545" s="1" t="s">
        <v>1570</v>
      </c>
      <c r="D545" s="1" t="s">
        <v>36</v>
      </c>
      <c r="E545" s="1">
        <f t="shared" si="2"/>
        <v>132.25</v>
      </c>
      <c r="F545" s="1">
        <f t="shared" si="3"/>
        <v>2.07</v>
      </c>
      <c r="G545" s="1">
        <v>64.0</v>
      </c>
      <c r="H545" s="1">
        <v>7.0</v>
      </c>
      <c r="I545" s="1">
        <v>10.0</v>
      </c>
      <c r="J545" s="1">
        <v>17.0</v>
      </c>
      <c r="K545" s="1">
        <v>95.0</v>
      </c>
      <c r="L545" s="1">
        <v>0.0</v>
      </c>
      <c r="M545" s="1">
        <v>0.0</v>
      </c>
      <c r="N545" s="1">
        <v>0.0</v>
      </c>
      <c r="O545" s="1">
        <v>0.0</v>
      </c>
      <c r="P545" s="1">
        <v>29.0</v>
      </c>
      <c r="Q545" s="1">
        <v>32.0</v>
      </c>
    </row>
    <row r="546">
      <c r="A546" s="1">
        <f t="shared" si="1"/>
        <v>543</v>
      </c>
      <c r="B546" s="1" t="s">
        <v>1832</v>
      </c>
      <c r="C546" s="1" t="s">
        <v>1106</v>
      </c>
      <c r="D546" s="1" t="s">
        <v>66</v>
      </c>
      <c r="E546" s="1">
        <f t="shared" si="2"/>
        <v>132.25</v>
      </c>
      <c r="F546" s="1">
        <f t="shared" si="3"/>
        <v>2.24</v>
      </c>
      <c r="G546" s="1">
        <v>59.0</v>
      </c>
      <c r="H546" s="1">
        <v>2.0</v>
      </c>
      <c r="I546" s="1">
        <v>8.0</v>
      </c>
      <c r="J546" s="1">
        <v>10.0</v>
      </c>
      <c r="K546" s="1">
        <v>75.0</v>
      </c>
      <c r="L546" s="1">
        <v>0.0</v>
      </c>
      <c r="M546" s="1">
        <v>0.0</v>
      </c>
      <c r="N546" s="1">
        <v>0.0</v>
      </c>
      <c r="O546" s="1">
        <v>1.0</v>
      </c>
      <c r="P546" s="1">
        <v>95.0</v>
      </c>
      <c r="Q546" s="1">
        <v>72.0</v>
      </c>
    </row>
    <row r="547">
      <c r="A547" s="1">
        <f t="shared" si="1"/>
        <v>545</v>
      </c>
      <c r="B547" s="1" t="s">
        <v>2353</v>
      </c>
      <c r="C547" s="1" t="s">
        <v>1042</v>
      </c>
      <c r="D547" s="1" t="s">
        <v>31</v>
      </c>
      <c r="E547" s="1">
        <f t="shared" si="2"/>
        <v>132</v>
      </c>
      <c r="F547" s="1">
        <f t="shared" si="3"/>
        <v>2.4</v>
      </c>
      <c r="G547" s="1">
        <v>55.0</v>
      </c>
      <c r="H547" s="1">
        <v>7.0</v>
      </c>
      <c r="I547" s="1">
        <v>16.0</v>
      </c>
      <c r="J547" s="1">
        <v>23.0</v>
      </c>
      <c r="K547" s="1">
        <v>78.0</v>
      </c>
      <c r="L547" s="1">
        <v>4.0</v>
      </c>
      <c r="M547" s="1">
        <v>2.0</v>
      </c>
      <c r="N547" s="1">
        <v>0.0</v>
      </c>
      <c r="O547" s="1">
        <v>0.0</v>
      </c>
      <c r="P547" s="1">
        <v>24.0</v>
      </c>
      <c r="Q547" s="1">
        <v>15.0</v>
      </c>
    </row>
    <row r="548">
      <c r="A548" s="1">
        <f t="shared" si="1"/>
        <v>546</v>
      </c>
      <c r="B548" s="1" t="s">
        <v>2295</v>
      </c>
      <c r="C548" s="1" t="s">
        <v>1044</v>
      </c>
      <c r="D548" s="1" t="s">
        <v>28</v>
      </c>
      <c r="E548" s="1">
        <f t="shared" si="2"/>
        <v>131.75</v>
      </c>
      <c r="F548" s="1">
        <f t="shared" si="3"/>
        <v>2.58</v>
      </c>
      <c r="G548" s="1">
        <v>51.0</v>
      </c>
      <c r="H548" s="1">
        <v>12.0</v>
      </c>
      <c r="I548" s="1">
        <v>6.0</v>
      </c>
      <c r="J548" s="1">
        <v>18.0</v>
      </c>
      <c r="K548" s="1">
        <v>81.0</v>
      </c>
      <c r="L548" s="1">
        <v>2.0</v>
      </c>
      <c r="M548" s="1">
        <v>3.0</v>
      </c>
      <c r="N548" s="1">
        <v>0.0</v>
      </c>
      <c r="O548" s="1">
        <v>0.0</v>
      </c>
      <c r="P548" s="1">
        <v>49.0</v>
      </c>
      <c r="Q548" s="1">
        <v>14.0</v>
      </c>
    </row>
    <row r="549">
      <c r="A549" s="1">
        <f t="shared" si="1"/>
        <v>546</v>
      </c>
      <c r="B549" s="1" t="s">
        <v>1799</v>
      </c>
      <c r="C549" s="1" t="s">
        <v>1042</v>
      </c>
      <c r="D549" s="1" t="s">
        <v>28</v>
      </c>
      <c r="E549" s="1">
        <f t="shared" si="2"/>
        <v>131.75</v>
      </c>
      <c r="F549" s="1">
        <f t="shared" si="3"/>
        <v>3.56</v>
      </c>
      <c r="G549" s="1">
        <v>37.0</v>
      </c>
      <c r="H549" s="1">
        <v>7.0</v>
      </c>
      <c r="I549" s="1">
        <v>9.0</v>
      </c>
      <c r="J549" s="1">
        <v>16.0</v>
      </c>
      <c r="K549" s="1">
        <v>64.0</v>
      </c>
      <c r="L549" s="1">
        <v>1.0</v>
      </c>
      <c r="M549" s="1">
        <v>0.0</v>
      </c>
      <c r="N549" s="1">
        <v>0.0</v>
      </c>
      <c r="O549" s="1">
        <v>0.0</v>
      </c>
      <c r="P549" s="1">
        <v>109.0</v>
      </c>
      <c r="Q549" s="1">
        <v>28.0</v>
      </c>
    </row>
    <row r="550">
      <c r="A550" s="1">
        <f t="shared" si="1"/>
        <v>548</v>
      </c>
      <c r="B550" s="1" t="s">
        <v>2329</v>
      </c>
      <c r="C550" s="1" t="s">
        <v>1030</v>
      </c>
      <c r="D550" s="1" t="s">
        <v>66</v>
      </c>
      <c r="E550" s="1">
        <f t="shared" si="2"/>
        <v>131.5</v>
      </c>
      <c r="F550" s="1">
        <f t="shared" si="3"/>
        <v>2.63</v>
      </c>
      <c r="G550" s="1">
        <v>50.0</v>
      </c>
      <c r="H550" s="1">
        <v>1.0</v>
      </c>
      <c r="I550" s="1">
        <v>7.0</v>
      </c>
      <c r="J550" s="1">
        <v>8.0</v>
      </c>
      <c r="K550" s="1">
        <v>75.0</v>
      </c>
      <c r="L550" s="1">
        <v>0.0</v>
      </c>
      <c r="M550" s="1">
        <v>0.0</v>
      </c>
      <c r="N550" s="1">
        <v>0.0</v>
      </c>
      <c r="O550" s="1">
        <v>2.0</v>
      </c>
      <c r="P550" s="1">
        <v>108.0</v>
      </c>
      <c r="Q550" s="1">
        <v>75.0</v>
      </c>
    </row>
    <row r="551">
      <c r="A551" s="1">
        <f t="shared" si="1"/>
        <v>549</v>
      </c>
      <c r="B551" s="1" t="s">
        <v>2709</v>
      </c>
      <c r="C551" s="1" t="s">
        <v>1570</v>
      </c>
      <c r="D551" s="1" t="s">
        <v>66</v>
      </c>
      <c r="E551" s="1">
        <f t="shared" si="2"/>
        <v>131</v>
      </c>
      <c r="F551" s="1">
        <f t="shared" si="3"/>
        <v>1.96</v>
      </c>
      <c r="G551" s="1">
        <v>67.0</v>
      </c>
      <c r="H551" s="1">
        <v>1.0</v>
      </c>
      <c r="I551" s="1">
        <v>5.0</v>
      </c>
      <c r="J551" s="1">
        <v>6.0</v>
      </c>
      <c r="K551" s="1">
        <v>80.0</v>
      </c>
      <c r="L551" s="1">
        <v>0.0</v>
      </c>
      <c r="M551" s="1">
        <v>0.0</v>
      </c>
      <c r="N551" s="1">
        <v>0.0</v>
      </c>
      <c r="O551" s="1">
        <v>0.0</v>
      </c>
      <c r="P551" s="1">
        <v>128.0</v>
      </c>
      <c r="Q551" s="1">
        <v>79.0</v>
      </c>
    </row>
    <row r="552">
      <c r="A552" s="1">
        <f t="shared" si="1"/>
        <v>550</v>
      </c>
      <c r="B552" s="1" t="s">
        <v>1523</v>
      </c>
      <c r="C552" s="1" t="s">
        <v>1040</v>
      </c>
      <c r="D552" s="1" t="s">
        <v>66</v>
      </c>
      <c r="E552" s="1">
        <f t="shared" si="2"/>
        <v>129</v>
      </c>
      <c r="F552" s="1">
        <f t="shared" si="3"/>
        <v>2.05</v>
      </c>
      <c r="G552" s="1">
        <v>63.0</v>
      </c>
      <c r="H552" s="1">
        <v>4.0</v>
      </c>
      <c r="I552" s="1">
        <v>9.0</v>
      </c>
      <c r="J552" s="1">
        <v>13.0</v>
      </c>
      <c r="K552" s="1">
        <v>66.0</v>
      </c>
      <c r="L552" s="1">
        <v>0.0</v>
      </c>
      <c r="M552" s="1">
        <v>0.0</v>
      </c>
      <c r="N552" s="1">
        <v>0.0</v>
      </c>
      <c r="O552" s="1">
        <v>1.0</v>
      </c>
      <c r="P552" s="1">
        <v>100.0</v>
      </c>
      <c r="Q552" s="1">
        <v>48.0</v>
      </c>
    </row>
    <row r="553">
      <c r="A553" s="1">
        <f t="shared" si="1"/>
        <v>551</v>
      </c>
      <c r="B553" s="1" t="s">
        <v>2565</v>
      </c>
      <c r="C553" s="1" t="s">
        <v>1080</v>
      </c>
      <c r="D553" s="1" t="s">
        <v>31</v>
      </c>
      <c r="E553" s="1">
        <f t="shared" si="2"/>
        <v>126.75</v>
      </c>
      <c r="F553" s="1">
        <f t="shared" si="3"/>
        <v>4.09</v>
      </c>
      <c r="G553" s="1">
        <v>31.0</v>
      </c>
      <c r="H553" s="1">
        <v>12.0</v>
      </c>
      <c r="I553" s="1">
        <v>6.0</v>
      </c>
      <c r="J553" s="1">
        <v>18.0</v>
      </c>
      <c r="K553" s="1">
        <v>82.0</v>
      </c>
      <c r="L553" s="1">
        <v>3.0</v>
      </c>
      <c r="M553" s="1">
        <v>1.0</v>
      </c>
      <c r="N553" s="1">
        <v>0.0</v>
      </c>
      <c r="O553" s="1">
        <v>0.0</v>
      </c>
      <c r="P553" s="1">
        <v>29.0</v>
      </c>
      <c r="Q553" s="1">
        <v>13.0</v>
      </c>
    </row>
    <row r="554">
      <c r="A554" s="1">
        <f t="shared" si="1"/>
        <v>552</v>
      </c>
      <c r="B554" s="1" t="s">
        <v>1474</v>
      </c>
      <c r="C554" s="1" t="s">
        <v>1097</v>
      </c>
      <c r="D554" s="1" t="s">
        <v>66</v>
      </c>
      <c r="E554" s="1">
        <f t="shared" si="2"/>
        <v>126.5</v>
      </c>
      <c r="F554" s="1">
        <f t="shared" si="3"/>
        <v>2.22</v>
      </c>
      <c r="G554" s="1">
        <v>57.0</v>
      </c>
      <c r="H554" s="1">
        <v>3.0</v>
      </c>
      <c r="I554" s="1">
        <v>8.0</v>
      </c>
      <c r="J554" s="1">
        <v>11.0</v>
      </c>
      <c r="K554" s="1">
        <v>101.0</v>
      </c>
      <c r="L554" s="1">
        <v>1.0</v>
      </c>
      <c r="M554" s="1">
        <v>0.0</v>
      </c>
      <c r="N554" s="1">
        <v>0.0</v>
      </c>
      <c r="O554" s="1">
        <v>0.0</v>
      </c>
      <c r="P554" s="1">
        <v>48.0</v>
      </c>
      <c r="Q554" s="1">
        <v>53.0</v>
      </c>
    </row>
    <row r="555">
      <c r="A555" s="1">
        <f t="shared" si="1"/>
        <v>552</v>
      </c>
      <c r="B555" s="1" t="s">
        <v>2605</v>
      </c>
      <c r="C555" s="1" t="s">
        <v>1111</v>
      </c>
      <c r="D555" s="1" t="s">
        <v>36</v>
      </c>
      <c r="E555" s="1">
        <f t="shared" si="2"/>
        <v>126.5</v>
      </c>
      <c r="F555" s="1">
        <f t="shared" si="3"/>
        <v>3.09</v>
      </c>
      <c r="G555" s="1">
        <v>41.0</v>
      </c>
      <c r="H555" s="1">
        <v>9.0</v>
      </c>
      <c r="I555" s="1">
        <v>7.0</v>
      </c>
      <c r="J555" s="1">
        <v>16.0</v>
      </c>
      <c r="K555" s="1">
        <v>65.0</v>
      </c>
      <c r="L555" s="1">
        <v>0.0</v>
      </c>
      <c r="M555" s="1">
        <v>0.0</v>
      </c>
      <c r="N555" s="1">
        <v>6.0</v>
      </c>
      <c r="O555" s="1">
        <v>3.0</v>
      </c>
      <c r="P555" s="1">
        <v>28.0</v>
      </c>
      <c r="Q555" s="1">
        <v>15.0</v>
      </c>
    </row>
    <row r="556">
      <c r="A556" s="1">
        <f t="shared" si="1"/>
        <v>554</v>
      </c>
      <c r="B556" s="1" t="s">
        <v>2341</v>
      </c>
      <c r="C556" s="1" t="s">
        <v>1097</v>
      </c>
      <c r="D556" s="1" t="s">
        <v>31</v>
      </c>
      <c r="E556" s="1">
        <f t="shared" si="2"/>
        <v>125.75</v>
      </c>
      <c r="F556" s="1">
        <f t="shared" si="3"/>
        <v>1.61</v>
      </c>
      <c r="G556" s="1">
        <v>78.0</v>
      </c>
      <c r="H556" s="1">
        <v>5.0</v>
      </c>
      <c r="I556" s="1">
        <v>8.0</v>
      </c>
      <c r="J556" s="1">
        <v>13.0</v>
      </c>
      <c r="K556" s="1">
        <v>71.0</v>
      </c>
      <c r="L556" s="1">
        <v>0.0</v>
      </c>
      <c r="M556" s="1">
        <v>0.0</v>
      </c>
      <c r="N556" s="1">
        <v>0.0</v>
      </c>
      <c r="O556" s="1">
        <v>0.0</v>
      </c>
      <c r="P556" s="1">
        <v>87.0</v>
      </c>
      <c r="Q556" s="1">
        <v>44.0</v>
      </c>
    </row>
    <row r="557">
      <c r="A557" s="1">
        <f t="shared" si="1"/>
        <v>554</v>
      </c>
      <c r="B557" s="1" t="s">
        <v>2710</v>
      </c>
      <c r="C557" s="1" t="s">
        <v>1065</v>
      </c>
      <c r="D557" s="1" t="s">
        <v>31</v>
      </c>
      <c r="E557" s="1">
        <f t="shared" si="2"/>
        <v>125.75</v>
      </c>
      <c r="F557" s="1">
        <f t="shared" si="3"/>
        <v>2.1</v>
      </c>
      <c r="G557" s="1">
        <v>60.0</v>
      </c>
      <c r="H557" s="1">
        <v>5.0</v>
      </c>
      <c r="I557" s="1">
        <v>3.0</v>
      </c>
      <c r="J557" s="1">
        <v>8.0</v>
      </c>
      <c r="K557" s="1">
        <v>86.0</v>
      </c>
      <c r="L557" s="1">
        <v>1.0</v>
      </c>
      <c r="M557" s="1">
        <v>2.0</v>
      </c>
      <c r="N557" s="1">
        <v>0.0</v>
      </c>
      <c r="O557" s="1">
        <v>0.0</v>
      </c>
      <c r="P557" s="1">
        <v>93.0</v>
      </c>
      <c r="Q557" s="1">
        <v>56.0</v>
      </c>
    </row>
    <row r="558">
      <c r="A558" s="1">
        <f t="shared" si="1"/>
        <v>556</v>
      </c>
      <c r="B558" s="1" t="s">
        <v>2711</v>
      </c>
      <c r="C558" s="1" t="s">
        <v>1570</v>
      </c>
      <c r="D558" s="1" t="s">
        <v>36</v>
      </c>
      <c r="E558" s="1">
        <f t="shared" si="2"/>
        <v>125</v>
      </c>
      <c r="F558" s="1">
        <f t="shared" si="3"/>
        <v>1.74</v>
      </c>
      <c r="G558" s="1">
        <v>72.0</v>
      </c>
      <c r="H558" s="1">
        <v>7.0</v>
      </c>
      <c r="I558" s="1">
        <v>8.0</v>
      </c>
      <c r="J558" s="1">
        <v>15.0</v>
      </c>
      <c r="K558" s="1">
        <v>67.0</v>
      </c>
      <c r="L558" s="1">
        <v>0.0</v>
      </c>
      <c r="M558" s="1">
        <v>0.0</v>
      </c>
      <c r="N558" s="1">
        <v>0.0</v>
      </c>
      <c r="O558" s="1">
        <v>1.0</v>
      </c>
      <c r="P558" s="1">
        <v>40.0</v>
      </c>
      <c r="Q558" s="1">
        <v>48.0</v>
      </c>
    </row>
    <row r="559">
      <c r="A559" s="1">
        <f t="shared" si="1"/>
        <v>557</v>
      </c>
      <c r="B559" s="1" t="s">
        <v>2110</v>
      </c>
      <c r="C559" s="1" t="s">
        <v>1065</v>
      </c>
      <c r="D559" s="1" t="s">
        <v>31</v>
      </c>
      <c r="E559" s="1">
        <f t="shared" si="2"/>
        <v>124.5</v>
      </c>
      <c r="F559" s="1">
        <f t="shared" si="3"/>
        <v>2.22</v>
      </c>
      <c r="G559" s="1">
        <v>56.0</v>
      </c>
      <c r="H559" s="1">
        <v>4.0</v>
      </c>
      <c r="I559" s="1">
        <v>10.0</v>
      </c>
      <c r="J559" s="1">
        <v>14.0</v>
      </c>
      <c r="K559" s="1">
        <v>74.0</v>
      </c>
      <c r="L559" s="1">
        <v>0.0</v>
      </c>
      <c r="M559" s="1">
        <v>0.0</v>
      </c>
      <c r="N559" s="1">
        <v>0.0</v>
      </c>
      <c r="O559" s="1">
        <v>1.0</v>
      </c>
      <c r="P559" s="1">
        <v>92.0</v>
      </c>
      <c r="Q559" s="1">
        <v>29.0</v>
      </c>
    </row>
    <row r="560">
      <c r="A560" s="1">
        <f t="shared" si="1"/>
        <v>558</v>
      </c>
      <c r="B560" s="1" t="s">
        <v>2067</v>
      </c>
      <c r="C560" s="1" t="s">
        <v>1097</v>
      </c>
      <c r="D560" s="1" t="s">
        <v>66</v>
      </c>
      <c r="E560" s="1">
        <f t="shared" si="2"/>
        <v>124.25</v>
      </c>
      <c r="F560" s="1">
        <f t="shared" si="3"/>
        <v>1.75</v>
      </c>
      <c r="G560" s="1">
        <v>71.0</v>
      </c>
      <c r="H560" s="1">
        <v>0.0</v>
      </c>
      <c r="I560" s="1">
        <v>13.0</v>
      </c>
      <c r="J560" s="1">
        <v>13.0</v>
      </c>
      <c r="K560" s="1">
        <v>65.0</v>
      </c>
      <c r="L560" s="1">
        <v>0.0</v>
      </c>
      <c r="M560" s="1">
        <v>0.0</v>
      </c>
      <c r="N560" s="1">
        <v>0.0</v>
      </c>
      <c r="O560" s="1">
        <v>0.0</v>
      </c>
      <c r="P560" s="1">
        <v>21.0</v>
      </c>
      <c r="Q560" s="1">
        <v>95.0</v>
      </c>
    </row>
    <row r="561">
      <c r="A561" s="1">
        <f t="shared" si="1"/>
        <v>559</v>
      </c>
      <c r="B561" s="1" t="s">
        <v>1983</v>
      </c>
      <c r="C561" s="1" t="s">
        <v>1106</v>
      </c>
      <c r="D561" s="1" t="s">
        <v>66</v>
      </c>
      <c r="E561" s="1">
        <f t="shared" si="2"/>
        <v>124</v>
      </c>
      <c r="F561" s="1">
        <f t="shared" si="3"/>
        <v>2</v>
      </c>
      <c r="G561" s="1">
        <v>62.0</v>
      </c>
      <c r="H561" s="1">
        <v>3.0</v>
      </c>
      <c r="I561" s="1">
        <v>9.0</v>
      </c>
      <c r="J561" s="1">
        <v>12.0</v>
      </c>
      <c r="K561" s="1">
        <v>58.0</v>
      </c>
      <c r="L561" s="1">
        <v>1.0</v>
      </c>
      <c r="M561" s="1">
        <v>0.0</v>
      </c>
      <c r="N561" s="1">
        <v>0.0</v>
      </c>
      <c r="O561" s="1">
        <v>0.0</v>
      </c>
      <c r="P561" s="1">
        <v>76.0</v>
      </c>
      <c r="Q561" s="1">
        <v>71.0</v>
      </c>
    </row>
    <row r="562">
      <c r="A562" s="1">
        <f t="shared" si="1"/>
        <v>560</v>
      </c>
      <c r="B562" s="1" t="s">
        <v>1203</v>
      </c>
      <c r="C562" s="1" t="s">
        <v>1111</v>
      </c>
      <c r="D562" s="1" t="s">
        <v>36</v>
      </c>
      <c r="E562" s="1">
        <f t="shared" si="2"/>
        <v>123.75</v>
      </c>
      <c r="F562" s="1">
        <f t="shared" si="3"/>
        <v>3.09</v>
      </c>
      <c r="G562" s="1">
        <v>40.0</v>
      </c>
      <c r="H562" s="1">
        <v>7.0</v>
      </c>
      <c r="I562" s="1">
        <v>18.0</v>
      </c>
      <c r="J562" s="1">
        <v>25.0</v>
      </c>
      <c r="K562" s="1">
        <v>62.0</v>
      </c>
      <c r="L562" s="1">
        <v>5.0</v>
      </c>
      <c r="M562" s="1">
        <v>3.0</v>
      </c>
      <c r="N562" s="1">
        <v>0.0</v>
      </c>
      <c r="O562" s="1">
        <v>0.0</v>
      </c>
      <c r="P562" s="1">
        <v>5.0</v>
      </c>
      <c r="Q562" s="1">
        <v>12.0</v>
      </c>
    </row>
    <row r="563">
      <c r="A563" s="1">
        <f t="shared" si="1"/>
        <v>560</v>
      </c>
      <c r="B563" s="1" t="s">
        <v>1577</v>
      </c>
      <c r="C563" s="1" t="s">
        <v>1172</v>
      </c>
      <c r="D563" s="1" t="s">
        <v>36</v>
      </c>
      <c r="E563" s="1">
        <f t="shared" si="2"/>
        <v>123.75</v>
      </c>
      <c r="F563" s="1">
        <f t="shared" si="3"/>
        <v>1.96</v>
      </c>
      <c r="G563" s="1">
        <v>63.0</v>
      </c>
      <c r="H563" s="1">
        <v>4.0</v>
      </c>
      <c r="I563" s="1">
        <v>15.0</v>
      </c>
      <c r="J563" s="1">
        <v>19.0</v>
      </c>
      <c r="K563" s="1">
        <v>72.0</v>
      </c>
      <c r="L563" s="1">
        <v>0.0</v>
      </c>
      <c r="M563" s="1">
        <v>0.0</v>
      </c>
      <c r="N563" s="1">
        <v>0.0</v>
      </c>
      <c r="O563" s="1">
        <v>0.0</v>
      </c>
      <c r="P563" s="1">
        <v>39.0</v>
      </c>
      <c r="Q563" s="1">
        <v>30.0</v>
      </c>
    </row>
    <row r="564">
      <c r="A564" s="1">
        <f t="shared" si="1"/>
        <v>562</v>
      </c>
      <c r="B564" s="1" t="s">
        <v>2267</v>
      </c>
      <c r="C564" s="1" t="s">
        <v>1120</v>
      </c>
      <c r="D564" s="1" t="s">
        <v>66</v>
      </c>
      <c r="E564" s="1">
        <f t="shared" si="2"/>
        <v>123.5</v>
      </c>
      <c r="F564" s="1">
        <f t="shared" si="3"/>
        <v>2.38</v>
      </c>
      <c r="G564" s="1">
        <v>52.0</v>
      </c>
      <c r="H564" s="1">
        <v>7.0</v>
      </c>
      <c r="I564" s="1">
        <v>9.0</v>
      </c>
      <c r="J564" s="1">
        <v>16.0</v>
      </c>
      <c r="K564" s="1">
        <v>71.0</v>
      </c>
      <c r="L564" s="1">
        <v>4.0</v>
      </c>
      <c r="M564" s="1">
        <v>5.0</v>
      </c>
      <c r="N564" s="1">
        <v>0.0</v>
      </c>
      <c r="O564" s="1">
        <v>0.0</v>
      </c>
      <c r="P564" s="1">
        <v>18.0</v>
      </c>
      <c r="Q564" s="1">
        <v>50.0</v>
      </c>
    </row>
    <row r="565">
      <c r="A565" s="1">
        <f t="shared" si="1"/>
        <v>563</v>
      </c>
      <c r="B565" s="1" t="s">
        <v>2712</v>
      </c>
      <c r="C565" s="1" t="s">
        <v>1570</v>
      </c>
      <c r="D565" s="1" t="s">
        <v>66</v>
      </c>
      <c r="E565" s="1">
        <f t="shared" si="2"/>
        <v>123.25</v>
      </c>
      <c r="F565" s="1">
        <f t="shared" si="3"/>
        <v>2.33</v>
      </c>
      <c r="G565" s="1">
        <v>53.0</v>
      </c>
      <c r="H565" s="1">
        <v>2.0</v>
      </c>
      <c r="I565" s="1">
        <v>7.0</v>
      </c>
      <c r="J565" s="1">
        <v>9.0</v>
      </c>
      <c r="K565" s="1">
        <v>43.0</v>
      </c>
      <c r="L565" s="1">
        <v>0.0</v>
      </c>
      <c r="M565" s="1">
        <v>0.0</v>
      </c>
      <c r="N565" s="1">
        <v>0.0</v>
      </c>
      <c r="O565" s="1">
        <v>0.0</v>
      </c>
      <c r="P565" s="1">
        <v>131.0</v>
      </c>
      <c r="Q565" s="1">
        <v>78.0</v>
      </c>
    </row>
    <row r="566">
      <c r="A566" s="1">
        <f t="shared" si="1"/>
        <v>564</v>
      </c>
      <c r="B566" s="1" t="s">
        <v>1193</v>
      </c>
      <c r="C566" s="1" t="s">
        <v>1087</v>
      </c>
      <c r="D566" s="1" t="s">
        <v>66</v>
      </c>
      <c r="E566" s="1">
        <f t="shared" si="2"/>
        <v>123</v>
      </c>
      <c r="F566" s="1">
        <f t="shared" si="3"/>
        <v>2.56</v>
      </c>
      <c r="G566" s="1">
        <v>48.0</v>
      </c>
      <c r="H566" s="1">
        <v>5.0</v>
      </c>
      <c r="I566" s="1">
        <v>13.0</v>
      </c>
      <c r="J566" s="1">
        <v>18.0</v>
      </c>
      <c r="K566" s="1">
        <v>81.0</v>
      </c>
      <c r="L566" s="1">
        <v>1.0</v>
      </c>
      <c r="M566" s="1">
        <v>3.0</v>
      </c>
      <c r="N566" s="1">
        <v>0.0</v>
      </c>
      <c r="O566" s="1">
        <v>0.0</v>
      </c>
      <c r="P566" s="1">
        <v>24.0</v>
      </c>
      <c r="Q566" s="1">
        <v>30.0</v>
      </c>
    </row>
    <row r="567">
      <c r="A567" s="1">
        <f t="shared" si="1"/>
        <v>565</v>
      </c>
      <c r="B567" s="1" t="s">
        <v>1784</v>
      </c>
      <c r="C567" s="1" t="s">
        <v>1091</v>
      </c>
      <c r="D567" s="1" t="s">
        <v>31</v>
      </c>
      <c r="E567" s="1">
        <f t="shared" si="2"/>
        <v>122.25</v>
      </c>
      <c r="F567" s="1">
        <f t="shared" si="3"/>
        <v>2.6</v>
      </c>
      <c r="G567" s="1">
        <v>47.0</v>
      </c>
      <c r="H567" s="1">
        <v>8.0</v>
      </c>
      <c r="I567" s="1">
        <v>4.0</v>
      </c>
      <c r="J567" s="1">
        <v>12.0</v>
      </c>
      <c r="K567" s="1">
        <v>75.0</v>
      </c>
      <c r="L567" s="1">
        <v>1.0</v>
      </c>
      <c r="M567" s="1">
        <v>0.0</v>
      </c>
      <c r="N567" s="1">
        <v>0.0</v>
      </c>
      <c r="O567" s="1">
        <v>0.0</v>
      </c>
      <c r="P567" s="1">
        <v>93.0</v>
      </c>
      <c r="Q567" s="1">
        <v>27.0</v>
      </c>
    </row>
    <row r="568">
      <c r="A568" s="1">
        <f t="shared" si="1"/>
        <v>566</v>
      </c>
      <c r="B568" s="1" t="s">
        <v>1135</v>
      </c>
      <c r="C568" s="1" t="s">
        <v>1067</v>
      </c>
      <c r="D568" s="1" t="s">
        <v>36</v>
      </c>
      <c r="E568" s="1">
        <f t="shared" si="2"/>
        <v>121.5</v>
      </c>
      <c r="F568" s="1">
        <f t="shared" si="3"/>
        <v>1.87</v>
      </c>
      <c r="G568" s="1">
        <v>65.0</v>
      </c>
      <c r="H568" s="1">
        <v>7.0</v>
      </c>
      <c r="I568" s="1">
        <v>5.0</v>
      </c>
      <c r="J568" s="1">
        <v>12.0</v>
      </c>
      <c r="K568" s="1">
        <v>108.0</v>
      </c>
      <c r="L568" s="1">
        <v>1.0</v>
      </c>
      <c r="M568" s="1">
        <v>0.0</v>
      </c>
      <c r="N568" s="1">
        <v>0.0</v>
      </c>
      <c r="O568" s="1">
        <v>0.0</v>
      </c>
      <c r="P568" s="1">
        <v>66.0</v>
      </c>
      <c r="Q568" s="1">
        <v>9.0</v>
      </c>
    </row>
    <row r="569">
      <c r="A569" s="1">
        <f t="shared" si="1"/>
        <v>567</v>
      </c>
      <c r="B569" s="1" t="s">
        <v>2713</v>
      </c>
      <c r="C569" s="1" t="s">
        <v>1036</v>
      </c>
      <c r="D569" s="1" t="s">
        <v>31</v>
      </c>
      <c r="E569" s="1">
        <f t="shared" si="2"/>
        <v>121</v>
      </c>
      <c r="F569" s="1">
        <f t="shared" si="3"/>
        <v>1.73</v>
      </c>
      <c r="G569" s="1">
        <v>70.0</v>
      </c>
      <c r="H569" s="1">
        <v>6.0</v>
      </c>
      <c r="I569" s="1">
        <v>3.0</v>
      </c>
      <c r="J569" s="1">
        <v>9.0</v>
      </c>
      <c r="K569" s="1">
        <v>74.0</v>
      </c>
      <c r="L569" s="1">
        <v>0.0</v>
      </c>
      <c r="M569" s="1">
        <v>0.0</v>
      </c>
      <c r="N569" s="1">
        <v>1.0</v>
      </c>
      <c r="O569" s="1">
        <v>0.0</v>
      </c>
      <c r="P569" s="1">
        <v>92.0</v>
      </c>
      <c r="Q569" s="1">
        <v>46.0</v>
      </c>
    </row>
    <row r="570">
      <c r="A570" s="1">
        <f t="shared" si="1"/>
        <v>568</v>
      </c>
      <c r="B570" s="1" t="s">
        <v>2631</v>
      </c>
      <c r="C570" s="1" t="s">
        <v>1067</v>
      </c>
      <c r="D570" s="1" t="s">
        <v>31</v>
      </c>
      <c r="E570" s="1">
        <f t="shared" si="2"/>
        <v>120.75</v>
      </c>
      <c r="F570" s="1">
        <f t="shared" si="3"/>
        <v>1.75</v>
      </c>
      <c r="G570" s="1">
        <v>69.0</v>
      </c>
      <c r="H570" s="1">
        <v>5.0</v>
      </c>
      <c r="I570" s="1">
        <v>8.0</v>
      </c>
      <c r="J570" s="1">
        <v>13.0</v>
      </c>
      <c r="K570" s="1">
        <v>71.0</v>
      </c>
      <c r="L570" s="1">
        <v>0.0</v>
      </c>
      <c r="M570" s="1">
        <v>0.0</v>
      </c>
      <c r="N570" s="1">
        <v>0.0</v>
      </c>
      <c r="O570" s="1">
        <v>1.0</v>
      </c>
      <c r="P570" s="1">
        <v>87.0</v>
      </c>
      <c r="Q570" s="1">
        <v>30.0</v>
      </c>
    </row>
    <row r="571">
      <c r="A571" s="1">
        <f t="shared" si="1"/>
        <v>569</v>
      </c>
      <c r="B571" s="1" t="s">
        <v>2059</v>
      </c>
      <c r="C571" s="1" t="s">
        <v>1156</v>
      </c>
      <c r="D571" s="1" t="s">
        <v>31</v>
      </c>
      <c r="E571" s="1">
        <f t="shared" si="2"/>
        <v>119.5</v>
      </c>
      <c r="F571" s="1">
        <f t="shared" si="3"/>
        <v>1.53</v>
      </c>
      <c r="G571" s="1">
        <v>78.0</v>
      </c>
      <c r="H571" s="1">
        <v>3.0</v>
      </c>
      <c r="I571" s="1">
        <v>9.0</v>
      </c>
      <c r="J571" s="1">
        <v>12.0</v>
      </c>
      <c r="K571" s="1">
        <v>79.0</v>
      </c>
      <c r="L571" s="1">
        <v>0.0</v>
      </c>
      <c r="M571" s="1">
        <v>0.0</v>
      </c>
      <c r="N571" s="1">
        <v>0.0</v>
      </c>
      <c r="O571" s="1">
        <v>0.0</v>
      </c>
      <c r="P571" s="1">
        <v>72.0</v>
      </c>
      <c r="Q571" s="1">
        <v>43.0</v>
      </c>
    </row>
    <row r="572">
      <c r="A572" s="1">
        <f t="shared" si="1"/>
        <v>570</v>
      </c>
      <c r="B572" s="1" t="s">
        <v>2655</v>
      </c>
      <c r="C572" s="1" t="s">
        <v>1073</v>
      </c>
      <c r="D572" s="1" t="s">
        <v>31</v>
      </c>
      <c r="E572" s="1">
        <f t="shared" si="2"/>
        <v>118.5</v>
      </c>
      <c r="F572" s="1">
        <f t="shared" si="3"/>
        <v>1.85</v>
      </c>
      <c r="G572" s="1">
        <v>64.0</v>
      </c>
      <c r="H572" s="1">
        <v>8.0</v>
      </c>
      <c r="I572" s="1">
        <v>11.0</v>
      </c>
      <c r="J572" s="1">
        <v>19.0</v>
      </c>
      <c r="K572" s="1">
        <v>50.0</v>
      </c>
      <c r="L572" s="1">
        <v>0.0</v>
      </c>
      <c r="M572" s="1">
        <v>0.0</v>
      </c>
      <c r="N572" s="1">
        <v>0.0</v>
      </c>
      <c r="O572" s="1">
        <v>0.0</v>
      </c>
      <c r="P572" s="1">
        <v>40.0</v>
      </c>
      <c r="Q572" s="1">
        <v>29.0</v>
      </c>
    </row>
    <row r="573">
      <c r="A573" s="1">
        <f t="shared" si="1"/>
        <v>571</v>
      </c>
      <c r="B573" s="1" t="s">
        <v>1262</v>
      </c>
      <c r="C573" s="1" t="s">
        <v>1044</v>
      </c>
      <c r="D573" s="1" t="s">
        <v>31</v>
      </c>
      <c r="E573" s="1">
        <f t="shared" si="2"/>
        <v>118.25</v>
      </c>
      <c r="F573" s="1">
        <f t="shared" si="3"/>
        <v>3.03</v>
      </c>
      <c r="G573" s="1">
        <v>39.0</v>
      </c>
      <c r="H573" s="1">
        <v>4.0</v>
      </c>
      <c r="I573" s="1">
        <v>8.0</v>
      </c>
      <c r="J573" s="1">
        <v>12.0</v>
      </c>
      <c r="K573" s="1">
        <v>83.0</v>
      </c>
      <c r="L573" s="1">
        <v>0.0</v>
      </c>
      <c r="M573" s="1">
        <v>0.0</v>
      </c>
      <c r="N573" s="1">
        <v>0.0</v>
      </c>
      <c r="O573" s="1">
        <v>0.0</v>
      </c>
      <c r="P573" s="1">
        <v>63.0</v>
      </c>
      <c r="Q573" s="1">
        <v>38.0</v>
      </c>
    </row>
    <row r="574">
      <c r="A574" s="1">
        <f t="shared" si="1"/>
        <v>571</v>
      </c>
      <c r="B574" s="1" t="s">
        <v>2478</v>
      </c>
      <c r="C574" s="1" t="s">
        <v>1570</v>
      </c>
      <c r="D574" s="1" t="s">
        <v>36</v>
      </c>
      <c r="E574" s="1">
        <f t="shared" si="2"/>
        <v>118.25</v>
      </c>
      <c r="F574" s="1">
        <f t="shared" si="3"/>
        <v>1.76</v>
      </c>
      <c r="G574" s="1">
        <v>67.0</v>
      </c>
      <c r="H574" s="1">
        <v>0.0</v>
      </c>
      <c r="I574" s="1">
        <v>11.0</v>
      </c>
      <c r="J574" s="1">
        <v>11.0</v>
      </c>
      <c r="K574" s="1">
        <v>92.0</v>
      </c>
      <c r="L574" s="1">
        <v>0.0</v>
      </c>
      <c r="M574" s="1">
        <v>2.0</v>
      </c>
      <c r="N574" s="1">
        <v>0.0</v>
      </c>
      <c r="O574" s="1">
        <v>0.0</v>
      </c>
      <c r="P574" s="1">
        <v>69.0</v>
      </c>
      <c r="Q574" s="1">
        <v>44.0</v>
      </c>
    </row>
    <row r="575">
      <c r="A575" s="1">
        <f t="shared" si="1"/>
        <v>573</v>
      </c>
      <c r="B575" s="1" t="s">
        <v>2228</v>
      </c>
      <c r="C575" s="1" t="s">
        <v>1085</v>
      </c>
      <c r="D575" s="1" t="s">
        <v>66</v>
      </c>
      <c r="E575" s="1">
        <f t="shared" si="2"/>
        <v>117.75</v>
      </c>
      <c r="F575" s="1">
        <f t="shared" si="3"/>
        <v>2.18</v>
      </c>
      <c r="G575" s="1">
        <v>54.0</v>
      </c>
      <c r="H575" s="1">
        <v>4.0</v>
      </c>
      <c r="I575" s="1">
        <v>7.0</v>
      </c>
      <c r="J575" s="1">
        <v>11.0</v>
      </c>
      <c r="K575" s="1">
        <v>86.0</v>
      </c>
      <c r="L575" s="1">
        <v>0.0</v>
      </c>
      <c r="M575" s="1">
        <v>2.0</v>
      </c>
      <c r="N575" s="1">
        <v>0.0</v>
      </c>
      <c r="O575" s="1">
        <v>1.0</v>
      </c>
      <c r="P575" s="1">
        <v>19.0</v>
      </c>
      <c r="Q575" s="1">
        <v>58.0</v>
      </c>
    </row>
    <row r="576">
      <c r="A576" s="1">
        <f t="shared" si="1"/>
        <v>574</v>
      </c>
      <c r="B576" s="1" t="s">
        <v>2714</v>
      </c>
      <c r="C576" s="1" t="s">
        <v>1570</v>
      </c>
      <c r="D576" s="1" t="s">
        <v>66</v>
      </c>
      <c r="E576" s="1">
        <f t="shared" si="2"/>
        <v>116</v>
      </c>
      <c r="F576" s="1">
        <f t="shared" si="3"/>
        <v>2.32</v>
      </c>
      <c r="G576" s="1">
        <v>50.0</v>
      </c>
      <c r="H576" s="1">
        <v>3.0</v>
      </c>
      <c r="I576" s="1">
        <v>4.0</v>
      </c>
      <c r="J576" s="1">
        <v>7.0</v>
      </c>
      <c r="K576" s="1">
        <v>28.0</v>
      </c>
      <c r="L576" s="1">
        <v>0.0</v>
      </c>
      <c r="M576" s="1">
        <v>0.0</v>
      </c>
      <c r="N576" s="1">
        <v>0.0</v>
      </c>
      <c r="O576" s="1">
        <v>1.0</v>
      </c>
      <c r="P576" s="1">
        <v>122.0</v>
      </c>
      <c r="Q576" s="1">
        <v>88.0</v>
      </c>
    </row>
    <row r="577">
      <c r="A577" s="1">
        <f t="shared" si="1"/>
        <v>575</v>
      </c>
      <c r="B577" s="1" t="s">
        <v>2579</v>
      </c>
      <c r="C577" s="1" t="s">
        <v>1038</v>
      </c>
      <c r="D577" s="1" t="s">
        <v>31</v>
      </c>
      <c r="E577" s="1">
        <f t="shared" si="2"/>
        <v>115</v>
      </c>
      <c r="F577" s="1">
        <f t="shared" si="3"/>
        <v>1.77</v>
      </c>
      <c r="G577" s="1">
        <v>65.0</v>
      </c>
      <c r="H577" s="1">
        <v>1.0</v>
      </c>
      <c r="I577" s="1">
        <v>12.0</v>
      </c>
      <c r="J577" s="1">
        <v>13.0</v>
      </c>
      <c r="K577" s="1">
        <v>65.0</v>
      </c>
      <c r="L577" s="1">
        <v>0.0</v>
      </c>
      <c r="M577" s="1">
        <v>0.0</v>
      </c>
      <c r="N577" s="1">
        <v>0.0</v>
      </c>
      <c r="O577" s="1">
        <v>0.0</v>
      </c>
      <c r="P577" s="1">
        <v>58.0</v>
      </c>
      <c r="Q577" s="1">
        <v>55.0</v>
      </c>
    </row>
    <row r="578">
      <c r="A578" s="1">
        <f t="shared" si="1"/>
        <v>576</v>
      </c>
      <c r="B578" s="1" t="s">
        <v>2318</v>
      </c>
      <c r="C578" s="1" t="s">
        <v>1065</v>
      </c>
      <c r="D578" s="1" t="s">
        <v>66</v>
      </c>
      <c r="E578" s="1">
        <f t="shared" si="2"/>
        <v>112.75</v>
      </c>
      <c r="F578" s="1">
        <f t="shared" si="3"/>
        <v>2.68</v>
      </c>
      <c r="G578" s="1">
        <v>42.0</v>
      </c>
      <c r="H578" s="1">
        <v>1.0</v>
      </c>
      <c r="I578" s="1">
        <v>9.0</v>
      </c>
      <c r="J578" s="1">
        <v>10.0</v>
      </c>
      <c r="K578" s="1">
        <v>45.0</v>
      </c>
      <c r="L578" s="1">
        <v>0.0</v>
      </c>
      <c r="M578" s="1">
        <v>0.0</v>
      </c>
      <c r="N578" s="1">
        <v>0.0</v>
      </c>
      <c r="O578" s="1">
        <v>0.0</v>
      </c>
      <c r="P578" s="1">
        <v>129.0</v>
      </c>
      <c r="Q578" s="1">
        <v>53.0</v>
      </c>
    </row>
    <row r="579">
      <c r="A579" s="1">
        <f t="shared" si="1"/>
        <v>577</v>
      </c>
      <c r="B579" s="1" t="s">
        <v>2093</v>
      </c>
      <c r="C579" s="1" t="s">
        <v>1048</v>
      </c>
      <c r="D579" s="1" t="s">
        <v>31</v>
      </c>
      <c r="E579" s="1">
        <f t="shared" si="2"/>
        <v>112</v>
      </c>
      <c r="F579" s="1">
        <f t="shared" si="3"/>
        <v>2.24</v>
      </c>
      <c r="G579" s="1">
        <v>50.0</v>
      </c>
      <c r="H579" s="1">
        <v>7.0</v>
      </c>
      <c r="I579" s="1">
        <v>9.0</v>
      </c>
      <c r="J579" s="1">
        <v>16.0</v>
      </c>
      <c r="K579" s="1">
        <v>66.0</v>
      </c>
      <c r="L579" s="1">
        <v>0.0</v>
      </c>
      <c r="M579" s="1">
        <v>1.0</v>
      </c>
      <c r="N579" s="1">
        <v>0.0</v>
      </c>
      <c r="O579" s="1">
        <v>0.0</v>
      </c>
      <c r="P579" s="1">
        <v>40.0</v>
      </c>
      <c r="Q579" s="1">
        <v>21.0</v>
      </c>
    </row>
    <row r="580">
      <c r="A580" s="1">
        <f t="shared" si="1"/>
        <v>578</v>
      </c>
      <c r="B580" s="1" t="s">
        <v>2629</v>
      </c>
      <c r="C580" s="1" t="s">
        <v>1097</v>
      </c>
      <c r="D580" s="1" t="s">
        <v>66</v>
      </c>
      <c r="E580" s="1">
        <f t="shared" si="2"/>
        <v>111.75</v>
      </c>
      <c r="F580" s="1">
        <f t="shared" si="3"/>
        <v>2.48</v>
      </c>
      <c r="G580" s="1">
        <v>45.0</v>
      </c>
      <c r="H580" s="1">
        <v>0.0</v>
      </c>
      <c r="I580" s="1">
        <v>6.0</v>
      </c>
      <c r="J580" s="1">
        <v>6.0</v>
      </c>
      <c r="K580" s="1">
        <v>47.0</v>
      </c>
      <c r="L580" s="1">
        <v>0.0</v>
      </c>
      <c r="M580" s="1">
        <v>0.0</v>
      </c>
      <c r="N580" s="1">
        <v>0.0</v>
      </c>
      <c r="O580" s="1">
        <v>0.0</v>
      </c>
      <c r="P580" s="1">
        <v>125.0</v>
      </c>
      <c r="Q580" s="1">
        <v>78.0</v>
      </c>
    </row>
    <row r="581">
      <c r="A581" s="1">
        <f t="shared" si="1"/>
        <v>579</v>
      </c>
      <c r="B581" s="1" t="s">
        <v>2715</v>
      </c>
      <c r="C581" s="1" t="s">
        <v>1570</v>
      </c>
      <c r="D581" s="1" t="s">
        <v>31</v>
      </c>
      <c r="E581" s="1">
        <f t="shared" si="2"/>
        <v>110.75</v>
      </c>
      <c r="F581" s="1">
        <f t="shared" si="3"/>
        <v>1.5</v>
      </c>
      <c r="G581" s="1">
        <v>74.0</v>
      </c>
      <c r="H581" s="1">
        <v>4.0</v>
      </c>
      <c r="I581" s="1">
        <v>8.0</v>
      </c>
      <c r="J581" s="1">
        <v>12.0</v>
      </c>
      <c r="K581" s="1">
        <v>74.0</v>
      </c>
      <c r="L581" s="1">
        <v>0.0</v>
      </c>
      <c r="M581" s="1">
        <v>0.0</v>
      </c>
      <c r="N581" s="1">
        <v>0.0</v>
      </c>
      <c r="O581" s="1">
        <v>1.0</v>
      </c>
      <c r="P581" s="1">
        <v>51.0</v>
      </c>
      <c r="Q581" s="1">
        <v>34.0</v>
      </c>
    </row>
    <row r="582">
      <c r="A582" s="1">
        <f t="shared" si="1"/>
        <v>580</v>
      </c>
      <c r="B582" s="1" t="s">
        <v>2400</v>
      </c>
      <c r="C582" s="1" t="s">
        <v>1076</v>
      </c>
      <c r="D582" s="1" t="s">
        <v>5</v>
      </c>
      <c r="E582" s="1">
        <f t="shared" si="2"/>
        <v>110.4</v>
      </c>
      <c r="F582" s="1">
        <f t="shared" si="3"/>
        <v>4.25</v>
      </c>
      <c r="G582" s="1">
        <v>26.0</v>
      </c>
      <c r="R582" s="1">
        <v>6.0</v>
      </c>
      <c r="S582" s="1">
        <v>70.0</v>
      </c>
      <c r="T582" s="1">
        <v>648.0</v>
      </c>
      <c r="U582" s="1">
        <v>1.0</v>
      </c>
    </row>
    <row r="583">
      <c r="A583" s="1">
        <f t="shared" si="1"/>
        <v>581</v>
      </c>
      <c r="B583" s="1" t="s">
        <v>1873</v>
      </c>
      <c r="C583" s="1" t="s">
        <v>1069</v>
      </c>
      <c r="D583" s="1" t="s">
        <v>31</v>
      </c>
      <c r="E583" s="1">
        <f t="shared" si="2"/>
        <v>110</v>
      </c>
      <c r="F583" s="1">
        <f t="shared" si="3"/>
        <v>2.04</v>
      </c>
      <c r="G583" s="1">
        <v>54.0</v>
      </c>
      <c r="H583" s="1">
        <v>6.0</v>
      </c>
      <c r="I583" s="1">
        <v>12.0</v>
      </c>
      <c r="J583" s="1">
        <v>18.0</v>
      </c>
      <c r="K583" s="1">
        <v>65.0</v>
      </c>
      <c r="L583" s="1">
        <v>0.0</v>
      </c>
      <c r="M583" s="1">
        <v>3.0</v>
      </c>
      <c r="N583" s="1">
        <v>0.0</v>
      </c>
      <c r="O583" s="1">
        <v>0.0</v>
      </c>
      <c r="P583" s="1">
        <v>10.0</v>
      </c>
      <c r="Q583" s="1">
        <v>24.0</v>
      </c>
    </row>
    <row r="584">
      <c r="A584" s="1">
        <f t="shared" si="1"/>
        <v>581</v>
      </c>
      <c r="B584" s="1" t="s">
        <v>2344</v>
      </c>
      <c r="C584" s="1" t="s">
        <v>1046</v>
      </c>
      <c r="D584" s="1" t="s">
        <v>31</v>
      </c>
      <c r="E584" s="1">
        <f t="shared" si="2"/>
        <v>110</v>
      </c>
      <c r="F584" s="1">
        <f t="shared" si="3"/>
        <v>1.93</v>
      </c>
      <c r="G584" s="1">
        <v>57.0</v>
      </c>
      <c r="H584" s="1">
        <v>3.0</v>
      </c>
      <c r="I584" s="1">
        <v>10.0</v>
      </c>
      <c r="J584" s="1">
        <v>13.0</v>
      </c>
      <c r="K584" s="1">
        <v>45.0</v>
      </c>
      <c r="L584" s="1">
        <v>0.0</v>
      </c>
      <c r="M584" s="1">
        <v>0.0</v>
      </c>
      <c r="N584" s="1">
        <v>1.0</v>
      </c>
      <c r="O584" s="1">
        <v>0.0</v>
      </c>
      <c r="P584" s="1">
        <v>102.0</v>
      </c>
      <c r="Q584" s="1">
        <v>33.0</v>
      </c>
    </row>
    <row r="585">
      <c r="A585" s="1">
        <f t="shared" si="1"/>
        <v>583</v>
      </c>
      <c r="B585" s="1" t="s">
        <v>1480</v>
      </c>
      <c r="C585" s="1" t="s">
        <v>1078</v>
      </c>
      <c r="D585" s="1" t="s">
        <v>31</v>
      </c>
      <c r="E585" s="1">
        <f t="shared" si="2"/>
        <v>109.75</v>
      </c>
      <c r="F585" s="1">
        <f t="shared" si="3"/>
        <v>2.49</v>
      </c>
      <c r="G585" s="1">
        <v>44.0</v>
      </c>
      <c r="H585" s="1">
        <v>3.0</v>
      </c>
      <c r="I585" s="1">
        <v>9.0</v>
      </c>
      <c r="J585" s="1">
        <v>12.0</v>
      </c>
      <c r="K585" s="1">
        <v>87.0</v>
      </c>
      <c r="L585" s="1">
        <v>0.0</v>
      </c>
      <c r="M585" s="1">
        <v>0.0</v>
      </c>
      <c r="N585" s="1">
        <v>0.0</v>
      </c>
      <c r="O585" s="1">
        <v>0.0</v>
      </c>
      <c r="P585" s="1">
        <v>53.0</v>
      </c>
      <c r="Q585" s="1">
        <v>25.0</v>
      </c>
    </row>
    <row r="586">
      <c r="A586" s="1">
        <f t="shared" si="1"/>
        <v>583</v>
      </c>
      <c r="B586" s="1" t="s">
        <v>2603</v>
      </c>
      <c r="C586" s="1" t="s">
        <v>1046</v>
      </c>
      <c r="D586" s="1" t="s">
        <v>66</v>
      </c>
      <c r="E586" s="1">
        <f t="shared" si="2"/>
        <v>109.75</v>
      </c>
      <c r="F586" s="1">
        <f t="shared" si="3"/>
        <v>1.8</v>
      </c>
      <c r="G586" s="1">
        <v>61.0</v>
      </c>
      <c r="H586" s="1">
        <v>2.0</v>
      </c>
      <c r="I586" s="1">
        <v>2.0</v>
      </c>
      <c r="J586" s="1">
        <v>4.0</v>
      </c>
      <c r="K586" s="1">
        <v>70.0</v>
      </c>
      <c r="L586" s="1">
        <v>0.0</v>
      </c>
      <c r="M586" s="1">
        <v>0.0</v>
      </c>
      <c r="N586" s="1">
        <v>0.0</v>
      </c>
      <c r="O586" s="1">
        <v>0.0</v>
      </c>
      <c r="P586" s="1">
        <v>91.0</v>
      </c>
      <c r="Q586" s="1">
        <v>74.0</v>
      </c>
    </row>
    <row r="587">
      <c r="A587" s="1">
        <f t="shared" si="1"/>
        <v>585</v>
      </c>
      <c r="B587" s="1" t="s">
        <v>2490</v>
      </c>
      <c r="C587" s="1" t="s">
        <v>1065</v>
      </c>
      <c r="D587" s="1" t="s">
        <v>5</v>
      </c>
      <c r="E587" s="1">
        <f t="shared" si="2"/>
        <v>108.6</v>
      </c>
      <c r="F587" s="1">
        <f t="shared" si="3"/>
        <v>5.43</v>
      </c>
      <c r="G587" s="1">
        <v>20.0</v>
      </c>
      <c r="R587" s="1">
        <v>8.0</v>
      </c>
      <c r="S587" s="1">
        <v>51.0</v>
      </c>
      <c r="T587" s="1">
        <v>527.0</v>
      </c>
      <c r="U587" s="1">
        <v>1.0</v>
      </c>
    </row>
    <row r="588">
      <c r="A588" s="1">
        <f t="shared" si="1"/>
        <v>586</v>
      </c>
      <c r="B588" s="1" t="s">
        <v>2395</v>
      </c>
      <c r="C588" s="1" t="s">
        <v>1032</v>
      </c>
      <c r="D588" s="1" t="s">
        <v>31</v>
      </c>
      <c r="E588" s="1">
        <f t="shared" si="2"/>
        <v>108</v>
      </c>
      <c r="F588" s="1">
        <f t="shared" si="3"/>
        <v>1.54</v>
      </c>
      <c r="G588" s="1">
        <v>70.0</v>
      </c>
      <c r="H588" s="1">
        <v>3.0</v>
      </c>
      <c r="I588" s="1">
        <v>11.0</v>
      </c>
      <c r="J588" s="1">
        <v>14.0</v>
      </c>
      <c r="K588" s="1">
        <v>46.0</v>
      </c>
      <c r="L588" s="1">
        <v>0.0</v>
      </c>
      <c r="M588" s="1">
        <v>0.0</v>
      </c>
      <c r="N588" s="1">
        <v>0.0</v>
      </c>
      <c r="O588" s="1">
        <v>0.0</v>
      </c>
      <c r="P588" s="1">
        <v>98.0</v>
      </c>
      <c r="Q588" s="1">
        <v>28.0</v>
      </c>
    </row>
    <row r="589">
      <c r="A589" s="1">
        <f t="shared" si="1"/>
        <v>587</v>
      </c>
      <c r="B589" s="1" t="s">
        <v>2716</v>
      </c>
      <c r="C589" s="1" t="s">
        <v>1570</v>
      </c>
      <c r="D589" s="1" t="s">
        <v>36</v>
      </c>
      <c r="E589" s="1">
        <f t="shared" si="2"/>
        <v>107</v>
      </c>
      <c r="F589" s="1">
        <f t="shared" si="3"/>
        <v>1.88</v>
      </c>
      <c r="G589" s="1">
        <v>57.0</v>
      </c>
      <c r="H589" s="1">
        <v>5.0</v>
      </c>
      <c r="I589" s="1">
        <v>8.0</v>
      </c>
      <c r="J589" s="1">
        <v>13.0</v>
      </c>
      <c r="K589" s="1">
        <v>77.0</v>
      </c>
      <c r="L589" s="1">
        <v>1.0</v>
      </c>
      <c r="M589" s="1">
        <v>1.0</v>
      </c>
      <c r="N589" s="1">
        <v>0.0</v>
      </c>
      <c r="O589" s="1">
        <v>0.0</v>
      </c>
      <c r="P589" s="1">
        <v>50.0</v>
      </c>
      <c r="Q589" s="1">
        <v>19.0</v>
      </c>
    </row>
    <row r="590">
      <c r="A590" s="1">
        <f t="shared" si="1"/>
        <v>588</v>
      </c>
      <c r="B590" s="1" t="s">
        <v>2129</v>
      </c>
      <c r="C590" s="1" t="s">
        <v>1116</v>
      </c>
      <c r="D590" s="1" t="s">
        <v>66</v>
      </c>
      <c r="E590" s="1">
        <f t="shared" si="2"/>
        <v>106.5</v>
      </c>
      <c r="F590" s="1">
        <f t="shared" si="3"/>
        <v>2.22</v>
      </c>
      <c r="G590" s="1">
        <v>48.0</v>
      </c>
      <c r="H590" s="1">
        <v>3.0</v>
      </c>
      <c r="I590" s="1">
        <v>9.0</v>
      </c>
      <c r="J590" s="1">
        <v>12.0</v>
      </c>
      <c r="K590" s="1">
        <v>60.0</v>
      </c>
      <c r="L590" s="1">
        <v>0.0</v>
      </c>
      <c r="M590" s="1">
        <v>1.0</v>
      </c>
      <c r="N590" s="1">
        <v>0.0</v>
      </c>
      <c r="O590" s="1">
        <v>0.0</v>
      </c>
      <c r="P590" s="1">
        <v>60.0</v>
      </c>
      <c r="Q590" s="1">
        <v>42.0</v>
      </c>
    </row>
    <row r="591">
      <c r="A591" s="1">
        <f t="shared" si="1"/>
        <v>588</v>
      </c>
      <c r="B591" s="1" t="s">
        <v>2430</v>
      </c>
      <c r="C591" s="1" t="s">
        <v>1120</v>
      </c>
      <c r="D591" s="1" t="s">
        <v>66</v>
      </c>
      <c r="E591" s="1">
        <f t="shared" si="2"/>
        <v>106.5</v>
      </c>
      <c r="F591" s="1">
        <f t="shared" si="3"/>
        <v>2.13</v>
      </c>
      <c r="G591" s="1">
        <v>50.0</v>
      </c>
      <c r="H591" s="1">
        <v>2.0</v>
      </c>
      <c r="I591" s="1">
        <v>8.0</v>
      </c>
      <c r="J591" s="1">
        <v>10.0</v>
      </c>
      <c r="K591" s="1">
        <v>48.0</v>
      </c>
      <c r="L591" s="1">
        <v>0.0</v>
      </c>
      <c r="M591" s="1">
        <v>0.0</v>
      </c>
      <c r="N591" s="1">
        <v>0.0</v>
      </c>
      <c r="O591" s="1">
        <v>0.0</v>
      </c>
      <c r="P591" s="1">
        <v>72.0</v>
      </c>
      <c r="Q591" s="1">
        <v>63.0</v>
      </c>
    </row>
    <row r="592">
      <c r="A592" s="1">
        <f t="shared" si="1"/>
        <v>588</v>
      </c>
      <c r="B592" s="1" t="s">
        <v>2717</v>
      </c>
      <c r="C592" s="1" t="s">
        <v>1069</v>
      </c>
      <c r="D592" s="1" t="s">
        <v>66</v>
      </c>
      <c r="E592" s="1">
        <f t="shared" si="2"/>
        <v>106.5</v>
      </c>
      <c r="F592" s="1">
        <f t="shared" si="3"/>
        <v>2.27</v>
      </c>
      <c r="G592" s="1">
        <v>47.0</v>
      </c>
      <c r="H592" s="1">
        <v>0.0</v>
      </c>
      <c r="I592" s="1">
        <v>9.0</v>
      </c>
      <c r="J592" s="1">
        <v>9.0</v>
      </c>
      <c r="K592" s="1">
        <v>41.0</v>
      </c>
      <c r="L592" s="1">
        <v>0.0</v>
      </c>
      <c r="M592" s="1">
        <v>0.0</v>
      </c>
      <c r="N592" s="1">
        <v>0.0</v>
      </c>
      <c r="O592" s="1">
        <v>2.0</v>
      </c>
      <c r="P592" s="1">
        <v>30.0</v>
      </c>
      <c r="Q592" s="1">
        <v>95.0</v>
      </c>
    </row>
    <row r="593">
      <c r="A593" s="1">
        <f t="shared" si="1"/>
        <v>591</v>
      </c>
      <c r="B593" s="1" t="s">
        <v>2406</v>
      </c>
      <c r="C593" s="1" t="s">
        <v>1042</v>
      </c>
      <c r="D593" s="1" t="s">
        <v>31</v>
      </c>
      <c r="E593" s="1">
        <f t="shared" si="2"/>
        <v>105</v>
      </c>
      <c r="F593" s="1">
        <f t="shared" si="3"/>
        <v>1.98</v>
      </c>
      <c r="G593" s="1">
        <v>53.0</v>
      </c>
      <c r="H593" s="1">
        <v>5.0</v>
      </c>
      <c r="I593" s="1">
        <v>8.0</v>
      </c>
      <c r="J593" s="1">
        <v>13.0</v>
      </c>
      <c r="K593" s="1">
        <v>81.0</v>
      </c>
      <c r="L593" s="1">
        <v>0.0</v>
      </c>
      <c r="M593" s="1">
        <v>0.0</v>
      </c>
      <c r="N593" s="1">
        <v>0.0</v>
      </c>
      <c r="O593" s="1">
        <v>0.0</v>
      </c>
      <c r="P593" s="1">
        <v>32.0</v>
      </c>
      <c r="Q593" s="1">
        <v>20.0</v>
      </c>
    </row>
    <row r="594">
      <c r="A594" s="1">
        <f t="shared" si="1"/>
        <v>592</v>
      </c>
      <c r="B594" s="1" t="s">
        <v>1409</v>
      </c>
      <c r="C594" s="1" t="s">
        <v>1156</v>
      </c>
      <c r="D594" s="1" t="s">
        <v>5</v>
      </c>
      <c r="E594" s="1">
        <f t="shared" si="2"/>
        <v>104.7</v>
      </c>
      <c r="F594" s="1">
        <f t="shared" si="3"/>
        <v>3.88</v>
      </c>
      <c r="G594" s="1">
        <v>27.0</v>
      </c>
      <c r="R594" s="1">
        <v>10.0</v>
      </c>
      <c r="S594" s="1">
        <v>67.0</v>
      </c>
      <c r="T594" s="1">
        <v>584.0</v>
      </c>
      <c r="U594" s="1">
        <v>0.0</v>
      </c>
    </row>
    <row r="595">
      <c r="A595" s="1">
        <f t="shared" si="1"/>
        <v>593</v>
      </c>
      <c r="B595" s="1" t="s">
        <v>1352</v>
      </c>
      <c r="C595" s="1" t="s">
        <v>1065</v>
      </c>
      <c r="D595" s="1" t="s">
        <v>28</v>
      </c>
      <c r="E595" s="1">
        <f t="shared" si="2"/>
        <v>104.25</v>
      </c>
      <c r="F595" s="1">
        <f t="shared" si="3"/>
        <v>2.09</v>
      </c>
      <c r="G595" s="1">
        <v>50.0</v>
      </c>
      <c r="H595" s="1">
        <v>6.0</v>
      </c>
      <c r="I595" s="1">
        <v>6.0</v>
      </c>
      <c r="J595" s="1">
        <v>12.0</v>
      </c>
      <c r="K595" s="1">
        <v>60.0</v>
      </c>
      <c r="L595" s="1">
        <v>0.0</v>
      </c>
      <c r="M595" s="1">
        <v>0.0</v>
      </c>
      <c r="N595" s="1">
        <v>0.0</v>
      </c>
      <c r="O595" s="1">
        <v>0.0</v>
      </c>
      <c r="P595" s="1">
        <v>79.0</v>
      </c>
      <c r="Q595" s="1">
        <v>19.0</v>
      </c>
    </row>
    <row r="596">
      <c r="A596" s="1">
        <f t="shared" si="1"/>
        <v>594</v>
      </c>
      <c r="B596" s="1" t="s">
        <v>2622</v>
      </c>
      <c r="C596" s="1" t="s">
        <v>1097</v>
      </c>
      <c r="D596" s="1" t="s">
        <v>36</v>
      </c>
      <c r="E596" s="1">
        <f t="shared" si="2"/>
        <v>104</v>
      </c>
      <c r="F596" s="1">
        <f t="shared" si="3"/>
        <v>2.04</v>
      </c>
      <c r="G596" s="1">
        <v>51.0</v>
      </c>
      <c r="H596" s="1">
        <v>5.0</v>
      </c>
      <c r="I596" s="1">
        <v>6.0</v>
      </c>
      <c r="J596" s="1">
        <v>11.0</v>
      </c>
      <c r="K596" s="1">
        <v>58.0</v>
      </c>
      <c r="L596" s="1">
        <v>0.0</v>
      </c>
      <c r="M596" s="1">
        <v>0.0</v>
      </c>
      <c r="N596" s="1">
        <v>1.0</v>
      </c>
      <c r="O596" s="1">
        <v>0.0</v>
      </c>
      <c r="P596" s="1">
        <v>88.0</v>
      </c>
      <c r="Q596" s="1">
        <v>21.0</v>
      </c>
    </row>
    <row r="597">
      <c r="A597" s="1">
        <f t="shared" si="1"/>
        <v>595</v>
      </c>
      <c r="B597" s="1" t="s">
        <v>2601</v>
      </c>
      <c r="C597" s="1" t="s">
        <v>1076</v>
      </c>
      <c r="D597" s="1" t="s">
        <v>66</v>
      </c>
      <c r="E597" s="1">
        <f t="shared" si="2"/>
        <v>103.25</v>
      </c>
      <c r="F597" s="1">
        <f t="shared" si="3"/>
        <v>1.95</v>
      </c>
      <c r="G597" s="1">
        <v>53.0</v>
      </c>
      <c r="H597" s="1">
        <v>1.0</v>
      </c>
      <c r="I597" s="1">
        <v>10.0</v>
      </c>
      <c r="J597" s="1">
        <v>11.0</v>
      </c>
      <c r="K597" s="1">
        <v>39.0</v>
      </c>
      <c r="L597" s="1">
        <v>0.0</v>
      </c>
      <c r="M597" s="1">
        <v>0.0</v>
      </c>
      <c r="N597" s="1">
        <v>0.0</v>
      </c>
      <c r="O597" s="1">
        <v>0.0</v>
      </c>
      <c r="P597" s="1">
        <v>75.0</v>
      </c>
      <c r="Q597" s="1">
        <v>61.0</v>
      </c>
    </row>
    <row r="598">
      <c r="A598" s="1">
        <f t="shared" si="1"/>
        <v>596</v>
      </c>
      <c r="B598" s="1" t="s">
        <v>1332</v>
      </c>
      <c r="C598" s="1" t="s">
        <v>1069</v>
      </c>
      <c r="D598" s="1" t="s">
        <v>28</v>
      </c>
      <c r="E598" s="1">
        <f t="shared" si="2"/>
        <v>102.75</v>
      </c>
      <c r="F598" s="1">
        <f t="shared" si="3"/>
        <v>2.34</v>
      </c>
      <c r="G598" s="1">
        <v>44.0</v>
      </c>
      <c r="H598" s="1">
        <v>8.0</v>
      </c>
      <c r="I598" s="1">
        <v>5.0</v>
      </c>
      <c r="J598" s="1">
        <v>13.0</v>
      </c>
      <c r="K598" s="1">
        <v>65.0</v>
      </c>
      <c r="L598" s="1">
        <v>0.0</v>
      </c>
      <c r="M598" s="1">
        <v>0.0</v>
      </c>
      <c r="N598" s="1">
        <v>0.0</v>
      </c>
      <c r="O598" s="1">
        <v>0.0</v>
      </c>
      <c r="P598" s="1">
        <v>43.0</v>
      </c>
      <c r="Q598" s="1">
        <v>17.0</v>
      </c>
    </row>
    <row r="599">
      <c r="A599" s="1">
        <f t="shared" si="1"/>
        <v>596</v>
      </c>
      <c r="B599" s="1" t="s">
        <v>2718</v>
      </c>
      <c r="C599" s="1" t="s">
        <v>1078</v>
      </c>
      <c r="D599" s="1" t="s">
        <v>28</v>
      </c>
      <c r="E599" s="1">
        <f t="shared" si="2"/>
        <v>102.75</v>
      </c>
      <c r="F599" s="1">
        <f t="shared" si="3"/>
        <v>1.98</v>
      </c>
      <c r="G599" s="1">
        <v>52.0</v>
      </c>
      <c r="H599" s="1">
        <v>4.0</v>
      </c>
      <c r="I599" s="1">
        <v>5.0</v>
      </c>
      <c r="J599" s="1">
        <v>9.0</v>
      </c>
      <c r="K599" s="1">
        <v>57.0</v>
      </c>
      <c r="L599" s="1">
        <v>0.0</v>
      </c>
      <c r="M599" s="1">
        <v>0.0</v>
      </c>
      <c r="N599" s="1">
        <v>0.0</v>
      </c>
      <c r="O599" s="1">
        <v>0.0</v>
      </c>
      <c r="P599" s="1">
        <v>105.0</v>
      </c>
      <c r="Q599" s="1">
        <v>30.0</v>
      </c>
    </row>
    <row r="600">
      <c r="A600" s="1">
        <f t="shared" si="1"/>
        <v>598</v>
      </c>
      <c r="B600" s="1" t="s">
        <v>1998</v>
      </c>
      <c r="C600" s="1" t="s">
        <v>1080</v>
      </c>
      <c r="D600" s="1" t="s">
        <v>5</v>
      </c>
      <c r="E600" s="1">
        <f t="shared" si="2"/>
        <v>102.6</v>
      </c>
      <c r="F600" s="1">
        <f t="shared" si="3"/>
        <v>4.89</v>
      </c>
      <c r="G600" s="1">
        <v>21.0</v>
      </c>
      <c r="R600" s="1">
        <v>8.0</v>
      </c>
      <c r="S600" s="1">
        <v>60.0</v>
      </c>
      <c r="T600" s="1">
        <v>552.0</v>
      </c>
      <c r="U600" s="1">
        <v>1.0</v>
      </c>
    </row>
    <row r="601">
      <c r="A601" s="1">
        <f t="shared" si="1"/>
        <v>599</v>
      </c>
      <c r="B601" s="1" t="s">
        <v>2277</v>
      </c>
      <c r="C601" s="1" t="s">
        <v>1048</v>
      </c>
      <c r="D601" s="1" t="s">
        <v>31</v>
      </c>
      <c r="E601" s="1">
        <f t="shared" si="2"/>
        <v>101.75</v>
      </c>
      <c r="F601" s="1">
        <f t="shared" si="3"/>
        <v>2.04</v>
      </c>
      <c r="G601" s="1">
        <v>50.0</v>
      </c>
      <c r="H601" s="1">
        <v>8.0</v>
      </c>
      <c r="I601" s="1">
        <v>10.0</v>
      </c>
      <c r="J601" s="1">
        <v>18.0</v>
      </c>
      <c r="K601" s="1">
        <v>54.0</v>
      </c>
      <c r="L601" s="1">
        <v>3.0</v>
      </c>
      <c r="M601" s="1">
        <v>4.0</v>
      </c>
      <c r="N601" s="1">
        <v>0.0</v>
      </c>
      <c r="O601" s="1">
        <v>0.0</v>
      </c>
      <c r="P601" s="1">
        <v>11.0</v>
      </c>
      <c r="Q601" s="1">
        <v>12.0</v>
      </c>
    </row>
    <row r="602">
      <c r="A602" s="1">
        <f t="shared" si="1"/>
        <v>599</v>
      </c>
      <c r="B602" s="1" t="s">
        <v>2497</v>
      </c>
      <c r="C602" s="1" t="s">
        <v>1048</v>
      </c>
      <c r="D602" s="1" t="s">
        <v>31</v>
      </c>
      <c r="E602" s="1">
        <f t="shared" si="2"/>
        <v>101.75</v>
      </c>
      <c r="F602" s="1">
        <f t="shared" si="3"/>
        <v>2.42</v>
      </c>
      <c r="G602" s="1">
        <v>42.0</v>
      </c>
      <c r="H602" s="1">
        <v>7.0</v>
      </c>
      <c r="I602" s="1">
        <v>5.0</v>
      </c>
      <c r="J602" s="1">
        <v>12.0</v>
      </c>
      <c r="K602" s="1">
        <v>35.0</v>
      </c>
      <c r="L602" s="1">
        <v>0.0</v>
      </c>
      <c r="M602" s="1">
        <v>1.0</v>
      </c>
      <c r="N602" s="1">
        <v>0.0</v>
      </c>
      <c r="O602" s="1">
        <v>0.0</v>
      </c>
      <c r="P602" s="1">
        <v>101.0</v>
      </c>
      <c r="Q602" s="1">
        <v>25.0</v>
      </c>
    </row>
    <row r="603">
      <c r="A603" s="1">
        <f t="shared" si="1"/>
        <v>601</v>
      </c>
      <c r="B603" s="1" t="s">
        <v>2379</v>
      </c>
      <c r="C603" s="1" t="s">
        <v>1080</v>
      </c>
      <c r="D603" s="1" t="s">
        <v>5</v>
      </c>
      <c r="E603" s="1">
        <f t="shared" si="2"/>
        <v>100.2</v>
      </c>
      <c r="F603" s="1">
        <f t="shared" si="3"/>
        <v>5.01</v>
      </c>
      <c r="G603" s="1">
        <v>20.0</v>
      </c>
      <c r="R603" s="1">
        <v>8.0</v>
      </c>
      <c r="S603" s="1">
        <v>58.0</v>
      </c>
      <c r="T603" s="1">
        <v>534.0</v>
      </c>
      <c r="U603" s="1">
        <v>1.0</v>
      </c>
    </row>
    <row r="604">
      <c r="A604" s="1">
        <f t="shared" si="1"/>
        <v>602</v>
      </c>
      <c r="B604" s="1" t="s">
        <v>2132</v>
      </c>
      <c r="C604" s="1" t="s">
        <v>1054</v>
      </c>
      <c r="D604" s="1" t="s">
        <v>66</v>
      </c>
      <c r="E604" s="1">
        <f t="shared" si="2"/>
        <v>99.5</v>
      </c>
      <c r="F604" s="1">
        <f t="shared" si="3"/>
        <v>2.37</v>
      </c>
      <c r="G604" s="1">
        <v>42.0</v>
      </c>
      <c r="H604" s="1">
        <v>5.0</v>
      </c>
      <c r="I604" s="1">
        <v>7.0</v>
      </c>
      <c r="J604" s="1">
        <v>12.0</v>
      </c>
      <c r="K604" s="1">
        <v>75.0</v>
      </c>
      <c r="L604" s="1">
        <v>4.0</v>
      </c>
      <c r="M604" s="1">
        <v>4.0</v>
      </c>
      <c r="N604" s="1">
        <v>0.0</v>
      </c>
      <c r="O604" s="1">
        <v>0.0</v>
      </c>
      <c r="P604" s="1">
        <v>18.0</v>
      </c>
      <c r="Q604" s="1">
        <v>28.0</v>
      </c>
    </row>
    <row r="605">
      <c r="A605" s="1">
        <f t="shared" si="1"/>
        <v>603</v>
      </c>
      <c r="B605" s="1" t="s">
        <v>1838</v>
      </c>
      <c r="C605" s="1" t="s">
        <v>1082</v>
      </c>
      <c r="D605" s="1" t="s">
        <v>31</v>
      </c>
      <c r="E605" s="1">
        <f t="shared" si="2"/>
        <v>98.75</v>
      </c>
      <c r="F605" s="1">
        <f t="shared" si="3"/>
        <v>1.86</v>
      </c>
      <c r="G605" s="1">
        <v>53.0</v>
      </c>
      <c r="H605" s="1">
        <v>5.0</v>
      </c>
      <c r="I605" s="1">
        <v>15.0</v>
      </c>
      <c r="J605" s="1">
        <v>20.0</v>
      </c>
      <c r="K605" s="1">
        <v>35.0</v>
      </c>
      <c r="L605" s="1">
        <v>0.0</v>
      </c>
      <c r="M605" s="1">
        <v>2.0</v>
      </c>
      <c r="N605" s="1">
        <v>0.0</v>
      </c>
      <c r="O605" s="1">
        <v>0.0</v>
      </c>
      <c r="P605" s="1">
        <v>13.0</v>
      </c>
      <c r="Q605" s="1">
        <v>21.0</v>
      </c>
    </row>
    <row r="606">
      <c r="A606" s="1">
        <f t="shared" si="1"/>
        <v>603</v>
      </c>
      <c r="B606" s="1" t="s">
        <v>2719</v>
      </c>
      <c r="C606" s="1" t="s">
        <v>1570</v>
      </c>
      <c r="D606" s="1" t="s">
        <v>36</v>
      </c>
      <c r="E606" s="1">
        <f t="shared" si="2"/>
        <v>98.75</v>
      </c>
      <c r="F606" s="1">
        <f t="shared" si="3"/>
        <v>1.98</v>
      </c>
      <c r="G606" s="1">
        <v>50.0</v>
      </c>
      <c r="H606" s="1">
        <v>4.0</v>
      </c>
      <c r="I606" s="1">
        <v>7.0</v>
      </c>
      <c r="J606" s="1">
        <v>11.0</v>
      </c>
      <c r="K606" s="1">
        <v>84.0</v>
      </c>
      <c r="L606" s="1">
        <v>0.0</v>
      </c>
      <c r="M606" s="1">
        <v>1.0</v>
      </c>
      <c r="N606" s="1">
        <v>0.0</v>
      </c>
      <c r="O606" s="1">
        <v>0.0</v>
      </c>
      <c r="P606" s="1">
        <v>57.0</v>
      </c>
      <c r="Q606" s="1">
        <v>7.0</v>
      </c>
    </row>
    <row r="607">
      <c r="A607" s="1">
        <f t="shared" si="1"/>
        <v>605</v>
      </c>
      <c r="B607" s="1" t="s">
        <v>1504</v>
      </c>
      <c r="C607" s="1" t="s">
        <v>1052</v>
      </c>
      <c r="D607" s="1" t="s">
        <v>66</v>
      </c>
      <c r="E607" s="1">
        <f t="shared" si="2"/>
        <v>98.25</v>
      </c>
      <c r="F607" s="1">
        <f t="shared" si="3"/>
        <v>3.39</v>
      </c>
      <c r="G607" s="1">
        <v>29.0</v>
      </c>
      <c r="H607" s="1">
        <v>2.0</v>
      </c>
      <c r="I607" s="1">
        <v>13.0</v>
      </c>
      <c r="J607" s="1">
        <v>15.0</v>
      </c>
      <c r="K607" s="1">
        <v>47.0</v>
      </c>
      <c r="L607" s="1">
        <v>1.0</v>
      </c>
      <c r="M607" s="1">
        <v>5.0</v>
      </c>
      <c r="N607" s="1">
        <v>0.0</v>
      </c>
      <c r="O607" s="1">
        <v>0.0</v>
      </c>
      <c r="P607" s="1">
        <v>25.0</v>
      </c>
      <c r="Q607" s="1">
        <v>41.0</v>
      </c>
    </row>
    <row r="608">
      <c r="A608" s="1">
        <f t="shared" si="1"/>
        <v>605</v>
      </c>
      <c r="B608" s="1" t="s">
        <v>2128</v>
      </c>
      <c r="C608" s="1" t="s">
        <v>1032</v>
      </c>
      <c r="D608" s="1" t="s">
        <v>66</v>
      </c>
      <c r="E608" s="1">
        <f t="shared" si="2"/>
        <v>98.25</v>
      </c>
      <c r="F608" s="1">
        <f t="shared" si="3"/>
        <v>1.93</v>
      </c>
      <c r="G608" s="1">
        <v>51.0</v>
      </c>
      <c r="H608" s="1">
        <v>1.0</v>
      </c>
      <c r="I608" s="1">
        <v>4.0</v>
      </c>
      <c r="J608" s="1">
        <v>5.0</v>
      </c>
      <c r="K608" s="1">
        <v>50.0</v>
      </c>
      <c r="L608" s="1">
        <v>0.0</v>
      </c>
      <c r="M608" s="1">
        <v>0.0</v>
      </c>
      <c r="N608" s="1">
        <v>0.0</v>
      </c>
      <c r="O608" s="1">
        <v>0.0</v>
      </c>
      <c r="P608" s="1">
        <v>89.0</v>
      </c>
      <c r="Q608" s="1">
        <v>69.0</v>
      </c>
    </row>
    <row r="609">
      <c r="A609" s="1">
        <f t="shared" si="1"/>
        <v>607</v>
      </c>
      <c r="B609" s="1" t="s">
        <v>2720</v>
      </c>
      <c r="C609" s="1" t="s">
        <v>1570</v>
      </c>
      <c r="D609" s="1" t="s">
        <v>36</v>
      </c>
      <c r="E609" s="1">
        <f t="shared" si="2"/>
        <v>97.5</v>
      </c>
      <c r="F609" s="1">
        <f t="shared" si="3"/>
        <v>1.81</v>
      </c>
      <c r="G609" s="1">
        <v>54.0</v>
      </c>
      <c r="H609" s="1">
        <v>4.0</v>
      </c>
      <c r="I609" s="1">
        <v>4.0</v>
      </c>
      <c r="J609" s="1">
        <v>8.0</v>
      </c>
      <c r="K609" s="1">
        <v>60.0</v>
      </c>
      <c r="L609" s="1">
        <v>0.0</v>
      </c>
      <c r="M609" s="1">
        <v>0.0</v>
      </c>
      <c r="N609" s="1">
        <v>0.0</v>
      </c>
      <c r="O609" s="1">
        <v>0.0</v>
      </c>
      <c r="P609" s="1">
        <v>78.0</v>
      </c>
      <c r="Q609" s="1">
        <v>36.0</v>
      </c>
    </row>
    <row r="610">
      <c r="A610" s="1">
        <f t="shared" si="1"/>
        <v>607</v>
      </c>
      <c r="B610" s="1" t="s">
        <v>1467</v>
      </c>
      <c r="C610" s="1" t="s">
        <v>1067</v>
      </c>
      <c r="D610" s="1" t="s">
        <v>66</v>
      </c>
      <c r="E610" s="1">
        <f t="shared" si="2"/>
        <v>97.5</v>
      </c>
      <c r="F610" s="1">
        <f t="shared" si="3"/>
        <v>2.57</v>
      </c>
      <c r="G610" s="1">
        <v>38.0</v>
      </c>
      <c r="H610" s="1">
        <v>0.0</v>
      </c>
      <c r="I610" s="1">
        <v>12.0</v>
      </c>
      <c r="J610" s="1">
        <v>12.0</v>
      </c>
      <c r="K610" s="1">
        <v>62.0</v>
      </c>
      <c r="L610" s="1">
        <v>0.0</v>
      </c>
      <c r="M610" s="1">
        <v>1.0</v>
      </c>
      <c r="N610" s="1">
        <v>0.0</v>
      </c>
      <c r="O610" s="1">
        <v>0.0</v>
      </c>
      <c r="P610" s="1">
        <v>48.0</v>
      </c>
      <c r="Q610" s="1">
        <v>37.0</v>
      </c>
    </row>
    <row r="611">
      <c r="A611" s="1">
        <f t="shared" si="1"/>
        <v>609</v>
      </c>
      <c r="B611" s="1" t="s">
        <v>1207</v>
      </c>
      <c r="C611" s="1" t="s">
        <v>1030</v>
      </c>
      <c r="D611" s="1" t="s">
        <v>28</v>
      </c>
      <c r="E611" s="1">
        <f t="shared" si="2"/>
        <v>96.25</v>
      </c>
      <c r="F611" s="1">
        <f t="shared" si="3"/>
        <v>1.69</v>
      </c>
      <c r="G611" s="1">
        <v>57.0</v>
      </c>
      <c r="H611" s="1">
        <v>0.0</v>
      </c>
      <c r="I611" s="1">
        <v>10.0</v>
      </c>
      <c r="J611" s="1">
        <v>10.0</v>
      </c>
      <c r="K611" s="1">
        <v>65.0</v>
      </c>
      <c r="L611" s="1">
        <v>0.0</v>
      </c>
      <c r="M611" s="1">
        <v>0.0</v>
      </c>
      <c r="N611" s="1">
        <v>0.0</v>
      </c>
      <c r="O611" s="1">
        <v>0.0</v>
      </c>
      <c r="P611" s="1">
        <v>71.0</v>
      </c>
      <c r="Q611" s="1">
        <v>32.0</v>
      </c>
    </row>
    <row r="612">
      <c r="A612" s="1">
        <f t="shared" si="1"/>
        <v>610</v>
      </c>
      <c r="B612" s="1" t="s">
        <v>2638</v>
      </c>
      <c r="C612" s="1" t="s">
        <v>1120</v>
      </c>
      <c r="D612" s="1" t="s">
        <v>66</v>
      </c>
      <c r="E612" s="1">
        <f t="shared" si="2"/>
        <v>96</v>
      </c>
      <c r="F612" s="1">
        <f t="shared" si="3"/>
        <v>1.85</v>
      </c>
      <c r="G612" s="1">
        <v>52.0</v>
      </c>
      <c r="H612" s="1">
        <v>3.0</v>
      </c>
      <c r="I612" s="1">
        <v>2.0</v>
      </c>
      <c r="J612" s="1">
        <v>5.0</v>
      </c>
      <c r="K612" s="1">
        <v>48.0</v>
      </c>
      <c r="L612" s="1">
        <v>0.0</v>
      </c>
      <c r="M612" s="1">
        <v>0.0</v>
      </c>
      <c r="N612" s="1">
        <v>0.0</v>
      </c>
      <c r="O612" s="1">
        <v>0.0</v>
      </c>
      <c r="P612" s="1">
        <v>98.0</v>
      </c>
      <c r="Q612" s="1">
        <v>56.0</v>
      </c>
    </row>
    <row r="613">
      <c r="A613" s="1">
        <f t="shared" si="1"/>
        <v>611</v>
      </c>
      <c r="B613" s="1" t="s">
        <v>1465</v>
      </c>
      <c r="C613" s="1" t="s">
        <v>1116</v>
      </c>
      <c r="D613" s="1" t="s">
        <v>66</v>
      </c>
      <c r="E613" s="1">
        <f t="shared" si="2"/>
        <v>95.5</v>
      </c>
      <c r="F613" s="1">
        <f t="shared" si="3"/>
        <v>1.68</v>
      </c>
      <c r="G613" s="1">
        <v>57.0</v>
      </c>
      <c r="H613" s="1">
        <v>0.0</v>
      </c>
      <c r="I613" s="1">
        <v>6.0</v>
      </c>
      <c r="J613" s="1">
        <v>6.0</v>
      </c>
      <c r="K613" s="1">
        <v>40.0</v>
      </c>
      <c r="L613" s="1">
        <v>0.0</v>
      </c>
      <c r="M613" s="1">
        <v>0.0</v>
      </c>
      <c r="N613" s="1">
        <v>0.0</v>
      </c>
      <c r="O613" s="1">
        <v>0.0</v>
      </c>
      <c r="P613" s="1">
        <v>88.0</v>
      </c>
      <c r="Q613" s="1">
        <v>71.0</v>
      </c>
    </row>
    <row r="614">
      <c r="A614" s="1">
        <f t="shared" si="1"/>
        <v>612</v>
      </c>
      <c r="B614" s="1" t="s">
        <v>2618</v>
      </c>
      <c r="C614" s="1" t="s">
        <v>1120</v>
      </c>
      <c r="D614" s="1" t="s">
        <v>31</v>
      </c>
      <c r="E614" s="1">
        <f t="shared" si="2"/>
        <v>95</v>
      </c>
      <c r="F614" s="1">
        <f t="shared" si="3"/>
        <v>1.58</v>
      </c>
      <c r="G614" s="1">
        <v>60.0</v>
      </c>
      <c r="H614" s="1">
        <v>3.0</v>
      </c>
      <c r="I614" s="1">
        <v>6.0</v>
      </c>
      <c r="J614" s="1">
        <v>9.0</v>
      </c>
      <c r="K614" s="1">
        <v>49.0</v>
      </c>
      <c r="L614" s="1">
        <v>0.0</v>
      </c>
      <c r="M614" s="1">
        <v>0.0</v>
      </c>
      <c r="N614" s="1">
        <v>1.0</v>
      </c>
      <c r="O614" s="1">
        <v>0.0</v>
      </c>
      <c r="P614" s="1">
        <v>70.0</v>
      </c>
      <c r="Q614" s="1">
        <v>39.0</v>
      </c>
    </row>
    <row r="615">
      <c r="A615" s="1">
        <f t="shared" si="1"/>
        <v>612</v>
      </c>
      <c r="B615" s="1" t="s">
        <v>2604</v>
      </c>
      <c r="C615" s="1" t="s">
        <v>1116</v>
      </c>
      <c r="D615" s="1" t="s">
        <v>28</v>
      </c>
      <c r="E615" s="1">
        <f t="shared" si="2"/>
        <v>95</v>
      </c>
      <c r="F615" s="1">
        <f t="shared" si="3"/>
        <v>1.73</v>
      </c>
      <c r="G615" s="1">
        <v>55.0</v>
      </c>
      <c r="H615" s="1">
        <v>2.0</v>
      </c>
      <c r="I615" s="1">
        <v>6.0</v>
      </c>
      <c r="J615" s="1">
        <v>8.0</v>
      </c>
      <c r="K615" s="1">
        <v>34.0</v>
      </c>
      <c r="L615" s="1">
        <v>0.0</v>
      </c>
      <c r="M615" s="1">
        <v>0.0</v>
      </c>
      <c r="N615" s="1">
        <v>0.0</v>
      </c>
      <c r="O615" s="1">
        <v>1.0</v>
      </c>
      <c r="P615" s="1">
        <v>100.0</v>
      </c>
      <c r="Q615" s="1">
        <v>48.0</v>
      </c>
    </row>
    <row r="616">
      <c r="A616" s="1">
        <f t="shared" si="1"/>
        <v>614</v>
      </c>
      <c r="B616" s="1" t="s">
        <v>1357</v>
      </c>
      <c r="C616" s="1" t="s">
        <v>1570</v>
      </c>
      <c r="D616" s="1" t="s">
        <v>31</v>
      </c>
      <c r="E616" s="1">
        <f t="shared" si="2"/>
        <v>94.75</v>
      </c>
      <c r="F616" s="1">
        <f t="shared" si="3"/>
        <v>2.31</v>
      </c>
      <c r="G616" s="1">
        <v>41.0</v>
      </c>
      <c r="H616" s="1">
        <v>3.0</v>
      </c>
      <c r="I616" s="1">
        <v>5.0</v>
      </c>
      <c r="J616" s="1">
        <v>8.0</v>
      </c>
      <c r="K616" s="1">
        <v>64.0</v>
      </c>
      <c r="L616" s="1">
        <v>0.0</v>
      </c>
      <c r="M616" s="1">
        <v>0.0</v>
      </c>
      <c r="N616" s="1">
        <v>0.0</v>
      </c>
      <c r="O616" s="1">
        <v>0.0</v>
      </c>
      <c r="P616" s="1">
        <v>95.0</v>
      </c>
      <c r="Q616" s="1">
        <v>21.0</v>
      </c>
    </row>
    <row r="617">
      <c r="A617" s="1">
        <f t="shared" si="1"/>
        <v>614</v>
      </c>
      <c r="B617" s="1" t="s">
        <v>2487</v>
      </c>
      <c r="C617" s="1" t="s">
        <v>1038</v>
      </c>
      <c r="D617" s="1" t="s">
        <v>66</v>
      </c>
      <c r="E617" s="1">
        <f t="shared" si="2"/>
        <v>94.75</v>
      </c>
      <c r="F617" s="1">
        <f t="shared" si="3"/>
        <v>2.43</v>
      </c>
      <c r="G617" s="1">
        <v>39.0</v>
      </c>
      <c r="H617" s="1">
        <v>0.0</v>
      </c>
      <c r="I617" s="1">
        <v>7.0</v>
      </c>
      <c r="J617" s="1">
        <v>7.0</v>
      </c>
      <c r="K617" s="1">
        <v>32.0</v>
      </c>
      <c r="L617" s="1">
        <v>0.0</v>
      </c>
      <c r="M617" s="1">
        <v>0.0</v>
      </c>
      <c r="N617" s="1">
        <v>0.0</v>
      </c>
      <c r="O617" s="1">
        <v>0.0</v>
      </c>
      <c r="P617" s="1">
        <v>73.0</v>
      </c>
      <c r="Q617" s="1">
        <v>79.0</v>
      </c>
    </row>
    <row r="618">
      <c r="A618" s="1">
        <f t="shared" si="1"/>
        <v>616</v>
      </c>
      <c r="B618" s="1" t="s">
        <v>2187</v>
      </c>
      <c r="C618" s="1" t="s">
        <v>1175</v>
      </c>
      <c r="D618" s="1" t="s">
        <v>5</v>
      </c>
      <c r="E618" s="1">
        <f t="shared" si="2"/>
        <v>93.9</v>
      </c>
      <c r="F618" s="1">
        <f t="shared" si="3"/>
        <v>3.76</v>
      </c>
      <c r="G618" s="1">
        <v>25.0</v>
      </c>
      <c r="R618" s="1">
        <v>10.0</v>
      </c>
      <c r="S618" s="1">
        <v>70.0</v>
      </c>
      <c r="T618" s="1">
        <v>543.0</v>
      </c>
      <c r="U618" s="1">
        <v>2.0</v>
      </c>
    </row>
    <row r="619">
      <c r="A619" s="1">
        <f t="shared" si="1"/>
        <v>617</v>
      </c>
      <c r="B619" s="1" t="s">
        <v>1470</v>
      </c>
      <c r="C619" s="1" t="s">
        <v>1111</v>
      </c>
      <c r="D619" s="1" t="s">
        <v>66</v>
      </c>
      <c r="E619" s="1">
        <f t="shared" si="2"/>
        <v>93.5</v>
      </c>
      <c r="F619" s="1">
        <f t="shared" si="3"/>
        <v>2.28</v>
      </c>
      <c r="G619" s="1">
        <v>41.0</v>
      </c>
      <c r="H619" s="1">
        <v>0.0</v>
      </c>
      <c r="I619" s="1">
        <v>4.0</v>
      </c>
      <c r="J619" s="1">
        <v>4.0</v>
      </c>
      <c r="K619" s="1">
        <v>27.0</v>
      </c>
      <c r="L619" s="1">
        <v>0.0</v>
      </c>
      <c r="M619" s="1">
        <v>0.0</v>
      </c>
      <c r="N619" s="1">
        <v>0.0</v>
      </c>
      <c r="O619" s="1">
        <v>0.0</v>
      </c>
      <c r="P619" s="1">
        <v>150.0</v>
      </c>
      <c r="Q619" s="1">
        <v>61.0</v>
      </c>
    </row>
    <row r="620">
      <c r="A620" s="1">
        <f t="shared" si="1"/>
        <v>618</v>
      </c>
      <c r="B620" s="1" t="s">
        <v>1260</v>
      </c>
      <c r="C620" s="1" t="s">
        <v>1078</v>
      </c>
      <c r="D620" s="1" t="s">
        <v>66</v>
      </c>
      <c r="E620" s="1">
        <f t="shared" si="2"/>
        <v>92.75</v>
      </c>
      <c r="F620" s="1">
        <f t="shared" si="3"/>
        <v>2.38</v>
      </c>
      <c r="G620" s="1">
        <v>39.0</v>
      </c>
      <c r="H620" s="1">
        <v>3.0</v>
      </c>
      <c r="I620" s="1">
        <v>7.0</v>
      </c>
      <c r="J620" s="1">
        <v>10.0</v>
      </c>
      <c r="K620" s="1">
        <v>55.0</v>
      </c>
      <c r="L620" s="1">
        <v>1.0</v>
      </c>
      <c r="M620" s="1">
        <v>0.0</v>
      </c>
      <c r="N620" s="1">
        <v>0.0</v>
      </c>
      <c r="O620" s="1">
        <v>0.0</v>
      </c>
      <c r="P620" s="1">
        <v>43.0</v>
      </c>
      <c r="Q620" s="1">
        <v>40.0</v>
      </c>
    </row>
    <row r="621">
      <c r="A621" s="1">
        <f t="shared" si="1"/>
        <v>619</v>
      </c>
      <c r="B621" s="1" t="s">
        <v>2564</v>
      </c>
      <c r="C621" s="1" t="s">
        <v>1042</v>
      </c>
      <c r="D621" s="1" t="s">
        <v>66</v>
      </c>
      <c r="E621" s="1">
        <f t="shared" si="2"/>
        <v>92.5</v>
      </c>
      <c r="F621" s="1">
        <f t="shared" si="3"/>
        <v>1.49</v>
      </c>
      <c r="G621" s="1">
        <v>62.0</v>
      </c>
      <c r="H621" s="1">
        <v>2.0</v>
      </c>
      <c r="I621" s="1">
        <v>6.0</v>
      </c>
      <c r="J621" s="1">
        <v>8.0</v>
      </c>
      <c r="K621" s="1">
        <v>67.0</v>
      </c>
      <c r="L621" s="1">
        <v>0.0</v>
      </c>
      <c r="M621" s="1">
        <v>0.0</v>
      </c>
      <c r="N621" s="1">
        <v>0.0</v>
      </c>
      <c r="O621" s="1">
        <v>0.0</v>
      </c>
      <c r="P621" s="1">
        <v>64.0</v>
      </c>
      <c r="Q621" s="1">
        <v>32.0</v>
      </c>
    </row>
    <row r="622">
      <c r="A622" s="1">
        <f t="shared" si="1"/>
        <v>620</v>
      </c>
      <c r="B622" s="1" t="s">
        <v>2130</v>
      </c>
      <c r="C622" s="1" t="s">
        <v>1172</v>
      </c>
      <c r="D622" s="1" t="s">
        <v>5</v>
      </c>
      <c r="E622" s="1">
        <f t="shared" si="2"/>
        <v>91.5</v>
      </c>
      <c r="F622" s="1">
        <f t="shared" si="3"/>
        <v>5.72</v>
      </c>
      <c r="G622" s="1">
        <v>16.0</v>
      </c>
      <c r="R622" s="1">
        <v>6.0</v>
      </c>
      <c r="S622" s="1">
        <v>50.0</v>
      </c>
      <c r="T622" s="1">
        <v>495.0</v>
      </c>
      <c r="U622" s="1">
        <v>0.0</v>
      </c>
    </row>
    <row r="623">
      <c r="A623" s="1">
        <f t="shared" si="1"/>
        <v>620</v>
      </c>
      <c r="B623" s="1" t="s">
        <v>2515</v>
      </c>
      <c r="C623" s="1" t="s">
        <v>1120</v>
      </c>
      <c r="D623" s="1" t="s">
        <v>31</v>
      </c>
      <c r="E623" s="1">
        <f t="shared" si="2"/>
        <v>91.5</v>
      </c>
      <c r="F623" s="1">
        <f t="shared" si="3"/>
        <v>1.53</v>
      </c>
      <c r="G623" s="1">
        <v>60.0</v>
      </c>
      <c r="H623" s="1">
        <v>3.0</v>
      </c>
      <c r="I623" s="1">
        <v>6.0</v>
      </c>
      <c r="J623" s="1">
        <v>9.0</v>
      </c>
      <c r="K623" s="1">
        <v>55.0</v>
      </c>
      <c r="L623" s="1">
        <v>0.0</v>
      </c>
      <c r="M623" s="1">
        <v>0.0</v>
      </c>
      <c r="N623" s="1">
        <v>0.0</v>
      </c>
      <c r="O623" s="1">
        <v>0.0</v>
      </c>
      <c r="P623" s="1">
        <v>72.0</v>
      </c>
      <c r="Q623" s="1">
        <v>29.0</v>
      </c>
    </row>
    <row r="624">
      <c r="A624" s="1">
        <f t="shared" si="1"/>
        <v>622</v>
      </c>
      <c r="B624" s="1" t="s">
        <v>1753</v>
      </c>
      <c r="C624" s="1" t="s">
        <v>1036</v>
      </c>
      <c r="D624" s="1" t="s">
        <v>31</v>
      </c>
      <c r="E624" s="1">
        <f t="shared" si="2"/>
        <v>90.75</v>
      </c>
      <c r="F624" s="1">
        <f t="shared" si="3"/>
        <v>2.84</v>
      </c>
      <c r="G624" s="1">
        <v>32.0</v>
      </c>
      <c r="H624" s="1">
        <v>6.0</v>
      </c>
      <c r="I624" s="1">
        <v>7.0</v>
      </c>
      <c r="J624" s="1">
        <v>13.0</v>
      </c>
      <c r="K624" s="1">
        <v>68.0</v>
      </c>
      <c r="L624" s="1">
        <v>1.0</v>
      </c>
      <c r="M624" s="1">
        <v>0.0</v>
      </c>
      <c r="N624" s="1">
        <v>0.0</v>
      </c>
      <c r="O624" s="1">
        <v>0.0</v>
      </c>
      <c r="P624" s="1">
        <v>21.0</v>
      </c>
      <c r="Q624" s="1">
        <v>7.0</v>
      </c>
    </row>
    <row r="625">
      <c r="A625" s="1">
        <f t="shared" si="1"/>
        <v>622</v>
      </c>
      <c r="B625" s="1" t="s">
        <v>1780</v>
      </c>
      <c r="C625" s="1" t="s">
        <v>1076</v>
      </c>
      <c r="D625" s="1" t="s">
        <v>31</v>
      </c>
      <c r="E625" s="1">
        <f t="shared" si="2"/>
        <v>90.75</v>
      </c>
      <c r="F625" s="1">
        <f t="shared" si="3"/>
        <v>2.21</v>
      </c>
      <c r="G625" s="1">
        <v>41.0</v>
      </c>
      <c r="H625" s="1">
        <v>6.0</v>
      </c>
      <c r="I625" s="1">
        <v>4.0</v>
      </c>
      <c r="J625" s="1">
        <v>10.0</v>
      </c>
      <c r="K625" s="1">
        <v>39.0</v>
      </c>
      <c r="L625" s="1">
        <v>0.0</v>
      </c>
      <c r="M625" s="1">
        <v>0.0</v>
      </c>
      <c r="N625" s="1">
        <v>1.0</v>
      </c>
      <c r="O625" s="1">
        <v>0.0</v>
      </c>
      <c r="P625" s="1">
        <v>77.0</v>
      </c>
      <c r="Q625" s="1">
        <v>22.0</v>
      </c>
    </row>
    <row r="626">
      <c r="A626" s="1">
        <f t="shared" si="1"/>
        <v>624</v>
      </c>
      <c r="B626" s="1" t="s">
        <v>1982</v>
      </c>
      <c r="C626" s="1" t="s">
        <v>1076</v>
      </c>
      <c r="D626" s="1" t="s">
        <v>28</v>
      </c>
      <c r="E626" s="1">
        <f t="shared" si="2"/>
        <v>90.5</v>
      </c>
      <c r="F626" s="1">
        <f t="shared" si="3"/>
        <v>1.77</v>
      </c>
      <c r="G626" s="1">
        <v>51.0</v>
      </c>
      <c r="H626" s="1">
        <v>5.0</v>
      </c>
      <c r="I626" s="1">
        <v>8.0</v>
      </c>
      <c r="J626" s="1">
        <v>13.0</v>
      </c>
      <c r="K626" s="1">
        <v>49.0</v>
      </c>
      <c r="L626" s="1">
        <v>0.0</v>
      </c>
      <c r="M626" s="1">
        <v>1.0</v>
      </c>
      <c r="N626" s="1">
        <v>0.0</v>
      </c>
      <c r="O626" s="1">
        <v>0.0</v>
      </c>
      <c r="P626" s="1">
        <v>48.0</v>
      </c>
      <c r="Q626" s="1">
        <v>15.0</v>
      </c>
    </row>
    <row r="627">
      <c r="A627" s="1">
        <f t="shared" si="1"/>
        <v>624</v>
      </c>
      <c r="B627" s="1" t="s">
        <v>2041</v>
      </c>
      <c r="C627" s="1" t="s">
        <v>1046</v>
      </c>
      <c r="D627" s="1" t="s">
        <v>31</v>
      </c>
      <c r="E627" s="1">
        <f t="shared" si="2"/>
        <v>90.5</v>
      </c>
      <c r="F627" s="1">
        <f t="shared" si="3"/>
        <v>1.62</v>
      </c>
      <c r="G627" s="1">
        <v>56.0</v>
      </c>
      <c r="H627" s="1">
        <v>5.0</v>
      </c>
      <c r="I627" s="1">
        <v>7.0</v>
      </c>
      <c r="J627" s="1">
        <v>12.0</v>
      </c>
      <c r="K627" s="1">
        <v>55.0</v>
      </c>
      <c r="L627" s="1">
        <v>0.0</v>
      </c>
      <c r="M627" s="1">
        <v>2.0</v>
      </c>
      <c r="N627" s="1">
        <v>0.0</v>
      </c>
      <c r="O627" s="1">
        <v>0.0</v>
      </c>
      <c r="P627" s="1">
        <v>48.0</v>
      </c>
      <c r="Q627" s="1">
        <v>15.0</v>
      </c>
    </row>
    <row r="628">
      <c r="A628" s="1">
        <f t="shared" si="1"/>
        <v>624</v>
      </c>
      <c r="B628" s="1" t="s">
        <v>2116</v>
      </c>
      <c r="C628" s="1" t="s">
        <v>1038</v>
      </c>
      <c r="D628" s="1" t="s">
        <v>36</v>
      </c>
      <c r="E628" s="1">
        <f t="shared" si="2"/>
        <v>90.5</v>
      </c>
      <c r="F628" s="1">
        <f t="shared" si="3"/>
        <v>1.71</v>
      </c>
      <c r="G628" s="1">
        <v>53.0</v>
      </c>
      <c r="H628" s="1">
        <v>4.0</v>
      </c>
      <c r="I628" s="1">
        <v>2.0</v>
      </c>
      <c r="J628" s="1">
        <v>6.0</v>
      </c>
      <c r="K628" s="1">
        <v>57.0</v>
      </c>
      <c r="L628" s="1">
        <v>1.0</v>
      </c>
      <c r="M628" s="1">
        <v>0.0</v>
      </c>
      <c r="N628" s="1">
        <v>0.0</v>
      </c>
      <c r="O628" s="1">
        <v>0.0</v>
      </c>
      <c r="P628" s="1">
        <v>126.0</v>
      </c>
      <c r="Q628" s="1">
        <v>13.0</v>
      </c>
    </row>
    <row r="629">
      <c r="A629" s="1">
        <f t="shared" si="1"/>
        <v>624</v>
      </c>
      <c r="B629" s="1" t="s">
        <v>2721</v>
      </c>
      <c r="C629" s="1" t="s">
        <v>1032</v>
      </c>
      <c r="D629" s="1" t="s">
        <v>28</v>
      </c>
      <c r="E629" s="1">
        <f t="shared" si="2"/>
        <v>90.5</v>
      </c>
      <c r="F629" s="1">
        <f t="shared" si="3"/>
        <v>1.81</v>
      </c>
      <c r="G629" s="1">
        <v>50.0</v>
      </c>
      <c r="H629" s="1">
        <v>2.0</v>
      </c>
      <c r="I629" s="1">
        <v>6.0</v>
      </c>
      <c r="J629" s="1">
        <v>8.0</v>
      </c>
      <c r="K629" s="1">
        <v>54.0</v>
      </c>
      <c r="L629" s="1">
        <v>0.0</v>
      </c>
      <c r="M629" s="1">
        <v>0.0</v>
      </c>
      <c r="N629" s="1">
        <v>0.0</v>
      </c>
      <c r="O629" s="1">
        <v>0.0</v>
      </c>
      <c r="P629" s="1">
        <v>114.0</v>
      </c>
      <c r="Q629" s="1">
        <v>16.0</v>
      </c>
    </row>
    <row r="630">
      <c r="A630" s="1">
        <f t="shared" si="1"/>
        <v>628</v>
      </c>
      <c r="B630" s="1" t="s">
        <v>2154</v>
      </c>
      <c r="C630" s="1" t="s">
        <v>1044</v>
      </c>
      <c r="D630" s="1" t="s">
        <v>28</v>
      </c>
      <c r="E630" s="1">
        <f t="shared" si="2"/>
        <v>90</v>
      </c>
      <c r="F630" s="1">
        <f t="shared" si="3"/>
        <v>2.5</v>
      </c>
      <c r="G630" s="1">
        <v>36.0</v>
      </c>
      <c r="H630" s="1">
        <v>5.0</v>
      </c>
      <c r="I630" s="1">
        <v>9.0</v>
      </c>
      <c r="J630" s="1">
        <v>14.0</v>
      </c>
      <c r="K630" s="1">
        <v>48.0</v>
      </c>
      <c r="L630" s="1">
        <v>3.0</v>
      </c>
      <c r="M630" s="1">
        <v>1.0</v>
      </c>
      <c r="N630" s="1">
        <v>0.0</v>
      </c>
      <c r="O630" s="1">
        <v>0.0</v>
      </c>
      <c r="P630" s="1">
        <v>18.0</v>
      </c>
      <c r="Q630" s="1">
        <v>24.0</v>
      </c>
    </row>
    <row r="631">
      <c r="A631" s="1">
        <f t="shared" si="1"/>
        <v>629</v>
      </c>
      <c r="B631" s="1" t="s">
        <v>2722</v>
      </c>
      <c r="C631" s="1" t="s">
        <v>1054</v>
      </c>
      <c r="D631" s="1" t="s">
        <v>36</v>
      </c>
      <c r="E631" s="1">
        <f t="shared" si="2"/>
        <v>89.25</v>
      </c>
      <c r="F631" s="1">
        <f t="shared" si="3"/>
        <v>1.59</v>
      </c>
      <c r="G631" s="1">
        <v>56.0</v>
      </c>
      <c r="H631" s="1">
        <v>3.0</v>
      </c>
      <c r="I631" s="1">
        <v>5.0</v>
      </c>
      <c r="J631" s="1">
        <v>8.0</v>
      </c>
      <c r="K631" s="1">
        <v>56.0</v>
      </c>
      <c r="L631" s="1">
        <v>0.0</v>
      </c>
      <c r="M631" s="1">
        <v>0.0</v>
      </c>
      <c r="N631" s="1">
        <v>0.0</v>
      </c>
      <c r="O631" s="1">
        <v>0.0</v>
      </c>
      <c r="P631" s="1">
        <v>99.0</v>
      </c>
      <c r="Q631" s="1">
        <v>16.0</v>
      </c>
    </row>
    <row r="632">
      <c r="A632" s="1">
        <f t="shared" si="1"/>
        <v>630</v>
      </c>
      <c r="B632" s="1" t="s">
        <v>1673</v>
      </c>
      <c r="C632" s="1" t="s">
        <v>1065</v>
      </c>
      <c r="D632" s="1" t="s">
        <v>28</v>
      </c>
      <c r="E632" s="1">
        <f t="shared" si="2"/>
        <v>88.75</v>
      </c>
      <c r="F632" s="1">
        <f t="shared" si="3"/>
        <v>1.85</v>
      </c>
      <c r="G632" s="1">
        <v>48.0</v>
      </c>
      <c r="H632" s="1">
        <v>2.0</v>
      </c>
      <c r="I632" s="1">
        <v>3.0</v>
      </c>
      <c r="J632" s="1">
        <v>5.0</v>
      </c>
      <c r="K632" s="1">
        <v>48.0</v>
      </c>
      <c r="L632" s="1">
        <v>0.0</v>
      </c>
      <c r="M632" s="1">
        <v>0.0</v>
      </c>
      <c r="N632" s="1">
        <v>1.0</v>
      </c>
      <c r="O632" s="1">
        <v>0.0</v>
      </c>
      <c r="P632" s="1">
        <v>135.0</v>
      </c>
      <c r="Q632" s="1">
        <v>22.0</v>
      </c>
    </row>
    <row r="633">
      <c r="A633" s="1">
        <f t="shared" si="1"/>
        <v>631</v>
      </c>
      <c r="B633" s="1" t="s">
        <v>1236</v>
      </c>
      <c r="C633" s="1" t="s">
        <v>1073</v>
      </c>
      <c r="D633" s="1" t="s">
        <v>66</v>
      </c>
      <c r="E633" s="1">
        <f t="shared" si="2"/>
        <v>88.5</v>
      </c>
      <c r="F633" s="1">
        <f t="shared" si="3"/>
        <v>2.06</v>
      </c>
      <c r="G633" s="1">
        <v>43.0</v>
      </c>
      <c r="H633" s="1">
        <v>3.0</v>
      </c>
      <c r="I633" s="1">
        <v>6.0</v>
      </c>
      <c r="J633" s="1">
        <v>9.0</v>
      </c>
      <c r="K633" s="1">
        <v>57.0</v>
      </c>
      <c r="L633" s="1">
        <v>0.0</v>
      </c>
      <c r="M633" s="1">
        <v>0.0</v>
      </c>
      <c r="N633" s="1">
        <v>0.0</v>
      </c>
      <c r="O633" s="1">
        <v>0.0</v>
      </c>
      <c r="P633" s="1">
        <v>38.0</v>
      </c>
      <c r="Q633" s="1">
        <v>38.0</v>
      </c>
    </row>
    <row r="634">
      <c r="A634" s="1">
        <f t="shared" si="1"/>
        <v>632</v>
      </c>
      <c r="B634" s="1" t="s">
        <v>2723</v>
      </c>
      <c r="C634" s="1" t="s">
        <v>1570</v>
      </c>
      <c r="D634" s="1" t="s">
        <v>28</v>
      </c>
      <c r="E634" s="1">
        <f t="shared" si="2"/>
        <v>88.25</v>
      </c>
      <c r="F634" s="1">
        <f t="shared" si="3"/>
        <v>1.58</v>
      </c>
      <c r="G634" s="1">
        <v>56.0</v>
      </c>
      <c r="H634" s="1">
        <v>5.0</v>
      </c>
      <c r="I634" s="1">
        <v>5.0</v>
      </c>
      <c r="J634" s="1">
        <v>10.0</v>
      </c>
      <c r="K634" s="1">
        <v>44.0</v>
      </c>
      <c r="L634" s="1">
        <v>0.0</v>
      </c>
      <c r="M634" s="1">
        <v>0.0</v>
      </c>
      <c r="N634" s="1">
        <v>0.0</v>
      </c>
      <c r="O634" s="1">
        <v>0.0</v>
      </c>
      <c r="P634" s="1">
        <v>85.0</v>
      </c>
      <c r="Q634" s="1">
        <v>15.0</v>
      </c>
    </row>
    <row r="635">
      <c r="A635" s="1">
        <f t="shared" si="1"/>
        <v>633</v>
      </c>
      <c r="B635" s="1" t="s">
        <v>2454</v>
      </c>
      <c r="C635" s="1" t="s">
        <v>1046</v>
      </c>
      <c r="D635" s="1" t="s">
        <v>28</v>
      </c>
      <c r="E635" s="1">
        <f t="shared" si="2"/>
        <v>88</v>
      </c>
      <c r="F635" s="1">
        <f t="shared" si="3"/>
        <v>3.38</v>
      </c>
      <c r="G635" s="1">
        <v>26.0</v>
      </c>
      <c r="H635" s="1">
        <v>9.0</v>
      </c>
      <c r="I635" s="1">
        <v>5.0</v>
      </c>
      <c r="J635" s="1">
        <v>14.0</v>
      </c>
      <c r="K635" s="1">
        <v>43.0</v>
      </c>
      <c r="L635" s="1">
        <v>3.0</v>
      </c>
      <c r="M635" s="1">
        <v>4.0</v>
      </c>
      <c r="N635" s="1">
        <v>0.0</v>
      </c>
      <c r="O635" s="1">
        <v>0.0</v>
      </c>
      <c r="P635" s="1">
        <v>18.0</v>
      </c>
      <c r="Q635" s="1">
        <v>13.0</v>
      </c>
    </row>
    <row r="636">
      <c r="A636" s="1">
        <f t="shared" si="1"/>
        <v>634</v>
      </c>
      <c r="B636" s="1" t="s">
        <v>1302</v>
      </c>
      <c r="C636" s="1" t="s">
        <v>1082</v>
      </c>
      <c r="D636" s="1" t="s">
        <v>36</v>
      </c>
      <c r="E636" s="1">
        <f t="shared" si="2"/>
        <v>86.5</v>
      </c>
      <c r="F636" s="1">
        <f t="shared" si="3"/>
        <v>1.35</v>
      </c>
      <c r="G636" s="1">
        <v>64.0</v>
      </c>
      <c r="H636" s="1">
        <v>5.0</v>
      </c>
      <c r="I636" s="1">
        <v>6.0</v>
      </c>
      <c r="J636" s="1">
        <v>11.0</v>
      </c>
      <c r="K636" s="1">
        <v>36.0</v>
      </c>
      <c r="L636" s="1">
        <v>0.0</v>
      </c>
      <c r="M636" s="1">
        <v>0.0</v>
      </c>
      <c r="N636" s="1">
        <v>1.0</v>
      </c>
      <c r="O636" s="1">
        <v>0.0</v>
      </c>
      <c r="P636" s="1">
        <v>38.0</v>
      </c>
      <c r="Q636" s="1">
        <v>33.0</v>
      </c>
    </row>
    <row r="637">
      <c r="A637" s="1">
        <f t="shared" si="1"/>
        <v>635</v>
      </c>
      <c r="B637" s="1" t="s">
        <v>2107</v>
      </c>
      <c r="C637" s="1" t="s">
        <v>1042</v>
      </c>
      <c r="D637" s="1" t="s">
        <v>66</v>
      </c>
      <c r="E637" s="1">
        <f t="shared" si="2"/>
        <v>86</v>
      </c>
      <c r="F637" s="1">
        <f t="shared" si="3"/>
        <v>1.95</v>
      </c>
      <c r="G637" s="1">
        <v>44.0</v>
      </c>
      <c r="H637" s="1">
        <v>1.0</v>
      </c>
      <c r="I637" s="1">
        <v>6.0</v>
      </c>
      <c r="J637" s="1">
        <v>7.0</v>
      </c>
      <c r="K637" s="1">
        <v>50.0</v>
      </c>
      <c r="L637" s="1">
        <v>0.0</v>
      </c>
      <c r="M637" s="1">
        <v>0.0</v>
      </c>
      <c r="N637" s="1">
        <v>0.0</v>
      </c>
      <c r="O637" s="1">
        <v>0.0</v>
      </c>
      <c r="P637" s="1">
        <v>80.0</v>
      </c>
      <c r="Q637" s="1">
        <v>37.0</v>
      </c>
    </row>
    <row r="638">
      <c r="A638" s="1">
        <f t="shared" si="1"/>
        <v>636</v>
      </c>
      <c r="B638" s="1" t="s">
        <v>2724</v>
      </c>
      <c r="C638" s="1" t="s">
        <v>1570</v>
      </c>
      <c r="D638" s="1" t="s">
        <v>66</v>
      </c>
      <c r="E638" s="1">
        <f t="shared" si="2"/>
        <v>85.25</v>
      </c>
      <c r="F638" s="1">
        <f t="shared" si="3"/>
        <v>1.61</v>
      </c>
      <c r="G638" s="1">
        <v>53.0</v>
      </c>
      <c r="H638" s="1">
        <v>3.0</v>
      </c>
      <c r="I638" s="1">
        <v>4.0</v>
      </c>
      <c r="J638" s="1">
        <v>7.0</v>
      </c>
      <c r="K638" s="1">
        <v>43.0</v>
      </c>
      <c r="L638" s="1">
        <v>0.0</v>
      </c>
      <c r="M638" s="1">
        <v>0.0</v>
      </c>
      <c r="N638" s="1">
        <v>0.0</v>
      </c>
      <c r="O638" s="1">
        <v>0.0</v>
      </c>
      <c r="P638" s="1">
        <v>57.0</v>
      </c>
      <c r="Q638" s="1">
        <v>48.0</v>
      </c>
    </row>
    <row r="639">
      <c r="A639" s="1">
        <f t="shared" si="1"/>
        <v>637</v>
      </c>
      <c r="B639" s="1" t="s">
        <v>2044</v>
      </c>
      <c r="C639" s="1" t="s">
        <v>1038</v>
      </c>
      <c r="D639" s="1" t="s">
        <v>66</v>
      </c>
      <c r="E639" s="1">
        <f t="shared" si="2"/>
        <v>85</v>
      </c>
      <c r="F639" s="1">
        <f t="shared" si="3"/>
        <v>2.43</v>
      </c>
      <c r="G639" s="1">
        <v>35.0</v>
      </c>
      <c r="H639" s="1">
        <v>0.0</v>
      </c>
      <c r="I639" s="1">
        <v>2.0</v>
      </c>
      <c r="J639" s="1">
        <v>2.0</v>
      </c>
      <c r="K639" s="1">
        <v>47.0</v>
      </c>
      <c r="L639" s="1">
        <v>0.0</v>
      </c>
      <c r="M639" s="1">
        <v>0.0</v>
      </c>
      <c r="N639" s="1">
        <v>0.0</v>
      </c>
      <c r="O639" s="1">
        <v>0.0</v>
      </c>
      <c r="P639" s="1">
        <v>116.0</v>
      </c>
      <c r="Q639" s="1">
        <v>53.0</v>
      </c>
    </row>
    <row r="640">
      <c r="A640" s="1">
        <f t="shared" si="1"/>
        <v>638</v>
      </c>
      <c r="B640" s="1" t="s">
        <v>2650</v>
      </c>
      <c r="C640" s="1" t="s">
        <v>1036</v>
      </c>
      <c r="D640" s="1" t="s">
        <v>31</v>
      </c>
      <c r="E640" s="1">
        <f t="shared" si="2"/>
        <v>84.75</v>
      </c>
      <c r="F640" s="1">
        <f t="shared" si="3"/>
        <v>1.6</v>
      </c>
      <c r="G640" s="1">
        <v>53.0</v>
      </c>
      <c r="H640" s="1">
        <v>3.0</v>
      </c>
      <c r="I640" s="1">
        <v>5.0</v>
      </c>
      <c r="J640" s="1">
        <v>8.0</v>
      </c>
      <c r="K640" s="1">
        <v>58.0</v>
      </c>
      <c r="L640" s="1">
        <v>0.0</v>
      </c>
      <c r="M640" s="1">
        <v>0.0</v>
      </c>
      <c r="N640" s="1">
        <v>0.0</v>
      </c>
      <c r="O640" s="1">
        <v>0.0</v>
      </c>
      <c r="P640" s="1">
        <v>73.0</v>
      </c>
      <c r="Q640" s="1">
        <v>18.0</v>
      </c>
    </row>
    <row r="641">
      <c r="A641" s="1">
        <f t="shared" si="1"/>
        <v>639</v>
      </c>
      <c r="B641" s="1" t="s">
        <v>1826</v>
      </c>
      <c r="C641" s="1" t="s">
        <v>1570</v>
      </c>
      <c r="D641" s="1" t="s">
        <v>36</v>
      </c>
      <c r="E641" s="1">
        <f t="shared" si="2"/>
        <v>84</v>
      </c>
      <c r="F641" s="1">
        <f t="shared" si="3"/>
        <v>1.83</v>
      </c>
      <c r="G641" s="1">
        <v>46.0</v>
      </c>
      <c r="H641" s="1">
        <v>4.0</v>
      </c>
      <c r="I641" s="1">
        <v>5.0</v>
      </c>
      <c r="J641" s="1">
        <v>9.0</v>
      </c>
      <c r="K641" s="1">
        <v>53.0</v>
      </c>
      <c r="L641" s="1">
        <v>0.0</v>
      </c>
      <c r="M641" s="1">
        <v>1.0</v>
      </c>
      <c r="N641" s="1">
        <v>0.0</v>
      </c>
      <c r="O641" s="1">
        <v>0.0</v>
      </c>
      <c r="P641" s="1">
        <v>46.0</v>
      </c>
      <c r="Q641" s="1">
        <v>26.0</v>
      </c>
    </row>
    <row r="642">
      <c r="A642" s="1">
        <f t="shared" si="1"/>
        <v>640</v>
      </c>
      <c r="B642" s="1" t="s">
        <v>2214</v>
      </c>
      <c r="C642" s="1" t="s">
        <v>1065</v>
      </c>
      <c r="D642" s="1" t="s">
        <v>66</v>
      </c>
      <c r="E642" s="1">
        <f t="shared" si="2"/>
        <v>83.25</v>
      </c>
      <c r="F642" s="1">
        <f t="shared" si="3"/>
        <v>1.7</v>
      </c>
      <c r="G642" s="1">
        <v>49.0</v>
      </c>
      <c r="H642" s="1">
        <v>0.0</v>
      </c>
      <c r="I642" s="1">
        <v>5.0</v>
      </c>
      <c r="J642" s="1">
        <v>5.0</v>
      </c>
      <c r="K642" s="1">
        <v>57.0</v>
      </c>
      <c r="L642" s="1">
        <v>0.0</v>
      </c>
      <c r="M642" s="1">
        <v>0.0</v>
      </c>
      <c r="N642" s="1">
        <v>0.0</v>
      </c>
      <c r="O642" s="1">
        <v>0.0</v>
      </c>
      <c r="P642" s="1">
        <v>41.0</v>
      </c>
      <c r="Q642" s="1">
        <v>59.0</v>
      </c>
    </row>
    <row r="643">
      <c r="A643" s="1">
        <f t="shared" si="1"/>
        <v>641</v>
      </c>
      <c r="B643" s="1" t="s">
        <v>2429</v>
      </c>
      <c r="C643" s="1" t="s">
        <v>1087</v>
      </c>
      <c r="D643" s="1" t="s">
        <v>66</v>
      </c>
      <c r="E643" s="1">
        <f t="shared" si="2"/>
        <v>83</v>
      </c>
      <c r="F643" s="1">
        <f t="shared" si="3"/>
        <v>2.08</v>
      </c>
      <c r="G643" s="1">
        <v>40.0</v>
      </c>
      <c r="H643" s="1">
        <v>0.0</v>
      </c>
      <c r="I643" s="1">
        <v>4.0</v>
      </c>
      <c r="J643" s="1">
        <v>4.0</v>
      </c>
      <c r="K643" s="1">
        <v>47.0</v>
      </c>
      <c r="L643" s="1">
        <v>0.0</v>
      </c>
      <c r="M643" s="1">
        <v>0.0</v>
      </c>
      <c r="N643" s="1">
        <v>0.0</v>
      </c>
      <c r="O643" s="1">
        <v>1.0</v>
      </c>
      <c r="P643" s="1">
        <v>40.0</v>
      </c>
      <c r="Q643" s="1">
        <v>71.0</v>
      </c>
    </row>
    <row r="644">
      <c r="A644" s="1">
        <f t="shared" si="1"/>
        <v>642</v>
      </c>
      <c r="B644" s="1" t="s">
        <v>2124</v>
      </c>
      <c r="C644" s="1" t="s">
        <v>1175</v>
      </c>
      <c r="D644" s="1" t="s">
        <v>66</v>
      </c>
      <c r="E644" s="1">
        <f t="shared" si="2"/>
        <v>82.75</v>
      </c>
      <c r="F644" s="1">
        <f t="shared" si="3"/>
        <v>2.02</v>
      </c>
      <c r="G644" s="1">
        <v>41.0</v>
      </c>
      <c r="H644" s="1">
        <v>1.0</v>
      </c>
      <c r="I644" s="1">
        <v>8.0</v>
      </c>
      <c r="J644" s="1">
        <v>9.0</v>
      </c>
      <c r="K644" s="1">
        <v>41.0</v>
      </c>
      <c r="L644" s="1">
        <v>0.0</v>
      </c>
      <c r="M644" s="1">
        <v>0.0</v>
      </c>
      <c r="N644" s="1">
        <v>0.0</v>
      </c>
      <c r="O644" s="1">
        <v>0.0</v>
      </c>
      <c r="P644" s="1">
        <v>67.0</v>
      </c>
      <c r="Q644" s="1">
        <v>34.0</v>
      </c>
    </row>
    <row r="645">
      <c r="A645" s="1">
        <f t="shared" si="1"/>
        <v>643</v>
      </c>
      <c r="B645" s="1" t="s">
        <v>2617</v>
      </c>
      <c r="C645" s="1" t="s">
        <v>1087</v>
      </c>
      <c r="D645" s="1" t="s">
        <v>36</v>
      </c>
      <c r="E645" s="1">
        <f t="shared" si="2"/>
        <v>82.5</v>
      </c>
      <c r="F645" s="1">
        <f t="shared" si="3"/>
        <v>2.29</v>
      </c>
      <c r="G645" s="1">
        <v>36.0</v>
      </c>
      <c r="H645" s="1">
        <v>4.0</v>
      </c>
      <c r="I645" s="1">
        <v>5.0</v>
      </c>
      <c r="J645" s="1">
        <v>9.0</v>
      </c>
      <c r="K645" s="1">
        <v>30.0</v>
      </c>
      <c r="L645" s="1">
        <v>0.0</v>
      </c>
      <c r="M645" s="1">
        <v>0.0</v>
      </c>
      <c r="N645" s="1">
        <v>0.0</v>
      </c>
      <c r="O645" s="1">
        <v>1.0</v>
      </c>
      <c r="P645" s="1">
        <v>48.0</v>
      </c>
      <c r="Q645" s="1">
        <v>41.0</v>
      </c>
    </row>
    <row r="646">
      <c r="A646" s="1">
        <f t="shared" si="1"/>
        <v>643</v>
      </c>
      <c r="B646" s="1" t="s">
        <v>2614</v>
      </c>
      <c r="C646" s="1" t="s">
        <v>1120</v>
      </c>
      <c r="D646" s="1" t="s">
        <v>66</v>
      </c>
      <c r="E646" s="1">
        <f t="shared" si="2"/>
        <v>82.5</v>
      </c>
      <c r="F646" s="1">
        <f t="shared" si="3"/>
        <v>1.88</v>
      </c>
      <c r="G646" s="1">
        <v>44.0</v>
      </c>
      <c r="H646" s="1">
        <v>2.0</v>
      </c>
      <c r="I646" s="1">
        <v>6.0</v>
      </c>
      <c r="J646" s="1">
        <v>8.0</v>
      </c>
      <c r="K646" s="1">
        <v>47.0</v>
      </c>
      <c r="L646" s="1">
        <v>0.0</v>
      </c>
      <c r="M646" s="1">
        <v>0.0</v>
      </c>
      <c r="N646" s="1">
        <v>1.0</v>
      </c>
      <c r="O646" s="1">
        <v>0.0</v>
      </c>
      <c r="P646" s="1">
        <v>14.0</v>
      </c>
      <c r="Q646" s="1">
        <v>53.0</v>
      </c>
    </row>
    <row r="647">
      <c r="A647" s="1">
        <f t="shared" si="1"/>
        <v>645</v>
      </c>
      <c r="B647" s="1" t="s">
        <v>2610</v>
      </c>
      <c r="C647" s="1" t="s">
        <v>1046</v>
      </c>
      <c r="D647" s="1" t="s">
        <v>31</v>
      </c>
      <c r="E647" s="1">
        <f t="shared" si="2"/>
        <v>82</v>
      </c>
      <c r="F647" s="1">
        <f t="shared" si="3"/>
        <v>1.74</v>
      </c>
      <c r="G647" s="1">
        <v>47.0</v>
      </c>
      <c r="H647" s="1">
        <v>3.0</v>
      </c>
      <c r="I647" s="1">
        <v>7.0</v>
      </c>
      <c r="J647" s="1">
        <v>10.0</v>
      </c>
      <c r="K647" s="1">
        <v>44.0</v>
      </c>
      <c r="L647" s="1">
        <v>0.0</v>
      </c>
      <c r="M647" s="1">
        <v>0.0</v>
      </c>
      <c r="N647" s="1">
        <v>0.0</v>
      </c>
      <c r="O647" s="1">
        <v>0.0</v>
      </c>
      <c r="P647" s="1">
        <v>66.0</v>
      </c>
      <c r="Q647" s="1">
        <v>18.0</v>
      </c>
    </row>
    <row r="648">
      <c r="A648" s="1">
        <f t="shared" si="1"/>
        <v>645</v>
      </c>
      <c r="B648" s="1" t="s">
        <v>2616</v>
      </c>
      <c r="C648" s="1" t="s">
        <v>1175</v>
      </c>
      <c r="D648" s="1" t="s">
        <v>66</v>
      </c>
      <c r="E648" s="1">
        <f t="shared" si="2"/>
        <v>82</v>
      </c>
      <c r="F648" s="1">
        <f t="shared" si="3"/>
        <v>2.22</v>
      </c>
      <c r="G648" s="1">
        <v>37.0</v>
      </c>
      <c r="H648" s="1">
        <v>2.0</v>
      </c>
      <c r="I648" s="1">
        <v>11.0</v>
      </c>
      <c r="J648" s="1">
        <v>13.0</v>
      </c>
      <c r="K648" s="1">
        <v>41.0</v>
      </c>
      <c r="L648" s="1">
        <v>1.0</v>
      </c>
      <c r="M648" s="1">
        <v>2.0</v>
      </c>
      <c r="N648" s="1">
        <v>0.0</v>
      </c>
      <c r="O648" s="1">
        <v>0.0</v>
      </c>
      <c r="P648" s="1">
        <v>16.0</v>
      </c>
      <c r="Q648" s="1">
        <v>31.0</v>
      </c>
    </row>
    <row r="649">
      <c r="A649" s="1">
        <f t="shared" si="1"/>
        <v>647</v>
      </c>
      <c r="B649" s="1" t="s">
        <v>1759</v>
      </c>
      <c r="C649" s="1" t="s">
        <v>1048</v>
      </c>
      <c r="D649" s="1" t="s">
        <v>28</v>
      </c>
      <c r="E649" s="1">
        <f t="shared" si="2"/>
        <v>81.75</v>
      </c>
      <c r="F649" s="1">
        <f t="shared" si="3"/>
        <v>2.64</v>
      </c>
      <c r="G649" s="1">
        <v>31.0</v>
      </c>
      <c r="H649" s="1">
        <v>3.0</v>
      </c>
      <c r="I649" s="1">
        <v>7.0</v>
      </c>
      <c r="J649" s="1">
        <v>10.0</v>
      </c>
      <c r="K649" s="1">
        <v>53.0</v>
      </c>
      <c r="L649" s="1">
        <v>0.0</v>
      </c>
      <c r="M649" s="1">
        <v>0.0</v>
      </c>
      <c r="N649" s="1">
        <v>0.0</v>
      </c>
      <c r="O649" s="1">
        <v>0.0</v>
      </c>
      <c r="P649" s="1">
        <v>65.0</v>
      </c>
      <c r="Q649" s="1">
        <v>9.0</v>
      </c>
    </row>
    <row r="650">
      <c r="A650" s="1">
        <f t="shared" si="1"/>
        <v>647</v>
      </c>
      <c r="B650" s="1" t="s">
        <v>2229</v>
      </c>
      <c r="C650" s="1" t="s">
        <v>1076</v>
      </c>
      <c r="D650" s="1" t="s">
        <v>66</v>
      </c>
      <c r="E650" s="1">
        <f t="shared" si="2"/>
        <v>81.75</v>
      </c>
      <c r="F650" s="1">
        <f t="shared" si="3"/>
        <v>2.4</v>
      </c>
      <c r="G650" s="1">
        <v>34.0</v>
      </c>
      <c r="H650" s="1">
        <v>2.0</v>
      </c>
      <c r="I650" s="1">
        <v>9.0</v>
      </c>
      <c r="J650" s="1">
        <v>11.0</v>
      </c>
      <c r="K650" s="1">
        <v>42.0</v>
      </c>
      <c r="L650" s="1">
        <v>0.0</v>
      </c>
      <c r="M650" s="1">
        <v>1.0</v>
      </c>
      <c r="N650" s="1">
        <v>0.0</v>
      </c>
      <c r="O650" s="1">
        <v>0.0</v>
      </c>
      <c r="P650" s="1">
        <v>25.0</v>
      </c>
      <c r="Q650" s="1">
        <v>37.0</v>
      </c>
    </row>
    <row r="651">
      <c r="A651" s="1">
        <f t="shared" si="1"/>
        <v>649</v>
      </c>
      <c r="B651" s="1" t="s">
        <v>1439</v>
      </c>
      <c r="C651" s="1" t="s">
        <v>1052</v>
      </c>
      <c r="D651" s="1" t="s">
        <v>31</v>
      </c>
      <c r="E651" s="1">
        <f t="shared" si="2"/>
        <v>81.5</v>
      </c>
      <c r="F651" s="1">
        <f t="shared" si="3"/>
        <v>2.91</v>
      </c>
      <c r="G651" s="1">
        <v>28.0</v>
      </c>
      <c r="H651" s="1">
        <v>6.0</v>
      </c>
      <c r="I651" s="1">
        <v>4.0</v>
      </c>
      <c r="J651" s="1">
        <v>10.0</v>
      </c>
      <c r="K651" s="1">
        <v>33.0</v>
      </c>
      <c r="L651" s="1">
        <v>0.0</v>
      </c>
      <c r="M651" s="1">
        <v>0.0</v>
      </c>
      <c r="N651" s="1">
        <v>1.0</v>
      </c>
      <c r="O651" s="1">
        <v>2.0</v>
      </c>
      <c r="P651" s="1">
        <v>52.0</v>
      </c>
      <c r="Q651" s="1">
        <v>14.0</v>
      </c>
    </row>
    <row r="652">
      <c r="A652" s="1">
        <f t="shared" si="1"/>
        <v>650</v>
      </c>
      <c r="B652" s="1" t="s">
        <v>2155</v>
      </c>
      <c r="C652" s="1" t="s">
        <v>1078</v>
      </c>
      <c r="D652" s="1" t="s">
        <v>36</v>
      </c>
      <c r="E652" s="1">
        <f t="shared" si="2"/>
        <v>81.25</v>
      </c>
      <c r="F652" s="1">
        <f t="shared" si="3"/>
        <v>2.46</v>
      </c>
      <c r="G652" s="1">
        <v>33.0</v>
      </c>
      <c r="H652" s="1">
        <v>8.0</v>
      </c>
      <c r="I652" s="1">
        <v>3.0</v>
      </c>
      <c r="J652" s="1">
        <v>11.0</v>
      </c>
      <c r="K652" s="1">
        <v>45.0</v>
      </c>
      <c r="L652" s="1">
        <v>1.0</v>
      </c>
      <c r="M652" s="1">
        <v>0.0</v>
      </c>
      <c r="N652" s="1">
        <v>0.0</v>
      </c>
      <c r="O652" s="1">
        <v>0.0</v>
      </c>
      <c r="P652" s="1">
        <v>17.0</v>
      </c>
      <c r="Q652" s="1">
        <v>19.0</v>
      </c>
    </row>
    <row r="653">
      <c r="A653" s="1">
        <f t="shared" si="1"/>
        <v>651</v>
      </c>
      <c r="B653" s="1" t="s">
        <v>1584</v>
      </c>
      <c r="C653" s="1" t="s">
        <v>1085</v>
      </c>
      <c r="D653" s="1" t="s">
        <v>36</v>
      </c>
      <c r="E653" s="1">
        <f t="shared" si="2"/>
        <v>80.75</v>
      </c>
      <c r="F653" s="1">
        <f t="shared" si="3"/>
        <v>2.6</v>
      </c>
      <c r="G653" s="1">
        <v>31.0</v>
      </c>
      <c r="H653" s="1">
        <v>6.0</v>
      </c>
      <c r="I653" s="1">
        <v>4.0</v>
      </c>
      <c r="J653" s="1">
        <v>10.0</v>
      </c>
      <c r="K653" s="1">
        <v>59.0</v>
      </c>
      <c r="L653" s="1">
        <v>2.0</v>
      </c>
      <c r="M653" s="1">
        <v>2.0</v>
      </c>
      <c r="N653" s="1">
        <v>0.0</v>
      </c>
      <c r="O653" s="1">
        <v>0.0</v>
      </c>
      <c r="P653" s="1">
        <v>21.0</v>
      </c>
      <c r="Q653" s="1">
        <v>14.0</v>
      </c>
    </row>
    <row r="654">
      <c r="A654" s="1">
        <f t="shared" si="1"/>
        <v>652</v>
      </c>
      <c r="B654" s="1" t="s">
        <v>2246</v>
      </c>
      <c r="C654" s="1" t="s">
        <v>1111</v>
      </c>
      <c r="D654" s="1" t="s">
        <v>66</v>
      </c>
      <c r="E654" s="1">
        <f t="shared" si="2"/>
        <v>80.5</v>
      </c>
      <c r="F654" s="1">
        <f t="shared" si="3"/>
        <v>2.3</v>
      </c>
      <c r="G654" s="1">
        <v>35.0</v>
      </c>
      <c r="H654" s="1">
        <v>2.0</v>
      </c>
      <c r="I654" s="1">
        <v>6.0</v>
      </c>
      <c r="J654" s="1">
        <v>8.0</v>
      </c>
      <c r="K654" s="1">
        <v>39.0</v>
      </c>
      <c r="L654" s="1">
        <v>0.0</v>
      </c>
      <c r="M654" s="1">
        <v>1.0</v>
      </c>
      <c r="N654" s="1">
        <v>0.0</v>
      </c>
      <c r="O654" s="1">
        <v>0.0</v>
      </c>
      <c r="P654" s="1">
        <v>50.0</v>
      </c>
      <c r="Q654" s="1">
        <v>43.0</v>
      </c>
    </row>
    <row r="655">
      <c r="A655" s="1">
        <f t="shared" si="1"/>
        <v>652</v>
      </c>
      <c r="B655" s="1" t="s">
        <v>2391</v>
      </c>
      <c r="C655" s="1" t="s">
        <v>1570</v>
      </c>
      <c r="D655" s="1" t="s">
        <v>66</v>
      </c>
      <c r="E655" s="1">
        <f t="shared" si="2"/>
        <v>80.5</v>
      </c>
      <c r="F655" s="1">
        <f t="shared" si="3"/>
        <v>2.18</v>
      </c>
      <c r="G655" s="1">
        <v>37.0</v>
      </c>
      <c r="H655" s="1">
        <v>2.0</v>
      </c>
      <c r="I655" s="1">
        <v>4.0</v>
      </c>
      <c r="J655" s="1">
        <v>6.0</v>
      </c>
      <c r="K655" s="1">
        <v>44.0</v>
      </c>
      <c r="L655" s="1">
        <v>0.0</v>
      </c>
      <c r="M655" s="1">
        <v>0.0</v>
      </c>
      <c r="N655" s="1">
        <v>0.0</v>
      </c>
      <c r="O655" s="1">
        <v>1.0</v>
      </c>
      <c r="P655" s="1">
        <v>76.0</v>
      </c>
      <c r="Q655" s="1">
        <v>33.0</v>
      </c>
    </row>
    <row r="656">
      <c r="A656" s="1">
        <f t="shared" si="1"/>
        <v>654</v>
      </c>
      <c r="B656" s="1" t="s">
        <v>2102</v>
      </c>
      <c r="C656" s="1" t="s">
        <v>1054</v>
      </c>
      <c r="D656" s="1" t="s">
        <v>5</v>
      </c>
      <c r="E656" s="1">
        <f t="shared" si="2"/>
        <v>80.1</v>
      </c>
      <c r="F656" s="1">
        <f t="shared" si="3"/>
        <v>3.81</v>
      </c>
      <c r="G656" s="1">
        <v>21.0</v>
      </c>
      <c r="R656" s="1">
        <v>6.0</v>
      </c>
      <c r="S656" s="1">
        <v>53.0</v>
      </c>
      <c r="T656" s="1">
        <v>472.0</v>
      </c>
      <c r="U656" s="1">
        <v>0.0</v>
      </c>
    </row>
    <row r="657">
      <c r="A657" s="1">
        <f t="shared" si="1"/>
        <v>655</v>
      </c>
      <c r="B657" s="1" t="s">
        <v>2383</v>
      </c>
      <c r="C657" s="1" t="s">
        <v>1052</v>
      </c>
      <c r="D657" s="1" t="s">
        <v>66</v>
      </c>
      <c r="E657" s="1">
        <f t="shared" si="2"/>
        <v>80</v>
      </c>
      <c r="F657" s="1">
        <f t="shared" si="3"/>
        <v>2.16</v>
      </c>
      <c r="G657" s="1">
        <v>37.0</v>
      </c>
      <c r="H657" s="1">
        <v>2.0</v>
      </c>
      <c r="I657" s="1">
        <v>3.0</v>
      </c>
      <c r="J657" s="1">
        <v>5.0</v>
      </c>
      <c r="K657" s="1">
        <v>43.0</v>
      </c>
      <c r="L657" s="1">
        <v>2.0</v>
      </c>
      <c r="M657" s="1">
        <v>0.0</v>
      </c>
      <c r="N657" s="1">
        <v>0.0</v>
      </c>
      <c r="O657" s="1">
        <v>0.0</v>
      </c>
      <c r="P657" s="1">
        <v>86.0</v>
      </c>
      <c r="Q657" s="1">
        <v>38.0</v>
      </c>
    </row>
    <row r="658">
      <c r="A658" s="1">
        <f t="shared" si="1"/>
        <v>656</v>
      </c>
      <c r="B658" s="1" t="s">
        <v>2352</v>
      </c>
      <c r="C658" s="1" t="s">
        <v>1570</v>
      </c>
      <c r="D658" s="1" t="s">
        <v>36</v>
      </c>
      <c r="E658" s="1">
        <f t="shared" si="2"/>
        <v>79.75</v>
      </c>
      <c r="F658" s="1">
        <f t="shared" si="3"/>
        <v>2.16</v>
      </c>
      <c r="G658" s="1">
        <v>37.0</v>
      </c>
      <c r="H658" s="1">
        <v>2.0</v>
      </c>
      <c r="I658" s="1">
        <v>6.0</v>
      </c>
      <c r="J658" s="1">
        <v>8.0</v>
      </c>
      <c r="K658" s="1">
        <v>48.0</v>
      </c>
      <c r="L658" s="1">
        <v>0.0</v>
      </c>
      <c r="M658" s="1">
        <v>0.0</v>
      </c>
      <c r="N658" s="1">
        <v>0.0</v>
      </c>
      <c r="O658" s="1">
        <v>0.0</v>
      </c>
      <c r="P658" s="1">
        <v>87.0</v>
      </c>
      <c r="Q658" s="1">
        <v>14.0</v>
      </c>
    </row>
    <row r="659">
      <c r="A659" s="1">
        <f t="shared" si="1"/>
        <v>657</v>
      </c>
      <c r="B659" s="1" t="s">
        <v>2656</v>
      </c>
      <c r="C659" s="1" t="s">
        <v>1042</v>
      </c>
      <c r="D659" s="1" t="s">
        <v>36</v>
      </c>
      <c r="E659" s="1">
        <f t="shared" si="2"/>
        <v>79</v>
      </c>
      <c r="F659" s="1">
        <f t="shared" si="3"/>
        <v>2.14</v>
      </c>
      <c r="G659" s="1">
        <v>37.0</v>
      </c>
      <c r="H659" s="1">
        <v>3.0</v>
      </c>
      <c r="I659" s="1">
        <v>4.0</v>
      </c>
      <c r="J659" s="1">
        <v>7.0</v>
      </c>
      <c r="K659" s="1">
        <v>51.0</v>
      </c>
      <c r="L659" s="1">
        <v>0.0</v>
      </c>
      <c r="M659" s="1">
        <v>0.0</v>
      </c>
      <c r="N659" s="1">
        <v>0.0</v>
      </c>
      <c r="O659" s="1">
        <v>0.0</v>
      </c>
      <c r="P659" s="1">
        <v>72.0</v>
      </c>
      <c r="Q659" s="1">
        <v>20.0</v>
      </c>
    </row>
    <row r="660">
      <c r="A660" s="1">
        <f t="shared" si="1"/>
        <v>658</v>
      </c>
      <c r="B660" s="1" t="s">
        <v>2172</v>
      </c>
      <c r="C660" s="1" t="s">
        <v>1044</v>
      </c>
      <c r="D660" s="1" t="s">
        <v>66</v>
      </c>
      <c r="E660" s="1">
        <f t="shared" si="2"/>
        <v>78.25</v>
      </c>
      <c r="F660" s="1">
        <f t="shared" si="3"/>
        <v>2.61</v>
      </c>
      <c r="G660" s="1">
        <v>30.0</v>
      </c>
      <c r="H660" s="1">
        <v>4.0</v>
      </c>
      <c r="I660" s="1">
        <v>8.0</v>
      </c>
      <c r="J660" s="1">
        <v>12.0</v>
      </c>
      <c r="K660" s="1">
        <v>36.0</v>
      </c>
      <c r="L660" s="1">
        <v>0.0</v>
      </c>
      <c r="M660" s="1">
        <v>3.0</v>
      </c>
      <c r="N660" s="1">
        <v>0.0</v>
      </c>
      <c r="O660" s="1">
        <v>0.0</v>
      </c>
      <c r="P660" s="1">
        <v>11.0</v>
      </c>
      <c r="Q660" s="1">
        <v>31.0</v>
      </c>
    </row>
    <row r="661">
      <c r="A661" s="1">
        <f t="shared" si="1"/>
        <v>658</v>
      </c>
      <c r="B661" s="1" t="s">
        <v>2725</v>
      </c>
      <c r="C661" s="1" t="s">
        <v>1570</v>
      </c>
      <c r="D661" s="1" t="s">
        <v>31</v>
      </c>
      <c r="E661" s="1">
        <f t="shared" si="2"/>
        <v>78.25</v>
      </c>
      <c r="F661" s="1">
        <f t="shared" si="3"/>
        <v>1.5</v>
      </c>
      <c r="G661" s="1">
        <v>52.0</v>
      </c>
      <c r="H661" s="1">
        <v>3.0</v>
      </c>
      <c r="I661" s="1">
        <v>6.0</v>
      </c>
      <c r="J661" s="1">
        <v>9.0</v>
      </c>
      <c r="K661" s="1">
        <v>67.0</v>
      </c>
      <c r="L661" s="1">
        <v>0.0</v>
      </c>
      <c r="M661" s="1">
        <v>1.0</v>
      </c>
      <c r="N661" s="1">
        <v>0.0</v>
      </c>
      <c r="O661" s="1">
        <v>0.0</v>
      </c>
      <c r="P661" s="1">
        <v>39.0</v>
      </c>
      <c r="Q661" s="1">
        <v>7.0</v>
      </c>
    </row>
    <row r="662">
      <c r="A662" s="1">
        <f t="shared" si="1"/>
        <v>660</v>
      </c>
      <c r="B662" s="1" t="s">
        <v>1466</v>
      </c>
      <c r="C662" s="1" t="s">
        <v>1078</v>
      </c>
      <c r="D662" s="1" t="s">
        <v>31</v>
      </c>
      <c r="E662" s="1">
        <f t="shared" si="2"/>
        <v>77</v>
      </c>
      <c r="F662" s="1">
        <f t="shared" si="3"/>
        <v>1.79</v>
      </c>
      <c r="G662" s="1">
        <v>43.0</v>
      </c>
      <c r="H662" s="1">
        <v>6.0</v>
      </c>
      <c r="I662" s="1">
        <v>7.0</v>
      </c>
      <c r="J662" s="1">
        <v>13.0</v>
      </c>
      <c r="K662" s="1">
        <v>37.0</v>
      </c>
      <c r="L662" s="1">
        <v>0.0</v>
      </c>
      <c r="M662" s="1">
        <v>0.0</v>
      </c>
      <c r="N662" s="1">
        <v>0.0</v>
      </c>
      <c r="O662" s="1">
        <v>0.0</v>
      </c>
      <c r="P662" s="1">
        <v>16.0</v>
      </c>
      <c r="Q662" s="1">
        <v>13.0</v>
      </c>
    </row>
    <row r="663">
      <c r="A663" s="1">
        <f t="shared" si="1"/>
        <v>661</v>
      </c>
      <c r="B663" s="1" t="s">
        <v>2351</v>
      </c>
      <c r="C663" s="1" t="s">
        <v>1172</v>
      </c>
      <c r="D663" s="1" t="s">
        <v>66</v>
      </c>
      <c r="E663" s="1">
        <f t="shared" si="2"/>
        <v>76.5</v>
      </c>
      <c r="F663" s="1">
        <f t="shared" si="3"/>
        <v>2.47</v>
      </c>
      <c r="G663" s="1">
        <v>31.0</v>
      </c>
      <c r="H663" s="1">
        <v>2.0</v>
      </c>
      <c r="I663" s="1">
        <v>4.0</v>
      </c>
      <c r="J663" s="1">
        <v>6.0</v>
      </c>
      <c r="K663" s="1">
        <v>36.0</v>
      </c>
      <c r="L663" s="1">
        <v>0.0</v>
      </c>
      <c r="M663" s="1">
        <v>0.0</v>
      </c>
      <c r="N663" s="1">
        <v>0.0</v>
      </c>
      <c r="O663" s="1">
        <v>0.0</v>
      </c>
      <c r="P663" s="1">
        <v>54.0</v>
      </c>
      <c r="Q663" s="1">
        <v>48.0</v>
      </c>
    </row>
    <row r="664">
      <c r="A664" s="1">
        <f t="shared" si="1"/>
        <v>662</v>
      </c>
      <c r="B664" s="1" t="s">
        <v>2037</v>
      </c>
      <c r="C664" s="1" t="s">
        <v>1076</v>
      </c>
      <c r="D664" s="1" t="s">
        <v>31</v>
      </c>
      <c r="E664" s="1">
        <f t="shared" si="2"/>
        <v>76.25</v>
      </c>
      <c r="F664" s="1">
        <f t="shared" si="3"/>
        <v>1.41</v>
      </c>
      <c r="G664" s="1">
        <v>54.0</v>
      </c>
      <c r="H664" s="1">
        <v>3.0</v>
      </c>
      <c r="I664" s="1">
        <v>2.0</v>
      </c>
      <c r="J664" s="1">
        <v>5.0</v>
      </c>
      <c r="K664" s="1">
        <v>42.0</v>
      </c>
      <c r="L664" s="1">
        <v>0.0</v>
      </c>
      <c r="M664" s="1">
        <v>0.0</v>
      </c>
      <c r="N664" s="1">
        <v>0.0</v>
      </c>
      <c r="O664" s="1">
        <v>0.0</v>
      </c>
      <c r="P664" s="1">
        <v>97.0</v>
      </c>
      <c r="Q664" s="1">
        <v>23.0</v>
      </c>
    </row>
    <row r="665">
      <c r="A665" s="1">
        <f t="shared" si="1"/>
        <v>663</v>
      </c>
      <c r="B665" s="1" t="s">
        <v>1537</v>
      </c>
      <c r="C665" s="1" t="s">
        <v>1065</v>
      </c>
      <c r="D665" s="1" t="s">
        <v>5</v>
      </c>
      <c r="E665" s="1">
        <f t="shared" si="2"/>
        <v>75.9</v>
      </c>
      <c r="F665" s="1">
        <f t="shared" si="3"/>
        <v>4.22</v>
      </c>
      <c r="G665" s="1">
        <v>18.0</v>
      </c>
      <c r="R665" s="1">
        <v>4.0</v>
      </c>
      <c r="S665" s="1">
        <v>50.0</v>
      </c>
      <c r="T665" s="1">
        <v>453.0</v>
      </c>
      <c r="U665" s="1">
        <v>1.0</v>
      </c>
    </row>
    <row r="666">
      <c r="A666" s="1">
        <f t="shared" si="1"/>
        <v>663</v>
      </c>
      <c r="B666" s="1" t="s">
        <v>2726</v>
      </c>
      <c r="C666" s="1" t="s">
        <v>1570</v>
      </c>
      <c r="D666" s="1" t="s">
        <v>5</v>
      </c>
      <c r="E666" s="1">
        <f t="shared" si="2"/>
        <v>75.9</v>
      </c>
      <c r="F666" s="1">
        <f t="shared" si="3"/>
        <v>4.46</v>
      </c>
      <c r="G666" s="1">
        <v>17.0</v>
      </c>
      <c r="R666" s="1">
        <v>8.0</v>
      </c>
      <c r="S666" s="1">
        <v>61.0</v>
      </c>
      <c r="T666" s="1">
        <v>478.0</v>
      </c>
      <c r="U666" s="1">
        <v>0.0</v>
      </c>
    </row>
    <row r="667">
      <c r="A667" s="1">
        <f t="shared" si="1"/>
        <v>665</v>
      </c>
      <c r="B667" s="1" t="s">
        <v>1937</v>
      </c>
      <c r="C667" s="1" t="s">
        <v>1078</v>
      </c>
      <c r="D667" s="1" t="s">
        <v>5</v>
      </c>
      <c r="E667" s="1">
        <f t="shared" si="2"/>
        <v>75.9</v>
      </c>
      <c r="F667" s="1">
        <f t="shared" si="3"/>
        <v>6.9</v>
      </c>
      <c r="G667" s="1">
        <v>11.0</v>
      </c>
      <c r="R667" s="1">
        <v>5.0</v>
      </c>
      <c r="S667" s="1">
        <v>27.0</v>
      </c>
      <c r="T667" s="1">
        <v>328.0</v>
      </c>
      <c r="U667" s="1">
        <v>1.0</v>
      </c>
    </row>
    <row r="668">
      <c r="A668" s="1">
        <f t="shared" si="1"/>
        <v>666</v>
      </c>
      <c r="B668" s="1" t="s">
        <v>2194</v>
      </c>
      <c r="C668" s="1" t="s">
        <v>1042</v>
      </c>
      <c r="D668" s="1" t="s">
        <v>66</v>
      </c>
      <c r="E668" s="1">
        <f t="shared" si="2"/>
        <v>75.5</v>
      </c>
      <c r="F668" s="1">
        <f t="shared" si="3"/>
        <v>1.94</v>
      </c>
      <c r="G668" s="1">
        <v>39.0</v>
      </c>
      <c r="H668" s="1">
        <v>1.0</v>
      </c>
      <c r="I668" s="1">
        <v>3.0</v>
      </c>
      <c r="J668" s="1">
        <v>4.0</v>
      </c>
      <c r="K668" s="1">
        <v>41.0</v>
      </c>
      <c r="L668" s="1">
        <v>0.0</v>
      </c>
      <c r="M668" s="1">
        <v>0.0</v>
      </c>
      <c r="N668" s="1">
        <v>0.0</v>
      </c>
      <c r="O668" s="1">
        <v>0.0</v>
      </c>
      <c r="P668" s="1">
        <v>80.0</v>
      </c>
      <c r="Q668" s="1">
        <v>43.0</v>
      </c>
    </row>
    <row r="669">
      <c r="A669" s="1">
        <f t="shared" si="1"/>
        <v>667</v>
      </c>
      <c r="B669" s="1" t="s">
        <v>2654</v>
      </c>
      <c r="C669" s="1" t="s">
        <v>1175</v>
      </c>
      <c r="D669" s="1" t="s">
        <v>28</v>
      </c>
      <c r="E669" s="1">
        <f t="shared" si="2"/>
        <v>75.25</v>
      </c>
      <c r="F669" s="1">
        <f t="shared" si="3"/>
        <v>2.09</v>
      </c>
      <c r="G669" s="1">
        <v>36.0</v>
      </c>
      <c r="H669" s="1">
        <v>7.0</v>
      </c>
      <c r="I669" s="1">
        <v>4.0</v>
      </c>
      <c r="J669" s="1">
        <v>11.0</v>
      </c>
      <c r="K669" s="1">
        <v>40.0</v>
      </c>
      <c r="L669" s="1">
        <v>0.0</v>
      </c>
      <c r="M669" s="1">
        <v>0.0</v>
      </c>
      <c r="N669" s="1">
        <v>0.0</v>
      </c>
      <c r="O669" s="1">
        <v>0.0</v>
      </c>
      <c r="P669" s="1">
        <v>29.0</v>
      </c>
      <c r="Q669" s="1">
        <v>9.0</v>
      </c>
    </row>
    <row r="670">
      <c r="A670" s="1">
        <f t="shared" si="1"/>
        <v>668</v>
      </c>
      <c r="B670" s="1" t="s">
        <v>2309</v>
      </c>
      <c r="C670" s="1" t="s">
        <v>1054</v>
      </c>
      <c r="D670" s="1" t="s">
        <v>31</v>
      </c>
      <c r="E670" s="1">
        <f t="shared" si="2"/>
        <v>75</v>
      </c>
      <c r="F670" s="1">
        <f t="shared" si="3"/>
        <v>1.53</v>
      </c>
      <c r="G670" s="1">
        <v>49.0</v>
      </c>
      <c r="H670" s="1">
        <v>3.0</v>
      </c>
      <c r="I670" s="1">
        <v>6.0</v>
      </c>
      <c r="J670" s="1">
        <v>9.0</v>
      </c>
      <c r="K670" s="1">
        <v>55.0</v>
      </c>
      <c r="L670" s="1">
        <v>0.0</v>
      </c>
      <c r="M670" s="1">
        <v>2.0</v>
      </c>
      <c r="N670" s="1">
        <v>0.0</v>
      </c>
      <c r="O670" s="1">
        <v>0.0</v>
      </c>
      <c r="P670" s="1">
        <v>40.0</v>
      </c>
      <c r="Q670" s="1">
        <v>12.0</v>
      </c>
    </row>
    <row r="671">
      <c r="A671" s="1">
        <f t="shared" si="1"/>
        <v>669</v>
      </c>
      <c r="B671" s="1" t="s">
        <v>2606</v>
      </c>
      <c r="C671" s="1" t="s">
        <v>1042</v>
      </c>
      <c r="D671" s="1" t="s">
        <v>66</v>
      </c>
      <c r="E671" s="1">
        <f t="shared" si="2"/>
        <v>74.5</v>
      </c>
      <c r="F671" s="1">
        <f t="shared" si="3"/>
        <v>1.31</v>
      </c>
      <c r="G671" s="1">
        <v>57.0</v>
      </c>
      <c r="H671" s="1">
        <v>0.0</v>
      </c>
      <c r="I671" s="1">
        <v>5.0</v>
      </c>
      <c r="J671" s="1">
        <v>5.0</v>
      </c>
      <c r="K671" s="1">
        <v>39.0</v>
      </c>
      <c r="L671" s="1">
        <v>0.0</v>
      </c>
      <c r="M671" s="1">
        <v>0.0</v>
      </c>
      <c r="N671" s="1">
        <v>0.0</v>
      </c>
      <c r="O671" s="1">
        <v>0.0</v>
      </c>
      <c r="P671" s="1">
        <v>38.0</v>
      </c>
      <c r="Q671" s="1">
        <v>61.0</v>
      </c>
    </row>
    <row r="672">
      <c r="A672" s="1">
        <f t="shared" si="1"/>
        <v>670</v>
      </c>
      <c r="B672" s="1" t="s">
        <v>2095</v>
      </c>
      <c r="C672" s="1" t="s">
        <v>1030</v>
      </c>
      <c r="D672" s="1" t="s">
        <v>31</v>
      </c>
      <c r="E672" s="1">
        <f t="shared" si="2"/>
        <v>73</v>
      </c>
      <c r="F672" s="1">
        <f t="shared" si="3"/>
        <v>1.83</v>
      </c>
      <c r="G672" s="1">
        <v>40.0</v>
      </c>
      <c r="H672" s="1">
        <v>3.0</v>
      </c>
      <c r="I672" s="1">
        <v>3.0</v>
      </c>
      <c r="J672" s="1">
        <v>6.0</v>
      </c>
      <c r="K672" s="1">
        <v>44.0</v>
      </c>
      <c r="L672" s="1">
        <v>0.0</v>
      </c>
      <c r="M672" s="1">
        <v>0.0</v>
      </c>
      <c r="N672" s="1">
        <v>1.0</v>
      </c>
      <c r="O672" s="1">
        <v>0.0</v>
      </c>
      <c r="P672" s="1">
        <v>66.0</v>
      </c>
      <c r="Q672" s="1">
        <v>20.0</v>
      </c>
    </row>
    <row r="673">
      <c r="A673" s="1">
        <f t="shared" si="1"/>
        <v>671</v>
      </c>
      <c r="B673" s="1" t="s">
        <v>2127</v>
      </c>
      <c r="C673" s="1" t="s">
        <v>1570</v>
      </c>
      <c r="D673" s="1" t="s">
        <v>31</v>
      </c>
      <c r="E673" s="1">
        <f t="shared" si="2"/>
        <v>72.75</v>
      </c>
      <c r="F673" s="1">
        <f t="shared" si="3"/>
        <v>1.55</v>
      </c>
      <c r="G673" s="1">
        <v>47.0</v>
      </c>
      <c r="H673" s="1">
        <v>4.0</v>
      </c>
      <c r="I673" s="1">
        <v>2.0</v>
      </c>
      <c r="J673" s="1">
        <v>6.0</v>
      </c>
      <c r="K673" s="1">
        <v>43.0</v>
      </c>
      <c r="L673" s="1">
        <v>0.0</v>
      </c>
      <c r="M673" s="1">
        <v>0.0</v>
      </c>
      <c r="N673" s="1">
        <v>0.0</v>
      </c>
      <c r="O673" s="1">
        <v>0.0</v>
      </c>
      <c r="P673" s="1">
        <v>69.0</v>
      </c>
      <c r="Q673" s="1">
        <v>20.0</v>
      </c>
    </row>
    <row r="674">
      <c r="A674" s="1">
        <f t="shared" si="1"/>
        <v>671</v>
      </c>
      <c r="B674" s="1" t="s">
        <v>2727</v>
      </c>
      <c r="C674" s="1" t="s">
        <v>1156</v>
      </c>
      <c r="D674" s="1" t="s">
        <v>36</v>
      </c>
      <c r="E674" s="1">
        <f t="shared" si="2"/>
        <v>72.75</v>
      </c>
      <c r="F674" s="1">
        <f t="shared" si="3"/>
        <v>1.65</v>
      </c>
      <c r="G674" s="1">
        <v>44.0</v>
      </c>
      <c r="H674" s="1">
        <v>4.0</v>
      </c>
      <c r="I674" s="1">
        <v>3.0</v>
      </c>
      <c r="J674" s="1">
        <v>7.0</v>
      </c>
      <c r="K674" s="1">
        <v>52.0</v>
      </c>
      <c r="L674" s="1">
        <v>0.0</v>
      </c>
      <c r="M674" s="1">
        <v>0.0</v>
      </c>
      <c r="N674" s="1">
        <v>0.0</v>
      </c>
      <c r="O674" s="1">
        <v>0.0</v>
      </c>
      <c r="P674" s="1">
        <v>63.0</v>
      </c>
      <c r="Q674" s="1">
        <v>8.0</v>
      </c>
    </row>
    <row r="675">
      <c r="A675" s="1">
        <f t="shared" si="1"/>
        <v>671</v>
      </c>
      <c r="B675" s="1" t="s">
        <v>2404</v>
      </c>
      <c r="C675" s="1" t="s">
        <v>1097</v>
      </c>
      <c r="D675" s="1" t="s">
        <v>31</v>
      </c>
      <c r="E675" s="1">
        <f t="shared" si="2"/>
        <v>72.75</v>
      </c>
      <c r="F675" s="1">
        <f t="shared" si="3"/>
        <v>1.87</v>
      </c>
      <c r="G675" s="1">
        <v>39.0</v>
      </c>
      <c r="H675" s="1">
        <v>3.0</v>
      </c>
      <c r="I675" s="1">
        <v>7.0</v>
      </c>
      <c r="J675" s="1">
        <v>10.0</v>
      </c>
      <c r="K675" s="1">
        <v>35.0</v>
      </c>
      <c r="L675" s="1">
        <v>0.0</v>
      </c>
      <c r="M675" s="1">
        <v>0.0</v>
      </c>
      <c r="N675" s="1">
        <v>0.0</v>
      </c>
      <c r="O675" s="1">
        <v>1.0</v>
      </c>
      <c r="P675" s="1">
        <v>33.0</v>
      </c>
      <c r="Q675" s="1">
        <v>21.0</v>
      </c>
    </row>
    <row r="676">
      <c r="A676" s="1">
        <f t="shared" si="1"/>
        <v>674</v>
      </c>
      <c r="B676" s="1" t="s">
        <v>2334</v>
      </c>
      <c r="C676" s="1" t="s">
        <v>1040</v>
      </c>
      <c r="D676" s="1" t="s">
        <v>31</v>
      </c>
      <c r="E676" s="1">
        <f t="shared" si="2"/>
        <v>72</v>
      </c>
      <c r="F676" s="1">
        <f t="shared" si="3"/>
        <v>1.76</v>
      </c>
      <c r="G676" s="1">
        <v>41.0</v>
      </c>
      <c r="H676" s="1">
        <v>6.0</v>
      </c>
      <c r="I676" s="1">
        <v>5.0</v>
      </c>
      <c r="J676" s="1">
        <v>11.0</v>
      </c>
      <c r="K676" s="1">
        <v>27.0</v>
      </c>
      <c r="L676" s="1">
        <v>0.0</v>
      </c>
      <c r="M676" s="1">
        <v>0.0</v>
      </c>
      <c r="N676" s="1">
        <v>0.0</v>
      </c>
      <c r="O676" s="1">
        <v>0.0</v>
      </c>
      <c r="P676" s="1">
        <v>30.0</v>
      </c>
      <c r="Q676" s="1">
        <v>18.0</v>
      </c>
    </row>
    <row r="677">
      <c r="A677" s="1">
        <f t="shared" si="1"/>
        <v>675</v>
      </c>
      <c r="B677" s="1" t="s">
        <v>1228</v>
      </c>
      <c r="C677" s="1" t="s">
        <v>1078</v>
      </c>
      <c r="D677" s="1" t="s">
        <v>66</v>
      </c>
      <c r="E677" s="1">
        <f t="shared" si="2"/>
        <v>71</v>
      </c>
      <c r="F677" s="1">
        <f t="shared" si="3"/>
        <v>2.84</v>
      </c>
      <c r="G677" s="1">
        <v>25.0</v>
      </c>
      <c r="H677" s="1">
        <v>2.0</v>
      </c>
      <c r="I677" s="1">
        <v>4.0</v>
      </c>
      <c r="J677" s="1">
        <v>6.0</v>
      </c>
      <c r="K677" s="1">
        <v>34.0</v>
      </c>
      <c r="L677" s="1">
        <v>0.0</v>
      </c>
      <c r="M677" s="1">
        <v>0.0</v>
      </c>
      <c r="N677" s="1">
        <v>0.0</v>
      </c>
      <c r="O677" s="1">
        <v>0.0</v>
      </c>
      <c r="P677" s="1">
        <v>38.0</v>
      </c>
      <c r="Q677" s="1">
        <v>47.0</v>
      </c>
    </row>
    <row r="678">
      <c r="A678" s="1">
        <f t="shared" si="1"/>
        <v>676</v>
      </c>
      <c r="B678" s="1" t="s">
        <v>2682</v>
      </c>
      <c r="C678" s="1" t="s">
        <v>1040</v>
      </c>
      <c r="D678" s="1" t="s">
        <v>31</v>
      </c>
      <c r="E678" s="1">
        <f t="shared" si="2"/>
        <v>70.25</v>
      </c>
      <c r="F678" s="1">
        <f t="shared" si="3"/>
        <v>1.63</v>
      </c>
      <c r="G678" s="1">
        <v>43.0</v>
      </c>
      <c r="H678" s="1">
        <v>4.0</v>
      </c>
      <c r="I678" s="1">
        <v>6.0</v>
      </c>
      <c r="J678" s="1">
        <v>10.0</v>
      </c>
      <c r="K678" s="1">
        <v>34.0</v>
      </c>
      <c r="L678" s="1">
        <v>0.0</v>
      </c>
      <c r="M678" s="1">
        <v>0.0</v>
      </c>
      <c r="N678" s="1">
        <v>0.0</v>
      </c>
      <c r="O678" s="1">
        <v>0.0</v>
      </c>
      <c r="P678" s="1">
        <v>33.0</v>
      </c>
      <c r="Q678" s="1">
        <v>18.0</v>
      </c>
    </row>
    <row r="679">
      <c r="A679" s="1">
        <f t="shared" si="1"/>
        <v>676</v>
      </c>
      <c r="B679" s="1" t="s">
        <v>2728</v>
      </c>
      <c r="C679" s="1" t="s">
        <v>1570</v>
      </c>
      <c r="D679" s="1" t="s">
        <v>66</v>
      </c>
      <c r="E679" s="1">
        <f t="shared" si="2"/>
        <v>70.25</v>
      </c>
      <c r="F679" s="1">
        <f t="shared" si="3"/>
        <v>1.71</v>
      </c>
      <c r="G679" s="1">
        <v>41.0</v>
      </c>
      <c r="H679" s="1">
        <v>1.0</v>
      </c>
      <c r="I679" s="1">
        <v>6.0</v>
      </c>
      <c r="J679" s="1">
        <v>7.0</v>
      </c>
      <c r="K679" s="1">
        <v>40.0</v>
      </c>
      <c r="L679" s="1">
        <v>0.0</v>
      </c>
      <c r="M679" s="1">
        <v>0.0</v>
      </c>
      <c r="N679" s="1">
        <v>0.0</v>
      </c>
      <c r="O679" s="1">
        <v>0.0</v>
      </c>
      <c r="P679" s="1">
        <v>37.0</v>
      </c>
      <c r="Q679" s="1">
        <v>37.0</v>
      </c>
    </row>
    <row r="680">
      <c r="A680" s="1">
        <f t="shared" si="1"/>
        <v>678</v>
      </c>
      <c r="B680" s="1" t="s">
        <v>2311</v>
      </c>
      <c r="C680" s="1" t="s">
        <v>1087</v>
      </c>
      <c r="D680" s="1" t="s">
        <v>28</v>
      </c>
      <c r="E680" s="1">
        <f t="shared" si="2"/>
        <v>69.75</v>
      </c>
      <c r="F680" s="1">
        <f t="shared" si="3"/>
        <v>2.68</v>
      </c>
      <c r="G680" s="1">
        <v>26.0</v>
      </c>
      <c r="H680" s="1">
        <v>3.0</v>
      </c>
      <c r="I680" s="1">
        <v>8.0</v>
      </c>
      <c r="J680" s="1">
        <v>11.0</v>
      </c>
      <c r="K680" s="1">
        <v>34.0</v>
      </c>
      <c r="L680" s="1">
        <v>0.0</v>
      </c>
      <c r="M680" s="1">
        <v>0.0</v>
      </c>
      <c r="N680" s="1">
        <v>0.0</v>
      </c>
      <c r="O680" s="1">
        <v>1.0</v>
      </c>
      <c r="P680" s="1">
        <v>37.0</v>
      </c>
      <c r="Q680" s="1">
        <v>8.0</v>
      </c>
    </row>
    <row r="681">
      <c r="A681" s="1">
        <f t="shared" si="1"/>
        <v>679</v>
      </c>
      <c r="B681" s="1" t="s">
        <v>2640</v>
      </c>
      <c r="C681" s="1" t="s">
        <v>1038</v>
      </c>
      <c r="D681" s="1" t="s">
        <v>66</v>
      </c>
      <c r="E681" s="1">
        <f t="shared" si="2"/>
        <v>69.5</v>
      </c>
      <c r="F681" s="1">
        <f t="shared" si="3"/>
        <v>1.99</v>
      </c>
      <c r="G681" s="1">
        <v>35.0</v>
      </c>
      <c r="H681" s="1">
        <v>3.0</v>
      </c>
      <c r="I681" s="1">
        <v>3.0</v>
      </c>
      <c r="J681" s="1">
        <v>6.0</v>
      </c>
      <c r="K681" s="1">
        <v>40.0</v>
      </c>
      <c r="L681" s="1">
        <v>1.0</v>
      </c>
      <c r="M681" s="1">
        <v>1.0</v>
      </c>
      <c r="N681" s="1">
        <v>0.0</v>
      </c>
      <c r="O681" s="1">
        <v>0.0</v>
      </c>
      <c r="P681" s="1">
        <v>44.0</v>
      </c>
      <c r="Q681" s="1">
        <v>32.0</v>
      </c>
    </row>
    <row r="682">
      <c r="A682" s="1">
        <f t="shared" si="1"/>
        <v>679</v>
      </c>
      <c r="B682" s="1" t="s">
        <v>1674</v>
      </c>
      <c r="C682" s="1" t="s">
        <v>1076</v>
      </c>
      <c r="D682" s="1" t="s">
        <v>36</v>
      </c>
      <c r="E682" s="1">
        <f t="shared" si="2"/>
        <v>69.5</v>
      </c>
      <c r="F682" s="1">
        <f t="shared" si="3"/>
        <v>2.04</v>
      </c>
      <c r="G682" s="1">
        <v>34.0</v>
      </c>
      <c r="H682" s="1">
        <v>4.0</v>
      </c>
      <c r="I682" s="1">
        <v>3.0</v>
      </c>
      <c r="J682" s="1">
        <v>7.0</v>
      </c>
      <c r="K682" s="1">
        <v>49.0</v>
      </c>
      <c r="L682" s="1">
        <v>0.0</v>
      </c>
      <c r="M682" s="1">
        <v>0.0</v>
      </c>
      <c r="N682" s="1">
        <v>1.0</v>
      </c>
      <c r="O682" s="1">
        <v>0.0</v>
      </c>
      <c r="P682" s="1">
        <v>42.0</v>
      </c>
      <c r="Q682" s="1">
        <v>11.0</v>
      </c>
    </row>
    <row r="683">
      <c r="A683" s="1">
        <f t="shared" si="1"/>
        <v>681</v>
      </c>
      <c r="B683" s="1" t="s">
        <v>1501</v>
      </c>
      <c r="C683" s="1" t="s">
        <v>1034</v>
      </c>
      <c r="D683" s="1" t="s">
        <v>66</v>
      </c>
      <c r="E683" s="1">
        <f t="shared" si="2"/>
        <v>69</v>
      </c>
      <c r="F683" s="1">
        <f t="shared" si="3"/>
        <v>1.86</v>
      </c>
      <c r="G683" s="1">
        <v>37.0</v>
      </c>
      <c r="H683" s="1">
        <v>2.0</v>
      </c>
      <c r="I683" s="1">
        <v>6.0</v>
      </c>
      <c r="J683" s="1">
        <v>8.0</v>
      </c>
      <c r="K683" s="1">
        <v>42.0</v>
      </c>
      <c r="L683" s="1">
        <v>0.0</v>
      </c>
      <c r="M683" s="1">
        <v>0.0</v>
      </c>
      <c r="N683" s="1">
        <v>0.0</v>
      </c>
      <c r="O683" s="1">
        <v>0.0</v>
      </c>
      <c r="P683" s="1">
        <v>24.0</v>
      </c>
      <c r="Q683" s="1">
        <v>30.0</v>
      </c>
    </row>
    <row r="684">
      <c r="A684" s="1">
        <f t="shared" si="1"/>
        <v>682</v>
      </c>
      <c r="B684" s="1" t="s">
        <v>2563</v>
      </c>
      <c r="C684" s="1" t="s">
        <v>1078</v>
      </c>
      <c r="D684" s="1" t="s">
        <v>66</v>
      </c>
      <c r="E684" s="1">
        <f t="shared" si="2"/>
        <v>68.75</v>
      </c>
      <c r="F684" s="1">
        <f t="shared" si="3"/>
        <v>1.56</v>
      </c>
      <c r="G684" s="1">
        <v>44.0</v>
      </c>
      <c r="H684" s="1">
        <v>0.0</v>
      </c>
      <c r="I684" s="1">
        <v>7.0</v>
      </c>
      <c r="J684" s="1">
        <v>7.0</v>
      </c>
      <c r="K684" s="1">
        <v>35.0</v>
      </c>
      <c r="L684" s="1">
        <v>0.0</v>
      </c>
      <c r="M684" s="1">
        <v>0.0</v>
      </c>
      <c r="N684" s="1">
        <v>0.0</v>
      </c>
      <c r="O684" s="1">
        <v>0.0</v>
      </c>
      <c r="P684" s="1">
        <v>43.0</v>
      </c>
      <c r="Q684" s="1">
        <v>39.0</v>
      </c>
    </row>
    <row r="685">
      <c r="A685" s="1">
        <f t="shared" si="1"/>
        <v>683</v>
      </c>
      <c r="B685" s="1" t="s">
        <v>2190</v>
      </c>
      <c r="C685" s="1" t="s">
        <v>1097</v>
      </c>
      <c r="D685" s="1" t="s">
        <v>28</v>
      </c>
      <c r="E685" s="1">
        <f t="shared" si="2"/>
        <v>67.25</v>
      </c>
      <c r="F685" s="1">
        <f t="shared" si="3"/>
        <v>2.1</v>
      </c>
      <c r="G685" s="1">
        <v>32.0</v>
      </c>
      <c r="H685" s="1">
        <v>3.0</v>
      </c>
      <c r="I685" s="1">
        <v>2.0</v>
      </c>
      <c r="J685" s="1">
        <v>5.0</v>
      </c>
      <c r="K685" s="1">
        <v>50.0</v>
      </c>
      <c r="L685" s="1">
        <v>0.0</v>
      </c>
      <c r="M685" s="1">
        <v>1.0</v>
      </c>
      <c r="N685" s="1">
        <v>0.0</v>
      </c>
      <c r="O685" s="1">
        <v>0.0</v>
      </c>
      <c r="P685" s="1">
        <v>73.0</v>
      </c>
      <c r="Q685" s="1">
        <v>9.0</v>
      </c>
    </row>
    <row r="686">
      <c r="A686" s="1">
        <f t="shared" si="1"/>
        <v>683</v>
      </c>
      <c r="B686" s="1" t="s">
        <v>2646</v>
      </c>
      <c r="C686" s="1" t="s">
        <v>1036</v>
      </c>
      <c r="D686" s="1" t="s">
        <v>66</v>
      </c>
      <c r="E686" s="1">
        <f t="shared" si="2"/>
        <v>67.25</v>
      </c>
      <c r="F686" s="1">
        <f t="shared" si="3"/>
        <v>1.72</v>
      </c>
      <c r="G686" s="1">
        <v>39.0</v>
      </c>
      <c r="H686" s="1">
        <v>2.0</v>
      </c>
      <c r="I686" s="1">
        <v>2.0</v>
      </c>
      <c r="J686" s="1">
        <v>4.0</v>
      </c>
      <c r="K686" s="1">
        <v>33.0</v>
      </c>
      <c r="L686" s="1">
        <v>0.0</v>
      </c>
      <c r="M686" s="1">
        <v>0.0</v>
      </c>
      <c r="N686" s="1">
        <v>0.0</v>
      </c>
      <c r="O686" s="1">
        <v>0.0</v>
      </c>
      <c r="P686" s="1">
        <v>63.0</v>
      </c>
      <c r="Q686" s="1">
        <v>40.0</v>
      </c>
    </row>
    <row r="687">
      <c r="A687" s="1">
        <f t="shared" si="1"/>
        <v>685</v>
      </c>
      <c r="B687" s="1" t="s">
        <v>2729</v>
      </c>
      <c r="C687" s="1" t="s">
        <v>1067</v>
      </c>
      <c r="D687" s="1" t="s">
        <v>66</v>
      </c>
      <c r="E687" s="1">
        <f t="shared" si="2"/>
        <v>67</v>
      </c>
      <c r="F687" s="1">
        <f t="shared" si="3"/>
        <v>1.76</v>
      </c>
      <c r="G687" s="1">
        <v>38.0</v>
      </c>
      <c r="H687" s="1">
        <v>1.0</v>
      </c>
      <c r="I687" s="1">
        <v>5.0</v>
      </c>
      <c r="J687" s="1">
        <v>6.0</v>
      </c>
      <c r="K687" s="1">
        <v>37.0</v>
      </c>
      <c r="L687" s="1">
        <v>0.0</v>
      </c>
      <c r="M687" s="1">
        <v>0.0</v>
      </c>
      <c r="N687" s="1">
        <v>0.0</v>
      </c>
      <c r="O687" s="1">
        <v>0.0</v>
      </c>
      <c r="P687" s="1">
        <v>44.0</v>
      </c>
      <c r="Q687" s="1">
        <v>36.0</v>
      </c>
    </row>
    <row r="688">
      <c r="A688" s="1">
        <f t="shared" si="1"/>
        <v>686</v>
      </c>
      <c r="B688" s="1" t="s">
        <v>1526</v>
      </c>
      <c r="C688" s="1" t="s">
        <v>1034</v>
      </c>
      <c r="D688" s="1" t="s">
        <v>66</v>
      </c>
      <c r="E688" s="1">
        <f t="shared" si="2"/>
        <v>66.75</v>
      </c>
      <c r="F688" s="1">
        <f t="shared" si="3"/>
        <v>2.57</v>
      </c>
      <c r="G688" s="1">
        <v>26.0</v>
      </c>
      <c r="H688" s="1">
        <v>0.0</v>
      </c>
      <c r="I688" s="1">
        <v>2.0</v>
      </c>
      <c r="J688" s="1">
        <v>2.0</v>
      </c>
      <c r="K688" s="1">
        <v>30.0</v>
      </c>
      <c r="L688" s="1">
        <v>0.0</v>
      </c>
      <c r="M688" s="1">
        <v>0.0</v>
      </c>
      <c r="N688" s="1">
        <v>0.0</v>
      </c>
      <c r="O688" s="1">
        <v>0.0</v>
      </c>
      <c r="P688" s="1">
        <v>105.0</v>
      </c>
      <c r="Q688" s="1">
        <v>39.0</v>
      </c>
    </row>
    <row r="689">
      <c r="A689" s="1">
        <f t="shared" si="1"/>
        <v>686</v>
      </c>
      <c r="B689" s="1" t="s">
        <v>2387</v>
      </c>
      <c r="C689" s="1" t="s">
        <v>1172</v>
      </c>
      <c r="D689" s="1" t="s">
        <v>66</v>
      </c>
      <c r="E689" s="1">
        <f t="shared" si="2"/>
        <v>66.75</v>
      </c>
      <c r="F689" s="1">
        <f t="shared" si="3"/>
        <v>1.76</v>
      </c>
      <c r="G689" s="1">
        <v>38.0</v>
      </c>
      <c r="H689" s="1">
        <v>0.0</v>
      </c>
      <c r="I689" s="1">
        <v>6.0</v>
      </c>
      <c r="J689" s="1">
        <v>6.0</v>
      </c>
      <c r="K689" s="1">
        <v>42.0</v>
      </c>
      <c r="L689" s="1">
        <v>0.0</v>
      </c>
      <c r="M689" s="1">
        <v>0.0</v>
      </c>
      <c r="N689" s="1">
        <v>0.0</v>
      </c>
      <c r="O689" s="1">
        <v>1.0</v>
      </c>
      <c r="P689" s="1">
        <v>33.0</v>
      </c>
      <c r="Q689" s="1">
        <v>35.0</v>
      </c>
    </row>
    <row r="690">
      <c r="A690" s="1">
        <f t="shared" si="1"/>
        <v>688</v>
      </c>
      <c r="B690" s="1" t="s">
        <v>2485</v>
      </c>
      <c r="C690" s="1" t="s">
        <v>1082</v>
      </c>
      <c r="D690" s="1" t="s">
        <v>66</v>
      </c>
      <c r="E690" s="1">
        <f t="shared" si="2"/>
        <v>66.5</v>
      </c>
      <c r="F690" s="1">
        <f t="shared" si="3"/>
        <v>1.48</v>
      </c>
      <c r="G690" s="1">
        <v>45.0</v>
      </c>
      <c r="H690" s="1">
        <v>1.0</v>
      </c>
      <c r="I690" s="1">
        <v>9.0</v>
      </c>
      <c r="J690" s="1">
        <v>10.0</v>
      </c>
      <c r="K690" s="1">
        <v>33.0</v>
      </c>
      <c r="L690" s="1">
        <v>0.0</v>
      </c>
      <c r="M690" s="1">
        <v>0.0</v>
      </c>
      <c r="N690" s="1">
        <v>0.0</v>
      </c>
      <c r="O690" s="1">
        <v>0.0</v>
      </c>
      <c r="P690" s="1">
        <v>18.0</v>
      </c>
      <c r="Q690" s="1">
        <v>28.0</v>
      </c>
    </row>
    <row r="691">
      <c r="A691" s="1">
        <f t="shared" si="1"/>
        <v>689</v>
      </c>
      <c r="B691" s="1" t="s">
        <v>1506</v>
      </c>
      <c r="C691" s="1" t="s">
        <v>1030</v>
      </c>
      <c r="D691" s="1" t="s">
        <v>66</v>
      </c>
      <c r="E691" s="1">
        <f t="shared" si="2"/>
        <v>66</v>
      </c>
      <c r="F691" s="1">
        <f t="shared" si="3"/>
        <v>2.54</v>
      </c>
      <c r="G691" s="1">
        <v>26.0</v>
      </c>
      <c r="H691" s="1">
        <v>3.0</v>
      </c>
      <c r="I691" s="1">
        <v>2.0</v>
      </c>
      <c r="J691" s="1">
        <v>5.0</v>
      </c>
      <c r="K691" s="1">
        <v>26.0</v>
      </c>
      <c r="L691" s="1">
        <v>0.0</v>
      </c>
      <c r="M691" s="1">
        <v>0.0</v>
      </c>
      <c r="N691" s="1">
        <v>0.0</v>
      </c>
      <c r="O691" s="1">
        <v>0.0</v>
      </c>
      <c r="P691" s="1">
        <v>32.0</v>
      </c>
      <c r="Q691" s="1">
        <v>51.0</v>
      </c>
    </row>
    <row r="692">
      <c r="A692" s="1">
        <f t="shared" si="1"/>
        <v>690</v>
      </c>
      <c r="B692" s="1" t="s">
        <v>1528</v>
      </c>
      <c r="C692" s="1" t="s">
        <v>1065</v>
      </c>
      <c r="D692" s="1" t="s">
        <v>31</v>
      </c>
      <c r="E692" s="1">
        <f t="shared" si="2"/>
        <v>65.75</v>
      </c>
      <c r="F692" s="1">
        <f t="shared" si="3"/>
        <v>2.99</v>
      </c>
      <c r="G692" s="1">
        <v>22.0</v>
      </c>
      <c r="H692" s="1">
        <v>6.0</v>
      </c>
      <c r="I692" s="1">
        <v>5.0</v>
      </c>
      <c r="J692" s="1">
        <v>11.0</v>
      </c>
      <c r="K692" s="1">
        <v>33.0</v>
      </c>
      <c r="L692" s="1">
        <v>0.0</v>
      </c>
      <c r="M692" s="1">
        <v>2.0</v>
      </c>
      <c r="N692" s="1">
        <v>1.0</v>
      </c>
      <c r="O692" s="1">
        <v>0.0</v>
      </c>
      <c r="P692" s="1">
        <v>9.0</v>
      </c>
      <c r="Q692" s="1">
        <v>6.0</v>
      </c>
    </row>
    <row r="693">
      <c r="A693" s="1">
        <f t="shared" si="1"/>
        <v>691</v>
      </c>
      <c r="B693" s="1" t="s">
        <v>2151</v>
      </c>
      <c r="C693" s="1" t="s">
        <v>1032</v>
      </c>
      <c r="D693" s="1" t="s">
        <v>66</v>
      </c>
      <c r="E693" s="1">
        <f t="shared" si="2"/>
        <v>65.25</v>
      </c>
      <c r="F693" s="1">
        <f t="shared" si="3"/>
        <v>1.81</v>
      </c>
      <c r="G693" s="1">
        <v>36.0</v>
      </c>
      <c r="H693" s="1">
        <v>0.0</v>
      </c>
      <c r="I693" s="1">
        <v>3.0</v>
      </c>
      <c r="J693" s="1">
        <v>3.0</v>
      </c>
      <c r="K693" s="1">
        <v>44.0</v>
      </c>
      <c r="L693" s="1">
        <v>0.0</v>
      </c>
      <c r="M693" s="1">
        <v>0.0</v>
      </c>
      <c r="N693" s="1">
        <v>0.0</v>
      </c>
      <c r="O693" s="1">
        <v>0.0</v>
      </c>
      <c r="P693" s="1">
        <v>31.0</v>
      </c>
      <c r="Q693" s="1">
        <v>53.0</v>
      </c>
    </row>
    <row r="694">
      <c r="A694" s="1">
        <f t="shared" si="1"/>
        <v>692</v>
      </c>
      <c r="B694" s="1" t="s">
        <v>2553</v>
      </c>
      <c r="C694" s="1" t="s">
        <v>1570</v>
      </c>
      <c r="D694" s="1" t="s">
        <v>36</v>
      </c>
      <c r="E694" s="1">
        <f t="shared" si="2"/>
        <v>65</v>
      </c>
      <c r="F694" s="1">
        <f t="shared" si="3"/>
        <v>1.51</v>
      </c>
      <c r="G694" s="1">
        <v>43.0</v>
      </c>
      <c r="H694" s="1">
        <v>2.0</v>
      </c>
      <c r="I694" s="1">
        <v>4.0</v>
      </c>
      <c r="J694" s="1">
        <v>6.0</v>
      </c>
      <c r="K694" s="1">
        <v>34.0</v>
      </c>
      <c r="L694" s="1">
        <v>0.0</v>
      </c>
      <c r="M694" s="1">
        <v>0.0</v>
      </c>
      <c r="N694" s="1">
        <v>0.0</v>
      </c>
      <c r="O694" s="1">
        <v>0.0</v>
      </c>
      <c r="P694" s="1">
        <v>76.0</v>
      </c>
      <c r="Q694" s="1">
        <v>16.0</v>
      </c>
    </row>
    <row r="695">
      <c r="A695" s="1">
        <f t="shared" si="1"/>
        <v>693</v>
      </c>
      <c r="B695" s="1" t="s">
        <v>1239</v>
      </c>
      <c r="C695" s="1" t="s">
        <v>1065</v>
      </c>
      <c r="D695" s="1" t="s">
        <v>31</v>
      </c>
      <c r="E695" s="1">
        <f t="shared" si="2"/>
        <v>64.5</v>
      </c>
      <c r="F695" s="1">
        <f t="shared" si="3"/>
        <v>2.02</v>
      </c>
      <c r="G695" s="1">
        <v>32.0</v>
      </c>
      <c r="H695" s="1">
        <v>4.0</v>
      </c>
      <c r="I695" s="1">
        <v>9.0</v>
      </c>
      <c r="J695" s="1">
        <v>13.0</v>
      </c>
      <c r="K695" s="1">
        <v>25.0</v>
      </c>
      <c r="L695" s="1">
        <v>2.0</v>
      </c>
      <c r="M695" s="1">
        <v>4.0</v>
      </c>
      <c r="N695" s="1">
        <v>0.0</v>
      </c>
      <c r="O695" s="1">
        <v>0.0</v>
      </c>
      <c r="P695" s="1">
        <v>4.0</v>
      </c>
      <c r="Q695" s="1">
        <v>12.0</v>
      </c>
    </row>
    <row r="696">
      <c r="A696" s="1">
        <f t="shared" si="1"/>
        <v>694</v>
      </c>
      <c r="B696" s="1" t="s">
        <v>2113</v>
      </c>
      <c r="C696" s="1" t="s">
        <v>1073</v>
      </c>
      <c r="D696" s="1" t="s">
        <v>28</v>
      </c>
      <c r="E696" s="1">
        <f t="shared" si="2"/>
        <v>64.25</v>
      </c>
      <c r="F696" s="1">
        <f t="shared" si="3"/>
        <v>1.89</v>
      </c>
      <c r="G696" s="1">
        <v>34.0</v>
      </c>
      <c r="H696" s="1">
        <v>4.0</v>
      </c>
      <c r="I696" s="1">
        <v>4.0</v>
      </c>
      <c r="J696" s="1">
        <v>8.0</v>
      </c>
      <c r="K696" s="1">
        <v>36.0</v>
      </c>
      <c r="L696" s="1">
        <v>0.0</v>
      </c>
      <c r="M696" s="1">
        <v>0.0</v>
      </c>
      <c r="N696" s="1">
        <v>0.0</v>
      </c>
      <c r="O696" s="1">
        <v>0.0</v>
      </c>
      <c r="P696" s="1">
        <v>45.0</v>
      </c>
      <c r="Q696" s="1">
        <v>10.0</v>
      </c>
    </row>
    <row r="697">
      <c r="A697" s="1">
        <f t="shared" si="1"/>
        <v>695</v>
      </c>
      <c r="B697" s="1" t="s">
        <v>1461</v>
      </c>
      <c r="C697" s="1" t="s">
        <v>1111</v>
      </c>
      <c r="D697" s="1" t="s">
        <v>5</v>
      </c>
      <c r="E697" s="1">
        <f t="shared" si="2"/>
        <v>63</v>
      </c>
      <c r="F697" s="1">
        <f t="shared" si="3"/>
        <v>4.85</v>
      </c>
      <c r="G697" s="1">
        <v>13.0</v>
      </c>
      <c r="R697" s="1">
        <v>7.0</v>
      </c>
      <c r="S697" s="1">
        <v>32.0</v>
      </c>
      <c r="T697" s="1">
        <v>290.0</v>
      </c>
      <c r="U697" s="1">
        <v>1.0</v>
      </c>
    </row>
    <row r="698">
      <c r="A698" s="1">
        <f t="shared" si="1"/>
        <v>696</v>
      </c>
      <c r="B698" s="1" t="s">
        <v>2259</v>
      </c>
      <c r="C698" s="1" t="s">
        <v>1040</v>
      </c>
      <c r="D698" s="1" t="s">
        <v>28</v>
      </c>
      <c r="E698" s="1">
        <f t="shared" si="2"/>
        <v>62.5</v>
      </c>
      <c r="F698" s="1">
        <f t="shared" si="3"/>
        <v>1.49</v>
      </c>
      <c r="G698" s="1">
        <v>42.0</v>
      </c>
      <c r="H698" s="1">
        <v>2.0</v>
      </c>
      <c r="I698" s="1">
        <v>4.0</v>
      </c>
      <c r="J698" s="1">
        <v>6.0</v>
      </c>
      <c r="K698" s="1">
        <v>41.0</v>
      </c>
      <c r="L698" s="1">
        <v>0.0</v>
      </c>
      <c r="M698" s="1">
        <v>0.0</v>
      </c>
      <c r="N698" s="1">
        <v>1.0</v>
      </c>
      <c r="O698" s="1">
        <v>0.0</v>
      </c>
      <c r="P698" s="1">
        <v>60.0</v>
      </c>
      <c r="Q698" s="1">
        <v>8.0</v>
      </c>
    </row>
    <row r="699">
      <c r="A699" s="1">
        <f t="shared" si="1"/>
        <v>697</v>
      </c>
      <c r="B699" s="1" t="s">
        <v>1740</v>
      </c>
      <c r="C699" s="1" t="s">
        <v>1069</v>
      </c>
      <c r="D699" s="1" t="s">
        <v>66</v>
      </c>
      <c r="E699" s="1">
        <f t="shared" si="2"/>
        <v>62.25</v>
      </c>
      <c r="F699" s="1">
        <f t="shared" si="3"/>
        <v>1.64</v>
      </c>
      <c r="G699" s="1">
        <v>38.0</v>
      </c>
      <c r="H699" s="1">
        <v>3.0</v>
      </c>
      <c r="I699" s="1">
        <v>5.0</v>
      </c>
      <c r="J699" s="1">
        <v>8.0</v>
      </c>
      <c r="K699" s="1">
        <v>21.0</v>
      </c>
      <c r="L699" s="1">
        <v>0.0</v>
      </c>
      <c r="M699" s="1">
        <v>0.0</v>
      </c>
      <c r="N699" s="1">
        <v>0.0</v>
      </c>
      <c r="O699" s="1">
        <v>0.0</v>
      </c>
      <c r="P699" s="1">
        <v>11.0</v>
      </c>
      <c r="Q699" s="1">
        <v>41.0</v>
      </c>
    </row>
    <row r="700">
      <c r="A700" s="1">
        <f t="shared" si="1"/>
        <v>697</v>
      </c>
      <c r="B700" s="1" t="s">
        <v>2473</v>
      </c>
      <c r="C700" s="1" t="s">
        <v>1046</v>
      </c>
      <c r="D700" s="1" t="s">
        <v>31</v>
      </c>
      <c r="E700" s="1">
        <f t="shared" si="2"/>
        <v>62.25</v>
      </c>
      <c r="F700" s="1">
        <f t="shared" si="3"/>
        <v>2.39</v>
      </c>
      <c r="G700" s="1">
        <v>26.0</v>
      </c>
      <c r="H700" s="1">
        <v>4.0</v>
      </c>
      <c r="I700" s="1">
        <v>2.0</v>
      </c>
      <c r="J700" s="1">
        <v>6.0</v>
      </c>
      <c r="K700" s="1">
        <v>43.0</v>
      </c>
      <c r="L700" s="1">
        <v>1.0</v>
      </c>
      <c r="M700" s="1">
        <v>0.0</v>
      </c>
      <c r="N700" s="1">
        <v>1.0</v>
      </c>
      <c r="O700" s="1">
        <v>0.0</v>
      </c>
      <c r="P700" s="1">
        <v>33.0</v>
      </c>
      <c r="Q700" s="1">
        <v>13.0</v>
      </c>
    </row>
    <row r="701">
      <c r="A701" s="1">
        <f t="shared" si="1"/>
        <v>699</v>
      </c>
      <c r="B701" s="1" t="s">
        <v>1325</v>
      </c>
      <c r="C701" s="1" t="s">
        <v>1116</v>
      </c>
      <c r="D701" s="1" t="s">
        <v>31</v>
      </c>
      <c r="E701" s="1">
        <f t="shared" si="2"/>
        <v>62</v>
      </c>
      <c r="F701" s="1">
        <f t="shared" si="3"/>
        <v>1.72</v>
      </c>
      <c r="G701" s="1">
        <v>36.0</v>
      </c>
      <c r="H701" s="1">
        <v>3.0</v>
      </c>
      <c r="I701" s="1">
        <v>7.0</v>
      </c>
      <c r="J701" s="1">
        <v>10.0</v>
      </c>
      <c r="K701" s="1">
        <v>29.0</v>
      </c>
      <c r="L701" s="1">
        <v>0.0</v>
      </c>
      <c r="M701" s="1">
        <v>0.0</v>
      </c>
      <c r="N701" s="1">
        <v>0.0</v>
      </c>
      <c r="O701" s="1">
        <v>0.0</v>
      </c>
      <c r="P701" s="1">
        <v>28.0</v>
      </c>
      <c r="Q701" s="1">
        <v>12.0</v>
      </c>
    </row>
    <row r="702">
      <c r="A702" s="1">
        <f t="shared" si="1"/>
        <v>699</v>
      </c>
      <c r="B702" s="1" t="s">
        <v>1617</v>
      </c>
      <c r="C702" s="1" t="s">
        <v>1097</v>
      </c>
      <c r="D702" s="1" t="s">
        <v>66</v>
      </c>
      <c r="E702" s="1">
        <f t="shared" si="2"/>
        <v>62</v>
      </c>
      <c r="F702" s="1">
        <f t="shared" si="3"/>
        <v>2.95</v>
      </c>
      <c r="G702" s="1">
        <v>21.0</v>
      </c>
      <c r="H702" s="1">
        <v>1.0</v>
      </c>
      <c r="I702" s="1">
        <v>4.0</v>
      </c>
      <c r="J702" s="1">
        <v>5.0</v>
      </c>
      <c r="K702" s="1">
        <v>22.0</v>
      </c>
      <c r="L702" s="1">
        <v>0.0</v>
      </c>
      <c r="M702" s="1">
        <v>0.0</v>
      </c>
      <c r="N702" s="1">
        <v>0.0</v>
      </c>
      <c r="O702" s="1">
        <v>0.0</v>
      </c>
      <c r="P702" s="1">
        <v>60.0</v>
      </c>
      <c r="Q702" s="1">
        <v>39.0</v>
      </c>
    </row>
    <row r="703">
      <c r="A703" s="1">
        <f t="shared" si="1"/>
        <v>699</v>
      </c>
      <c r="B703" s="1" t="s">
        <v>2505</v>
      </c>
      <c r="C703" s="1" t="s">
        <v>1116</v>
      </c>
      <c r="D703" s="1" t="s">
        <v>66</v>
      </c>
      <c r="E703" s="1">
        <f t="shared" si="2"/>
        <v>62</v>
      </c>
      <c r="F703" s="1">
        <f t="shared" si="3"/>
        <v>1.72</v>
      </c>
      <c r="G703" s="1">
        <v>36.0</v>
      </c>
      <c r="H703" s="1">
        <v>0.0</v>
      </c>
      <c r="I703" s="1">
        <v>3.0</v>
      </c>
      <c r="J703" s="1">
        <v>3.0</v>
      </c>
      <c r="K703" s="1">
        <v>30.0</v>
      </c>
      <c r="L703" s="1">
        <v>0.0</v>
      </c>
      <c r="M703" s="1">
        <v>0.0</v>
      </c>
      <c r="N703" s="1">
        <v>0.0</v>
      </c>
      <c r="O703" s="1">
        <v>0.0</v>
      </c>
      <c r="P703" s="1">
        <v>80.0</v>
      </c>
      <c r="Q703" s="1">
        <v>36.0</v>
      </c>
    </row>
    <row r="704">
      <c r="A704" s="1">
        <f t="shared" si="1"/>
        <v>702</v>
      </c>
      <c r="B704" s="1" t="s">
        <v>2300</v>
      </c>
      <c r="C704" s="1" t="s">
        <v>1570</v>
      </c>
      <c r="D704" s="1" t="s">
        <v>36</v>
      </c>
      <c r="E704" s="1">
        <f t="shared" si="2"/>
        <v>61.25</v>
      </c>
      <c r="F704" s="1">
        <f t="shared" si="3"/>
        <v>1.53</v>
      </c>
      <c r="G704" s="1">
        <v>40.0</v>
      </c>
      <c r="H704" s="1">
        <v>0.0</v>
      </c>
      <c r="I704" s="1">
        <v>6.0</v>
      </c>
      <c r="J704" s="1">
        <v>6.0</v>
      </c>
      <c r="K704" s="1">
        <v>39.0</v>
      </c>
      <c r="L704" s="1">
        <v>0.0</v>
      </c>
      <c r="M704" s="1">
        <v>0.0</v>
      </c>
      <c r="N704" s="1">
        <v>0.0</v>
      </c>
      <c r="O704" s="1">
        <v>1.0</v>
      </c>
      <c r="P704" s="1">
        <v>45.0</v>
      </c>
      <c r="Q704" s="1">
        <v>21.0</v>
      </c>
    </row>
    <row r="705">
      <c r="A705" s="1">
        <f t="shared" si="1"/>
        <v>703</v>
      </c>
      <c r="B705" s="1" t="s">
        <v>1760</v>
      </c>
      <c r="C705" s="1" t="s">
        <v>1111</v>
      </c>
      <c r="D705" s="1" t="s">
        <v>5</v>
      </c>
      <c r="E705" s="1">
        <f t="shared" si="2"/>
        <v>60.9</v>
      </c>
      <c r="F705" s="1">
        <f t="shared" si="3"/>
        <v>5.08</v>
      </c>
      <c r="G705" s="1">
        <v>12.0</v>
      </c>
      <c r="R705" s="1">
        <v>5.0</v>
      </c>
      <c r="S705" s="1">
        <v>33.0</v>
      </c>
      <c r="T705" s="1">
        <v>318.0</v>
      </c>
      <c r="U705" s="1">
        <v>0.0</v>
      </c>
    </row>
    <row r="706">
      <c r="A706" s="1">
        <f t="shared" si="1"/>
        <v>704</v>
      </c>
      <c r="B706" s="1" t="s">
        <v>2438</v>
      </c>
      <c r="C706" s="1" t="s">
        <v>1078</v>
      </c>
      <c r="D706" s="1" t="s">
        <v>66</v>
      </c>
      <c r="E706" s="1">
        <f t="shared" si="2"/>
        <v>59.75</v>
      </c>
      <c r="F706" s="1">
        <f t="shared" si="3"/>
        <v>1.81</v>
      </c>
      <c r="G706" s="1">
        <v>33.0</v>
      </c>
      <c r="H706" s="1">
        <v>2.0</v>
      </c>
      <c r="I706" s="1">
        <v>3.0</v>
      </c>
      <c r="J706" s="1">
        <v>5.0</v>
      </c>
      <c r="K706" s="1">
        <v>33.0</v>
      </c>
      <c r="L706" s="1">
        <v>0.0</v>
      </c>
      <c r="M706" s="1">
        <v>0.0</v>
      </c>
      <c r="N706" s="1">
        <v>0.0</v>
      </c>
      <c r="O706" s="1">
        <v>0.0</v>
      </c>
      <c r="P706" s="1">
        <v>51.0</v>
      </c>
      <c r="Q706" s="1">
        <v>25.0</v>
      </c>
    </row>
    <row r="707">
      <c r="A707" s="1">
        <f t="shared" si="1"/>
        <v>705</v>
      </c>
      <c r="B707" s="1" t="s">
        <v>2167</v>
      </c>
      <c r="C707" s="1" t="s">
        <v>1067</v>
      </c>
      <c r="D707" s="1" t="s">
        <v>66</v>
      </c>
      <c r="E707" s="1">
        <f t="shared" si="2"/>
        <v>59.5</v>
      </c>
      <c r="F707" s="1">
        <f t="shared" si="3"/>
        <v>1.8</v>
      </c>
      <c r="G707" s="1">
        <v>33.0</v>
      </c>
      <c r="H707" s="1">
        <v>1.0</v>
      </c>
      <c r="I707" s="1">
        <v>5.0</v>
      </c>
      <c r="J707" s="1">
        <v>6.0</v>
      </c>
      <c r="K707" s="1">
        <v>37.0</v>
      </c>
      <c r="L707" s="1">
        <v>0.0</v>
      </c>
      <c r="M707" s="1">
        <v>0.0</v>
      </c>
      <c r="N707" s="1">
        <v>0.0</v>
      </c>
      <c r="O707" s="1">
        <v>0.0</v>
      </c>
      <c r="P707" s="1">
        <v>20.0</v>
      </c>
      <c r="Q707" s="1">
        <v>33.0</v>
      </c>
    </row>
    <row r="708">
      <c r="A708" s="1">
        <f t="shared" si="1"/>
        <v>706</v>
      </c>
      <c r="B708" s="1" t="s">
        <v>2135</v>
      </c>
      <c r="C708" s="1" t="s">
        <v>1065</v>
      </c>
      <c r="D708" s="1" t="s">
        <v>66</v>
      </c>
      <c r="E708" s="1">
        <f t="shared" si="2"/>
        <v>59.25</v>
      </c>
      <c r="F708" s="1">
        <f t="shared" si="3"/>
        <v>2.37</v>
      </c>
      <c r="G708" s="1">
        <v>25.0</v>
      </c>
      <c r="H708" s="1">
        <v>2.0</v>
      </c>
      <c r="I708" s="1">
        <v>5.0</v>
      </c>
      <c r="J708" s="1">
        <v>7.0</v>
      </c>
      <c r="K708" s="1">
        <v>27.0</v>
      </c>
      <c r="L708" s="1">
        <v>0.0</v>
      </c>
      <c r="M708" s="1">
        <v>1.0</v>
      </c>
      <c r="N708" s="1">
        <v>0.0</v>
      </c>
      <c r="O708" s="1">
        <v>0.0</v>
      </c>
      <c r="P708" s="1">
        <v>35.0</v>
      </c>
      <c r="Q708" s="1">
        <v>26.0</v>
      </c>
    </row>
    <row r="709">
      <c r="A709" s="1">
        <f t="shared" si="1"/>
        <v>707</v>
      </c>
      <c r="B709" s="1" t="s">
        <v>2513</v>
      </c>
      <c r="C709" s="1" t="s">
        <v>1106</v>
      </c>
      <c r="D709" s="1" t="s">
        <v>66</v>
      </c>
      <c r="E709" s="1">
        <f t="shared" si="2"/>
        <v>58.25</v>
      </c>
      <c r="F709" s="1">
        <f t="shared" si="3"/>
        <v>2.33</v>
      </c>
      <c r="G709" s="1">
        <v>25.0</v>
      </c>
      <c r="H709" s="1">
        <v>3.0</v>
      </c>
      <c r="I709" s="1">
        <v>4.0</v>
      </c>
      <c r="J709" s="1">
        <v>7.0</v>
      </c>
      <c r="K709" s="1">
        <v>21.0</v>
      </c>
      <c r="L709" s="1">
        <v>0.0</v>
      </c>
      <c r="M709" s="1">
        <v>0.0</v>
      </c>
      <c r="N709" s="1">
        <v>0.0</v>
      </c>
      <c r="O709" s="1">
        <v>1.0</v>
      </c>
      <c r="P709" s="1">
        <v>11.0</v>
      </c>
      <c r="Q709" s="1">
        <v>35.0</v>
      </c>
    </row>
    <row r="710">
      <c r="A710" s="1">
        <f t="shared" si="1"/>
        <v>708</v>
      </c>
      <c r="B710" s="1" t="s">
        <v>2730</v>
      </c>
      <c r="C710" s="1" t="s">
        <v>1097</v>
      </c>
      <c r="D710" s="1" t="s">
        <v>31</v>
      </c>
      <c r="E710" s="1">
        <f t="shared" si="2"/>
        <v>57.75</v>
      </c>
      <c r="F710" s="1">
        <f t="shared" si="3"/>
        <v>1.23</v>
      </c>
      <c r="G710" s="1">
        <v>47.0</v>
      </c>
      <c r="H710" s="1">
        <v>3.0</v>
      </c>
      <c r="I710" s="1">
        <v>4.0</v>
      </c>
      <c r="J710" s="1">
        <v>7.0</v>
      </c>
      <c r="K710" s="1">
        <v>34.0</v>
      </c>
      <c r="L710" s="1">
        <v>0.0</v>
      </c>
      <c r="M710" s="1">
        <v>0.0</v>
      </c>
      <c r="N710" s="1">
        <v>0.0</v>
      </c>
      <c r="O710" s="1">
        <v>0.0</v>
      </c>
      <c r="P710" s="1">
        <v>23.0</v>
      </c>
      <c r="Q710" s="1">
        <v>19.0</v>
      </c>
    </row>
    <row r="711">
      <c r="A711" s="1">
        <f t="shared" si="1"/>
        <v>708</v>
      </c>
      <c r="B711" s="1" t="s">
        <v>2731</v>
      </c>
      <c r="C711" s="1" t="s">
        <v>1106</v>
      </c>
      <c r="D711" s="1" t="s">
        <v>28</v>
      </c>
      <c r="E711" s="1">
        <f t="shared" si="2"/>
        <v>57.75</v>
      </c>
      <c r="F711" s="1">
        <f t="shared" si="3"/>
        <v>1.8</v>
      </c>
      <c r="G711" s="1">
        <v>32.0</v>
      </c>
      <c r="H711" s="1">
        <v>2.0</v>
      </c>
      <c r="I711" s="1">
        <v>2.0</v>
      </c>
      <c r="J711" s="1">
        <v>4.0</v>
      </c>
      <c r="K711" s="1">
        <v>27.0</v>
      </c>
      <c r="L711" s="1">
        <v>0.0</v>
      </c>
      <c r="M711" s="1">
        <v>0.0</v>
      </c>
      <c r="N711" s="1">
        <v>0.0</v>
      </c>
      <c r="O711" s="1">
        <v>0.0</v>
      </c>
      <c r="P711" s="1">
        <v>93.0</v>
      </c>
      <c r="Q711" s="1">
        <v>12.0</v>
      </c>
    </row>
    <row r="712">
      <c r="A712" s="1">
        <f t="shared" si="1"/>
        <v>710</v>
      </c>
      <c r="B712" s="1" t="s">
        <v>2539</v>
      </c>
      <c r="C712" s="1" t="s">
        <v>1175</v>
      </c>
      <c r="D712" s="1" t="s">
        <v>31</v>
      </c>
      <c r="E712" s="1">
        <f t="shared" si="2"/>
        <v>57.5</v>
      </c>
      <c r="F712" s="1">
        <f t="shared" si="3"/>
        <v>2.13</v>
      </c>
      <c r="G712" s="1">
        <v>27.0</v>
      </c>
      <c r="H712" s="1">
        <v>3.0</v>
      </c>
      <c r="I712" s="1">
        <v>5.0</v>
      </c>
      <c r="J712" s="1">
        <v>8.0</v>
      </c>
      <c r="K712" s="1">
        <v>42.0</v>
      </c>
      <c r="L712" s="1">
        <v>0.0</v>
      </c>
      <c r="M712" s="1">
        <v>0.0</v>
      </c>
      <c r="N712" s="1">
        <v>0.0</v>
      </c>
      <c r="O712" s="1">
        <v>0.0</v>
      </c>
      <c r="P712" s="1">
        <v>10.0</v>
      </c>
      <c r="Q712" s="1">
        <v>11.0</v>
      </c>
    </row>
    <row r="713">
      <c r="A713" s="1">
        <f t="shared" si="1"/>
        <v>711</v>
      </c>
      <c r="B713" s="1" t="s">
        <v>1607</v>
      </c>
      <c r="C713" s="1" t="s">
        <v>1065</v>
      </c>
      <c r="D713" s="1" t="s">
        <v>28</v>
      </c>
      <c r="E713" s="1">
        <f t="shared" si="2"/>
        <v>57</v>
      </c>
      <c r="F713" s="1">
        <f t="shared" si="3"/>
        <v>1.9</v>
      </c>
      <c r="G713" s="1">
        <v>30.0</v>
      </c>
      <c r="H713" s="1">
        <v>2.0</v>
      </c>
      <c r="I713" s="1">
        <v>3.0</v>
      </c>
      <c r="J713" s="1">
        <v>5.0</v>
      </c>
      <c r="K713" s="1">
        <v>58.0</v>
      </c>
      <c r="L713" s="1">
        <v>0.0</v>
      </c>
      <c r="M713" s="1">
        <v>1.0</v>
      </c>
      <c r="N713" s="1">
        <v>0.0</v>
      </c>
      <c r="O713" s="1">
        <v>0.0</v>
      </c>
      <c r="P713" s="1">
        <v>30.0</v>
      </c>
      <c r="Q713" s="1">
        <v>5.0</v>
      </c>
    </row>
    <row r="714">
      <c r="A714" s="1">
        <f t="shared" si="1"/>
        <v>711</v>
      </c>
      <c r="B714" s="1" t="s">
        <v>1612</v>
      </c>
      <c r="C714" s="1" t="s">
        <v>1048</v>
      </c>
      <c r="D714" s="1" t="s">
        <v>66</v>
      </c>
      <c r="E714" s="1">
        <f t="shared" si="2"/>
        <v>57</v>
      </c>
      <c r="F714" s="1">
        <f t="shared" si="3"/>
        <v>1.54</v>
      </c>
      <c r="G714" s="1">
        <v>37.0</v>
      </c>
      <c r="H714" s="1">
        <v>1.0</v>
      </c>
      <c r="I714" s="1">
        <v>1.0</v>
      </c>
      <c r="J714" s="1">
        <v>2.0</v>
      </c>
      <c r="K714" s="1">
        <v>28.0</v>
      </c>
      <c r="L714" s="1">
        <v>0.0</v>
      </c>
      <c r="M714" s="1">
        <v>0.0</v>
      </c>
      <c r="N714" s="1">
        <v>0.0</v>
      </c>
      <c r="O714" s="1">
        <v>0.0</v>
      </c>
      <c r="P714" s="1">
        <v>80.0</v>
      </c>
      <c r="Q714" s="1">
        <v>31.0</v>
      </c>
    </row>
    <row r="715">
      <c r="A715" s="1">
        <f t="shared" si="1"/>
        <v>713</v>
      </c>
      <c r="B715" s="1" t="s">
        <v>2403</v>
      </c>
      <c r="C715" s="1" t="s">
        <v>1172</v>
      </c>
      <c r="D715" s="1" t="s">
        <v>28</v>
      </c>
      <c r="E715" s="1">
        <f t="shared" si="2"/>
        <v>55.75</v>
      </c>
      <c r="F715" s="1">
        <f t="shared" si="3"/>
        <v>1.69</v>
      </c>
      <c r="G715" s="1">
        <v>33.0</v>
      </c>
      <c r="H715" s="1">
        <v>0.0</v>
      </c>
      <c r="I715" s="1">
        <v>8.0</v>
      </c>
      <c r="J715" s="1">
        <v>8.0</v>
      </c>
      <c r="K715" s="1">
        <v>52.0</v>
      </c>
      <c r="L715" s="1">
        <v>0.0</v>
      </c>
      <c r="M715" s="1">
        <v>0.0</v>
      </c>
      <c r="N715" s="1">
        <v>0.0</v>
      </c>
      <c r="O715" s="1">
        <v>0.0</v>
      </c>
      <c r="P715" s="1">
        <v>3.0</v>
      </c>
      <c r="Q715" s="1">
        <v>10.0</v>
      </c>
    </row>
    <row r="716">
      <c r="A716" s="1">
        <f t="shared" si="1"/>
        <v>714</v>
      </c>
      <c r="B716" s="1" t="s">
        <v>1129</v>
      </c>
      <c r="C716" s="1" t="s">
        <v>1044</v>
      </c>
      <c r="D716" s="1" t="s">
        <v>36</v>
      </c>
      <c r="E716" s="1">
        <f t="shared" si="2"/>
        <v>55.25</v>
      </c>
      <c r="F716" s="1">
        <f t="shared" si="3"/>
        <v>2.76</v>
      </c>
      <c r="G716" s="1">
        <v>20.0</v>
      </c>
      <c r="H716" s="1">
        <v>3.0</v>
      </c>
      <c r="I716" s="1">
        <v>6.0</v>
      </c>
      <c r="J716" s="1">
        <v>9.0</v>
      </c>
      <c r="K716" s="1">
        <v>18.0</v>
      </c>
      <c r="L716" s="1">
        <v>2.0</v>
      </c>
      <c r="M716" s="1">
        <v>1.0</v>
      </c>
      <c r="N716" s="1">
        <v>0.0</v>
      </c>
      <c r="O716" s="1">
        <v>0.0</v>
      </c>
      <c r="P716" s="1">
        <v>17.0</v>
      </c>
      <c r="Q716" s="1">
        <v>21.0</v>
      </c>
    </row>
    <row r="717">
      <c r="A717" s="1">
        <f t="shared" si="1"/>
        <v>714</v>
      </c>
      <c r="B717" s="1" t="s">
        <v>2596</v>
      </c>
      <c r="C717" s="1" t="s">
        <v>1065</v>
      </c>
      <c r="D717" s="1" t="s">
        <v>66</v>
      </c>
      <c r="E717" s="1">
        <f t="shared" si="2"/>
        <v>55.25</v>
      </c>
      <c r="F717" s="1">
        <f t="shared" si="3"/>
        <v>2.51</v>
      </c>
      <c r="G717" s="1">
        <v>22.0</v>
      </c>
      <c r="H717" s="1">
        <v>1.0</v>
      </c>
      <c r="I717" s="1">
        <v>3.0</v>
      </c>
      <c r="J717" s="1">
        <v>4.0</v>
      </c>
      <c r="K717" s="1">
        <v>15.0</v>
      </c>
      <c r="L717" s="1">
        <v>0.0</v>
      </c>
      <c r="M717" s="1">
        <v>0.0</v>
      </c>
      <c r="N717" s="1">
        <v>0.0</v>
      </c>
      <c r="O717" s="1">
        <v>0.0</v>
      </c>
      <c r="P717" s="1">
        <v>61.0</v>
      </c>
      <c r="Q717" s="1">
        <v>38.0</v>
      </c>
    </row>
    <row r="718">
      <c r="A718" s="1">
        <f t="shared" si="1"/>
        <v>716</v>
      </c>
      <c r="B718" s="1" t="s">
        <v>1419</v>
      </c>
      <c r="C718" s="1" t="s">
        <v>1106</v>
      </c>
      <c r="D718" s="1" t="s">
        <v>28</v>
      </c>
      <c r="E718" s="1">
        <f t="shared" si="2"/>
        <v>54</v>
      </c>
      <c r="F718" s="1">
        <f t="shared" si="3"/>
        <v>1.69</v>
      </c>
      <c r="G718" s="1">
        <v>32.0</v>
      </c>
      <c r="H718" s="1">
        <v>2.0</v>
      </c>
      <c r="I718" s="1">
        <v>4.0</v>
      </c>
      <c r="J718" s="1">
        <v>6.0</v>
      </c>
      <c r="K718" s="1">
        <v>43.0</v>
      </c>
      <c r="L718" s="1">
        <v>0.0</v>
      </c>
      <c r="M718" s="1">
        <v>0.0</v>
      </c>
      <c r="N718" s="1">
        <v>0.0</v>
      </c>
      <c r="O718" s="1">
        <v>0.0</v>
      </c>
      <c r="P718" s="1">
        <v>30.0</v>
      </c>
      <c r="Q718" s="1">
        <v>8.0</v>
      </c>
    </row>
    <row r="719">
      <c r="A719" s="1">
        <f t="shared" si="1"/>
        <v>717</v>
      </c>
      <c r="B719" s="1" t="s">
        <v>2732</v>
      </c>
      <c r="C719" s="1" t="s">
        <v>1570</v>
      </c>
      <c r="D719" s="1" t="s">
        <v>66</v>
      </c>
      <c r="E719" s="1">
        <f t="shared" si="2"/>
        <v>53.75</v>
      </c>
      <c r="F719" s="1">
        <f t="shared" si="3"/>
        <v>1.68</v>
      </c>
      <c r="G719" s="1">
        <v>32.0</v>
      </c>
      <c r="H719" s="1">
        <v>0.0</v>
      </c>
      <c r="I719" s="1">
        <v>8.0</v>
      </c>
      <c r="J719" s="1">
        <v>8.0</v>
      </c>
      <c r="K719" s="1">
        <v>14.0</v>
      </c>
      <c r="L719" s="1">
        <v>0.0</v>
      </c>
      <c r="M719" s="1">
        <v>0.0</v>
      </c>
      <c r="N719" s="1">
        <v>0.0</v>
      </c>
      <c r="O719" s="1">
        <v>0.0</v>
      </c>
      <c r="P719" s="1">
        <v>49.0</v>
      </c>
      <c r="Q719" s="1">
        <v>21.0</v>
      </c>
    </row>
    <row r="720">
      <c r="A720" s="1">
        <f t="shared" si="1"/>
        <v>718</v>
      </c>
      <c r="B720" s="1" t="s">
        <v>1181</v>
      </c>
      <c r="C720" s="1" t="s">
        <v>1046</v>
      </c>
      <c r="D720" s="1" t="s">
        <v>5</v>
      </c>
      <c r="E720" s="1">
        <f t="shared" si="2"/>
        <v>53.4</v>
      </c>
      <c r="F720" s="1">
        <f t="shared" si="3"/>
        <v>5.93</v>
      </c>
      <c r="G720" s="1">
        <v>9.0</v>
      </c>
      <c r="R720" s="1">
        <v>4.0</v>
      </c>
      <c r="S720" s="1">
        <v>25.0</v>
      </c>
      <c r="T720" s="1">
        <v>263.0</v>
      </c>
      <c r="U720" s="1">
        <v>0.0</v>
      </c>
    </row>
    <row r="721">
      <c r="A721" s="1">
        <f t="shared" si="1"/>
        <v>719</v>
      </c>
      <c r="B721" s="1" t="s">
        <v>1618</v>
      </c>
      <c r="C721" s="1" t="s">
        <v>1042</v>
      </c>
      <c r="D721" s="1" t="s">
        <v>31</v>
      </c>
      <c r="E721" s="1">
        <f t="shared" si="2"/>
        <v>53.25</v>
      </c>
      <c r="F721" s="1">
        <f t="shared" si="3"/>
        <v>0.97</v>
      </c>
      <c r="G721" s="1">
        <v>55.0</v>
      </c>
      <c r="H721" s="1">
        <v>3.0</v>
      </c>
      <c r="I721" s="1">
        <v>1.0</v>
      </c>
      <c r="J721" s="1">
        <v>4.0</v>
      </c>
      <c r="K721" s="1">
        <v>43.0</v>
      </c>
      <c r="L721" s="1">
        <v>0.0</v>
      </c>
      <c r="M721" s="1">
        <v>0.0</v>
      </c>
      <c r="N721" s="1">
        <v>0.0</v>
      </c>
      <c r="O721" s="1">
        <v>0.0</v>
      </c>
      <c r="P721" s="1">
        <v>25.0</v>
      </c>
      <c r="Q721" s="1">
        <v>18.0</v>
      </c>
    </row>
    <row r="722">
      <c r="A722" s="1">
        <f t="shared" si="1"/>
        <v>720</v>
      </c>
      <c r="B722" s="1" t="s">
        <v>2529</v>
      </c>
      <c r="C722" s="1" t="s">
        <v>1111</v>
      </c>
      <c r="D722" s="1" t="s">
        <v>31</v>
      </c>
      <c r="E722" s="1">
        <f t="shared" si="2"/>
        <v>52.25</v>
      </c>
      <c r="F722" s="1">
        <f t="shared" si="3"/>
        <v>1.63</v>
      </c>
      <c r="G722" s="1">
        <v>32.0</v>
      </c>
      <c r="H722" s="1">
        <v>0.0</v>
      </c>
      <c r="I722" s="1">
        <v>5.0</v>
      </c>
      <c r="J722" s="1">
        <v>5.0</v>
      </c>
      <c r="K722" s="1">
        <v>31.0</v>
      </c>
      <c r="L722" s="1">
        <v>0.0</v>
      </c>
      <c r="M722" s="1">
        <v>0.0</v>
      </c>
      <c r="N722" s="1">
        <v>0.0</v>
      </c>
      <c r="O722" s="1">
        <v>0.0</v>
      </c>
      <c r="P722" s="1">
        <v>53.0</v>
      </c>
      <c r="Q722" s="1">
        <v>17.0</v>
      </c>
    </row>
    <row r="723">
      <c r="A723" s="1">
        <f t="shared" si="1"/>
        <v>721</v>
      </c>
      <c r="B723" s="1" t="s">
        <v>1736</v>
      </c>
      <c r="C723" s="1" t="s">
        <v>1080</v>
      </c>
      <c r="D723" s="1" t="s">
        <v>66</v>
      </c>
      <c r="E723" s="1">
        <f t="shared" si="2"/>
        <v>51.5</v>
      </c>
      <c r="F723" s="1">
        <f t="shared" si="3"/>
        <v>1.84</v>
      </c>
      <c r="G723" s="1">
        <v>28.0</v>
      </c>
      <c r="H723" s="1">
        <v>1.0</v>
      </c>
      <c r="I723" s="1">
        <v>3.0</v>
      </c>
      <c r="J723" s="1">
        <v>4.0</v>
      </c>
      <c r="K723" s="1">
        <v>31.0</v>
      </c>
      <c r="L723" s="1">
        <v>0.0</v>
      </c>
      <c r="M723" s="1">
        <v>0.0</v>
      </c>
      <c r="N723" s="1">
        <v>0.0</v>
      </c>
      <c r="O723" s="1">
        <v>0.0</v>
      </c>
      <c r="P723" s="1">
        <v>32.0</v>
      </c>
      <c r="Q723" s="1">
        <v>29.0</v>
      </c>
    </row>
    <row r="724">
      <c r="A724" s="1">
        <f t="shared" si="1"/>
        <v>722</v>
      </c>
      <c r="B724" s="1" t="s">
        <v>1564</v>
      </c>
      <c r="C724" s="1" t="s">
        <v>1069</v>
      </c>
      <c r="D724" s="1" t="s">
        <v>66</v>
      </c>
      <c r="E724" s="1">
        <f t="shared" si="2"/>
        <v>51.25</v>
      </c>
      <c r="F724" s="1">
        <f t="shared" si="3"/>
        <v>2.14</v>
      </c>
      <c r="G724" s="1">
        <v>24.0</v>
      </c>
      <c r="H724" s="1">
        <v>1.0</v>
      </c>
      <c r="I724" s="1">
        <v>2.0</v>
      </c>
      <c r="J724" s="1">
        <v>3.0</v>
      </c>
      <c r="K724" s="1">
        <v>28.0</v>
      </c>
      <c r="L724" s="1">
        <v>0.0</v>
      </c>
      <c r="M724" s="1">
        <v>0.0</v>
      </c>
      <c r="N724" s="1">
        <v>0.0</v>
      </c>
      <c r="O724" s="1">
        <v>0.0</v>
      </c>
      <c r="P724" s="1">
        <v>21.0</v>
      </c>
      <c r="Q724" s="1">
        <v>43.0</v>
      </c>
    </row>
    <row r="725">
      <c r="A725" s="1">
        <f t="shared" si="1"/>
        <v>723</v>
      </c>
      <c r="B725" s="1" t="s">
        <v>2733</v>
      </c>
      <c r="C725" s="1" t="s">
        <v>1085</v>
      </c>
      <c r="D725" s="1" t="s">
        <v>66</v>
      </c>
      <c r="E725" s="1">
        <f t="shared" si="2"/>
        <v>50.5</v>
      </c>
      <c r="F725" s="1">
        <f t="shared" si="3"/>
        <v>1.74</v>
      </c>
      <c r="G725" s="1">
        <v>29.0</v>
      </c>
      <c r="H725" s="1">
        <v>0.0</v>
      </c>
      <c r="I725" s="1">
        <v>4.0</v>
      </c>
      <c r="J725" s="1">
        <v>4.0</v>
      </c>
      <c r="K725" s="1">
        <v>38.0</v>
      </c>
      <c r="L725" s="1">
        <v>0.0</v>
      </c>
      <c r="M725" s="1">
        <v>0.0</v>
      </c>
      <c r="N725" s="1">
        <v>0.0</v>
      </c>
      <c r="O725" s="1">
        <v>0.0</v>
      </c>
      <c r="P725" s="1">
        <v>16.0</v>
      </c>
      <c r="Q725" s="1">
        <v>31.0</v>
      </c>
    </row>
    <row r="726">
      <c r="A726" s="1">
        <f t="shared" si="1"/>
        <v>724</v>
      </c>
      <c r="B726" s="1" t="s">
        <v>1962</v>
      </c>
      <c r="C726" s="1" t="s">
        <v>1106</v>
      </c>
      <c r="D726" s="1" t="s">
        <v>28</v>
      </c>
      <c r="E726" s="1">
        <f t="shared" si="2"/>
        <v>50.25</v>
      </c>
      <c r="F726" s="1">
        <f t="shared" si="3"/>
        <v>1.73</v>
      </c>
      <c r="G726" s="1">
        <v>29.0</v>
      </c>
      <c r="H726" s="1">
        <v>3.0</v>
      </c>
      <c r="I726" s="1">
        <v>2.0</v>
      </c>
      <c r="J726" s="1">
        <v>5.0</v>
      </c>
      <c r="K726" s="1">
        <v>33.0</v>
      </c>
      <c r="L726" s="1">
        <v>0.0</v>
      </c>
      <c r="M726" s="1">
        <v>0.0</v>
      </c>
      <c r="N726" s="1">
        <v>0.0</v>
      </c>
      <c r="O726" s="1">
        <v>0.0</v>
      </c>
      <c r="P726" s="1">
        <v>49.0</v>
      </c>
      <c r="Q726" s="1">
        <v>4.0</v>
      </c>
    </row>
    <row r="727">
      <c r="A727" s="1">
        <f t="shared" si="1"/>
        <v>724</v>
      </c>
      <c r="B727" s="1" t="s">
        <v>2521</v>
      </c>
      <c r="C727" s="1" t="s">
        <v>1091</v>
      </c>
      <c r="D727" s="1" t="s">
        <v>66</v>
      </c>
      <c r="E727" s="1">
        <f t="shared" si="2"/>
        <v>50.25</v>
      </c>
      <c r="F727" s="1">
        <f t="shared" si="3"/>
        <v>1.93</v>
      </c>
      <c r="G727" s="1">
        <v>26.0</v>
      </c>
      <c r="H727" s="1">
        <v>1.0</v>
      </c>
      <c r="I727" s="1">
        <v>3.0</v>
      </c>
      <c r="J727" s="1">
        <v>4.0</v>
      </c>
      <c r="K727" s="1">
        <v>32.0</v>
      </c>
      <c r="L727" s="1">
        <v>0.0</v>
      </c>
      <c r="M727" s="1">
        <v>0.0</v>
      </c>
      <c r="N727" s="1">
        <v>0.0</v>
      </c>
      <c r="O727" s="1">
        <v>0.0</v>
      </c>
      <c r="P727" s="1">
        <v>47.0</v>
      </c>
      <c r="Q727" s="1">
        <v>18.0</v>
      </c>
    </row>
    <row r="728">
      <c r="A728" s="1">
        <f t="shared" si="1"/>
        <v>724</v>
      </c>
      <c r="B728" s="1" t="s">
        <v>2734</v>
      </c>
      <c r="C728" s="1" t="s">
        <v>1570</v>
      </c>
      <c r="D728" s="1" t="s">
        <v>66</v>
      </c>
      <c r="E728" s="1">
        <f t="shared" si="2"/>
        <v>50.25</v>
      </c>
      <c r="F728" s="1">
        <f t="shared" si="3"/>
        <v>2.79</v>
      </c>
      <c r="G728" s="1">
        <v>18.0</v>
      </c>
      <c r="H728" s="1">
        <v>0.0</v>
      </c>
      <c r="I728" s="1">
        <v>2.0</v>
      </c>
      <c r="J728" s="1">
        <v>2.0</v>
      </c>
      <c r="K728" s="1">
        <v>29.0</v>
      </c>
      <c r="L728" s="1">
        <v>0.0</v>
      </c>
      <c r="M728" s="1">
        <v>2.0</v>
      </c>
      <c r="N728" s="1">
        <v>0.0</v>
      </c>
      <c r="O728" s="1">
        <v>0.0</v>
      </c>
      <c r="P728" s="1">
        <v>29.0</v>
      </c>
      <c r="Q728" s="1">
        <v>45.0</v>
      </c>
    </row>
    <row r="729">
      <c r="A729" s="1">
        <f t="shared" si="1"/>
        <v>727</v>
      </c>
      <c r="B729" s="1" t="s">
        <v>2735</v>
      </c>
      <c r="C729" s="1" t="s">
        <v>1038</v>
      </c>
      <c r="D729" s="1" t="s">
        <v>31</v>
      </c>
      <c r="E729" s="1">
        <f t="shared" si="2"/>
        <v>50</v>
      </c>
      <c r="F729" s="1">
        <f t="shared" si="3"/>
        <v>1.79</v>
      </c>
      <c r="G729" s="1">
        <v>28.0</v>
      </c>
      <c r="H729" s="1">
        <v>3.0</v>
      </c>
      <c r="I729" s="1">
        <v>6.0</v>
      </c>
      <c r="J729" s="1">
        <v>9.0</v>
      </c>
      <c r="K729" s="1">
        <v>21.0</v>
      </c>
      <c r="L729" s="1">
        <v>0.0</v>
      </c>
      <c r="M729" s="1">
        <v>1.0</v>
      </c>
      <c r="N729" s="1">
        <v>0.0</v>
      </c>
      <c r="O729" s="1">
        <v>0.0</v>
      </c>
      <c r="P729" s="1">
        <v>14.0</v>
      </c>
      <c r="Q729" s="1">
        <v>9.0</v>
      </c>
    </row>
    <row r="730">
      <c r="A730" s="1">
        <f t="shared" si="1"/>
        <v>727</v>
      </c>
      <c r="B730" s="1" t="s">
        <v>2736</v>
      </c>
      <c r="C730" s="1" t="s">
        <v>1570</v>
      </c>
      <c r="D730" s="1" t="s">
        <v>66</v>
      </c>
      <c r="E730" s="1">
        <f t="shared" si="2"/>
        <v>50</v>
      </c>
      <c r="F730" s="1">
        <f t="shared" si="3"/>
        <v>2</v>
      </c>
      <c r="G730" s="1">
        <v>25.0</v>
      </c>
      <c r="H730" s="1">
        <v>2.0</v>
      </c>
      <c r="I730" s="1">
        <v>5.0</v>
      </c>
      <c r="J730" s="1">
        <v>7.0</v>
      </c>
      <c r="K730" s="1">
        <v>24.0</v>
      </c>
      <c r="L730" s="1">
        <v>0.0</v>
      </c>
      <c r="M730" s="1">
        <v>0.0</v>
      </c>
      <c r="N730" s="1">
        <v>0.0</v>
      </c>
      <c r="O730" s="1">
        <v>0.0</v>
      </c>
      <c r="P730" s="1">
        <v>12.0</v>
      </c>
      <c r="Q730" s="1">
        <v>22.0</v>
      </c>
    </row>
    <row r="731">
      <c r="A731" s="1">
        <f t="shared" si="1"/>
        <v>729</v>
      </c>
      <c r="B731" s="1" t="s">
        <v>2254</v>
      </c>
      <c r="C731" s="1" t="s">
        <v>1067</v>
      </c>
      <c r="D731" s="1" t="s">
        <v>31</v>
      </c>
      <c r="E731" s="1">
        <f t="shared" si="2"/>
        <v>49.75</v>
      </c>
      <c r="F731" s="1">
        <f t="shared" si="3"/>
        <v>2.16</v>
      </c>
      <c r="G731" s="1">
        <v>23.0</v>
      </c>
      <c r="H731" s="1">
        <v>4.0</v>
      </c>
      <c r="I731" s="1">
        <v>2.0</v>
      </c>
      <c r="J731" s="1">
        <v>6.0</v>
      </c>
      <c r="K731" s="1">
        <v>29.0</v>
      </c>
      <c r="L731" s="1">
        <v>0.0</v>
      </c>
      <c r="M731" s="1">
        <v>0.0</v>
      </c>
      <c r="N731" s="1">
        <v>0.0</v>
      </c>
      <c r="O731" s="1">
        <v>0.0</v>
      </c>
      <c r="P731" s="1">
        <v>21.0</v>
      </c>
      <c r="Q731" s="1">
        <v>12.0</v>
      </c>
    </row>
    <row r="732">
      <c r="A732" s="1">
        <f t="shared" si="1"/>
        <v>730</v>
      </c>
      <c r="B732" s="1" t="s">
        <v>1595</v>
      </c>
      <c r="C732" s="1" t="s">
        <v>1078</v>
      </c>
      <c r="D732" s="1" t="s">
        <v>28</v>
      </c>
      <c r="E732" s="1">
        <f t="shared" si="2"/>
        <v>49.5</v>
      </c>
      <c r="F732" s="1">
        <f t="shared" si="3"/>
        <v>3.3</v>
      </c>
      <c r="G732" s="1">
        <v>15.0</v>
      </c>
      <c r="H732" s="1">
        <v>5.0</v>
      </c>
      <c r="I732" s="1">
        <v>1.0</v>
      </c>
      <c r="J732" s="1">
        <v>6.0</v>
      </c>
      <c r="K732" s="1">
        <v>26.0</v>
      </c>
      <c r="L732" s="1">
        <v>0.0</v>
      </c>
      <c r="M732" s="1">
        <v>1.0</v>
      </c>
      <c r="N732" s="1">
        <v>0.0</v>
      </c>
      <c r="O732" s="1">
        <v>0.0</v>
      </c>
      <c r="P732" s="1">
        <v>38.0</v>
      </c>
      <c r="Q732" s="1">
        <v>3.0</v>
      </c>
    </row>
    <row r="733">
      <c r="A733" s="1">
        <f t="shared" si="1"/>
        <v>731</v>
      </c>
      <c r="B733" s="1" t="s">
        <v>2620</v>
      </c>
      <c r="C733" s="1" t="s">
        <v>1032</v>
      </c>
      <c r="D733" s="1" t="s">
        <v>66</v>
      </c>
      <c r="E733" s="1">
        <f t="shared" si="2"/>
        <v>49.25</v>
      </c>
      <c r="F733" s="1">
        <f t="shared" si="3"/>
        <v>2.05</v>
      </c>
      <c r="G733" s="1">
        <v>24.0</v>
      </c>
      <c r="H733" s="1">
        <v>1.0</v>
      </c>
      <c r="I733" s="1">
        <v>4.0</v>
      </c>
      <c r="J733" s="1">
        <v>5.0</v>
      </c>
      <c r="K733" s="1">
        <v>34.0</v>
      </c>
      <c r="L733" s="1">
        <v>0.0</v>
      </c>
      <c r="M733" s="1">
        <v>0.0</v>
      </c>
      <c r="N733" s="1">
        <v>0.0</v>
      </c>
      <c r="O733" s="1">
        <v>0.0</v>
      </c>
      <c r="P733" s="1">
        <v>21.0</v>
      </c>
      <c r="Q733" s="1">
        <v>21.0</v>
      </c>
    </row>
    <row r="734">
      <c r="A734" s="1">
        <f t="shared" si="1"/>
        <v>731</v>
      </c>
      <c r="B734" s="1" t="s">
        <v>2737</v>
      </c>
      <c r="C734" s="1" t="s">
        <v>1065</v>
      </c>
      <c r="D734" s="1" t="s">
        <v>28</v>
      </c>
      <c r="E734" s="1">
        <f t="shared" si="2"/>
        <v>49.25</v>
      </c>
      <c r="F734" s="1">
        <f t="shared" si="3"/>
        <v>2.05</v>
      </c>
      <c r="G734" s="1">
        <v>24.0</v>
      </c>
      <c r="H734" s="1">
        <v>1.0</v>
      </c>
      <c r="I734" s="1">
        <v>3.0</v>
      </c>
      <c r="J734" s="1">
        <v>4.0</v>
      </c>
      <c r="K734" s="1">
        <v>21.0</v>
      </c>
      <c r="L734" s="1">
        <v>0.0</v>
      </c>
      <c r="M734" s="1">
        <v>0.0</v>
      </c>
      <c r="N734" s="1">
        <v>0.0</v>
      </c>
      <c r="O734" s="1">
        <v>0.0</v>
      </c>
      <c r="P734" s="1">
        <v>83.0</v>
      </c>
      <c r="Q734" s="1">
        <v>9.0</v>
      </c>
    </row>
    <row r="735">
      <c r="A735" s="1">
        <f t="shared" si="1"/>
        <v>733</v>
      </c>
      <c r="B735" s="1" t="s">
        <v>2447</v>
      </c>
      <c r="C735" s="1" t="s">
        <v>1087</v>
      </c>
      <c r="D735" s="1" t="s">
        <v>28</v>
      </c>
      <c r="E735" s="1">
        <f t="shared" si="2"/>
        <v>49</v>
      </c>
      <c r="F735" s="1">
        <f t="shared" si="3"/>
        <v>1.75</v>
      </c>
      <c r="G735" s="1">
        <v>28.0</v>
      </c>
      <c r="H735" s="1">
        <v>3.0</v>
      </c>
      <c r="I735" s="1">
        <v>4.0</v>
      </c>
      <c r="J735" s="1">
        <v>7.0</v>
      </c>
      <c r="K735" s="1">
        <v>34.0</v>
      </c>
      <c r="L735" s="1">
        <v>0.0</v>
      </c>
      <c r="M735" s="1">
        <v>0.0</v>
      </c>
      <c r="N735" s="1">
        <v>0.0</v>
      </c>
      <c r="O735" s="1">
        <v>0.0</v>
      </c>
      <c r="P735" s="1">
        <v>10.0</v>
      </c>
      <c r="Q735" s="1">
        <v>8.0</v>
      </c>
    </row>
    <row r="736">
      <c r="A736" s="1">
        <f t="shared" si="1"/>
        <v>734</v>
      </c>
      <c r="B736" s="1" t="s">
        <v>2738</v>
      </c>
      <c r="C736" s="1" t="s">
        <v>1570</v>
      </c>
      <c r="D736" s="1" t="s">
        <v>28</v>
      </c>
      <c r="E736" s="1">
        <f t="shared" si="2"/>
        <v>48.5</v>
      </c>
      <c r="F736" s="1">
        <f t="shared" si="3"/>
        <v>2.55</v>
      </c>
      <c r="G736" s="1">
        <v>19.0</v>
      </c>
      <c r="H736" s="1">
        <v>4.0</v>
      </c>
      <c r="I736" s="1">
        <v>3.0</v>
      </c>
      <c r="J736" s="1">
        <v>7.0</v>
      </c>
      <c r="K736" s="1">
        <v>23.0</v>
      </c>
      <c r="L736" s="1">
        <v>1.0</v>
      </c>
      <c r="M736" s="1">
        <v>0.0</v>
      </c>
      <c r="N736" s="1">
        <v>0.0</v>
      </c>
      <c r="O736" s="1">
        <v>0.0</v>
      </c>
      <c r="P736" s="1">
        <v>34.0</v>
      </c>
      <c r="Q736" s="1">
        <v>3.0</v>
      </c>
    </row>
    <row r="737">
      <c r="A737" s="1">
        <f t="shared" si="1"/>
        <v>734</v>
      </c>
      <c r="B737" s="1" t="s">
        <v>2739</v>
      </c>
      <c r="C737" s="1" t="s">
        <v>1570</v>
      </c>
      <c r="D737" s="1" t="s">
        <v>28</v>
      </c>
      <c r="E737" s="1">
        <f t="shared" si="2"/>
        <v>48.5</v>
      </c>
      <c r="F737" s="1">
        <f t="shared" si="3"/>
        <v>1.28</v>
      </c>
      <c r="G737" s="1">
        <v>38.0</v>
      </c>
      <c r="H737" s="1">
        <v>1.0</v>
      </c>
      <c r="I737" s="1">
        <v>0.0</v>
      </c>
      <c r="J737" s="1">
        <v>1.0</v>
      </c>
      <c r="K737" s="1">
        <v>22.0</v>
      </c>
      <c r="L737" s="1">
        <v>0.0</v>
      </c>
      <c r="M737" s="1">
        <v>0.0</v>
      </c>
      <c r="N737" s="1">
        <v>0.0</v>
      </c>
      <c r="O737" s="1">
        <v>0.0</v>
      </c>
      <c r="P737" s="1">
        <v>112.0</v>
      </c>
      <c r="Q737" s="1">
        <v>10.0</v>
      </c>
    </row>
    <row r="738">
      <c r="A738" s="1">
        <f t="shared" si="1"/>
        <v>736</v>
      </c>
      <c r="B738" s="1" t="s">
        <v>2527</v>
      </c>
      <c r="C738" s="1" t="s">
        <v>1097</v>
      </c>
      <c r="D738" s="1" t="s">
        <v>66</v>
      </c>
      <c r="E738" s="1">
        <f t="shared" si="2"/>
        <v>48</v>
      </c>
      <c r="F738" s="1">
        <f t="shared" si="3"/>
        <v>2.53</v>
      </c>
      <c r="G738" s="1">
        <v>19.0</v>
      </c>
      <c r="H738" s="1">
        <v>0.0</v>
      </c>
      <c r="I738" s="1">
        <v>3.0</v>
      </c>
      <c r="J738" s="1">
        <v>3.0</v>
      </c>
      <c r="K738" s="1">
        <v>32.0</v>
      </c>
      <c r="L738" s="1">
        <v>0.0</v>
      </c>
      <c r="M738" s="1">
        <v>0.0</v>
      </c>
      <c r="N738" s="1">
        <v>0.0</v>
      </c>
      <c r="O738" s="1">
        <v>0.0</v>
      </c>
      <c r="P738" s="1">
        <v>32.0</v>
      </c>
      <c r="Q738" s="1">
        <v>30.0</v>
      </c>
    </row>
    <row r="739">
      <c r="A739" s="1">
        <f t="shared" si="1"/>
        <v>737</v>
      </c>
      <c r="B739" s="1" t="s">
        <v>1608</v>
      </c>
      <c r="C739" s="1" t="s">
        <v>1082</v>
      </c>
      <c r="D739" s="1" t="s">
        <v>66</v>
      </c>
      <c r="E739" s="1">
        <f t="shared" si="2"/>
        <v>47.75</v>
      </c>
      <c r="F739" s="1">
        <f t="shared" si="3"/>
        <v>1.84</v>
      </c>
      <c r="G739" s="1">
        <v>26.0</v>
      </c>
      <c r="H739" s="1">
        <v>0.0</v>
      </c>
      <c r="I739" s="1">
        <v>4.0</v>
      </c>
      <c r="J739" s="1">
        <v>4.0</v>
      </c>
      <c r="K739" s="1">
        <v>12.0</v>
      </c>
      <c r="L739" s="1">
        <v>0.0</v>
      </c>
      <c r="M739" s="1">
        <v>0.0</v>
      </c>
      <c r="N739" s="1">
        <v>0.0</v>
      </c>
      <c r="O739" s="1">
        <v>0.0</v>
      </c>
      <c r="P739" s="1">
        <v>31.0</v>
      </c>
      <c r="Q739" s="1">
        <v>44.0</v>
      </c>
    </row>
    <row r="740">
      <c r="A740" s="1">
        <f t="shared" si="1"/>
        <v>737</v>
      </c>
      <c r="B740" s="1" t="s">
        <v>2740</v>
      </c>
      <c r="C740" s="1" t="s">
        <v>1172</v>
      </c>
      <c r="D740" s="1" t="s">
        <v>31</v>
      </c>
      <c r="E740" s="1">
        <f t="shared" si="2"/>
        <v>47.75</v>
      </c>
      <c r="F740" s="1">
        <f t="shared" si="3"/>
        <v>1.99</v>
      </c>
      <c r="G740" s="1">
        <v>24.0</v>
      </c>
      <c r="H740" s="1">
        <v>3.0</v>
      </c>
      <c r="I740" s="1">
        <v>3.0</v>
      </c>
      <c r="J740" s="1">
        <v>6.0</v>
      </c>
      <c r="K740" s="1">
        <v>29.0</v>
      </c>
      <c r="L740" s="1">
        <v>0.0</v>
      </c>
      <c r="M740" s="1">
        <v>0.0</v>
      </c>
      <c r="N740" s="1">
        <v>1.0</v>
      </c>
      <c r="O740" s="1">
        <v>0.0</v>
      </c>
      <c r="P740" s="1">
        <v>21.0</v>
      </c>
      <c r="Q740" s="1">
        <v>7.0</v>
      </c>
    </row>
    <row r="741">
      <c r="A741" s="1">
        <f t="shared" si="1"/>
        <v>739</v>
      </c>
      <c r="B741" s="1" t="s">
        <v>1118</v>
      </c>
      <c r="C741" s="1" t="s">
        <v>1032</v>
      </c>
      <c r="D741" s="1" t="s">
        <v>28</v>
      </c>
      <c r="E741" s="1">
        <f t="shared" si="2"/>
        <v>47.25</v>
      </c>
      <c r="F741" s="1">
        <f t="shared" si="3"/>
        <v>1.89</v>
      </c>
      <c r="G741" s="1">
        <v>25.0</v>
      </c>
      <c r="H741" s="1">
        <v>2.0</v>
      </c>
      <c r="I741" s="1">
        <v>6.0</v>
      </c>
      <c r="J741" s="1">
        <v>8.0</v>
      </c>
      <c r="K741" s="1">
        <v>26.0</v>
      </c>
      <c r="L741" s="1">
        <v>0.0</v>
      </c>
      <c r="M741" s="1">
        <v>0.0</v>
      </c>
      <c r="N741" s="1">
        <v>0.0</v>
      </c>
      <c r="O741" s="1">
        <v>0.0</v>
      </c>
      <c r="P741" s="1">
        <v>15.0</v>
      </c>
      <c r="Q741" s="1">
        <v>7.0</v>
      </c>
    </row>
    <row r="742">
      <c r="A742" s="1">
        <f t="shared" si="1"/>
        <v>739</v>
      </c>
      <c r="B742" s="1" t="s">
        <v>2741</v>
      </c>
      <c r="C742" s="1" t="s">
        <v>1570</v>
      </c>
      <c r="D742" s="1" t="s">
        <v>31</v>
      </c>
      <c r="E742" s="1">
        <f t="shared" si="2"/>
        <v>47.25</v>
      </c>
      <c r="F742" s="1">
        <f t="shared" si="3"/>
        <v>1.28</v>
      </c>
      <c r="G742" s="1">
        <v>37.0</v>
      </c>
      <c r="H742" s="1">
        <v>0.0</v>
      </c>
      <c r="I742" s="1">
        <v>2.0</v>
      </c>
      <c r="J742" s="1">
        <v>2.0</v>
      </c>
      <c r="K742" s="1">
        <v>29.0</v>
      </c>
      <c r="L742" s="1">
        <v>0.0</v>
      </c>
      <c r="M742" s="1">
        <v>0.0</v>
      </c>
      <c r="N742" s="1">
        <v>0.0</v>
      </c>
      <c r="O742" s="1">
        <v>0.0</v>
      </c>
      <c r="P742" s="1">
        <v>15.0</v>
      </c>
      <c r="Q742" s="1">
        <v>46.0</v>
      </c>
    </row>
    <row r="743">
      <c r="A743" s="1">
        <f t="shared" si="1"/>
        <v>741</v>
      </c>
      <c r="B743" s="1" t="s">
        <v>1685</v>
      </c>
      <c r="C743" s="1" t="s">
        <v>1040</v>
      </c>
      <c r="D743" s="1" t="s">
        <v>28</v>
      </c>
      <c r="E743" s="1">
        <f t="shared" si="2"/>
        <v>47</v>
      </c>
      <c r="F743" s="1">
        <f t="shared" si="3"/>
        <v>1.96</v>
      </c>
      <c r="G743" s="1">
        <v>24.0</v>
      </c>
      <c r="H743" s="1">
        <v>1.0</v>
      </c>
      <c r="I743" s="1">
        <v>3.0</v>
      </c>
      <c r="J743" s="1">
        <v>4.0</v>
      </c>
      <c r="K743" s="1">
        <v>31.0</v>
      </c>
      <c r="L743" s="1">
        <v>0.0</v>
      </c>
      <c r="M743" s="1">
        <v>0.0</v>
      </c>
      <c r="N743" s="1">
        <v>0.0</v>
      </c>
      <c r="O743" s="1">
        <v>0.0</v>
      </c>
      <c r="P743" s="1">
        <v>54.0</v>
      </c>
      <c r="Q743" s="1">
        <v>9.0</v>
      </c>
    </row>
    <row r="744">
      <c r="A744" s="1">
        <f t="shared" si="1"/>
        <v>742</v>
      </c>
      <c r="B744" s="1" t="s">
        <v>1725</v>
      </c>
      <c r="C744" s="1" t="s">
        <v>1040</v>
      </c>
      <c r="D744" s="1" t="s">
        <v>31</v>
      </c>
      <c r="E744" s="1">
        <f t="shared" si="2"/>
        <v>46.25</v>
      </c>
      <c r="F744" s="1">
        <f t="shared" si="3"/>
        <v>1.71</v>
      </c>
      <c r="G744" s="1">
        <v>27.0</v>
      </c>
      <c r="H744" s="1">
        <v>1.0</v>
      </c>
      <c r="I744" s="1">
        <v>2.0</v>
      </c>
      <c r="J744" s="1">
        <v>3.0</v>
      </c>
      <c r="K744" s="1">
        <v>40.0</v>
      </c>
      <c r="L744" s="1">
        <v>1.0</v>
      </c>
      <c r="M744" s="1">
        <v>1.0</v>
      </c>
      <c r="N744" s="1">
        <v>0.0</v>
      </c>
      <c r="O744" s="1">
        <v>0.0</v>
      </c>
      <c r="P744" s="1">
        <v>41.0</v>
      </c>
      <c r="Q744" s="1">
        <v>11.0</v>
      </c>
    </row>
    <row r="745">
      <c r="A745" s="1">
        <f t="shared" si="1"/>
        <v>743</v>
      </c>
      <c r="B745" s="1" t="s">
        <v>2575</v>
      </c>
      <c r="C745" s="1" t="s">
        <v>1036</v>
      </c>
      <c r="D745" s="1" t="s">
        <v>36</v>
      </c>
      <c r="E745" s="1">
        <f t="shared" si="2"/>
        <v>45.75</v>
      </c>
      <c r="F745" s="1">
        <f t="shared" si="3"/>
        <v>2.18</v>
      </c>
      <c r="G745" s="1">
        <v>21.0</v>
      </c>
      <c r="H745" s="1">
        <v>2.0</v>
      </c>
      <c r="I745" s="1">
        <v>3.0</v>
      </c>
      <c r="J745" s="1">
        <v>5.0</v>
      </c>
      <c r="K745" s="1">
        <v>19.0</v>
      </c>
      <c r="L745" s="1">
        <v>0.0</v>
      </c>
      <c r="M745" s="1">
        <v>0.0</v>
      </c>
      <c r="N745" s="1">
        <v>0.0</v>
      </c>
      <c r="O745" s="1">
        <v>0.0</v>
      </c>
      <c r="P745" s="1">
        <v>39.0</v>
      </c>
      <c r="Q745" s="1">
        <v>17.0</v>
      </c>
    </row>
    <row r="746">
      <c r="A746" s="1">
        <f t="shared" si="1"/>
        <v>744</v>
      </c>
      <c r="B746" s="1" t="s">
        <v>2364</v>
      </c>
      <c r="C746" s="1" t="s">
        <v>1078</v>
      </c>
      <c r="D746" s="1" t="s">
        <v>36</v>
      </c>
      <c r="E746" s="1">
        <f t="shared" si="2"/>
        <v>44.25</v>
      </c>
      <c r="F746" s="1">
        <f t="shared" si="3"/>
        <v>1.48</v>
      </c>
      <c r="G746" s="1">
        <v>30.0</v>
      </c>
      <c r="H746" s="1">
        <v>1.0</v>
      </c>
      <c r="I746" s="1">
        <v>5.0</v>
      </c>
      <c r="J746" s="1">
        <v>6.0</v>
      </c>
      <c r="K746" s="1">
        <v>28.0</v>
      </c>
      <c r="L746" s="1">
        <v>1.0</v>
      </c>
      <c r="M746" s="1">
        <v>0.0</v>
      </c>
      <c r="N746" s="1">
        <v>0.0</v>
      </c>
      <c r="O746" s="1">
        <v>0.0</v>
      </c>
      <c r="P746" s="1">
        <v>35.0</v>
      </c>
      <c r="Q746" s="1">
        <v>4.0</v>
      </c>
    </row>
    <row r="747">
      <c r="A747" s="1">
        <f t="shared" si="1"/>
        <v>745</v>
      </c>
      <c r="B747" s="1" t="s">
        <v>1781</v>
      </c>
      <c r="C747" s="1" t="s">
        <v>1111</v>
      </c>
      <c r="D747" s="1" t="s">
        <v>28</v>
      </c>
      <c r="E747" s="1">
        <f t="shared" si="2"/>
        <v>44</v>
      </c>
      <c r="F747" s="1">
        <f t="shared" si="3"/>
        <v>2.2</v>
      </c>
      <c r="G747" s="1">
        <v>20.0</v>
      </c>
      <c r="H747" s="1">
        <v>2.0</v>
      </c>
      <c r="I747" s="1">
        <v>5.0</v>
      </c>
      <c r="J747" s="1">
        <v>7.0</v>
      </c>
      <c r="K747" s="1">
        <v>25.0</v>
      </c>
      <c r="L747" s="1">
        <v>1.0</v>
      </c>
      <c r="M747" s="1">
        <v>0.0</v>
      </c>
      <c r="N747" s="1">
        <v>0.0</v>
      </c>
      <c r="O747" s="1">
        <v>0.0</v>
      </c>
      <c r="P747" s="1">
        <v>16.0</v>
      </c>
      <c r="Q747" s="1">
        <v>7.0</v>
      </c>
    </row>
    <row r="748">
      <c r="A748" s="1">
        <f t="shared" si="1"/>
        <v>745</v>
      </c>
      <c r="B748" s="1" t="s">
        <v>1822</v>
      </c>
      <c r="C748" s="1" t="s">
        <v>1036</v>
      </c>
      <c r="D748" s="1" t="s">
        <v>66</v>
      </c>
      <c r="E748" s="1">
        <f t="shared" si="2"/>
        <v>44</v>
      </c>
      <c r="F748" s="1">
        <f t="shared" si="3"/>
        <v>2.59</v>
      </c>
      <c r="G748" s="1">
        <v>17.0</v>
      </c>
      <c r="H748" s="1">
        <v>1.0</v>
      </c>
      <c r="I748" s="1">
        <v>5.0</v>
      </c>
      <c r="J748" s="1">
        <v>6.0</v>
      </c>
      <c r="K748" s="1">
        <v>21.0</v>
      </c>
      <c r="L748" s="1">
        <v>0.0</v>
      </c>
      <c r="M748" s="1">
        <v>1.0</v>
      </c>
      <c r="N748" s="1">
        <v>0.0</v>
      </c>
      <c r="O748" s="1">
        <v>0.0</v>
      </c>
      <c r="P748" s="1">
        <v>20.0</v>
      </c>
      <c r="Q748" s="1">
        <v>18.0</v>
      </c>
    </row>
    <row r="749">
      <c r="A749" s="1">
        <f t="shared" si="1"/>
        <v>747</v>
      </c>
      <c r="B749" s="1" t="s">
        <v>1666</v>
      </c>
      <c r="C749" s="1" t="s">
        <v>1120</v>
      </c>
      <c r="D749" s="1" t="s">
        <v>5</v>
      </c>
      <c r="E749" s="1">
        <f t="shared" si="2"/>
        <v>43.8</v>
      </c>
      <c r="F749" s="1">
        <f t="shared" si="3"/>
        <v>2.58</v>
      </c>
      <c r="G749" s="1">
        <v>17.0</v>
      </c>
      <c r="R749" s="1">
        <v>4.0</v>
      </c>
      <c r="S749" s="1">
        <v>48.0</v>
      </c>
      <c r="T749" s="1">
        <v>336.0</v>
      </c>
      <c r="U749" s="1">
        <v>1.0</v>
      </c>
    </row>
    <row r="750">
      <c r="A750" s="1">
        <f t="shared" si="1"/>
        <v>748</v>
      </c>
      <c r="B750" s="1" t="s">
        <v>2672</v>
      </c>
      <c r="C750" s="1" t="s">
        <v>1038</v>
      </c>
      <c r="D750" s="1" t="s">
        <v>31</v>
      </c>
      <c r="E750" s="1">
        <f t="shared" si="2"/>
        <v>43.75</v>
      </c>
      <c r="F750" s="1">
        <f t="shared" si="3"/>
        <v>2.19</v>
      </c>
      <c r="G750" s="1">
        <v>20.0</v>
      </c>
      <c r="H750" s="1">
        <v>4.0</v>
      </c>
      <c r="I750" s="1">
        <v>2.0</v>
      </c>
      <c r="J750" s="1">
        <v>6.0</v>
      </c>
      <c r="K750" s="1">
        <v>30.0</v>
      </c>
      <c r="L750" s="1">
        <v>1.0</v>
      </c>
      <c r="M750" s="1">
        <v>0.0</v>
      </c>
      <c r="N750" s="1">
        <v>0.0</v>
      </c>
      <c r="O750" s="1">
        <v>0.0</v>
      </c>
      <c r="P750" s="1">
        <v>5.0</v>
      </c>
      <c r="Q750" s="1">
        <v>7.0</v>
      </c>
    </row>
    <row r="751">
      <c r="A751" s="1">
        <f t="shared" si="1"/>
        <v>749</v>
      </c>
      <c r="B751" s="1" t="s">
        <v>2457</v>
      </c>
      <c r="C751" s="1" t="s">
        <v>1034</v>
      </c>
      <c r="D751" s="1" t="s">
        <v>66</v>
      </c>
      <c r="E751" s="1">
        <f t="shared" si="2"/>
        <v>43.25</v>
      </c>
      <c r="F751" s="1">
        <f t="shared" si="3"/>
        <v>1.27</v>
      </c>
      <c r="G751" s="1">
        <v>34.0</v>
      </c>
      <c r="H751" s="1">
        <v>0.0</v>
      </c>
      <c r="I751" s="1">
        <v>2.0</v>
      </c>
      <c r="J751" s="1">
        <v>2.0</v>
      </c>
      <c r="K751" s="1">
        <v>14.0</v>
      </c>
      <c r="L751" s="1">
        <v>0.0</v>
      </c>
      <c r="M751" s="1">
        <v>0.0</v>
      </c>
      <c r="N751" s="1">
        <v>0.0</v>
      </c>
      <c r="O751" s="1">
        <v>0.0</v>
      </c>
      <c r="P751" s="1">
        <v>67.0</v>
      </c>
      <c r="Q751" s="1">
        <v>27.0</v>
      </c>
    </row>
    <row r="752">
      <c r="A752" s="1">
        <f t="shared" si="1"/>
        <v>750</v>
      </c>
      <c r="B752" s="1" t="s">
        <v>1299</v>
      </c>
      <c r="C752" s="1" t="s">
        <v>1073</v>
      </c>
      <c r="D752" s="1" t="s">
        <v>31</v>
      </c>
      <c r="E752" s="1">
        <f t="shared" si="2"/>
        <v>42.75</v>
      </c>
      <c r="F752" s="1">
        <f t="shared" si="3"/>
        <v>2.85</v>
      </c>
      <c r="G752" s="1">
        <v>15.0</v>
      </c>
      <c r="H752" s="1">
        <v>2.0</v>
      </c>
      <c r="I752" s="1">
        <v>5.0</v>
      </c>
      <c r="J752" s="1">
        <v>7.0</v>
      </c>
      <c r="K752" s="1">
        <v>26.0</v>
      </c>
      <c r="L752" s="1">
        <v>0.0</v>
      </c>
      <c r="M752" s="1">
        <v>1.0</v>
      </c>
      <c r="N752" s="1">
        <v>0.0</v>
      </c>
      <c r="O752" s="1">
        <v>0.0</v>
      </c>
      <c r="P752" s="1">
        <v>11.0</v>
      </c>
      <c r="Q752" s="1">
        <v>6.0</v>
      </c>
    </row>
    <row r="753">
      <c r="A753" s="1">
        <f t="shared" si="1"/>
        <v>750</v>
      </c>
      <c r="B753" s="1" t="s">
        <v>2106</v>
      </c>
      <c r="C753" s="1" t="s">
        <v>1085</v>
      </c>
      <c r="D753" s="1" t="s">
        <v>66</v>
      </c>
      <c r="E753" s="1">
        <f t="shared" si="2"/>
        <v>42.75</v>
      </c>
      <c r="F753" s="1">
        <f t="shared" si="3"/>
        <v>2.25</v>
      </c>
      <c r="G753" s="1">
        <v>19.0</v>
      </c>
      <c r="H753" s="1">
        <v>2.0</v>
      </c>
      <c r="I753" s="1">
        <v>3.0</v>
      </c>
      <c r="J753" s="1">
        <v>5.0</v>
      </c>
      <c r="K753" s="1">
        <v>25.0</v>
      </c>
      <c r="L753" s="1">
        <v>0.0</v>
      </c>
      <c r="M753" s="1">
        <v>2.0</v>
      </c>
      <c r="N753" s="1">
        <v>0.0</v>
      </c>
      <c r="O753" s="1">
        <v>0.0</v>
      </c>
      <c r="P753" s="1">
        <v>11.0</v>
      </c>
      <c r="Q753" s="1">
        <v>19.0</v>
      </c>
    </row>
    <row r="754">
      <c r="A754" s="1">
        <f t="shared" si="1"/>
        <v>752</v>
      </c>
      <c r="B754" s="1" t="s">
        <v>2742</v>
      </c>
      <c r="C754" s="1" t="s">
        <v>1570</v>
      </c>
      <c r="D754" s="1" t="s">
        <v>5</v>
      </c>
      <c r="E754" s="1">
        <f t="shared" si="2"/>
        <v>42.6</v>
      </c>
      <c r="F754" s="1">
        <f t="shared" si="3"/>
        <v>2.24</v>
      </c>
      <c r="G754" s="1">
        <v>19.0</v>
      </c>
      <c r="R754" s="1">
        <v>2.0</v>
      </c>
      <c r="S754" s="1">
        <v>49.0</v>
      </c>
      <c r="T754" s="1">
        <v>357.0</v>
      </c>
      <c r="U754" s="1">
        <v>1.0</v>
      </c>
    </row>
    <row r="755">
      <c r="A755" s="1">
        <f t="shared" si="1"/>
        <v>752</v>
      </c>
      <c r="B755" s="1" t="s">
        <v>2621</v>
      </c>
      <c r="C755" s="1" t="s">
        <v>1048</v>
      </c>
      <c r="D755" s="1" t="s">
        <v>5</v>
      </c>
      <c r="E755" s="1">
        <f t="shared" si="2"/>
        <v>42.6</v>
      </c>
      <c r="F755" s="1">
        <f t="shared" si="3"/>
        <v>3.87</v>
      </c>
      <c r="G755" s="1">
        <v>11.0</v>
      </c>
      <c r="R755" s="1">
        <v>4.0</v>
      </c>
      <c r="S755" s="1">
        <v>30.0</v>
      </c>
      <c r="T755" s="1">
        <v>252.0</v>
      </c>
      <c r="U755" s="1">
        <v>0.0</v>
      </c>
    </row>
    <row r="756">
      <c r="A756" s="1">
        <f t="shared" si="1"/>
        <v>754</v>
      </c>
      <c r="B756" s="1" t="s">
        <v>2633</v>
      </c>
      <c r="C756" s="1" t="s">
        <v>1080</v>
      </c>
      <c r="D756" s="1" t="s">
        <v>36</v>
      </c>
      <c r="E756" s="1">
        <f t="shared" si="2"/>
        <v>42</v>
      </c>
      <c r="F756" s="1">
        <f t="shared" si="3"/>
        <v>1.5</v>
      </c>
      <c r="G756" s="1">
        <v>28.0</v>
      </c>
      <c r="H756" s="1">
        <v>2.0</v>
      </c>
      <c r="I756" s="1">
        <v>3.0</v>
      </c>
      <c r="J756" s="1">
        <v>5.0</v>
      </c>
      <c r="K756" s="1">
        <v>29.0</v>
      </c>
      <c r="L756" s="1">
        <v>0.0</v>
      </c>
      <c r="M756" s="1">
        <v>2.0</v>
      </c>
      <c r="N756" s="1">
        <v>0.0</v>
      </c>
      <c r="O756" s="1">
        <v>0.0</v>
      </c>
      <c r="P756" s="1">
        <v>26.0</v>
      </c>
      <c r="Q756" s="1">
        <v>6.0</v>
      </c>
    </row>
    <row r="757">
      <c r="A757" s="1">
        <f t="shared" si="1"/>
        <v>754</v>
      </c>
      <c r="B757" s="1" t="s">
        <v>2435</v>
      </c>
      <c r="C757" s="1" t="s">
        <v>1091</v>
      </c>
      <c r="D757" s="1" t="s">
        <v>36</v>
      </c>
      <c r="E757" s="1">
        <f t="shared" si="2"/>
        <v>42</v>
      </c>
      <c r="F757" s="1">
        <f t="shared" si="3"/>
        <v>1.91</v>
      </c>
      <c r="G757" s="1">
        <v>22.0</v>
      </c>
      <c r="H757" s="1">
        <v>2.0</v>
      </c>
      <c r="I757" s="1">
        <v>2.0</v>
      </c>
      <c r="J757" s="1">
        <v>4.0</v>
      </c>
      <c r="K757" s="1">
        <v>7.0</v>
      </c>
      <c r="L757" s="1">
        <v>0.0</v>
      </c>
      <c r="M757" s="1">
        <v>0.0</v>
      </c>
      <c r="N757" s="1">
        <v>0.0</v>
      </c>
      <c r="O757" s="1">
        <v>0.0</v>
      </c>
      <c r="P757" s="1">
        <v>78.0</v>
      </c>
      <c r="Q757" s="1">
        <v>8.0</v>
      </c>
    </row>
    <row r="758">
      <c r="A758" s="1">
        <f t="shared" si="1"/>
        <v>756</v>
      </c>
      <c r="B758" s="1" t="s">
        <v>2743</v>
      </c>
      <c r="C758" s="1" t="s">
        <v>1570</v>
      </c>
      <c r="D758" s="1" t="s">
        <v>31</v>
      </c>
      <c r="E758" s="1">
        <f t="shared" si="2"/>
        <v>41.75</v>
      </c>
      <c r="F758" s="1">
        <f t="shared" si="3"/>
        <v>1.82</v>
      </c>
      <c r="G758" s="1">
        <v>23.0</v>
      </c>
      <c r="H758" s="1">
        <v>2.0</v>
      </c>
      <c r="I758" s="1">
        <v>2.0</v>
      </c>
      <c r="J758" s="1">
        <v>4.0</v>
      </c>
      <c r="K758" s="1">
        <v>25.0</v>
      </c>
      <c r="L758" s="1">
        <v>0.0</v>
      </c>
      <c r="M758" s="1">
        <v>0.0</v>
      </c>
      <c r="N758" s="1">
        <v>0.0</v>
      </c>
      <c r="O758" s="1">
        <v>0.0</v>
      </c>
      <c r="P758" s="1">
        <v>25.0</v>
      </c>
      <c r="Q758" s="1">
        <v>16.0</v>
      </c>
    </row>
    <row r="759">
      <c r="A759" s="1">
        <f t="shared" si="1"/>
        <v>757</v>
      </c>
      <c r="B759" s="1" t="s">
        <v>2342</v>
      </c>
      <c r="C759" s="1" t="s">
        <v>1085</v>
      </c>
      <c r="D759" s="1" t="s">
        <v>66</v>
      </c>
      <c r="E759" s="1">
        <f t="shared" si="2"/>
        <v>40.75</v>
      </c>
      <c r="F759" s="1">
        <f t="shared" si="3"/>
        <v>1.7</v>
      </c>
      <c r="G759" s="1">
        <v>24.0</v>
      </c>
      <c r="H759" s="1">
        <v>0.0</v>
      </c>
      <c r="I759" s="1">
        <v>4.0</v>
      </c>
      <c r="J759" s="1">
        <v>4.0</v>
      </c>
      <c r="K759" s="1">
        <v>28.0</v>
      </c>
      <c r="L759" s="1">
        <v>0.0</v>
      </c>
      <c r="M759" s="1">
        <v>1.0</v>
      </c>
      <c r="N759" s="1">
        <v>0.0</v>
      </c>
      <c r="O759" s="1">
        <v>0.0</v>
      </c>
      <c r="P759" s="1">
        <v>17.0</v>
      </c>
      <c r="Q759" s="1">
        <v>21.0</v>
      </c>
    </row>
    <row r="760">
      <c r="A760" s="1">
        <f t="shared" si="1"/>
        <v>758</v>
      </c>
      <c r="B760" s="1" t="s">
        <v>2348</v>
      </c>
      <c r="C760" s="1" t="s">
        <v>1116</v>
      </c>
      <c r="D760" s="1" t="s">
        <v>66</v>
      </c>
      <c r="E760" s="1">
        <f t="shared" si="2"/>
        <v>40.5</v>
      </c>
      <c r="F760" s="1">
        <f t="shared" si="3"/>
        <v>1.35</v>
      </c>
      <c r="G760" s="1">
        <v>30.0</v>
      </c>
      <c r="H760" s="1">
        <v>1.0</v>
      </c>
      <c r="I760" s="1">
        <v>3.0</v>
      </c>
      <c r="J760" s="1">
        <v>4.0</v>
      </c>
      <c r="K760" s="1">
        <v>19.0</v>
      </c>
      <c r="L760" s="1">
        <v>0.0</v>
      </c>
      <c r="M760" s="1">
        <v>0.0</v>
      </c>
      <c r="N760" s="1">
        <v>0.0</v>
      </c>
      <c r="O760" s="1">
        <v>0.0</v>
      </c>
      <c r="P760" s="1">
        <v>10.0</v>
      </c>
      <c r="Q760" s="1">
        <v>30.0</v>
      </c>
    </row>
    <row r="761">
      <c r="A761" s="1">
        <f t="shared" si="1"/>
        <v>759</v>
      </c>
      <c r="B761" s="1" t="s">
        <v>2664</v>
      </c>
      <c r="C761" s="1" t="s">
        <v>1076</v>
      </c>
      <c r="D761" s="1" t="s">
        <v>31</v>
      </c>
      <c r="E761" s="1">
        <f t="shared" si="2"/>
        <v>38.25</v>
      </c>
      <c r="F761" s="1">
        <f t="shared" si="3"/>
        <v>1.82</v>
      </c>
      <c r="G761" s="1">
        <v>21.0</v>
      </c>
      <c r="H761" s="1">
        <v>3.0</v>
      </c>
      <c r="I761" s="1">
        <v>2.0</v>
      </c>
      <c r="J761" s="1">
        <v>5.0</v>
      </c>
      <c r="K761" s="1">
        <v>19.0</v>
      </c>
      <c r="L761" s="1">
        <v>0.0</v>
      </c>
      <c r="M761" s="1">
        <v>0.0</v>
      </c>
      <c r="N761" s="1">
        <v>0.0</v>
      </c>
      <c r="O761" s="1">
        <v>0.0</v>
      </c>
      <c r="P761" s="1">
        <v>19.0</v>
      </c>
      <c r="Q761" s="1">
        <v>9.0</v>
      </c>
    </row>
    <row r="762">
      <c r="A762" s="1">
        <f t="shared" si="1"/>
        <v>760</v>
      </c>
      <c r="B762" s="1" t="s">
        <v>2615</v>
      </c>
      <c r="C762" s="1" t="s">
        <v>1030</v>
      </c>
      <c r="D762" s="1" t="s">
        <v>31</v>
      </c>
      <c r="E762" s="1">
        <f t="shared" si="2"/>
        <v>38</v>
      </c>
      <c r="F762" s="1">
        <f t="shared" si="3"/>
        <v>1.65</v>
      </c>
      <c r="G762" s="1">
        <v>23.0</v>
      </c>
      <c r="H762" s="1">
        <v>2.0</v>
      </c>
      <c r="I762" s="1">
        <v>3.0</v>
      </c>
      <c r="J762" s="1">
        <v>5.0</v>
      </c>
      <c r="K762" s="1">
        <v>22.0</v>
      </c>
      <c r="L762" s="1">
        <v>1.0</v>
      </c>
      <c r="M762" s="1">
        <v>0.0</v>
      </c>
      <c r="N762" s="1">
        <v>1.0</v>
      </c>
      <c r="O762" s="1">
        <v>0.0</v>
      </c>
      <c r="P762" s="1">
        <v>20.0</v>
      </c>
      <c r="Q762" s="1">
        <v>4.0</v>
      </c>
    </row>
    <row r="763">
      <c r="A763" s="1">
        <f t="shared" si="1"/>
        <v>761</v>
      </c>
      <c r="B763" s="1" t="s">
        <v>2319</v>
      </c>
      <c r="C763" s="1" t="s">
        <v>1156</v>
      </c>
      <c r="D763" s="1" t="s">
        <v>66</v>
      </c>
      <c r="E763" s="1">
        <f t="shared" si="2"/>
        <v>37.5</v>
      </c>
      <c r="F763" s="1">
        <f t="shared" si="3"/>
        <v>1.5</v>
      </c>
      <c r="G763" s="1">
        <v>25.0</v>
      </c>
      <c r="H763" s="1">
        <v>0.0</v>
      </c>
      <c r="I763" s="1">
        <v>5.0</v>
      </c>
      <c r="J763" s="1">
        <v>5.0</v>
      </c>
      <c r="K763" s="1">
        <v>16.0</v>
      </c>
      <c r="L763" s="1">
        <v>0.0</v>
      </c>
      <c r="M763" s="1">
        <v>0.0</v>
      </c>
      <c r="N763" s="1">
        <v>0.0</v>
      </c>
      <c r="O763" s="1">
        <v>0.0</v>
      </c>
      <c r="P763" s="1">
        <v>16.0</v>
      </c>
      <c r="Q763" s="1">
        <v>21.0</v>
      </c>
    </row>
    <row r="764">
      <c r="A764" s="1">
        <f t="shared" si="1"/>
        <v>762</v>
      </c>
      <c r="B764" s="1" t="s">
        <v>1775</v>
      </c>
      <c r="C764" s="1" t="s">
        <v>1065</v>
      </c>
      <c r="D764" s="1" t="s">
        <v>66</v>
      </c>
      <c r="E764" s="1">
        <f t="shared" si="2"/>
        <v>37</v>
      </c>
      <c r="F764" s="1">
        <f t="shared" si="3"/>
        <v>2.18</v>
      </c>
      <c r="G764" s="1">
        <v>17.0</v>
      </c>
      <c r="H764" s="1">
        <v>1.0</v>
      </c>
      <c r="I764" s="1">
        <v>4.0</v>
      </c>
      <c r="J764" s="1">
        <v>5.0</v>
      </c>
      <c r="K764" s="1">
        <v>20.0</v>
      </c>
      <c r="L764" s="1">
        <v>0.0</v>
      </c>
      <c r="M764" s="1">
        <v>3.0</v>
      </c>
      <c r="N764" s="1">
        <v>0.0</v>
      </c>
      <c r="O764" s="1">
        <v>0.0</v>
      </c>
      <c r="P764" s="1">
        <v>6.0</v>
      </c>
      <c r="Q764" s="1">
        <v>18.0</v>
      </c>
    </row>
    <row r="765">
      <c r="A765" s="1">
        <f t="shared" si="1"/>
        <v>763</v>
      </c>
      <c r="B765" s="1" t="s">
        <v>2467</v>
      </c>
      <c r="C765" s="1" t="s">
        <v>1065</v>
      </c>
      <c r="D765" s="1" t="s">
        <v>28</v>
      </c>
      <c r="E765" s="1">
        <f t="shared" si="2"/>
        <v>36.75</v>
      </c>
      <c r="F765" s="1">
        <f t="shared" si="3"/>
        <v>3.68</v>
      </c>
      <c r="G765" s="1">
        <v>10.0</v>
      </c>
      <c r="H765" s="1">
        <v>2.0</v>
      </c>
      <c r="I765" s="1">
        <v>5.0</v>
      </c>
      <c r="J765" s="1">
        <v>7.0</v>
      </c>
      <c r="K765" s="1">
        <v>9.0</v>
      </c>
      <c r="L765" s="1">
        <v>0.0</v>
      </c>
      <c r="M765" s="1">
        <v>0.0</v>
      </c>
      <c r="N765" s="1">
        <v>0.0</v>
      </c>
      <c r="O765" s="1">
        <v>0.0</v>
      </c>
      <c r="P765" s="1">
        <v>27.0</v>
      </c>
      <c r="Q765" s="1">
        <v>3.0</v>
      </c>
    </row>
    <row r="766">
      <c r="A766" s="1">
        <f t="shared" si="1"/>
        <v>764</v>
      </c>
      <c r="B766" s="1" t="s">
        <v>2744</v>
      </c>
      <c r="C766" s="1" t="s">
        <v>1570</v>
      </c>
      <c r="D766" s="1" t="s">
        <v>5</v>
      </c>
      <c r="E766" s="1">
        <f t="shared" si="2"/>
        <v>36.6</v>
      </c>
      <c r="F766" s="1">
        <f t="shared" si="3"/>
        <v>3.33</v>
      </c>
      <c r="G766" s="1">
        <v>11.0</v>
      </c>
      <c r="R766" s="1">
        <v>1.0</v>
      </c>
      <c r="S766" s="1">
        <v>34.0</v>
      </c>
      <c r="T766" s="1">
        <v>282.0</v>
      </c>
      <c r="U766" s="1">
        <v>0.0</v>
      </c>
    </row>
    <row r="767">
      <c r="A767" s="1">
        <f t="shared" si="1"/>
        <v>765</v>
      </c>
      <c r="B767" s="1" t="s">
        <v>1737</v>
      </c>
      <c r="C767" s="1" t="s">
        <v>1052</v>
      </c>
      <c r="D767" s="1" t="s">
        <v>66</v>
      </c>
      <c r="E767" s="1">
        <f t="shared" si="2"/>
        <v>36.5</v>
      </c>
      <c r="F767" s="1">
        <f t="shared" si="3"/>
        <v>2.03</v>
      </c>
      <c r="G767" s="1">
        <v>18.0</v>
      </c>
      <c r="H767" s="1">
        <v>1.0</v>
      </c>
      <c r="I767" s="1">
        <v>1.0</v>
      </c>
      <c r="J767" s="1">
        <v>2.0</v>
      </c>
      <c r="K767" s="1">
        <v>22.0</v>
      </c>
      <c r="L767" s="1">
        <v>0.0</v>
      </c>
      <c r="M767" s="1">
        <v>0.0</v>
      </c>
      <c r="N767" s="1">
        <v>0.0</v>
      </c>
      <c r="O767" s="1">
        <v>0.0</v>
      </c>
      <c r="P767" s="1">
        <v>40.0</v>
      </c>
      <c r="Q767" s="1">
        <v>16.0</v>
      </c>
    </row>
    <row r="768">
      <c r="A768" s="1">
        <f t="shared" si="1"/>
        <v>766</v>
      </c>
      <c r="B768" s="1" t="s">
        <v>2105</v>
      </c>
      <c r="C768" s="1" t="s">
        <v>1570</v>
      </c>
      <c r="D768" s="1" t="s">
        <v>66</v>
      </c>
      <c r="E768" s="1">
        <f t="shared" si="2"/>
        <v>35.75</v>
      </c>
      <c r="F768" s="1">
        <f t="shared" si="3"/>
        <v>2.55</v>
      </c>
      <c r="G768" s="1">
        <v>14.0</v>
      </c>
      <c r="H768" s="1">
        <v>0.0</v>
      </c>
      <c r="I768" s="1">
        <v>5.0</v>
      </c>
      <c r="J768" s="1">
        <v>5.0</v>
      </c>
      <c r="K768" s="1">
        <v>12.0</v>
      </c>
      <c r="L768" s="1">
        <v>0.0</v>
      </c>
      <c r="M768" s="1">
        <v>0.0</v>
      </c>
      <c r="N768" s="1">
        <v>0.0</v>
      </c>
      <c r="O768" s="1">
        <v>0.0</v>
      </c>
      <c r="P768" s="1">
        <v>27.0</v>
      </c>
      <c r="Q768" s="1">
        <v>16.0</v>
      </c>
    </row>
    <row r="769">
      <c r="A769" s="1">
        <f t="shared" si="1"/>
        <v>767</v>
      </c>
      <c r="B769" s="1" t="s">
        <v>1880</v>
      </c>
      <c r="C769" s="1" t="s">
        <v>1085</v>
      </c>
      <c r="D769" s="1" t="s">
        <v>36</v>
      </c>
      <c r="E769" s="1">
        <f t="shared" si="2"/>
        <v>35.25</v>
      </c>
      <c r="F769" s="1">
        <f t="shared" si="3"/>
        <v>1.68</v>
      </c>
      <c r="G769" s="1">
        <v>21.0</v>
      </c>
      <c r="H769" s="1">
        <v>1.0</v>
      </c>
      <c r="I769" s="1">
        <v>3.0</v>
      </c>
      <c r="J769" s="1">
        <v>4.0</v>
      </c>
      <c r="K769" s="1">
        <v>23.0</v>
      </c>
      <c r="L769" s="1">
        <v>0.0</v>
      </c>
      <c r="M769" s="1">
        <v>1.0</v>
      </c>
      <c r="N769" s="1">
        <v>0.0</v>
      </c>
      <c r="O769" s="1">
        <v>0.0</v>
      </c>
      <c r="P769" s="1">
        <v>23.0</v>
      </c>
      <c r="Q769" s="1">
        <v>9.0</v>
      </c>
    </row>
    <row r="770">
      <c r="A770" s="1">
        <f t="shared" si="1"/>
        <v>768</v>
      </c>
      <c r="B770" s="1" t="s">
        <v>1996</v>
      </c>
      <c r="C770" s="1" t="s">
        <v>1032</v>
      </c>
      <c r="D770" s="1" t="s">
        <v>5</v>
      </c>
      <c r="E770" s="1">
        <f t="shared" si="2"/>
        <v>35.1</v>
      </c>
      <c r="F770" s="1">
        <f t="shared" si="3"/>
        <v>3.9</v>
      </c>
      <c r="G770" s="1">
        <v>9.0</v>
      </c>
      <c r="R770" s="1">
        <v>3.0</v>
      </c>
      <c r="S770" s="1">
        <v>27.0</v>
      </c>
      <c r="T770" s="1">
        <v>212.0</v>
      </c>
      <c r="U770" s="1">
        <v>1.0</v>
      </c>
    </row>
    <row r="771">
      <c r="A771" s="1">
        <f t="shared" si="1"/>
        <v>769</v>
      </c>
      <c r="B771" s="1" t="s">
        <v>2249</v>
      </c>
      <c r="C771" s="1" t="s">
        <v>1120</v>
      </c>
      <c r="D771" s="1" t="s">
        <v>28</v>
      </c>
      <c r="E771" s="1">
        <f t="shared" si="2"/>
        <v>34.75</v>
      </c>
      <c r="F771" s="1">
        <f t="shared" si="3"/>
        <v>3.48</v>
      </c>
      <c r="G771" s="1">
        <v>10.0</v>
      </c>
      <c r="H771" s="1">
        <v>1.0</v>
      </c>
      <c r="I771" s="1">
        <v>6.0</v>
      </c>
      <c r="J771" s="1">
        <v>7.0</v>
      </c>
      <c r="K771" s="1">
        <v>15.0</v>
      </c>
      <c r="L771" s="1">
        <v>0.0</v>
      </c>
      <c r="M771" s="1">
        <v>1.0</v>
      </c>
      <c r="N771" s="1">
        <v>0.0</v>
      </c>
      <c r="O771" s="1">
        <v>0.0</v>
      </c>
      <c r="P771" s="1">
        <v>1.0</v>
      </c>
      <c r="Q771" s="1">
        <v>9.0</v>
      </c>
    </row>
    <row r="772">
      <c r="A772" s="1">
        <f t="shared" si="1"/>
        <v>770</v>
      </c>
      <c r="B772" s="1" t="s">
        <v>1966</v>
      </c>
      <c r="C772" s="1" t="s">
        <v>1091</v>
      </c>
      <c r="D772" s="1" t="s">
        <v>66</v>
      </c>
      <c r="E772" s="1">
        <f t="shared" si="2"/>
        <v>34.5</v>
      </c>
      <c r="F772" s="1">
        <f t="shared" si="3"/>
        <v>1.64</v>
      </c>
      <c r="G772" s="1">
        <v>21.0</v>
      </c>
      <c r="H772" s="1">
        <v>1.0</v>
      </c>
      <c r="I772" s="1">
        <v>1.0</v>
      </c>
      <c r="J772" s="1">
        <v>2.0</v>
      </c>
      <c r="K772" s="1">
        <v>25.0</v>
      </c>
      <c r="L772" s="1">
        <v>0.0</v>
      </c>
      <c r="M772" s="1">
        <v>0.0</v>
      </c>
      <c r="N772" s="1">
        <v>0.0</v>
      </c>
      <c r="O772" s="1">
        <v>0.0</v>
      </c>
      <c r="P772" s="1">
        <v>42.0</v>
      </c>
      <c r="Q772" s="1">
        <v>8.0</v>
      </c>
    </row>
    <row r="773">
      <c r="A773" s="1">
        <f t="shared" si="1"/>
        <v>770</v>
      </c>
      <c r="B773" s="1" t="s">
        <v>2745</v>
      </c>
      <c r="C773" s="1" t="s">
        <v>1570</v>
      </c>
      <c r="D773" s="1" t="s">
        <v>28</v>
      </c>
      <c r="E773" s="1">
        <f t="shared" si="2"/>
        <v>34.5</v>
      </c>
      <c r="F773" s="1">
        <f t="shared" si="3"/>
        <v>1.33</v>
      </c>
      <c r="G773" s="1">
        <v>26.0</v>
      </c>
      <c r="H773" s="1">
        <v>0.0</v>
      </c>
      <c r="I773" s="1">
        <v>3.0</v>
      </c>
      <c r="J773" s="1">
        <v>3.0</v>
      </c>
      <c r="K773" s="1">
        <v>23.0</v>
      </c>
      <c r="L773" s="1">
        <v>0.0</v>
      </c>
      <c r="M773" s="1">
        <v>0.0</v>
      </c>
      <c r="N773" s="1">
        <v>0.0</v>
      </c>
      <c r="O773" s="1">
        <v>0.0</v>
      </c>
      <c r="P773" s="1">
        <v>40.0</v>
      </c>
      <c r="Q773" s="1">
        <v>8.0</v>
      </c>
    </row>
    <row r="774">
      <c r="A774" s="1">
        <f t="shared" si="1"/>
        <v>772</v>
      </c>
      <c r="B774" s="1" t="s">
        <v>2746</v>
      </c>
      <c r="C774" s="1" t="s">
        <v>1570</v>
      </c>
      <c r="D774" s="1" t="s">
        <v>31</v>
      </c>
      <c r="E774" s="1">
        <f t="shared" si="2"/>
        <v>34.25</v>
      </c>
      <c r="F774" s="1">
        <f t="shared" si="3"/>
        <v>2.45</v>
      </c>
      <c r="G774" s="1">
        <v>14.0</v>
      </c>
      <c r="H774" s="1">
        <v>1.0</v>
      </c>
      <c r="I774" s="1">
        <v>3.0</v>
      </c>
      <c r="J774" s="1">
        <v>4.0</v>
      </c>
      <c r="K774" s="1">
        <v>18.0</v>
      </c>
      <c r="L774" s="1">
        <v>0.0</v>
      </c>
      <c r="M774" s="1">
        <v>0.0</v>
      </c>
      <c r="N774" s="1">
        <v>0.0</v>
      </c>
      <c r="O774" s="1">
        <v>0.0</v>
      </c>
      <c r="P774" s="1">
        <v>35.0</v>
      </c>
      <c r="Q774" s="1">
        <v>6.0</v>
      </c>
    </row>
    <row r="775">
      <c r="A775" s="1">
        <f t="shared" si="1"/>
        <v>773</v>
      </c>
      <c r="B775" s="1" t="s">
        <v>2679</v>
      </c>
      <c r="C775" s="1" t="s">
        <v>1175</v>
      </c>
      <c r="D775" s="1" t="s">
        <v>66</v>
      </c>
      <c r="E775" s="1">
        <f t="shared" si="2"/>
        <v>33.5</v>
      </c>
      <c r="F775" s="1">
        <f t="shared" si="3"/>
        <v>1.68</v>
      </c>
      <c r="G775" s="1">
        <v>20.0</v>
      </c>
      <c r="H775" s="1">
        <v>1.0</v>
      </c>
      <c r="I775" s="1">
        <v>1.0</v>
      </c>
      <c r="J775" s="1">
        <v>2.0</v>
      </c>
      <c r="K775" s="1">
        <v>14.0</v>
      </c>
      <c r="L775" s="1">
        <v>0.0</v>
      </c>
      <c r="M775" s="1">
        <v>0.0</v>
      </c>
      <c r="N775" s="1">
        <v>0.0</v>
      </c>
      <c r="O775" s="1">
        <v>0.0</v>
      </c>
      <c r="P775" s="1">
        <v>36.0</v>
      </c>
      <c r="Q775" s="1">
        <v>20.0</v>
      </c>
    </row>
    <row r="776">
      <c r="A776" s="1">
        <f t="shared" si="1"/>
        <v>774</v>
      </c>
      <c r="B776" s="1" t="s">
        <v>2747</v>
      </c>
      <c r="C776" s="1" t="s">
        <v>1048</v>
      </c>
      <c r="D776" s="1" t="s">
        <v>66</v>
      </c>
      <c r="E776" s="1">
        <f t="shared" si="2"/>
        <v>31.75</v>
      </c>
      <c r="F776" s="1">
        <f t="shared" si="3"/>
        <v>1.67</v>
      </c>
      <c r="G776" s="1">
        <v>19.0</v>
      </c>
      <c r="H776" s="1">
        <v>1.0</v>
      </c>
      <c r="I776" s="1">
        <v>1.0</v>
      </c>
      <c r="J776" s="1">
        <v>2.0</v>
      </c>
      <c r="K776" s="1">
        <v>15.0</v>
      </c>
      <c r="L776" s="1">
        <v>0.0</v>
      </c>
      <c r="M776" s="1">
        <v>0.0</v>
      </c>
      <c r="N776" s="1">
        <v>0.0</v>
      </c>
      <c r="O776" s="1">
        <v>0.0</v>
      </c>
      <c r="P776" s="1">
        <v>41.0</v>
      </c>
      <c r="Q776" s="1">
        <v>13.0</v>
      </c>
    </row>
    <row r="777">
      <c r="A777" s="1">
        <f t="shared" si="1"/>
        <v>774</v>
      </c>
      <c r="B777" s="1" t="s">
        <v>2546</v>
      </c>
      <c r="C777" s="1" t="s">
        <v>1570</v>
      </c>
      <c r="D777" s="1" t="s">
        <v>31</v>
      </c>
      <c r="E777" s="1">
        <f t="shared" si="2"/>
        <v>31.75</v>
      </c>
      <c r="F777" s="1">
        <f t="shared" si="3"/>
        <v>1.38</v>
      </c>
      <c r="G777" s="1">
        <v>23.0</v>
      </c>
      <c r="H777" s="1">
        <v>1.0</v>
      </c>
      <c r="I777" s="1">
        <v>2.0</v>
      </c>
      <c r="J777" s="1">
        <v>3.0</v>
      </c>
      <c r="K777" s="1">
        <v>11.0</v>
      </c>
      <c r="L777" s="1">
        <v>0.0</v>
      </c>
      <c r="M777" s="1">
        <v>0.0</v>
      </c>
      <c r="N777" s="1">
        <v>0.0</v>
      </c>
      <c r="O777" s="1">
        <v>0.0</v>
      </c>
      <c r="P777" s="1">
        <v>47.0</v>
      </c>
      <c r="Q777" s="1">
        <v>8.0</v>
      </c>
    </row>
    <row r="778">
      <c r="A778" s="1">
        <f t="shared" si="1"/>
        <v>774</v>
      </c>
      <c r="B778" s="1" t="s">
        <v>1779</v>
      </c>
      <c r="C778" s="1" t="s">
        <v>1069</v>
      </c>
      <c r="D778" s="1" t="s">
        <v>31</v>
      </c>
      <c r="E778" s="1">
        <f t="shared" si="2"/>
        <v>31.75</v>
      </c>
      <c r="F778" s="1">
        <f t="shared" si="3"/>
        <v>1.27</v>
      </c>
      <c r="G778" s="1">
        <v>25.0</v>
      </c>
      <c r="H778" s="1">
        <v>1.0</v>
      </c>
      <c r="I778" s="1">
        <v>4.0</v>
      </c>
      <c r="J778" s="1">
        <v>5.0</v>
      </c>
      <c r="K778" s="1">
        <v>22.0</v>
      </c>
      <c r="L778" s="1">
        <v>0.0</v>
      </c>
      <c r="M778" s="1">
        <v>0.0</v>
      </c>
      <c r="N778" s="1">
        <v>0.0</v>
      </c>
      <c r="O778" s="1">
        <v>0.0</v>
      </c>
      <c r="P778" s="1">
        <v>11.0</v>
      </c>
      <c r="Q778" s="1">
        <v>3.0</v>
      </c>
    </row>
    <row r="779">
      <c r="A779" s="1">
        <f t="shared" si="1"/>
        <v>774</v>
      </c>
      <c r="B779" s="1" t="s">
        <v>1573</v>
      </c>
      <c r="C779" s="1" t="s">
        <v>1076</v>
      </c>
      <c r="D779" s="1" t="s">
        <v>31</v>
      </c>
      <c r="E779" s="1">
        <f t="shared" si="2"/>
        <v>31.75</v>
      </c>
      <c r="F779" s="1">
        <f t="shared" si="3"/>
        <v>1.51</v>
      </c>
      <c r="G779" s="1">
        <v>21.0</v>
      </c>
      <c r="H779" s="1">
        <v>0.0</v>
      </c>
      <c r="I779" s="1">
        <v>3.0</v>
      </c>
      <c r="J779" s="1">
        <v>3.0</v>
      </c>
      <c r="K779" s="1">
        <v>21.0</v>
      </c>
      <c r="L779" s="1">
        <v>0.0</v>
      </c>
      <c r="M779" s="1">
        <v>0.0</v>
      </c>
      <c r="N779" s="1">
        <v>0.0</v>
      </c>
      <c r="O779" s="1">
        <v>0.0</v>
      </c>
      <c r="P779" s="1">
        <v>41.0</v>
      </c>
      <c r="Q779" s="1">
        <v>4.0</v>
      </c>
    </row>
    <row r="780">
      <c r="A780" s="1">
        <f t="shared" si="1"/>
        <v>778</v>
      </c>
      <c r="B780" s="1" t="s">
        <v>1224</v>
      </c>
      <c r="C780" s="1" t="s">
        <v>1044</v>
      </c>
      <c r="D780" s="1" t="s">
        <v>28</v>
      </c>
      <c r="E780" s="1">
        <f t="shared" si="2"/>
        <v>31.5</v>
      </c>
      <c r="F780" s="1">
        <f t="shared" si="3"/>
        <v>1.58</v>
      </c>
      <c r="G780" s="1">
        <v>20.0</v>
      </c>
      <c r="H780" s="1">
        <v>1.0</v>
      </c>
      <c r="I780" s="1">
        <v>1.0</v>
      </c>
      <c r="J780" s="1">
        <v>2.0</v>
      </c>
      <c r="K780" s="1">
        <v>30.0</v>
      </c>
      <c r="L780" s="1">
        <v>0.0</v>
      </c>
      <c r="M780" s="1">
        <v>0.0</v>
      </c>
      <c r="N780" s="1">
        <v>0.0</v>
      </c>
      <c r="O780" s="1">
        <v>0.0</v>
      </c>
      <c r="P780" s="1">
        <v>28.0</v>
      </c>
      <c r="Q780" s="1">
        <v>4.0</v>
      </c>
    </row>
    <row r="781">
      <c r="A781" s="1">
        <f t="shared" si="1"/>
        <v>779</v>
      </c>
      <c r="B781" s="1" t="s">
        <v>1713</v>
      </c>
      <c r="C781" s="1" t="s">
        <v>1087</v>
      </c>
      <c r="D781" s="1" t="s">
        <v>28</v>
      </c>
      <c r="E781" s="1">
        <f t="shared" si="2"/>
        <v>30.75</v>
      </c>
      <c r="F781" s="1">
        <f t="shared" si="3"/>
        <v>1.81</v>
      </c>
      <c r="G781" s="1">
        <v>17.0</v>
      </c>
      <c r="H781" s="1">
        <v>1.0</v>
      </c>
      <c r="I781" s="1">
        <v>3.0</v>
      </c>
      <c r="J781" s="1">
        <v>4.0</v>
      </c>
      <c r="K781" s="1">
        <v>12.0</v>
      </c>
      <c r="L781" s="1">
        <v>0.0</v>
      </c>
      <c r="M781" s="1">
        <v>0.0</v>
      </c>
      <c r="N781" s="1">
        <v>0.0</v>
      </c>
      <c r="O781" s="1">
        <v>0.0</v>
      </c>
      <c r="P781" s="1">
        <v>43.0</v>
      </c>
      <c r="Q781" s="1">
        <v>1.0</v>
      </c>
    </row>
    <row r="782">
      <c r="A782" s="1">
        <f t="shared" si="1"/>
        <v>779</v>
      </c>
      <c r="B782" s="1" t="s">
        <v>2380</v>
      </c>
      <c r="C782" s="1" t="s">
        <v>1073</v>
      </c>
      <c r="D782" s="1" t="s">
        <v>31</v>
      </c>
      <c r="E782" s="1">
        <f t="shared" si="2"/>
        <v>30.75</v>
      </c>
      <c r="F782" s="1">
        <f t="shared" si="3"/>
        <v>1.54</v>
      </c>
      <c r="G782" s="1">
        <v>20.0</v>
      </c>
      <c r="H782" s="1">
        <v>1.0</v>
      </c>
      <c r="I782" s="1">
        <v>2.0</v>
      </c>
      <c r="J782" s="1">
        <v>3.0</v>
      </c>
      <c r="K782" s="1">
        <v>16.0</v>
      </c>
      <c r="L782" s="1">
        <v>0.0</v>
      </c>
      <c r="M782" s="1">
        <v>0.0</v>
      </c>
      <c r="N782" s="1">
        <v>0.0</v>
      </c>
      <c r="O782" s="1">
        <v>0.0</v>
      </c>
      <c r="P782" s="1">
        <v>39.0</v>
      </c>
      <c r="Q782" s="1">
        <v>5.0</v>
      </c>
    </row>
    <row r="783">
      <c r="A783" s="1">
        <f t="shared" si="1"/>
        <v>781</v>
      </c>
      <c r="B783" s="1" t="s">
        <v>2131</v>
      </c>
      <c r="C783" s="1" t="s">
        <v>1038</v>
      </c>
      <c r="D783" s="1" t="s">
        <v>31</v>
      </c>
      <c r="E783" s="1">
        <f t="shared" si="2"/>
        <v>30.5</v>
      </c>
      <c r="F783" s="1">
        <f t="shared" si="3"/>
        <v>2.77</v>
      </c>
      <c r="G783" s="1">
        <v>11.0</v>
      </c>
      <c r="H783" s="1">
        <v>3.0</v>
      </c>
      <c r="I783" s="1">
        <v>2.0</v>
      </c>
      <c r="J783" s="1">
        <v>5.0</v>
      </c>
      <c r="K783" s="1">
        <v>15.0</v>
      </c>
      <c r="L783" s="1">
        <v>0.0</v>
      </c>
      <c r="M783" s="1">
        <v>0.0</v>
      </c>
      <c r="N783" s="1">
        <v>0.0</v>
      </c>
      <c r="O783" s="1">
        <v>0.0</v>
      </c>
      <c r="P783" s="1">
        <v>6.0</v>
      </c>
      <c r="Q783" s="1">
        <v>4.0</v>
      </c>
    </row>
    <row r="784">
      <c r="A784" s="1">
        <f t="shared" si="1"/>
        <v>781</v>
      </c>
      <c r="B784" s="1" t="s">
        <v>1388</v>
      </c>
      <c r="C784" s="1" t="s">
        <v>1038</v>
      </c>
      <c r="D784" s="1" t="s">
        <v>66</v>
      </c>
      <c r="E784" s="1">
        <f t="shared" si="2"/>
        <v>30.5</v>
      </c>
      <c r="F784" s="1">
        <f t="shared" si="3"/>
        <v>1.61</v>
      </c>
      <c r="G784" s="1">
        <v>19.0</v>
      </c>
      <c r="H784" s="1">
        <v>0.0</v>
      </c>
      <c r="I784" s="1">
        <v>1.0</v>
      </c>
      <c r="J784" s="1">
        <v>1.0</v>
      </c>
      <c r="K784" s="1">
        <v>22.0</v>
      </c>
      <c r="L784" s="1">
        <v>0.0</v>
      </c>
      <c r="M784" s="1">
        <v>0.0</v>
      </c>
      <c r="N784" s="1">
        <v>0.0</v>
      </c>
      <c r="O784" s="1">
        <v>0.0</v>
      </c>
      <c r="P784" s="1">
        <v>40.0</v>
      </c>
      <c r="Q784" s="1">
        <v>13.0</v>
      </c>
    </row>
    <row r="785">
      <c r="A785" s="1">
        <f t="shared" si="1"/>
        <v>783</v>
      </c>
      <c r="B785" s="1" t="s">
        <v>2748</v>
      </c>
      <c r="C785" s="1" t="s">
        <v>1106</v>
      </c>
      <c r="D785" s="1" t="s">
        <v>66</v>
      </c>
      <c r="E785" s="1">
        <f t="shared" si="2"/>
        <v>30</v>
      </c>
      <c r="F785" s="1">
        <f t="shared" si="3"/>
        <v>1.5</v>
      </c>
      <c r="G785" s="1">
        <v>20.0</v>
      </c>
      <c r="H785" s="1">
        <v>0.0</v>
      </c>
      <c r="I785" s="1">
        <v>1.0</v>
      </c>
      <c r="J785" s="1">
        <v>1.0</v>
      </c>
      <c r="K785" s="1">
        <v>7.0</v>
      </c>
      <c r="L785" s="1">
        <v>0.0</v>
      </c>
      <c r="M785" s="1">
        <v>0.0</v>
      </c>
      <c r="N785" s="1">
        <v>0.0</v>
      </c>
      <c r="O785" s="1">
        <v>1.0</v>
      </c>
      <c r="P785" s="1">
        <v>54.0</v>
      </c>
      <c r="Q785" s="1">
        <v>16.0</v>
      </c>
    </row>
    <row r="786">
      <c r="A786" s="1">
        <f t="shared" si="1"/>
        <v>784</v>
      </c>
      <c r="B786" s="1" t="s">
        <v>1627</v>
      </c>
      <c r="C786" s="1" t="s">
        <v>1175</v>
      </c>
      <c r="D786" s="1" t="s">
        <v>36</v>
      </c>
      <c r="E786" s="1">
        <f t="shared" si="2"/>
        <v>29.75</v>
      </c>
      <c r="F786" s="1">
        <f t="shared" si="3"/>
        <v>2.29</v>
      </c>
      <c r="G786" s="1">
        <v>13.0</v>
      </c>
      <c r="H786" s="1">
        <v>2.0</v>
      </c>
      <c r="I786" s="1">
        <v>1.0</v>
      </c>
      <c r="J786" s="1">
        <v>3.0</v>
      </c>
      <c r="K786" s="1">
        <v>17.0</v>
      </c>
      <c r="L786" s="1">
        <v>0.0</v>
      </c>
      <c r="M786" s="1">
        <v>0.0</v>
      </c>
      <c r="N786" s="1">
        <v>0.0</v>
      </c>
      <c r="O786" s="1">
        <v>0.0</v>
      </c>
      <c r="P786" s="1">
        <v>23.0</v>
      </c>
      <c r="Q786" s="1">
        <v>7.0</v>
      </c>
    </row>
    <row r="787">
      <c r="A787" s="1">
        <f t="shared" si="1"/>
        <v>784</v>
      </c>
      <c r="B787" s="1" t="s">
        <v>2749</v>
      </c>
      <c r="C787" s="1" t="s">
        <v>1570</v>
      </c>
      <c r="D787" s="1" t="s">
        <v>31</v>
      </c>
      <c r="E787" s="1">
        <f t="shared" si="2"/>
        <v>29.75</v>
      </c>
      <c r="F787" s="1">
        <f t="shared" si="3"/>
        <v>1.29</v>
      </c>
      <c r="G787" s="1">
        <v>23.0</v>
      </c>
      <c r="H787" s="1">
        <v>1.0</v>
      </c>
      <c r="I787" s="1">
        <v>3.0</v>
      </c>
      <c r="J787" s="1">
        <v>4.0</v>
      </c>
      <c r="K787" s="1">
        <v>15.0</v>
      </c>
      <c r="L787" s="1">
        <v>0.0</v>
      </c>
      <c r="M787" s="1">
        <v>0.0</v>
      </c>
      <c r="N787" s="1">
        <v>0.0</v>
      </c>
      <c r="O787" s="1">
        <v>0.0</v>
      </c>
      <c r="P787" s="1">
        <v>9.0</v>
      </c>
      <c r="Q787" s="1">
        <v>13.0</v>
      </c>
    </row>
    <row r="788">
      <c r="A788" s="1">
        <f t="shared" si="1"/>
        <v>784</v>
      </c>
      <c r="B788" s="1" t="s">
        <v>2750</v>
      </c>
      <c r="C788" s="1" t="s">
        <v>1570</v>
      </c>
      <c r="D788" s="1" t="s">
        <v>31</v>
      </c>
      <c r="E788" s="1">
        <f t="shared" si="2"/>
        <v>29.75</v>
      </c>
      <c r="F788" s="1">
        <f t="shared" si="3"/>
        <v>1.1</v>
      </c>
      <c r="G788" s="1">
        <v>27.0</v>
      </c>
      <c r="H788" s="1">
        <v>1.0</v>
      </c>
      <c r="I788" s="1">
        <v>2.0</v>
      </c>
      <c r="J788" s="1">
        <v>3.0</v>
      </c>
      <c r="K788" s="1">
        <v>17.0</v>
      </c>
      <c r="L788" s="1">
        <v>0.0</v>
      </c>
      <c r="M788" s="1">
        <v>0.0</v>
      </c>
      <c r="N788" s="1">
        <v>0.0</v>
      </c>
      <c r="O788" s="1">
        <v>0.0</v>
      </c>
      <c r="P788" s="1">
        <v>29.0</v>
      </c>
      <c r="Q788" s="1">
        <v>7.0</v>
      </c>
    </row>
    <row r="789">
      <c r="A789" s="1">
        <f t="shared" si="1"/>
        <v>784</v>
      </c>
      <c r="B789" s="1" t="s">
        <v>2652</v>
      </c>
      <c r="C789" s="1" t="s">
        <v>1067</v>
      </c>
      <c r="D789" s="1" t="s">
        <v>28</v>
      </c>
      <c r="E789" s="1">
        <f t="shared" si="2"/>
        <v>29.75</v>
      </c>
      <c r="F789" s="1">
        <f t="shared" si="3"/>
        <v>1.98</v>
      </c>
      <c r="G789" s="1">
        <v>15.0</v>
      </c>
      <c r="H789" s="1">
        <v>0.0</v>
      </c>
      <c r="I789" s="1">
        <v>3.0</v>
      </c>
      <c r="J789" s="1">
        <v>3.0</v>
      </c>
      <c r="K789" s="1">
        <v>25.0</v>
      </c>
      <c r="L789" s="1">
        <v>0.0</v>
      </c>
      <c r="M789" s="1">
        <v>0.0</v>
      </c>
      <c r="N789" s="1">
        <v>0.0</v>
      </c>
      <c r="O789" s="1">
        <v>0.0</v>
      </c>
      <c r="P789" s="1">
        <v>29.0</v>
      </c>
      <c r="Q789" s="1">
        <v>2.0</v>
      </c>
    </row>
    <row r="790">
      <c r="A790" s="1">
        <f t="shared" si="1"/>
        <v>788</v>
      </c>
      <c r="B790" s="1" t="s">
        <v>2751</v>
      </c>
      <c r="C790" s="1" t="s">
        <v>1065</v>
      </c>
      <c r="D790" s="1" t="s">
        <v>5</v>
      </c>
      <c r="E790" s="1">
        <f t="shared" si="2"/>
        <v>29.7</v>
      </c>
      <c r="F790" s="1">
        <f t="shared" si="3"/>
        <v>5.94</v>
      </c>
      <c r="G790" s="1">
        <v>5.0</v>
      </c>
      <c r="R790" s="1">
        <v>1.0</v>
      </c>
      <c r="S790" s="1">
        <v>10.0</v>
      </c>
      <c r="T790" s="1">
        <v>129.0</v>
      </c>
      <c r="U790" s="1">
        <v>1.0</v>
      </c>
    </row>
    <row r="791">
      <c r="A791" s="1">
        <f t="shared" si="1"/>
        <v>789</v>
      </c>
      <c r="B791" s="1" t="s">
        <v>2649</v>
      </c>
      <c r="C791" s="1" t="s">
        <v>1069</v>
      </c>
      <c r="D791" s="1" t="s">
        <v>31</v>
      </c>
      <c r="E791" s="1">
        <f t="shared" si="2"/>
        <v>29.5</v>
      </c>
      <c r="F791" s="1">
        <f t="shared" si="3"/>
        <v>2.27</v>
      </c>
      <c r="G791" s="1">
        <v>13.0</v>
      </c>
      <c r="H791" s="1">
        <v>3.0</v>
      </c>
      <c r="I791" s="1">
        <v>2.0</v>
      </c>
      <c r="J791" s="1">
        <v>5.0</v>
      </c>
      <c r="K791" s="1">
        <v>11.0</v>
      </c>
      <c r="L791" s="1">
        <v>1.0</v>
      </c>
      <c r="M791" s="1">
        <v>0.0</v>
      </c>
      <c r="N791" s="1">
        <v>0.0</v>
      </c>
      <c r="O791" s="1">
        <v>0.0</v>
      </c>
      <c r="P791" s="1">
        <v>14.0</v>
      </c>
      <c r="Q791" s="1">
        <v>2.0</v>
      </c>
    </row>
    <row r="792">
      <c r="A792" s="1">
        <f t="shared" si="1"/>
        <v>790</v>
      </c>
      <c r="B792" s="1" t="s">
        <v>2516</v>
      </c>
      <c r="C792" s="1" t="s">
        <v>1085</v>
      </c>
      <c r="D792" s="1" t="s">
        <v>31</v>
      </c>
      <c r="E792" s="1">
        <f t="shared" si="2"/>
        <v>28.5</v>
      </c>
      <c r="F792" s="1">
        <f t="shared" si="3"/>
        <v>1.58</v>
      </c>
      <c r="G792" s="1">
        <v>18.0</v>
      </c>
      <c r="H792" s="1">
        <v>2.0</v>
      </c>
      <c r="I792" s="1">
        <v>0.0</v>
      </c>
      <c r="J792" s="1">
        <v>2.0</v>
      </c>
      <c r="K792" s="1">
        <v>24.0</v>
      </c>
      <c r="L792" s="1">
        <v>1.0</v>
      </c>
      <c r="M792" s="1">
        <v>0.0</v>
      </c>
      <c r="N792" s="1">
        <v>0.0</v>
      </c>
      <c r="O792" s="1">
        <v>0.0</v>
      </c>
      <c r="P792" s="1">
        <v>22.0</v>
      </c>
      <c r="Q792" s="1">
        <v>4.0</v>
      </c>
    </row>
    <row r="793">
      <c r="A793" s="1">
        <f t="shared" si="1"/>
        <v>790</v>
      </c>
      <c r="B793" s="1" t="s">
        <v>2752</v>
      </c>
      <c r="C793" s="1" t="s">
        <v>1570</v>
      </c>
      <c r="D793" s="1" t="s">
        <v>36</v>
      </c>
      <c r="E793" s="1">
        <f t="shared" si="2"/>
        <v>28.5</v>
      </c>
      <c r="F793" s="1">
        <f t="shared" si="3"/>
        <v>1.68</v>
      </c>
      <c r="G793" s="1">
        <v>17.0</v>
      </c>
      <c r="H793" s="1">
        <v>1.0</v>
      </c>
      <c r="I793" s="1">
        <v>3.0</v>
      </c>
      <c r="J793" s="1">
        <v>4.0</v>
      </c>
      <c r="K793" s="1">
        <v>22.0</v>
      </c>
      <c r="L793" s="1">
        <v>0.0</v>
      </c>
      <c r="M793" s="1">
        <v>2.0</v>
      </c>
      <c r="N793" s="1">
        <v>0.0</v>
      </c>
      <c r="O793" s="1">
        <v>0.0</v>
      </c>
      <c r="P793" s="1">
        <v>6.0</v>
      </c>
      <c r="Q793" s="1">
        <v>5.0</v>
      </c>
    </row>
    <row r="794">
      <c r="A794" s="1">
        <f t="shared" si="1"/>
        <v>792</v>
      </c>
      <c r="B794" s="1" t="s">
        <v>1810</v>
      </c>
      <c r="C794" s="1" t="s">
        <v>1073</v>
      </c>
      <c r="D794" s="1" t="s">
        <v>66</v>
      </c>
      <c r="E794" s="1">
        <f t="shared" si="2"/>
        <v>28.25</v>
      </c>
      <c r="F794" s="1">
        <f t="shared" si="3"/>
        <v>1.41</v>
      </c>
      <c r="G794" s="1">
        <v>20.0</v>
      </c>
      <c r="H794" s="1">
        <v>0.0</v>
      </c>
      <c r="I794" s="1">
        <v>1.0</v>
      </c>
      <c r="J794" s="1">
        <v>1.0</v>
      </c>
      <c r="K794" s="1">
        <v>17.0</v>
      </c>
      <c r="L794" s="1">
        <v>0.0</v>
      </c>
      <c r="M794" s="1">
        <v>0.0</v>
      </c>
      <c r="N794" s="1">
        <v>0.0</v>
      </c>
      <c r="O794" s="1">
        <v>0.0</v>
      </c>
      <c r="P794" s="1">
        <v>25.0</v>
      </c>
      <c r="Q794" s="1">
        <v>21.0</v>
      </c>
    </row>
    <row r="795">
      <c r="A795" s="1">
        <f t="shared" si="1"/>
        <v>792</v>
      </c>
      <c r="B795" s="1" t="s">
        <v>2690</v>
      </c>
      <c r="C795" s="1" t="s">
        <v>1046</v>
      </c>
      <c r="D795" s="1" t="s">
        <v>66</v>
      </c>
      <c r="E795" s="1">
        <f t="shared" si="2"/>
        <v>28.25</v>
      </c>
      <c r="F795" s="1">
        <f t="shared" si="3"/>
        <v>1.66</v>
      </c>
      <c r="G795" s="1">
        <v>17.0</v>
      </c>
      <c r="H795" s="1">
        <v>0.0</v>
      </c>
      <c r="I795" s="1">
        <v>1.0</v>
      </c>
      <c r="J795" s="1">
        <v>1.0</v>
      </c>
      <c r="K795" s="1">
        <v>21.0</v>
      </c>
      <c r="L795" s="1">
        <v>0.0</v>
      </c>
      <c r="M795" s="1">
        <v>0.0</v>
      </c>
      <c r="N795" s="1">
        <v>0.0</v>
      </c>
      <c r="O795" s="1">
        <v>0.0</v>
      </c>
      <c r="P795" s="1">
        <v>25.0</v>
      </c>
      <c r="Q795" s="1">
        <v>17.0</v>
      </c>
    </row>
    <row r="796">
      <c r="A796" s="1">
        <f t="shared" si="1"/>
        <v>794</v>
      </c>
      <c r="B796" s="1" t="s">
        <v>2148</v>
      </c>
      <c r="C796" s="1" t="s">
        <v>1038</v>
      </c>
      <c r="D796" s="1" t="s">
        <v>31</v>
      </c>
      <c r="E796" s="1">
        <f t="shared" si="2"/>
        <v>27.75</v>
      </c>
      <c r="F796" s="1">
        <f t="shared" si="3"/>
        <v>1.39</v>
      </c>
      <c r="G796" s="1">
        <v>20.0</v>
      </c>
      <c r="H796" s="1">
        <v>1.0</v>
      </c>
      <c r="I796" s="1">
        <v>2.0</v>
      </c>
      <c r="J796" s="1">
        <v>3.0</v>
      </c>
      <c r="K796" s="1">
        <v>18.0</v>
      </c>
      <c r="L796" s="1">
        <v>0.0</v>
      </c>
      <c r="M796" s="1">
        <v>0.0</v>
      </c>
      <c r="N796" s="1">
        <v>0.0</v>
      </c>
      <c r="O796" s="1">
        <v>0.0</v>
      </c>
      <c r="P796" s="1">
        <v>9.0</v>
      </c>
      <c r="Q796" s="1">
        <v>12.0</v>
      </c>
    </row>
    <row r="797">
      <c r="A797" s="1">
        <f t="shared" si="1"/>
        <v>795</v>
      </c>
      <c r="B797" s="1" t="s">
        <v>1704</v>
      </c>
      <c r="C797" s="1" t="s">
        <v>1067</v>
      </c>
      <c r="D797" s="1" t="s">
        <v>36</v>
      </c>
      <c r="E797" s="1">
        <f t="shared" si="2"/>
        <v>27.5</v>
      </c>
      <c r="F797" s="1">
        <f t="shared" si="3"/>
        <v>4.58</v>
      </c>
      <c r="G797" s="1">
        <v>6.0</v>
      </c>
      <c r="H797" s="1">
        <v>2.0</v>
      </c>
      <c r="I797" s="1">
        <v>2.0</v>
      </c>
      <c r="J797" s="1">
        <v>4.0</v>
      </c>
      <c r="K797" s="1">
        <v>21.0</v>
      </c>
      <c r="L797" s="1">
        <v>2.0</v>
      </c>
      <c r="M797" s="1">
        <v>0.0</v>
      </c>
      <c r="N797" s="1">
        <v>0.0</v>
      </c>
      <c r="O797" s="1">
        <v>0.0</v>
      </c>
      <c r="P797" s="1">
        <v>2.0</v>
      </c>
      <c r="Q797" s="1">
        <v>3.0</v>
      </c>
    </row>
    <row r="798">
      <c r="A798" s="1">
        <f t="shared" si="1"/>
        <v>796</v>
      </c>
      <c r="B798" s="1" t="s">
        <v>2753</v>
      </c>
      <c r="C798" s="1" t="s">
        <v>1570</v>
      </c>
      <c r="D798" s="1" t="s">
        <v>5</v>
      </c>
      <c r="E798" s="1">
        <f t="shared" si="2"/>
        <v>27.3</v>
      </c>
      <c r="F798" s="1">
        <f t="shared" si="3"/>
        <v>3.41</v>
      </c>
      <c r="G798" s="1">
        <v>8.0</v>
      </c>
      <c r="R798" s="1">
        <v>2.0</v>
      </c>
      <c r="S798" s="1">
        <v>27.0</v>
      </c>
      <c r="T798" s="1">
        <v>206.0</v>
      </c>
      <c r="U798" s="1">
        <v>0.0</v>
      </c>
    </row>
    <row r="799">
      <c r="A799" s="1">
        <f t="shared" si="1"/>
        <v>797</v>
      </c>
      <c r="B799" s="1" t="s">
        <v>2754</v>
      </c>
      <c r="C799" s="1" t="s">
        <v>1570</v>
      </c>
      <c r="D799" s="1" t="s">
        <v>66</v>
      </c>
      <c r="E799" s="1">
        <f t="shared" si="2"/>
        <v>27.25</v>
      </c>
      <c r="F799" s="1">
        <f t="shared" si="3"/>
        <v>1.6</v>
      </c>
      <c r="G799" s="1">
        <v>17.0</v>
      </c>
      <c r="H799" s="1">
        <v>1.0</v>
      </c>
      <c r="I799" s="1">
        <v>0.0</v>
      </c>
      <c r="J799" s="1">
        <v>1.0</v>
      </c>
      <c r="K799" s="1">
        <v>16.0</v>
      </c>
      <c r="L799" s="1">
        <v>1.0</v>
      </c>
      <c r="M799" s="1">
        <v>0.0</v>
      </c>
      <c r="N799" s="1">
        <v>0.0</v>
      </c>
      <c r="O799" s="1">
        <v>0.0</v>
      </c>
      <c r="P799" s="1">
        <v>13.0</v>
      </c>
      <c r="Q799" s="1">
        <v>23.0</v>
      </c>
    </row>
    <row r="800">
      <c r="A800" s="1">
        <f t="shared" si="1"/>
        <v>798</v>
      </c>
      <c r="B800" s="1" t="s">
        <v>2755</v>
      </c>
      <c r="C800" s="1" t="s">
        <v>1065</v>
      </c>
      <c r="D800" s="1" t="s">
        <v>28</v>
      </c>
      <c r="E800" s="1">
        <f t="shared" si="2"/>
        <v>27</v>
      </c>
      <c r="F800" s="1">
        <f t="shared" si="3"/>
        <v>1.42</v>
      </c>
      <c r="G800" s="1">
        <v>19.0</v>
      </c>
      <c r="H800" s="1">
        <v>0.0</v>
      </c>
      <c r="I800" s="1">
        <v>1.0</v>
      </c>
      <c r="J800" s="1">
        <v>1.0</v>
      </c>
      <c r="K800" s="1">
        <v>22.0</v>
      </c>
      <c r="L800" s="1">
        <v>0.0</v>
      </c>
      <c r="M800" s="1">
        <v>0.0</v>
      </c>
      <c r="N800" s="1">
        <v>0.0</v>
      </c>
      <c r="O800" s="1">
        <v>0.0</v>
      </c>
      <c r="P800" s="1">
        <v>36.0</v>
      </c>
      <c r="Q800" s="1">
        <v>8.0</v>
      </c>
    </row>
    <row r="801">
      <c r="A801" s="1">
        <f t="shared" si="1"/>
        <v>799</v>
      </c>
      <c r="B801" s="1" t="s">
        <v>1625</v>
      </c>
      <c r="C801" s="1" t="s">
        <v>1076</v>
      </c>
      <c r="D801" s="1" t="s">
        <v>36</v>
      </c>
      <c r="E801" s="1">
        <f t="shared" si="2"/>
        <v>26.5</v>
      </c>
      <c r="F801" s="1">
        <f t="shared" si="3"/>
        <v>3.79</v>
      </c>
      <c r="G801" s="1">
        <v>7.0</v>
      </c>
      <c r="H801" s="1">
        <v>3.0</v>
      </c>
      <c r="I801" s="1">
        <v>0.0</v>
      </c>
      <c r="J801" s="1">
        <v>3.0</v>
      </c>
      <c r="K801" s="1">
        <v>13.0</v>
      </c>
      <c r="L801" s="1">
        <v>0.0</v>
      </c>
      <c r="M801" s="1">
        <v>0.0</v>
      </c>
      <c r="N801" s="1">
        <v>0.0</v>
      </c>
      <c r="O801" s="1">
        <v>0.0</v>
      </c>
      <c r="P801" s="1">
        <v>24.0</v>
      </c>
      <c r="Q801" s="1">
        <v>1.0</v>
      </c>
    </row>
    <row r="802">
      <c r="A802" s="1">
        <f t="shared" si="1"/>
        <v>800</v>
      </c>
      <c r="B802" s="1" t="s">
        <v>2642</v>
      </c>
      <c r="C802" s="1" t="s">
        <v>1120</v>
      </c>
      <c r="D802" s="1" t="s">
        <v>66</v>
      </c>
      <c r="E802" s="1">
        <f t="shared" si="2"/>
        <v>25.75</v>
      </c>
      <c r="F802" s="1">
        <f t="shared" si="3"/>
        <v>2.34</v>
      </c>
      <c r="G802" s="1">
        <v>11.0</v>
      </c>
      <c r="H802" s="1">
        <v>0.0</v>
      </c>
      <c r="I802" s="1">
        <v>0.0</v>
      </c>
      <c r="J802" s="1">
        <v>0.0</v>
      </c>
      <c r="K802" s="1">
        <v>16.0</v>
      </c>
      <c r="L802" s="1">
        <v>0.0</v>
      </c>
      <c r="M802" s="1">
        <v>0.0</v>
      </c>
      <c r="N802" s="1">
        <v>0.0</v>
      </c>
      <c r="O802" s="1">
        <v>0.0</v>
      </c>
      <c r="P802" s="1">
        <v>17.0</v>
      </c>
      <c r="Q802" s="1">
        <v>27.0</v>
      </c>
    </row>
    <row r="803">
      <c r="A803" s="1">
        <f t="shared" si="1"/>
        <v>801</v>
      </c>
      <c r="B803" s="1" t="s">
        <v>2756</v>
      </c>
      <c r="C803" s="1" t="s">
        <v>1570</v>
      </c>
      <c r="D803" s="1" t="s">
        <v>66</v>
      </c>
      <c r="E803" s="1">
        <f t="shared" si="2"/>
        <v>25.25</v>
      </c>
      <c r="F803" s="1">
        <f t="shared" si="3"/>
        <v>1.94</v>
      </c>
      <c r="G803" s="1">
        <v>13.0</v>
      </c>
      <c r="H803" s="1">
        <v>1.0</v>
      </c>
      <c r="I803" s="1">
        <v>1.0</v>
      </c>
      <c r="J803" s="1">
        <v>2.0</v>
      </c>
      <c r="K803" s="1">
        <v>10.0</v>
      </c>
      <c r="L803" s="1">
        <v>0.0</v>
      </c>
      <c r="M803" s="1">
        <v>0.0</v>
      </c>
      <c r="N803" s="1">
        <v>0.0</v>
      </c>
      <c r="O803" s="1">
        <v>0.0</v>
      </c>
      <c r="P803" s="1">
        <v>17.0</v>
      </c>
      <c r="Q803" s="1">
        <v>17.0</v>
      </c>
    </row>
    <row r="804">
      <c r="A804" s="1">
        <f t="shared" si="1"/>
        <v>802</v>
      </c>
      <c r="B804" s="1" t="s">
        <v>2681</v>
      </c>
      <c r="C804" s="1" t="s">
        <v>1044</v>
      </c>
      <c r="D804" s="1" t="s">
        <v>36</v>
      </c>
      <c r="E804" s="1">
        <f t="shared" si="2"/>
        <v>25</v>
      </c>
      <c r="F804" s="1">
        <f t="shared" si="3"/>
        <v>2.08</v>
      </c>
      <c r="G804" s="1">
        <v>12.0</v>
      </c>
      <c r="H804" s="1">
        <v>2.0</v>
      </c>
      <c r="I804" s="1">
        <v>2.0</v>
      </c>
      <c r="J804" s="1">
        <v>4.0</v>
      </c>
      <c r="K804" s="1">
        <v>15.0</v>
      </c>
      <c r="L804" s="1">
        <v>1.0</v>
      </c>
      <c r="M804" s="1">
        <v>0.0</v>
      </c>
      <c r="N804" s="1">
        <v>0.0</v>
      </c>
      <c r="O804" s="1">
        <v>0.0</v>
      </c>
      <c r="P804" s="1">
        <v>0.0</v>
      </c>
      <c r="Q804" s="1">
        <v>5.0</v>
      </c>
    </row>
    <row r="805">
      <c r="A805" s="1">
        <f t="shared" si="1"/>
        <v>802</v>
      </c>
      <c r="B805" s="1" t="s">
        <v>2645</v>
      </c>
      <c r="C805" s="1" t="s">
        <v>1052</v>
      </c>
      <c r="D805" s="1" t="s">
        <v>66</v>
      </c>
      <c r="E805" s="1">
        <f t="shared" si="2"/>
        <v>25</v>
      </c>
      <c r="F805" s="1">
        <f t="shared" si="3"/>
        <v>1.92</v>
      </c>
      <c r="G805" s="1">
        <v>13.0</v>
      </c>
      <c r="H805" s="1">
        <v>0.0</v>
      </c>
      <c r="I805" s="1">
        <v>1.0</v>
      </c>
      <c r="J805" s="1">
        <v>1.0</v>
      </c>
      <c r="K805" s="1">
        <v>16.0</v>
      </c>
      <c r="L805" s="1">
        <v>0.0</v>
      </c>
      <c r="M805" s="1">
        <v>1.0</v>
      </c>
      <c r="N805" s="1">
        <v>0.0</v>
      </c>
      <c r="O805" s="1">
        <v>0.0</v>
      </c>
      <c r="P805" s="1">
        <v>20.0</v>
      </c>
      <c r="Q805" s="1">
        <v>18.0</v>
      </c>
    </row>
    <row r="806">
      <c r="A806" s="1">
        <f t="shared" si="1"/>
        <v>802</v>
      </c>
      <c r="B806" s="1" t="s">
        <v>2757</v>
      </c>
      <c r="C806" s="1" t="s">
        <v>1032</v>
      </c>
      <c r="D806" s="1" t="s">
        <v>66</v>
      </c>
      <c r="E806" s="1">
        <f t="shared" si="2"/>
        <v>25</v>
      </c>
      <c r="F806" s="1">
        <f t="shared" si="3"/>
        <v>1.25</v>
      </c>
      <c r="G806" s="1">
        <v>20.0</v>
      </c>
      <c r="H806" s="1">
        <v>0.0</v>
      </c>
      <c r="I806" s="1">
        <v>2.0</v>
      </c>
      <c r="J806" s="1">
        <v>2.0</v>
      </c>
      <c r="K806" s="1">
        <v>11.0</v>
      </c>
      <c r="L806" s="1">
        <v>0.0</v>
      </c>
      <c r="M806" s="1">
        <v>0.0</v>
      </c>
      <c r="N806" s="1">
        <v>0.0</v>
      </c>
      <c r="O806" s="1">
        <v>0.0</v>
      </c>
      <c r="P806" s="1">
        <v>10.0</v>
      </c>
      <c r="Q806" s="1">
        <v>22.0</v>
      </c>
    </row>
    <row r="807">
      <c r="A807" s="1">
        <f t="shared" si="1"/>
        <v>805</v>
      </c>
      <c r="B807" s="1" t="s">
        <v>2514</v>
      </c>
      <c r="C807" s="1" t="s">
        <v>1054</v>
      </c>
      <c r="D807" s="1" t="s">
        <v>31</v>
      </c>
      <c r="E807" s="1">
        <f t="shared" si="2"/>
        <v>24.75</v>
      </c>
      <c r="F807" s="1">
        <f t="shared" si="3"/>
        <v>1.65</v>
      </c>
      <c r="G807" s="1">
        <v>15.0</v>
      </c>
      <c r="H807" s="1">
        <v>0.0</v>
      </c>
      <c r="I807" s="1">
        <v>1.0</v>
      </c>
      <c r="J807" s="1">
        <v>1.0</v>
      </c>
      <c r="K807" s="1">
        <v>19.0</v>
      </c>
      <c r="L807" s="1">
        <v>0.0</v>
      </c>
      <c r="M807" s="1">
        <v>1.0</v>
      </c>
      <c r="N807" s="1">
        <v>0.0</v>
      </c>
      <c r="O807" s="1">
        <v>0.0</v>
      </c>
      <c r="P807" s="1">
        <v>31.0</v>
      </c>
      <c r="Q807" s="1">
        <v>9.0</v>
      </c>
    </row>
    <row r="808">
      <c r="A808" s="1">
        <f t="shared" si="1"/>
        <v>806</v>
      </c>
      <c r="B808" s="1" t="s">
        <v>1677</v>
      </c>
      <c r="C808" s="1" t="s">
        <v>1036</v>
      </c>
      <c r="D808" s="1" t="s">
        <v>28</v>
      </c>
      <c r="E808" s="1">
        <f t="shared" si="2"/>
        <v>24</v>
      </c>
      <c r="F808" s="1">
        <f t="shared" si="3"/>
        <v>1.41</v>
      </c>
      <c r="G808" s="1">
        <v>17.0</v>
      </c>
      <c r="H808" s="1">
        <v>1.0</v>
      </c>
      <c r="I808" s="1">
        <v>1.0</v>
      </c>
      <c r="J808" s="1">
        <v>2.0</v>
      </c>
      <c r="K808" s="1">
        <v>13.0</v>
      </c>
      <c r="L808" s="1">
        <v>0.0</v>
      </c>
      <c r="M808" s="1">
        <v>1.0</v>
      </c>
      <c r="N808" s="1">
        <v>0.0</v>
      </c>
      <c r="O808" s="1">
        <v>0.0</v>
      </c>
      <c r="P808" s="1">
        <v>18.0</v>
      </c>
      <c r="Q808" s="1">
        <v>11.0</v>
      </c>
    </row>
    <row r="809">
      <c r="A809" s="1">
        <f t="shared" si="1"/>
        <v>807</v>
      </c>
      <c r="B809" s="1" t="s">
        <v>1684</v>
      </c>
      <c r="C809" s="1" t="s">
        <v>1172</v>
      </c>
      <c r="D809" s="1" t="s">
        <v>36</v>
      </c>
      <c r="E809" s="1">
        <f t="shared" si="2"/>
        <v>23.75</v>
      </c>
      <c r="F809" s="1">
        <f t="shared" si="3"/>
        <v>1.98</v>
      </c>
      <c r="G809" s="1">
        <v>12.0</v>
      </c>
      <c r="H809" s="1">
        <v>2.0</v>
      </c>
      <c r="I809" s="1">
        <v>2.0</v>
      </c>
      <c r="J809" s="1">
        <v>4.0</v>
      </c>
      <c r="K809" s="1">
        <v>16.0</v>
      </c>
      <c r="L809" s="1">
        <v>1.0</v>
      </c>
      <c r="M809" s="1">
        <v>0.0</v>
      </c>
      <c r="N809" s="1">
        <v>0.0</v>
      </c>
      <c r="O809" s="1">
        <v>0.0</v>
      </c>
      <c r="P809" s="1">
        <v>1.0</v>
      </c>
      <c r="Q809" s="1">
        <v>1.0</v>
      </c>
    </row>
    <row r="810">
      <c r="A810" s="1">
        <f t="shared" si="1"/>
        <v>807</v>
      </c>
      <c r="B810" s="1" t="s">
        <v>2411</v>
      </c>
      <c r="C810" s="1" t="s">
        <v>1034</v>
      </c>
      <c r="D810" s="1" t="s">
        <v>31</v>
      </c>
      <c r="E810" s="1">
        <f t="shared" si="2"/>
        <v>23.75</v>
      </c>
      <c r="F810" s="1">
        <f t="shared" si="3"/>
        <v>1.4</v>
      </c>
      <c r="G810" s="1">
        <v>17.0</v>
      </c>
      <c r="H810" s="1">
        <v>2.0</v>
      </c>
      <c r="I810" s="1">
        <v>1.0</v>
      </c>
      <c r="J810" s="1">
        <v>3.0</v>
      </c>
      <c r="K810" s="1">
        <v>14.0</v>
      </c>
      <c r="L810" s="1">
        <v>0.0</v>
      </c>
      <c r="M810" s="1">
        <v>0.0</v>
      </c>
      <c r="N810" s="1">
        <v>0.0</v>
      </c>
      <c r="O810" s="1">
        <v>0.0</v>
      </c>
      <c r="P810" s="1">
        <v>13.0</v>
      </c>
      <c r="Q810" s="1">
        <v>3.0</v>
      </c>
    </row>
    <row r="811">
      <c r="A811" s="1">
        <f t="shared" si="1"/>
        <v>809</v>
      </c>
      <c r="B811" s="1" t="s">
        <v>1484</v>
      </c>
      <c r="C811" s="1" t="s">
        <v>1120</v>
      </c>
      <c r="D811" s="1" t="s">
        <v>28</v>
      </c>
      <c r="E811" s="1">
        <f t="shared" si="2"/>
        <v>22.5</v>
      </c>
      <c r="F811" s="1">
        <f t="shared" si="3"/>
        <v>2.5</v>
      </c>
      <c r="G811" s="1">
        <v>9.0</v>
      </c>
      <c r="H811" s="1">
        <v>1.0</v>
      </c>
      <c r="I811" s="1">
        <v>2.0</v>
      </c>
      <c r="J811" s="1">
        <v>3.0</v>
      </c>
      <c r="K811" s="1">
        <v>18.0</v>
      </c>
      <c r="L811" s="1">
        <v>1.0</v>
      </c>
      <c r="M811" s="1">
        <v>1.0</v>
      </c>
      <c r="N811" s="1">
        <v>0.0</v>
      </c>
      <c r="O811" s="1">
        <v>0.0</v>
      </c>
      <c r="P811" s="1">
        <v>6.0</v>
      </c>
      <c r="Q811" s="1">
        <v>3.0</v>
      </c>
    </row>
    <row r="812">
      <c r="A812" s="1">
        <f t="shared" si="1"/>
        <v>810</v>
      </c>
      <c r="B812" s="1" t="s">
        <v>2758</v>
      </c>
      <c r="C812" s="1" t="s">
        <v>1106</v>
      </c>
      <c r="D812" s="1" t="s">
        <v>36</v>
      </c>
      <c r="E812" s="1">
        <f t="shared" si="2"/>
        <v>22</v>
      </c>
      <c r="F812" s="1">
        <f t="shared" si="3"/>
        <v>1.57</v>
      </c>
      <c r="G812" s="1">
        <v>14.0</v>
      </c>
      <c r="H812" s="1">
        <v>0.0</v>
      </c>
      <c r="I812" s="1">
        <v>2.0</v>
      </c>
      <c r="J812" s="1">
        <v>2.0</v>
      </c>
      <c r="K812" s="1">
        <v>17.0</v>
      </c>
      <c r="L812" s="1">
        <v>0.0</v>
      </c>
      <c r="M812" s="1">
        <v>0.0</v>
      </c>
      <c r="N812" s="1">
        <v>0.0</v>
      </c>
      <c r="O812" s="1">
        <v>0.0</v>
      </c>
      <c r="P812" s="1">
        <v>22.0</v>
      </c>
      <c r="Q812" s="1">
        <v>4.0</v>
      </c>
    </row>
    <row r="813">
      <c r="A813" s="1">
        <f t="shared" si="1"/>
        <v>811</v>
      </c>
      <c r="B813" s="1" t="s">
        <v>2647</v>
      </c>
      <c r="C813" s="1" t="s">
        <v>1172</v>
      </c>
      <c r="D813" s="1" t="s">
        <v>31</v>
      </c>
      <c r="E813" s="1">
        <f t="shared" si="2"/>
        <v>21.25</v>
      </c>
      <c r="F813" s="1">
        <f t="shared" si="3"/>
        <v>1.12</v>
      </c>
      <c r="G813" s="1">
        <v>19.0</v>
      </c>
      <c r="H813" s="1">
        <v>1.0</v>
      </c>
      <c r="I813" s="1">
        <v>0.0</v>
      </c>
      <c r="J813" s="1">
        <v>1.0</v>
      </c>
      <c r="K813" s="1">
        <v>16.0</v>
      </c>
      <c r="L813" s="1">
        <v>0.0</v>
      </c>
      <c r="M813" s="1">
        <v>0.0</v>
      </c>
      <c r="N813" s="1">
        <v>0.0</v>
      </c>
      <c r="O813" s="1">
        <v>0.0</v>
      </c>
      <c r="P813" s="1">
        <v>21.0</v>
      </c>
      <c r="Q813" s="1">
        <v>7.0</v>
      </c>
    </row>
    <row r="814">
      <c r="A814" s="1">
        <f t="shared" si="1"/>
        <v>811</v>
      </c>
      <c r="B814" s="1" t="s">
        <v>1253</v>
      </c>
      <c r="C814" s="1" t="s">
        <v>1038</v>
      </c>
      <c r="D814" s="1" t="s">
        <v>66</v>
      </c>
      <c r="E814" s="1">
        <f t="shared" si="2"/>
        <v>21.25</v>
      </c>
      <c r="F814" s="1">
        <f t="shared" si="3"/>
        <v>1.33</v>
      </c>
      <c r="G814" s="1">
        <v>16.0</v>
      </c>
      <c r="H814" s="1">
        <v>1.0</v>
      </c>
      <c r="I814" s="1">
        <v>0.0</v>
      </c>
      <c r="J814" s="1">
        <v>1.0</v>
      </c>
      <c r="K814" s="1">
        <v>11.0</v>
      </c>
      <c r="L814" s="1">
        <v>0.0</v>
      </c>
      <c r="M814" s="1">
        <v>0.0</v>
      </c>
      <c r="N814" s="1">
        <v>0.0</v>
      </c>
      <c r="O814" s="1">
        <v>0.0</v>
      </c>
      <c r="P814" s="1">
        <v>15.0</v>
      </c>
      <c r="Q814" s="1">
        <v>15.0</v>
      </c>
    </row>
    <row r="815">
      <c r="A815" s="1">
        <f t="shared" si="1"/>
        <v>813</v>
      </c>
      <c r="B815" s="1" t="s">
        <v>1125</v>
      </c>
      <c r="C815" s="1" t="s">
        <v>1106</v>
      </c>
      <c r="D815" s="1" t="s">
        <v>36</v>
      </c>
      <c r="E815" s="1">
        <f t="shared" si="2"/>
        <v>20.5</v>
      </c>
      <c r="F815" s="1">
        <f t="shared" si="3"/>
        <v>1.28</v>
      </c>
      <c r="G815" s="1">
        <v>16.0</v>
      </c>
      <c r="H815" s="1">
        <v>1.0</v>
      </c>
      <c r="I815" s="1">
        <v>2.0</v>
      </c>
      <c r="J815" s="1">
        <v>3.0</v>
      </c>
      <c r="K815" s="1">
        <v>16.0</v>
      </c>
      <c r="L815" s="1">
        <v>0.0</v>
      </c>
      <c r="M815" s="1">
        <v>0.0</v>
      </c>
      <c r="N815" s="1">
        <v>0.0</v>
      </c>
      <c r="O815" s="1">
        <v>0.0</v>
      </c>
      <c r="P815" s="1">
        <v>2.0</v>
      </c>
      <c r="Q815" s="1">
        <v>3.0</v>
      </c>
    </row>
    <row r="816">
      <c r="A816" s="1">
        <f t="shared" si="1"/>
        <v>813</v>
      </c>
      <c r="B816" s="1" t="s">
        <v>1931</v>
      </c>
      <c r="C816" s="1" t="s">
        <v>1032</v>
      </c>
      <c r="D816" s="1" t="s">
        <v>31</v>
      </c>
      <c r="E816" s="1">
        <f t="shared" si="2"/>
        <v>20.5</v>
      </c>
      <c r="F816" s="1">
        <f t="shared" si="3"/>
        <v>1.14</v>
      </c>
      <c r="G816" s="1">
        <v>18.0</v>
      </c>
      <c r="H816" s="1">
        <v>1.0</v>
      </c>
      <c r="I816" s="1">
        <v>2.0</v>
      </c>
      <c r="J816" s="1">
        <v>3.0</v>
      </c>
      <c r="K816" s="1">
        <v>15.0</v>
      </c>
      <c r="L816" s="1">
        <v>0.0</v>
      </c>
      <c r="M816" s="1">
        <v>0.0</v>
      </c>
      <c r="N816" s="1">
        <v>0.0</v>
      </c>
      <c r="O816" s="1">
        <v>0.0</v>
      </c>
      <c r="P816" s="1">
        <v>2.0</v>
      </c>
      <c r="Q816" s="1">
        <v>4.0</v>
      </c>
    </row>
    <row r="817">
      <c r="A817" s="1">
        <f t="shared" si="1"/>
        <v>815</v>
      </c>
      <c r="B817" s="1" t="s">
        <v>2630</v>
      </c>
      <c r="C817" s="1" t="s">
        <v>1030</v>
      </c>
      <c r="D817" s="1" t="s">
        <v>66</v>
      </c>
      <c r="E817" s="1">
        <f t="shared" si="2"/>
        <v>20.25</v>
      </c>
      <c r="F817" s="1">
        <f t="shared" si="3"/>
        <v>1.69</v>
      </c>
      <c r="G817" s="1">
        <v>12.0</v>
      </c>
      <c r="H817" s="1">
        <v>1.0</v>
      </c>
      <c r="I817" s="1">
        <v>0.0</v>
      </c>
      <c r="J817" s="1">
        <v>1.0</v>
      </c>
      <c r="K817" s="1">
        <v>11.0</v>
      </c>
      <c r="L817" s="1">
        <v>0.0</v>
      </c>
      <c r="M817" s="1">
        <v>0.0</v>
      </c>
      <c r="N817" s="1">
        <v>0.0</v>
      </c>
      <c r="O817" s="1">
        <v>0.0</v>
      </c>
      <c r="P817" s="1">
        <v>13.0</v>
      </c>
      <c r="Q817" s="1">
        <v>14.0</v>
      </c>
    </row>
    <row r="818">
      <c r="A818" s="1">
        <f t="shared" si="1"/>
        <v>816</v>
      </c>
      <c r="B818" s="1" t="s">
        <v>2759</v>
      </c>
      <c r="C818" s="1" t="s">
        <v>1085</v>
      </c>
      <c r="D818" s="1" t="s">
        <v>31</v>
      </c>
      <c r="E818" s="1">
        <f t="shared" si="2"/>
        <v>20</v>
      </c>
      <c r="F818" s="1">
        <f t="shared" si="3"/>
        <v>2.86</v>
      </c>
      <c r="G818" s="1">
        <v>7.0</v>
      </c>
      <c r="H818" s="1">
        <v>1.0</v>
      </c>
      <c r="I818" s="1">
        <v>1.0</v>
      </c>
      <c r="J818" s="1">
        <v>2.0</v>
      </c>
      <c r="K818" s="1">
        <v>14.0</v>
      </c>
      <c r="L818" s="1">
        <v>1.0</v>
      </c>
      <c r="M818" s="1">
        <v>0.0</v>
      </c>
      <c r="N818" s="1">
        <v>0.0</v>
      </c>
      <c r="O818" s="1">
        <v>0.0</v>
      </c>
      <c r="P818" s="1">
        <v>14.0</v>
      </c>
      <c r="Q818" s="1">
        <v>4.0</v>
      </c>
    </row>
    <row r="819">
      <c r="A819" s="1">
        <f t="shared" si="1"/>
        <v>817</v>
      </c>
      <c r="B819" s="1" t="s">
        <v>2458</v>
      </c>
      <c r="C819" s="1" t="s">
        <v>1067</v>
      </c>
      <c r="D819" s="1" t="s">
        <v>28</v>
      </c>
      <c r="E819" s="1">
        <f t="shared" si="2"/>
        <v>19.5</v>
      </c>
      <c r="F819" s="1">
        <f t="shared" si="3"/>
        <v>1.77</v>
      </c>
      <c r="G819" s="1">
        <v>11.0</v>
      </c>
      <c r="H819" s="1">
        <v>2.0</v>
      </c>
      <c r="I819" s="1">
        <v>0.0</v>
      </c>
      <c r="J819" s="1">
        <v>2.0</v>
      </c>
      <c r="K819" s="1">
        <v>18.0</v>
      </c>
      <c r="L819" s="1">
        <v>0.0</v>
      </c>
      <c r="M819" s="1">
        <v>0.0</v>
      </c>
      <c r="N819" s="1">
        <v>0.0</v>
      </c>
      <c r="O819" s="1">
        <v>0.0</v>
      </c>
      <c r="P819" s="1">
        <v>4.0</v>
      </c>
      <c r="Q819" s="1">
        <v>1.0</v>
      </c>
    </row>
    <row r="820">
      <c r="A820" s="1">
        <f t="shared" si="1"/>
        <v>817</v>
      </c>
      <c r="B820" s="1" t="s">
        <v>1657</v>
      </c>
      <c r="C820" s="1" t="s">
        <v>1030</v>
      </c>
      <c r="D820" s="1" t="s">
        <v>28</v>
      </c>
      <c r="E820" s="1">
        <f t="shared" si="2"/>
        <v>19.5</v>
      </c>
      <c r="F820" s="1">
        <f t="shared" si="3"/>
        <v>1.3</v>
      </c>
      <c r="G820" s="1">
        <v>15.0</v>
      </c>
      <c r="H820" s="1">
        <v>1.0</v>
      </c>
      <c r="I820" s="1">
        <v>1.0</v>
      </c>
      <c r="J820" s="1">
        <v>2.0</v>
      </c>
      <c r="K820" s="1">
        <v>9.0</v>
      </c>
      <c r="L820" s="1">
        <v>0.0</v>
      </c>
      <c r="M820" s="1">
        <v>0.0</v>
      </c>
      <c r="N820" s="1">
        <v>0.0</v>
      </c>
      <c r="O820" s="1">
        <v>0.0</v>
      </c>
      <c r="P820" s="1">
        <v>20.0</v>
      </c>
      <c r="Q820" s="1">
        <v>5.0</v>
      </c>
    </row>
    <row r="821">
      <c r="A821" s="1">
        <f t="shared" si="1"/>
        <v>819</v>
      </c>
      <c r="B821" s="1" t="s">
        <v>1824</v>
      </c>
      <c r="C821" s="1" t="s">
        <v>1570</v>
      </c>
      <c r="D821" s="1" t="s">
        <v>31</v>
      </c>
      <c r="E821" s="1">
        <f t="shared" si="2"/>
        <v>19</v>
      </c>
      <c r="F821" s="1">
        <f t="shared" si="3"/>
        <v>1.46</v>
      </c>
      <c r="G821" s="1">
        <v>13.0</v>
      </c>
      <c r="H821" s="1">
        <v>1.0</v>
      </c>
      <c r="I821" s="1">
        <v>0.0</v>
      </c>
      <c r="J821" s="1">
        <v>1.0</v>
      </c>
      <c r="K821" s="1">
        <v>19.0</v>
      </c>
      <c r="L821" s="1">
        <v>0.0</v>
      </c>
      <c r="M821" s="1">
        <v>0.0</v>
      </c>
      <c r="N821" s="1">
        <v>0.0</v>
      </c>
      <c r="O821" s="1">
        <v>0.0</v>
      </c>
      <c r="P821" s="1">
        <v>14.0</v>
      </c>
      <c r="Q821" s="1">
        <v>3.0</v>
      </c>
    </row>
    <row r="822">
      <c r="A822" s="1">
        <f t="shared" si="1"/>
        <v>820</v>
      </c>
      <c r="B822" s="1" t="s">
        <v>2283</v>
      </c>
      <c r="C822" s="1" t="s">
        <v>1044</v>
      </c>
      <c r="D822" s="1" t="s">
        <v>28</v>
      </c>
      <c r="E822" s="1">
        <f t="shared" si="2"/>
        <v>18.75</v>
      </c>
      <c r="F822" s="1">
        <f t="shared" si="3"/>
        <v>2.08</v>
      </c>
      <c r="G822" s="1">
        <v>9.0</v>
      </c>
      <c r="H822" s="1">
        <v>1.0</v>
      </c>
      <c r="I822" s="1">
        <v>0.0</v>
      </c>
      <c r="J822" s="1">
        <v>1.0</v>
      </c>
      <c r="K822" s="1">
        <v>16.0</v>
      </c>
      <c r="L822" s="1">
        <v>0.0</v>
      </c>
      <c r="M822" s="1">
        <v>0.0</v>
      </c>
      <c r="N822" s="1">
        <v>0.0</v>
      </c>
      <c r="O822" s="1">
        <v>0.0</v>
      </c>
      <c r="P822" s="1">
        <v>11.0</v>
      </c>
      <c r="Q822" s="1">
        <v>7.0</v>
      </c>
    </row>
    <row r="823">
      <c r="A823" s="1">
        <f t="shared" si="1"/>
        <v>820</v>
      </c>
      <c r="B823" s="1" t="s">
        <v>2078</v>
      </c>
      <c r="C823" s="1" t="s">
        <v>1073</v>
      </c>
      <c r="D823" s="1" t="s">
        <v>28</v>
      </c>
      <c r="E823" s="1">
        <f t="shared" si="2"/>
        <v>18.75</v>
      </c>
      <c r="F823" s="1">
        <f t="shared" si="3"/>
        <v>1.34</v>
      </c>
      <c r="G823" s="1">
        <v>14.0</v>
      </c>
      <c r="H823" s="1">
        <v>1.0</v>
      </c>
      <c r="I823" s="1">
        <v>0.0</v>
      </c>
      <c r="J823" s="1">
        <v>1.0</v>
      </c>
      <c r="K823" s="1">
        <v>12.0</v>
      </c>
      <c r="L823" s="1">
        <v>0.0</v>
      </c>
      <c r="M823" s="1">
        <v>0.0</v>
      </c>
      <c r="N823" s="1">
        <v>0.0</v>
      </c>
      <c r="O823" s="1">
        <v>0.0</v>
      </c>
      <c r="P823" s="1">
        <v>21.0</v>
      </c>
      <c r="Q823" s="1">
        <v>6.0</v>
      </c>
    </row>
    <row r="824">
      <c r="A824" s="1">
        <f t="shared" si="1"/>
        <v>820</v>
      </c>
      <c r="B824" s="1" t="s">
        <v>2760</v>
      </c>
      <c r="C824" s="1" t="s">
        <v>1570</v>
      </c>
      <c r="D824" s="1" t="s">
        <v>66</v>
      </c>
      <c r="E824" s="1">
        <f t="shared" si="2"/>
        <v>18.75</v>
      </c>
      <c r="F824" s="1">
        <f t="shared" si="3"/>
        <v>1.88</v>
      </c>
      <c r="G824" s="1">
        <v>10.0</v>
      </c>
      <c r="H824" s="1">
        <v>0.0</v>
      </c>
      <c r="I824" s="1">
        <v>0.0</v>
      </c>
      <c r="J824" s="1">
        <v>0.0</v>
      </c>
      <c r="K824" s="1">
        <v>11.0</v>
      </c>
      <c r="L824" s="1">
        <v>0.0</v>
      </c>
      <c r="M824" s="1">
        <v>0.0</v>
      </c>
      <c r="N824" s="1">
        <v>0.0</v>
      </c>
      <c r="O824" s="1">
        <v>0.0</v>
      </c>
      <c r="P824" s="1">
        <v>21.0</v>
      </c>
      <c r="Q824" s="1">
        <v>16.0</v>
      </c>
    </row>
    <row r="825">
      <c r="A825" s="1">
        <f t="shared" si="1"/>
        <v>823</v>
      </c>
      <c r="B825" s="1" t="s">
        <v>2761</v>
      </c>
      <c r="C825" s="1" t="s">
        <v>1036</v>
      </c>
      <c r="D825" s="1" t="s">
        <v>31</v>
      </c>
      <c r="E825" s="1">
        <f t="shared" si="2"/>
        <v>18.5</v>
      </c>
      <c r="F825" s="1">
        <f t="shared" si="3"/>
        <v>1.23</v>
      </c>
      <c r="G825" s="1">
        <v>15.0</v>
      </c>
      <c r="H825" s="1">
        <v>0.0</v>
      </c>
      <c r="I825" s="1">
        <v>3.0</v>
      </c>
      <c r="J825" s="1">
        <v>3.0</v>
      </c>
      <c r="K825" s="1">
        <v>7.0</v>
      </c>
      <c r="L825" s="1">
        <v>0.0</v>
      </c>
      <c r="M825" s="1">
        <v>0.0</v>
      </c>
      <c r="N825" s="1">
        <v>0.0</v>
      </c>
      <c r="O825" s="1">
        <v>0.0</v>
      </c>
      <c r="P825" s="1">
        <v>14.0</v>
      </c>
      <c r="Q825" s="1">
        <v>5.0</v>
      </c>
    </row>
    <row r="826">
      <c r="A826" s="1">
        <f t="shared" si="1"/>
        <v>824</v>
      </c>
      <c r="B826" s="1" t="s">
        <v>2532</v>
      </c>
      <c r="C826" s="1" t="s">
        <v>1069</v>
      </c>
      <c r="D826" s="1" t="s">
        <v>66</v>
      </c>
      <c r="E826" s="1">
        <f t="shared" si="2"/>
        <v>18.25</v>
      </c>
      <c r="F826" s="1">
        <f t="shared" si="3"/>
        <v>1.83</v>
      </c>
      <c r="G826" s="1">
        <v>10.0</v>
      </c>
      <c r="H826" s="1">
        <v>0.0</v>
      </c>
      <c r="I826" s="1">
        <v>1.0</v>
      </c>
      <c r="J826" s="1">
        <v>1.0</v>
      </c>
      <c r="K826" s="1">
        <v>7.0</v>
      </c>
      <c r="L826" s="1">
        <v>0.0</v>
      </c>
      <c r="M826" s="1">
        <v>0.0</v>
      </c>
      <c r="N826" s="1">
        <v>0.0</v>
      </c>
      <c r="O826" s="1">
        <v>0.0</v>
      </c>
      <c r="P826" s="1">
        <v>17.0</v>
      </c>
      <c r="Q826" s="1">
        <v>15.0</v>
      </c>
    </row>
    <row r="827">
      <c r="A827" s="1">
        <f t="shared" si="1"/>
        <v>825</v>
      </c>
      <c r="B827" s="1" t="s">
        <v>2177</v>
      </c>
      <c r="C827" s="1" t="s">
        <v>1052</v>
      </c>
      <c r="D827" s="1" t="s">
        <v>28</v>
      </c>
      <c r="E827" s="1">
        <f t="shared" si="2"/>
        <v>18</v>
      </c>
      <c r="F827" s="1">
        <f t="shared" si="3"/>
        <v>1.64</v>
      </c>
      <c r="G827" s="1">
        <v>11.0</v>
      </c>
      <c r="H827" s="1">
        <v>1.0</v>
      </c>
      <c r="I827" s="1">
        <v>1.0</v>
      </c>
      <c r="J827" s="1">
        <v>2.0</v>
      </c>
      <c r="K827" s="1">
        <v>11.0</v>
      </c>
      <c r="L827" s="1">
        <v>0.0</v>
      </c>
      <c r="M827" s="1">
        <v>0.0</v>
      </c>
      <c r="N827" s="1">
        <v>0.0</v>
      </c>
      <c r="O827" s="1">
        <v>0.0</v>
      </c>
      <c r="P827" s="1">
        <v>14.0</v>
      </c>
      <c r="Q827" s="1">
        <v>3.0</v>
      </c>
    </row>
    <row r="828">
      <c r="A828" s="1">
        <f t="shared" si="1"/>
        <v>826</v>
      </c>
      <c r="B828" s="1" t="s">
        <v>2762</v>
      </c>
      <c r="C828" s="1" t="s">
        <v>1032</v>
      </c>
      <c r="D828" s="1" t="s">
        <v>36</v>
      </c>
      <c r="E828" s="1">
        <f t="shared" si="2"/>
        <v>17.75</v>
      </c>
      <c r="F828" s="1">
        <f t="shared" si="3"/>
        <v>1.48</v>
      </c>
      <c r="G828" s="1">
        <v>12.0</v>
      </c>
      <c r="H828" s="1">
        <v>1.0</v>
      </c>
      <c r="I828" s="1">
        <v>0.0</v>
      </c>
      <c r="J828" s="1">
        <v>1.0</v>
      </c>
      <c r="K828" s="1">
        <v>13.0</v>
      </c>
      <c r="L828" s="1">
        <v>0.0</v>
      </c>
      <c r="M828" s="1">
        <v>0.0</v>
      </c>
      <c r="N828" s="1">
        <v>0.0</v>
      </c>
      <c r="O828" s="1">
        <v>0.0</v>
      </c>
      <c r="P828" s="1">
        <v>11.0</v>
      </c>
      <c r="Q828" s="1">
        <v>8.0</v>
      </c>
    </row>
    <row r="829">
      <c r="A829" s="1">
        <f t="shared" si="1"/>
        <v>826</v>
      </c>
      <c r="B829" s="1" t="s">
        <v>2196</v>
      </c>
      <c r="C829" s="1" t="s">
        <v>1036</v>
      </c>
      <c r="D829" s="1" t="s">
        <v>31</v>
      </c>
      <c r="E829" s="1">
        <f t="shared" si="2"/>
        <v>17.75</v>
      </c>
      <c r="F829" s="1">
        <f t="shared" si="3"/>
        <v>1.11</v>
      </c>
      <c r="G829" s="1">
        <v>16.0</v>
      </c>
      <c r="H829" s="1">
        <v>0.0</v>
      </c>
      <c r="I829" s="1">
        <v>0.0</v>
      </c>
      <c r="J829" s="1">
        <v>0.0</v>
      </c>
      <c r="K829" s="1">
        <v>13.0</v>
      </c>
      <c r="L829" s="1">
        <v>0.0</v>
      </c>
      <c r="M829" s="1">
        <v>0.0</v>
      </c>
      <c r="N829" s="1">
        <v>0.0</v>
      </c>
      <c r="O829" s="1">
        <v>0.0</v>
      </c>
      <c r="P829" s="1">
        <v>35.0</v>
      </c>
      <c r="Q829" s="1">
        <v>5.0</v>
      </c>
    </row>
    <row r="830">
      <c r="A830" s="1">
        <f t="shared" si="1"/>
        <v>828</v>
      </c>
      <c r="B830" s="1" t="s">
        <v>2763</v>
      </c>
      <c r="C830" s="1" t="s">
        <v>1034</v>
      </c>
      <c r="D830" s="1" t="s">
        <v>31</v>
      </c>
      <c r="E830" s="1">
        <f t="shared" si="2"/>
        <v>17.5</v>
      </c>
      <c r="F830" s="1">
        <f t="shared" si="3"/>
        <v>1.94</v>
      </c>
      <c r="G830" s="1">
        <v>9.0</v>
      </c>
      <c r="H830" s="1">
        <v>0.0</v>
      </c>
      <c r="I830" s="1">
        <v>2.0</v>
      </c>
      <c r="J830" s="1">
        <v>2.0</v>
      </c>
      <c r="K830" s="1">
        <v>16.0</v>
      </c>
      <c r="L830" s="1">
        <v>0.0</v>
      </c>
      <c r="M830" s="1">
        <v>0.0</v>
      </c>
      <c r="N830" s="1">
        <v>0.0</v>
      </c>
      <c r="O830" s="1">
        <v>0.0</v>
      </c>
      <c r="P830" s="1">
        <v>12.0</v>
      </c>
      <c r="Q830" s="1">
        <v>1.0</v>
      </c>
    </row>
    <row r="831">
      <c r="A831" s="1">
        <f t="shared" si="1"/>
        <v>829</v>
      </c>
      <c r="B831" s="1" t="s">
        <v>2764</v>
      </c>
      <c r="C831" s="1" t="s">
        <v>1570</v>
      </c>
      <c r="D831" s="1" t="s">
        <v>28</v>
      </c>
      <c r="E831" s="1">
        <f t="shared" si="2"/>
        <v>17</v>
      </c>
      <c r="F831" s="1">
        <f t="shared" si="3"/>
        <v>1.42</v>
      </c>
      <c r="G831" s="1">
        <v>12.0</v>
      </c>
      <c r="H831" s="1">
        <v>1.0</v>
      </c>
      <c r="I831" s="1">
        <v>1.0</v>
      </c>
      <c r="J831" s="1">
        <v>2.0</v>
      </c>
      <c r="K831" s="1">
        <v>10.0</v>
      </c>
      <c r="L831" s="1">
        <v>0.0</v>
      </c>
      <c r="M831" s="1">
        <v>0.0</v>
      </c>
      <c r="N831" s="1">
        <v>0.0</v>
      </c>
      <c r="O831" s="1">
        <v>0.0</v>
      </c>
      <c r="P831" s="1">
        <v>10.0</v>
      </c>
      <c r="Q831" s="1">
        <v>4.0</v>
      </c>
    </row>
    <row r="832">
      <c r="A832" s="1">
        <f t="shared" si="1"/>
        <v>829</v>
      </c>
      <c r="B832" s="1" t="s">
        <v>2765</v>
      </c>
      <c r="C832" s="1" t="s">
        <v>1067</v>
      </c>
      <c r="D832" s="1" t="s">
        <v>66</v>
      </c>
      <c r="E832" s="1">
        <f t="shared" si="2"/>
        <v>17</v>
      </c>
      <c r="F832" s="1">
        <f t="shared" si="3"/>
        <v>1.21</v>
      </c>
      <c r="G832" s="1">
        <v>14.0</v>
      </c>
      <c r="H832" s="1">
        <v>0.0</v>
      </c>
      <c r="I832" s="1">
        <v>2.0</v>
      </c>
      <c r="J832" s="1">
        <v>2.0</v>
      </c>
      <c r="K832" s="1">
        <v>10.0</v>
      </c>
      <c r="L832" s="1">
        <v>0.0</v>
      </c>
      <c r="M832" s="1">
        <v>0.0</v>
      </c>
      <c r="N832" s="1">
        <v>0.0</v>
      </c>
      <c r="O832" s="1">
        <v>0.0</v>
      </c>
      <c r="P832" s="1">
        <v>6.0</v>
      </c>
      <c r="Q832" s="1">
        <v>9.0</v>
      </c>
    </row>
    <row r="833">
      <c r="A833" s="1">
        <f t="shared" si="1"/>
        <v>829</v>
      </c>
      <c r="B833" s="1" t="s">
        <v>2766</v>
      </c>
      <c r="C833" s="1" t="s">
        <v>1570</v>
      </c>
      <c r="D833" s="1" t="s">
        <v>66</v>
      </c>
      <c r="E833" s="1">
        <f t="shared" si="2"/>
        <v>17</v>
      </c>
      <c r="F833" s="1">
        <f t="shared" si="3"/>
        <v>1.7</v>
      </c>
      <c r="G833" s="1">
        <v>10.0</v>
      </c>
      <c r="H833" s="1">
        <v>0.0</v>
      </c>
      <c r="I833" s="1">
        <v>0.0</v>
      </c>
      <c r="J833" s="1">
        <v>0.0</v>
      </c>
      <c r="K833" s="1">
        <v>7.0</v>
      </c>
      <c r="L833" s="1">
        <v>0.0</v>
      </c>
      <c r="M833" s="1">
        <v>0.0</v>
      </c>
      <c r="N833" s="1">
        <v>0.0</v>
      </c>
      <c r="O833" s="1">
        <v>0.0</v>
      </c>
      <c r="P833" s="1">
        <v>36.0</v>
      </c>
      <c r="Q833" s="1">
        <v>9.0</v>
      </c>
    </row>
    <row r="834">
      <c r="A834" s="1">
        <f t="shared" si="1"/>
        <v>832</v>
      </c>
      <c r="B834" s="1" t="s">
        <v>2434</v>
      </c>
      <c r="C834" s="1" t="s">
        <v>1067</v>
      </c>
      <c r="D834" s="1" t="s">
        <v>28</v>
      </c>
      <c r="E834" s="1">
        <f t="shared" si="2"/>
        <v>16.5</v>
      </c>
      <c r="F834" s="1">
        <f t="shared" si="3"/>
        <v>1.03</v>
      </c>
      <c r="G834" s="1">
        <v>16.0</v>
      </c>
      <c r="H834" s="1">
        <v>0.0</v>
      </c>
      <c r="I834" s="1">
        <v>1.0</v>
      </c>
      <c r="J834" s="1">
        <v>1.0</v>
      </c>
      <c r="K834" s="1">
        <v>9.0</v>
      </c>
      <c r="L834" s="1">
        <v>0.0</v>
      </c>
      <c r="M834" s="1">
        <v>0.0</v>
      </c>
      <c r="N834" s="1">
        <v>0.0</v>
      </c>
      <c r="O834" s="1">
        <v>0.0</v>
      </c>
      <c r="P834" s="1">
        <v>30.0</v>
      </c>
      <c r="Q834" s="1">
        <v>3.0</v>
      </c>
    </row>
    <row r="835">
      <c r="A835" s="1">
        <f t="shared" si="1"/>
        <v>832</v>
      </c>
      <c r="B835" s="1" t="s">
        <v>1786</v>
      </c>
      <c r="C835" s="1" t="s">
        <v>1085</v>
      </c>
      <c r="D835" s="1" t="s">
        <v>66</v>
      </c>
      <c r="E835" s="1">
        <f t="shared" si="2"/>
        <v>16.5</v>
      </c>
      <c r="F835" s="1">
        <f t="shared" si="3"/>
        <v>1.03</v>
      </c>
      <c r="G835" s="1">
        <v>16.0</v>
      </c>
      <c r="H835" s="1">
        <v>0.0</v>
      </c>
      <c r="I835" s="1">
        <v>0.0</v>
      </c>
      <c r="J835" s="1">
        <v>0.0</v>
      </c>
      <c r="K835" s="1">
        <v>9.0</v>
      </c>
      <c r="L835" s="1">
        <v>0.0</v>
      </c>
      <c r="M835" s="1">
        <v>0.0</v>
      </c>
      <c r="N835" s="1">
        <v>0.0</v>
      </c>
      <c r="O835" s="1">
        <v>0.0</v>
      </c>
      <c r="P835" s="1">
        <v>16.0</v>
      </c>
      <c r="Q835" s="1">
        <v>16.0</v>
      </c>
    </row>
    <row r="836">
      <c r="A836" s="1">
        <f t="shared" si="1"/>
        <v>834</v>
      </c>
      <c r="B836" s="1" t="s">
        <v>2393</v>
      </c>
      <c r="C836" s="1" t="s">
        <v>1065</v>
      </c>
      <c r="D836" s="1" t="s">
        <v>66</v>
      </c>
      <c r="E836" s="1">
        <f t="shared" si="2"/>
        <v>16.25</v>
      </c>
      <c r="F836" s="1">
        <f t="shared" si="3"/>
        <v>2.03</v>
      </c>
      <c r="G836" s="1">
        <v>8.0</v>
      </c>
      <c r="H836" s="1">
        <v>0.0</v>
      </c>
      <c r="I836" s="1">
        <v>1.0</v>
      </c>
      <c r="J836" s="1">
        <v>1.0</v>
      </c>
      <c r="K836" s="1">
        <v>15.0</v>
      </c>
      <c r="L836" s="1">
        <v>0.0</v>
      </c>
      <c r="M836" s="1">
        <v>0.0</v>
      </c>
      <c r="N836" s="1">
        <v>0.0</v>
      </c>
      <c r="O836" s="1">
        <v>0.0</v>
      </c>
      <c r="P836" s="1">
        <v>9.0</v>
      </c>
      <c r="Q836" s="1">
        <v>7.0</v>
      </c>
    </row>
    <row r="837">
      <c r="A837" s="1">
        <f t="shared" si="1"/>
        <v>835</v>
      </c>
      <c r="B837" s="1" t="s">
        <v>1720</v>
      </c>
      <c r="C837" s="1" t="s">
        <v>1065</v>
      </c>
      <c r="D837" s="1" t="s">
        <v>28</v>
      </c>
      <c r="E837" s="1">
        <f t="shared" si="2"/>
        <v>16</v>
      </c>
      <c r="F837" s="1">
        <f t="shared" si="3"/>
        <v>1.07</v>
      </c>
      <c r="G837" s="1">
        <v>15.0</v>
      </c>
      <c r="H837" s="1">
        <v>0.0</v>
      </c>
      <c r="I837" s="1">
        <v>2.0</v>
      </c>
      <c r="J837" s="1">
        <v>2.0</v>
      </c>
      <c r="K837" s="1">
        <v>13.0</v>
      </c>
      <c r="L837" s="1">
        <v>0.0</v>
      </c>
      <c r="M837" s="1">
        <v>0.0</v>
      </c>
      <c r="N837" s="1">
        <v>0.0</v>
      </c>
      <c r="O837" s="1">
        <v>0.0</v>
      </c>
      <c r="P837" s="1">
        <v>4.0</v>
      </c>
      <c r="Q837" s="1">
        <v>5.0</v>
      </c>
    </row>
    <row r="838">
      <c r="A838" s="1">
        <f t="shared" si="1"/>
        <v>836</v>
      </c>
      <c r="B838" s="1" t="s">
        <v>2518</v>
      </c>
      <c r="C838" s="1" t="s">
        <v>1091</v>
      </c>
      <c r="D838" s="1" t="s">
        <v>66</v>
      </c>
      <c r="E838" s="1">
        <f t="shared" si="2"/>
        <v>15.75</v>
      </c>
      <c r="F838" s="1">
        <f t="shared" si="3"/>
        <v>1.05</v>
      </c>
      <c r="G838" s="1">
        <v>15.0</v>
      </c>
      <c r="H838" s="1">
        <v>0.0</v>
      </c>
      <c r="I838" s="1">
        <v>0.0</v>
      </c>
      <c r="J838" s="1">
        <v>0.0</v>
      </c>
      <c r="K838" s="1">
        <v>10.0</v>
      </c>
      <c r="L838" s="1">
        <v>0.0</v>
      </c>
      <c r="M838" s="1">
        <v>0.0</v>
      </c>
      <c r="N838" s="1">
        <v>0.0</v>
      </c>
      <c r="O838" s="1">
        <v>0.0</v>
      </c>
      <c r="P838" s="1">
        <v>17.0</v>
      </c>
      <c r="Q838" s="1">
        <v>13.0</v>
      </c>
    </row>
    <row r="839">
      <c r="A839" s="1">
        <f t="shared" si="1"/>
        <v>837</v>
      </c>
      <c r="B839" s="1" t="s">
        <v>2639</v>
      </c>
      <c r="C839" s="1" t="s">
        <v>1091</v>
      </c>
      <c r="D839" s="1" t="s">
        <v>31</v>
      </c>
      <c r="E839" s="1">
        <f t="shared" si="2"/>
        <v>15.5</v>
      </c>
      <c r="F839" s="1">
        <f t="shared" si="3"/>
        <v>1.03</v>
      </c>
      <c r="G839" s="1">
        <v>15.0</v>
      </c>
      <c r="H839" s="1">
        <v>1.0</v>
      </c>
      <c r="I839" s="1">
        <v>1.0</v>
      </c>
      <c r="J839" s="1">
        <v>2.0</v>
      </c>
      <c r="K839" s="1">
        <v>10.0</v>
      </c>
      <c r="L839" s="1">
        <v>0.0</v>
      </c>
      <c r="M839" s="1">
        <v>0.0</v>
      </c>
      <c r="N839" s="1">
        <v>0.0</v>
      </c>
      <c r="O839" s="1">
        <v>0.0</v>
      </c>
      <c r="P839" s="1">
        <v>4.0</v>
      </c>
      <c r="Q839" s="1">
        <v>4.0</v>
      </c>
    </row>
    <row r="840">
      <c r="A840" s="1">
        <f t="shared" si="1"/>
        <v>837</v>
      </c>
      <c r="B840" s="1" t="s">
        <v>1695</v>
      </c>
      <c r="C840" s="1" t="s">
        <v>1156</v>
      </c>
      <c r="D840" s="1" t="s">
        <v>28</v>
      </c>
      <c r="E840" s="1">
        <f t="shared" si="2"/>
        <v>15.5</v>
      </c>
      <c r="F840" s="1">
        <f t="shared" si="3"/>
        <v>1.19</v>
      </c>
      <c r="G840" s="1">
        <v>13.0</v>
      </c>
      <c r="H840" s="1">
        <v>0.0</v>
      </c>
      <c r="I840" s="1">
        <v>0.0</v>
      </c>
      <c r="J840" s="1">
        <v>0.0</v>
      </c>
      <c r="K840" s="1">
        <v>18.0</v>
      </c>
      <c r="L840" s="1">
        <v>0.0</v>
      </c>
      <c r="M840" s="1">
        <v>0.0</v>
      </c>
      <c r="N840" s="1">
        <v>0.0</v>
      </c>
      <c r="O840" s="1">
        <v>0.0</v>
      </c>
      <c r="P840" s="1">
        <v>24.0</v>
      </c>
      <c r="Q840" s="1">
        <v>1.0</v>
      </c>
    </row>
    <row r="841">
      <c r="A841" s="1">
        <f t="shared" si="1"/>
        <v>837</v>
      </c>
      <c r="B841" s="1" t="s">
        <v>1227</v>
      </c>
      <c r="C841" s="1" t="s">
        <v>1038</v>
      </c>
      <c r="D841" s="1" t="s">
        <v>31</v>
      </c>
      <c r="E841" s="1">
        <f t="shared" si="2"/>
        <v>15.5</v>
      </c>
      <c r="F841" s="1">
        <f t="shared" si="3"/>
        <v>1.03</v>
      </c>
      <c r="G841" s="1">
        <v>15.0</v>
      </c>
      <c r="H841" s="1">
        <v>0.0</v>
      </c>
      <c r="I841" s="1">
        <v>0.0</v>
      </c>
      <c r="J841" s="1">
        <v>0.0</v>
      </c>
      <c r="K841" s="1">
        <v>19.0</v>
      </c>
      <c r="L841" s="1">
        <v>0.0</v>
      </c>
      <c r="M841" s="1">
        <v>0.0</v>
      </c>
      <c r="N841" s="1">
        <v>0.0</v>
      </c>
      <c r="O841" s="1">
        <v>0.0</v>
      </c>
      <c r="P841" s="1">
        <v>18.0</v>
      </c>
      <c r="Q841" s="1">
        <v>3.0</v>
      </c>
    </row>
    <row r="842">
      <c r="A842" s="1">
        <f t="shared" si="1"/>
        <v>840</v>
      </c>
      <c r="B842" s="1" t="s">
        <v>1368</v>
      </c>
      <c r="C842" s="1" t="s">
        <v>1097</v>
      </c>
      <c r="D842" s="1" t="s">
        <v>31</v>
      </c>
      <c r="E842" s="1">
        <f t="shared" si="2"/>
        <v>15.25</v>
      </c>
      <c r="F842" s="1">
        <f t="shared" si="3"/>
        <v>15.25</v>
      </c>
      <c r="G842" s="1">
        <v>1.0</v>
      </c>
      <c r="H842" s="1">
        <v>3.0</v>
      </c>
      <c r="I842" s="1">
        <v>0.0</v>
      </c>
      <c r="J842" s="1">
        <v>3.0</v>
      </c>
      <c r="K842" s="1">
        <v>3.0</v>
      </c>
      <c r="L842" s="1">
        <v>0.0</v>
      </c>
      <c r="M842" s="1">
        <v>0.0</v>
      </c>
      <c r="N842" s="1">
        <v>0.0</v>
      </c>
      <c r="O842" s="1">
        <v>0.0</v>
      </c>
      <c r="P842" s="1">
        <v>1.0</v>
      </c>
      <c r="Q842" s="1">
        <v>0.0</v>
      </c>
    </row>
    <row r="843">
      <c r="A843" s="1">
        <f t="shared" si="1"/>
        <v>840</v>
      </c>
      <c r="B843" s="1" t="s">
        <v>2676</v>
      </c>
      <c r="C843" s="1" t="s">
        <v>1097</v>
      </c>
      <c r="D843" s="1" t="s">
        <v>66</v>
      </c>
      <c r="E843" s="1">
        <f t="shared" si="2"/>
        <v>15.25</v>
      </c>
      <c r="F843" s="1">
        <f t="shared" si="3"/>
        <v>1.69</v>
      </c>
      <c r="G843" s="1">
        <v>9.0</v>
      </c>
      <c r="H843" s="1">
        <v>0.0</v>
      </c>
      <c r="I843" s="1">
        <v>1.0</v>
      </c>
      <c r="J843" s="1">
        <v>1.0</v>
      </c>
      <c r="K843" s="1">
        <v>8.0</v>
      </c>
      <c r="L843" s="1">
        <v>0.0</v>
      </c>
      <c r="M843" s="1">
        <v>0.0</v>
      </c>
      <c r="N843" s="1">
        <v>0.0</v>
      </c>
      <c r="O843" s="1">
        <v>0.0</v>
      </c>
      <c r="P843" s="1">
        <v>13.0</v>
      </c>
      <c r="Q843" s="1">
        <v>10.0</v>
      </c>
    </row>
    <row r="844">
      <c r="A844" s="1">
        <f t="shared" si="1"/>
        <v>842</v>
      </c>
      <c r="B844" s="1" t="s">
        <v>2767</v>
      </c>
      <c r="C844" s="1" t="s">
        <v>1570</v>
      </c>
      <c r="D844" s="1" t="s">
        <v>5</v>
      </c>
      <c r="E844" s="1">
        <f t="shared" si="2"/>
        <v>15</v>
      </c>
      <c r="F844" s="1">
        <f t="shared" si="3"/>
        <v>5</v>
      </c>
      <c r="G844" s="1">
        <v>3.0</v>
      </c>
      <c r="R844" s="1">
        <v>2.0</v>
      </c>
      <c r="S844" s="1">
        <v>12.0</v>
      </c>
      <c r="T844" s="1">
        <v>90.0</v>
      </c>
      <c r="U844" s="1">
        <v>0.0</v>
      </c>
    </row>
    <row r="845">
      <c r="A845" s="1">
        <f t="shared" si="1"/>
        <v>842</v>
      </c>
      <c r="B845" s="1" t="s">
        <v>1071</v>
      </c>
      <c r="C845" s="1" t="s">
        <v>1036</v>
      </c>
      <c r="D845" s="1" t="s">
        <v>66</v>
      </c>
      <c r="E845" s="1">
        <f t="shared" si="2"/>
        <v>15</v>
      </c>
      <c r="F845" s="1">
        <f t="shared" si="3"/>
        <v>2.14</v>
      </c>
      <c r="G845" s="1">
        <v>7.0</v>
      </c>
      <c r="H845" s="1">
        <v>1.0</v>
      </c>
      <c r="I845" s="1">
        <v>0.0</v>
      </c>
      <c r="J845" s="1">
        <v>1.0</v>
      </c>
      <c r="K845" s="1">
        <v>10.0</v>
      </c>
      <c r="L845" s="1">
        <v>1.0</v>
      </c>
      <c r="M845" s="1">
        <v>0.0</v>
      </c>
      <c r="N845" s="1">
        <v>0.0</v>
      </c>
      <c r="O845" s="1">
        <v>0.0</v>
      </c>
      <c r="P845" s="1">
        <v>6.0</v>
      </c>
      <c r="Q845" s="1">
        <v>8.0</v>
      </c>
    </row>
    <row r="846">
      <c r="A846" s="1">
        <f t="shared" si="1"/>
        <v>844</v>
      </c>
      <c r="B846" s="1" t="s">
        <v>2768</v>
      </c>
      <c r="C846" s="1" t="s">
        <v>1087</v>
      </c>
      <c r="D846" s="1" t="s">
        <v>36</v>
      </c>
      <c r="E846" s="1">
        <f t="shared" si="2"/>
        <v>14</v>
      </c>
      <c r="F846" s="1">
        <f t="shared" si="3"/>
        <v>1.4</v>
      </c>
      <c r="G846" s="1">
        <v>10.0</v>
      </c>
      <c r="H846" s="1">
        <v>1.0</v>
      </c>
      <c r="I846" s="1">
        <v>1.0</v>
      </c>
      <c r="J846" s="1">
        <v>2.0</v>
      </c>
      <c r="K846" s="1">
        <v>10.0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3.0</v>
      </c>
    </row>
    <row r="847">
      <c r="A847" s="1">
        <f t="shared" si="1"/>
        <v>844</v>
      </c>
      <c r="B847" s="1" t="s">
        <v>1816</v>
      </c>
      <c r="C847" s="1" t="s">
        <v>1078</v>
      </c>
      <c r="D847" s="1" t="s">
        <v>66</v>
      </c>
      <c r="E847" s="1">
        <f t="shared" si="2"/>
        <v>14</v>
      </c>
      <c r="F847" s="1">
        <f t="shared" si="3"/>
        <v>1.27</v>
      </c>
      <c r="G847" s="1">
        <v>11.0</v>
      </c>
      <c r="H847" s="1">
        <v>0.0</v>
      </c>
      <c r="I847" s="1">
        <v>1.0</v>
      </c>
      <c r="J847" s="1">
        <v>1.0</v>
      </c>
      <c r="K847" s="1">
        <v>5.0</v>
      </c>
      <c r="L847" s="1">
        <v>0.0</v>
      </c>
      <c r="M847" s="1">
        <v>0.0</v>
      </c>
      <c r="N847" s="1">
        <v>0.0</v>
      </c>
      <c r="O847" s="1">
        <v>0.0</v>
      </c>
      <c r="P847" s="1">
        <v>26.0</v>
      </c>
      <c r="Q847" s="1">
        <v>4.0</v>
      </c>
    </row>
    <row r="848">
      <c r="A848" s="1">
        <f t="shared" si="1"/>
        <v>844</v>
      </c>
      <c r="B848" s="1" t="s">
        <v>2769</v>
      </c>
      <c r="C848" s="1" t="s">
        <v>1570</v>
      </c>
      <c r="D848" s="1" t="s">
        <v>31</v>
      </c>
      <c r="E848" s="1">
        <f t="shared" si="2"/>
        <v>14</v>
      </c>
      <c r="F848" s="1">
        <f t="shared" si="3"/>
        <v>1.27</v>
      </c>
      <c r="G848" s="1">
        <v>11.0</v>
      </c>
      <c r="H848" s="1">
        <v>0.0</v>
      </c>
      <c r="I848" s="1">
        <v>1.0</v>
      </c>
      <c r="J848" s="1">
        <v>1.0</v>
      </c>
      <c r="K848" s="1">
        <v>16.0</v>
      </c>
      <c r="L848" s="1">
        <v>0.0</v>
      </c>
      <c r="M848" s="1">
        <v>0.0</v>
      </c>
      <c r="N848" s="1">
        <v>0.0</v>
      </c>
      <c r="O848" s="1">
        <v>0.0</v>
      </c>
      <c r="P848" s="1">
        <v>4.0</v>
      </c>
      <c r="Q848" s="1">
        <v>4.0</v>
      </c>
    </row>
    <row r="849">
      <c r="A849" s="1">
        <f t="shared" si="1"/>
        <v>847</v>
      </c>
      <c r="B849" s="1" t="s">
        <v>2530</v>
      </c>
      <c r="C849" s="1" t="s">
        <v>1042</v>
      </c>
      <c r="D849" s="1" t="s">
        <v>28</v>
      </c>
      <c r="E849" s="1">
        <f t="shared" si="2"/>
        <v>13.75</v>
      </c>
      <c r="F849" s="1">
        <f t="shared" si="3"/>
        <v>2.29</v>
      </c>
      <c r="G849" s="1">
        <v>6.0</v>
      </c>
      <c r="H849" s="1">
        <v>1.0</v>
      </c>
      <c r="I849" s="1">
        <v>0.0</v>
      </c>
      <c r="J849" s="1">
        <v>1.0</v>
      </c>
      <c r="K849" s="1">
        <v>11.0</v>
      </c>
      <c r="L849" s="1">
        <v>0.0</v>
      </c>
      <c r="M849" s="1">
        <v>0.0</v>
      </c>
      <c r="N849" s="1">
        <v>0.0</v>
      </c>
      <c r="O849" s="1">
        <v>0.0</v>
      </c>
      <c r="P849" s="1">
        <v>9.0</v>
      </c>
      <c r="Q849" s="1">
        <v>3.0</v>
      </c>
    </row>
    <row r="850">
      <c r="A850" s="1">
        <f t="shared" si="1"/>
        <v>847</v>
      </c>
      <c r="B850" s="1" t="s">
        <v>1981</v>
      </c>
      <c r="C850" s="1" t="s">
        <v>1085</v>
      </c>
      <c r="D850" s="1" t="s">
        <v>31</v>
      </c>
      <c r="E850" s="1">
        <f t="shared" si="2"/>
        <v>13.75</v>
      </c>
      <c r="F850" s="1">
        <f t="shared" si="3"/>
        <v>1.25</v>
      </c>
      <c r="G850" s="1">
        <v>11.0</v>
      </c>
      <c r="H850" s="1">
        <v>0.0</v>
      </c>
      <c r="I850" s="1">
        <v>1.0</v>
      </c>
      <c r="J850" s="1">
        <v>1.0</v>
      </c>
      <c r="K850" s="1">
        <v>9.0</v>
      </c>
      <c r="L850" s="1">
        <v>0.0</v>
      </c>
      <c r="M850" s="1">
        <v>0.0</v>
      </c>
      <c r="N850" s="1">
        <v>0.0</v>
      </c>
      <c r="O850" s="1">
        <v>0.0</v>
      </c>
      <c r="P850" s="1">
        <v>11.0</v>
      </c>
      <c r="Q850" s="1">
        <v>7.0</v>
      </c>
    </row>
    <row r="851">
      <c r="A851" s="1">
        <f t="shared" si="1"/>
        <v>849</v>
      </c>
      <c r="B851" s="1" t="s">
        <v>2770</v>
      </c>
      <c r="C851" s="1" t="s">
        <v>1087</v>
      </c>
      <c r="D851" s="1" t="s">
        <v>28</v>
      </c>
      <c r="E851" s="1">
        <f t="shared" si="2"/>
        <v>13.5</v>
      </c>
      <c r="F851" s="1">
        <f t="shared" si="3"/>
        <v>1.69</v>
      </c>
      <c r="G851" s="1">
        <v>8.0</v>
      </c>
      <c r="H851" s="1">
        <v>0.0</v>
      </c>
      <c r="I851" s="1">
        <v>1.0</v>
      </c>
      <c r="J851" s="1">
        <v>1.0</v>
      </c>
      <c r="K851" s="1">
        <v>6.0</v>
      </c>
      <c r="L851" s="1">
        <v>0.0</v>
      </c>
      <c r="M851" s="1">
        <v>0.0</v>
      </c>
      <c r="N851" s="1">
        <v>0.0</v>
      </c>
      <c r="O851" s="1">
        <v>0.0</v>
      </c>
      <c r="P851" s="1">
        <v>18.0</v>
      </c>
      <c r="Q851" s="1">
        <v>6.0</v>
      </c>
    </row>
    <row r="852">
      <c r="A852" s="1">
        <f t="shared" si="1"/>
        <v>850</v>
      </c>
      <c r="B852" s="1" t="s">
        <v>2771</v>
      </c>
      <c r="C852" s="1" t="s">
        <v>1570</v>
      </c>
      <c r="D852" s="1" t="s">
        <v>36</v>
      </c>
      <c r="E852" s="1">
        <f t="shared" si="2"/>
        <v>13.25</v>
      </c>
      <c r="F852" s="1">
        <f t="shared" si="3"/>
        <v>1.66</v>
      </c>
      <c r="G852" s="1">
        <v>8.0</v>
      </c>
      <c r="H852" s="1">
        <v>1.0</v>
      </c>
      <c r="I852" s="1">
        <v>0.0</v>
      </c>
      <c r="J852" s="1">
        <v>1.0</v>
      </c>
      <c r="K852" s="1">
        <v>12.0</v>
      </c>
      <c r="L852" s="1">
        <v>0.0</v>
      </c>
      <c r="M852" s="1">
        <v>0.0</v>
      </c>
      <c r="N852" s="1">
        <v>0.0</v>
      </c>
      <c r="O852" s="1">
        <v>0.0</v>
      </c>
      <c r="P852" s="1">
        <v>9.0</v>
      </c>
      <c r="Q852" s="1">
        <v>1.0</v>
      </c>
    </row>
    <row r="853">
      <c r="A853" s="1">
        <f t="shared" si="1"/>
        <v>850</v>
      </c>
      <c r="B853" s="1" t="s">
        <v>2560</v>
      </c>
      <c r="C853" s="1" t="s">
        <v>1570</v>
      </c>
      <c r="D853" s="1" t="s">
        <v>66</v>
      </c>
      <c r="E853" s="1">
        <f t="shared" si="2"/>
        <v>13.25</v>
      </c>
      <c r="F853" s="1">
        <f t="shared" si="3"/>
        <v>1.47</v>
      </c>
      <c r="G853" s="1">
        <v>9.0</v>
      </c>
      <c r="H853" s="1">
        <v>0.0</v>
      </c>
      <c r="I853" s="1">
        <v>1.0</v>
      </c>
      <c r="J853" s="1">
        <v>1.0</v>
      </c>
      <c r="K853" s="1">
        <v>5.0</v>
      </c>
      <c r="L853" s="1">
        <v>0.0</v>
      </c>
      <c r="M853" s="1">
        <v>0.0</v>
      </c>
      <c r="N853" s="1">
        <v>0.0</v>
      </c>
      <c r="O853" s="1">
        <v>0.0</v>
      </c>
      <c r="P853" s="1">
        <v>17.0</v>
      </c>
      <c r="Q853" s="1">
        <v>7.0</v>
      </c>
    </row>
    <row r="854">
      <c r="A854" s="1">
        <f t="shared" si="1"/>
        <v>852</v>
      </c>
      <c r="B854" s="1" t="s">
        <v>2772</v>
      </c>
      <c r="C854" s="1" t="s">
        <v>1120</v>
      </c>
      <c r="D854" s="1" t="s">
        <v>28</v>
      </c>
      <c r="E854" s="1">
        <f t="shared" si="2"/>
        <v>13</v>
      </c>
      <c r="F854" s="1">
        <f t="shared" si="3"/>
        <v>1.63</v>
      </c>
      <c r="G854" s="1">
        <v>8.0</v>
      </c>
      <c r="H854" s="1">
        <v>1.0</v>
      </c>
      <c r="I854" s="1">
        <v>0.0</v>
      </c>
      <c r="J854" s="1">
        <v>1.0</v>
      </c>
      <c r="K854" s="1">
        <v>10.0</v>
      </c>
      <c r="L854" s="1">
        <v>1.0</v>
      </c>
      <c r="M854" s="1">
        <v>0.0</v>
      </c>
      <c r="N854" s="1">
        <v>0.0</v>
      </c>
      <c r="O854" s="1">
        <v>0.0</v>
      </c>
      <c r="P854" s="1">
        <v>4.0</v>
      </c>
      <c r="Q854" s="1">
        <v>5.0</v>
      </c>
    </row>
    <row r="855">
      <c r="A855" s="1">
        <f t="shared" si="1"/>
        <v>853</v>
      </c>
      <c r="B855" s="1" t="s">
        <v>2773</v>
      </c>
      <c r="C855" s="1" t="s">
        <v>1032</v>
      </c>
      <c r="D855" s="1" t="s">
        <v>31</v>
      </c>
      <c r="E855" s="1">
        <f t="shared" si="2"/>
        <v>12.75</v>
      </c>
      <c r="F855" s="1">
        <f t="shared" si="3"/>
        <v>1.59</v>
      </c>
      <c r="G855" s="1">
        <v>8.0</v>
      </c>
      <c r="H855" s="1">
        <v>1.0</v>
      </c>
      <c r="I855" s="1">
        <v>0.0</v>
      </c>
      <c r="J855" s="1">
        <v>1.0</v>
      </c>
      <c r="K855" s="1">
        <v>11.0</v>
      </c>
      <c r="L855" s="1">
        <v>0.0</v>
      </c>
      <c r="M855" s="1">
        <v>0.0</v>
      </c>
      <c r="N855" s="1">
        <v>0.0</v>
      </c>
      <c r="O855" s="1">
        <v>0.0</v>
      </c>
      <c r="P855" s="1">
        <v>5.0</v>
      </c>
      <c r="Q855" s="1">
        <v>3.0</v>
      </c>
    </row>
    <row r="856">
      <c r="A856" s="1">
        <f t="shared" si="1"/>
        <v>853</v>
      </c>
      <c r="B856" s="1" t="s">
        <v>1089</v>
      </c>
      <c r="C856" s="1" t="s">
        <v>1046</v>
      </c>
      <c r="D856" s="1" t="s">
        <v>66</v>
      </c>
      <c r="E856" s="1">
        <f t="shared" si="2"/>
        <v>12.75</v>
      </c>
      <c r="F856" s="1">
        <f t="shared" si="3"/>
        <v>2.55</v>
      </c>
      <c r="G856" s="1">
        <v>5.0</v>
      </c>
      <c r="H856" s="1">
        <v>0.0</v>
      </c>
      <c r="I856" s="1">
        <v>3.0</v>
      </c>
      <c r="J856" s="1">
        <v>3.0</v>
      </c>
      <c r="K856" s="1">
        <v>6.0</v>
      </c>
      <c r="L856" s="1">
        <v>0.0</v>
      </c>
      <c r="M856" s="1">
        <v>2.0</v>
      </c>
      <c r="N856" s="1">
        <v>0.0</v>
      </c>
      <c r="O856" s="1">
        <v>0.0</v>
      </c>
      <c r="P856" s="1">
        <v>1.0</v>
      </c>
      <c r="Q856" s="1">
        <v>1.0</v>
      </c>
    </row>
    <row r="857">
      <c r="A857" s="1">
        <f t="shared" si="1"/>
        <v>853</v>
      </c>
      <c r="B857" s="1" t="s">
        <v>2774</v>
      </c>
      <c r="C857" s="1" t="s">
        <v>1570</v>
      </c>
      <c r="D857" s="1" t="s">
        <v>28</v>
      </c>
      <c r="E857" s="1">
        <f t="shared" si="2"/>
        <v>12.75</v>
      </c>
      <c r="F857" s="1">
        <f t="shared" si="3"/>
        <v>2.13</v>
      </c>
      <c r="G857" s="1">
        <v>6.0</v>
      </c>
      <c r="H857" s="1">
        <v>0.0</v>
      </c>
      <c r="I857" s="1">
        <v>1.0</v>
      </c>
      <c r="J857" s="1">
        <v>1.0</v>
      </c>
      <c r="K857" s="1">
        <v>10.0</v>
      </c>
      <c r="L857" s="1">
        <v>0.0</v>
      </c>
      <c r="M857" s="1">
        <v>0.0</v>
      </c>
      <c r="N857" s="1">
        <v>0.0</v>
      </c>
      <c r="O857" s="1">
        <v>0.0</v>
      </c>
      <c r="P857" s="1">
        <v>11.0</v>
      </c>
      <c r="Q857" s="1">
        <v>4.0</v>
      </c>
    </row>
    <row r="858">
      <c r="A858" s="1">
        <f t="shared" si="1"/>
        <v>856</v>
      </c>
      <c r="B858" s="1" t="s">
        <v>1825</v>
      </c>
      <c r="C858" s="1" t="s">
        <v>1038</v>
      </c>
      <c r="D858" s="1" t="s">
        <v>31</v>
      </c>
      <c r="E858" s="1">
        <f t="shared" si="2"/>
        <v>12.5</v>
      </c>
      <c r="F858" s="1">
        <f t="shared" si="3"/>
        <v>4.17</v>
      </c>
      <c r="G858" s="1">
        <v>3.0</v>
      </c>
      <c r="H858" s="1">
        <v>1.0</v>
      </c>
      <c r="I858" s="1">
        <v>2.0</v>
      </c>
      <c r="J858" s="1">
        <v>3.0</v>
      </c>
      <c r="K858" s="1">
        <v>2.0</v>
      </c>
      <c r="L858" s="1">
        <v>0.0</v>
      </c>
      <c r="M858" s="1">
        <v>0.0</v>
      </c>
      <c r="N858" s="1">
        <v>0.0</v>
      </c>
      <c r="O858" s="1">
        <v>0.0</v>
      </c>
      <c r="P858" s="1">
        <v>4.0</v>
      </c>
      <c r="Q858" s="1">
        <v>0.0</v>
      </c>
    </row>
    <row r="859">
      <c r="A859" s="1">
        <f t="shared" si="1"/>
        <v>857</v>
      </c>
      <c r="B859" s="1" t="s">
        <v>2169</v>
      </c>
      <c r="C859" s="1" t="s">
        <v>1040</v>
      </c>
      <c r="D859" s="1" t="s">
        <v>66</v>
      </c>
      <c r="E859" s="1">
        <f t="shared" si="2"/>
        <v>12.25</v>
      </c>
      <c r="F859" s="1">
        <f t="shared" si="3"/>
        <v>2.45</v>
      </c>
      <c r="G859" s="1">
        <v>5.0</v>
      </c>
      <c r="H859" s="1">
        <v>1.0</v>
      </c>
      <c r="I859" s="1">
        <v>0.0</v>
      </c>
      <c r="J859" s="1">
        <v>1.0</v>
      </c>
      <c r="K859" s="1">
        <v>10.0</v>
      </c>
      <c r="L859" s="1">
        <v>0.0</v>
      </c>
      <c r="M859" s="1">
        <v>0.0</v>
      </c>
      <c r="N859" s="1">
        <v>0.0</v>
      </c>
      <c r="O859" s="1">
        <v>0.0</v>
      </c>
      <c r="P859" s="1">
        <v>5.0</v>
      </c>
      <c r="Q859" s="1">
        <v>3.0</v>
      </c>
    </row>
    <row r="860">
      <c r="A860" s="1">
        <f t="shared" si="1"/>
        <v>857</v>
      </c>
      <c r="B860" s="1" t="s">
        <v>1168</v>
      </c>
      <c r="C860" s="1" t="s">
        <v>1073</v>
      </c>
      <c r="D860" s="1" t="s">
        <v>31</v>
      </c>
      <c r="E860" s="1">
        <f t="shared" si="2"/>
        <v>12.25</v>
      </c>
      <c r="F860" s="1">
        <f t="shared" si="3"/>
        <v>1.75</v>
      </c>
      <c r="G860" s="1">
        <v>7.0</v>
      </c>
      <c r="H860" s="1">
        <v>1.0</v>
      </c>
      <c r="I860" s="1">
        <v>1.0</v>
      </c>
      <c r="J860" s="1">
        <v>2.0</v>
      </c>
      <c r="K860" s="1">
        <v>6.0</v>
      </c>
      <c r="L860" s="1">
        <v>0.0</v>
      </c>
      <c r="M860" s="1">
        <v>0.0</v>
      </c>
      <c r="N860" s="1">
        <v>0.0</v>
      </c>
      <c r="O860" s="1">
        <v>0.0</v>
      </c>
      <c r="P860" s="1">
        <v>3.0</v>
      </c>
      <c r="Q860" s="1">
        <v>2.0</v>
      </c>
    </row>
    <row r="861">
      <c r="A861" s="1">
        <f t="shared" si="1"/>
        <v>859</v>
      </c>
      <c r="B861" s="1" t="s">
        <v>2670</v>
      </c>
      <c r="C861" s="1" t="s">
        <v>1067</v>
      </c>
      <c r="D861" s="1" t="s">
        <v>66</v>
      </c>
      <c r="E861" s="1">
        <f t="shared" si="2"/>
        <v>11.75</v>
      </c>
      <c r="F861" s="1">
        <f t="shared" si="3"/>
        <v>2.35</v>
      </c>
      <c r="G861" s="1">
        <v>5.0</v>
      </c>
      <c r="H861" s="1">
        <v>0.0</v>
      </c>
      <c r="I861" s="1">
        <v>0.0</v>
      </c>
      <c r="J861" s="1">
        <v>0.0</v>
      </c>
      <c r="K861" s="1">
        <v>9.0</v>
      </c>
      <c r="L861" s="1">
        <v>0.0</v>
      </c>
      <c r="M861" s="1">
        <v>0.0</v>
      </c>
      <c r="N861" s="1">
        <v>0.0</v>
      </c>
      <c r="O861" s="1">
        <v>0.0</v>
      </c>
      <c r="P861" s="1">
        <v>3.0</v>
      </c>
      <c r="Q861" s="1">
        <v>13.0</v>
      </c>
    </row>
    <row r="862">
      <c r="A862" s="1">
        <f t="shared" si="1"/>
        <v>859</v>
      </c>
      <c r="B862" s="1" t="s">
        <v>2651</v>
      </c>
      <c r="C862" s="1" t="s">
        <v>1052</v>
      </c>
      <c r="D862" s="1" t="s">
        <v>31</v>
      </c>
      <c r="E862" s="1">
        <f t="shared" si="2"/>
        <v>11.75</v>
      </c>
      <c r="F862" s="1">
        <f t="shared" si="3"/>
        <v>1.96</v>
      </c>
      <c r="G862" s="1">
        <v>6.0</v>
      </c>
      <c r="H862" s="1">
        <v>0.0</v>
      </c>
      <c r="I862" s="1">
        <v>2.0</v>
      </c>
      <c r="J862" s="1">
        <v>2.0</v>
      </c>
      <c r="K862" s="1">
        <v>3.0</v>
      </c>
      <c r="L862" s="1">
        <v>0.0</v>
      </c>
      <c r="M862" s="1">
        <v>0.0</v>
      </c>
      <c r="N862" s="1">
        <v>0.0</v>
      </c>
      <c r="O862" s="1">
        <v>0.0</v>
      </c>
      <c r="P862" s="1">
        <v>11.0</v>
      </c>
      <c r="Q862" s="1">
        <v>3.0</v>
      </c>
    </row>
    <row r="863">
      <c r="A863" s="1">
        <f t="shared" si="1"/>
        <v>861</v>
      </c>
      <c r="B863" s="1" t="s">
        <v>2775</v>
      </c>
      <c r="C863" s="1" t="s">
        <v>1032</v>
      </c>
      <c r="D863" s="1" t="s">
        <v>5</v>
      </c>
      <c r="E863" s="1">
        <f t="shared" si="2"/>
        <v>11.4</v>
      </c>
      <c r="F863" s="1">
        <f t="shared" si="3"/>
        <v>1.63</v>
      </c>
      <c r="G863" s="1">
        <v>7.0</v>
      </c>
      <c r="R863" s="1">
        <v>1.0</v>
      </c>
      <c r="S863" s="1">
        <v>26.0</v>
      </c>
      <c r="T863" s="1">
        <v>158.0</v>
      </c>
      <c r="U863" s="1">
        <v>0.0</v>
      </c>
    </row>
    <row r="864">
      <c r="A864" s="1">
        <f t="shared" si="1"/>
        <v>862</v>
      </c>
      <c r="B864" s="1" t="s">
        <v>2569</v>
      </c>
      <c r="C864" s="1" t="s">
        <v>1044</v>
      </c>
      <c r="D864" s="1" t="s">
        <v>31</v>
      </c>
      <c r="E864" s="1">
        <f t="shared" si="2"/>
        <v>11.25</v>
      </c>
      <c r="F864" s="1">
        <f t="shared" si="3"/>
        <v>2.25</v>
      </c>
      <c r="G864" s="1">
        <v>5.0</v>
      </c>
      <c r="H864" s="1">
        <v>1.0</v>
      </c>
      <c r="I864" s="1">
        <v>0.0</v>
      </c>
      <c r="J864" s="1">
        <v>1.0</v>
      </c>
      <c r="K864" s="1">
        <v>9.0</v>
      </c>
      <c r="L864" s="1">
        <v>0.0</v>
      </c>
      <c r="M864" s="1">
        <v>0.0</v>
      </c>
      <c r="N864" s="1">
        <v>0.0</v>
      </c>
      <c r="O864" s="1">
        <v>0.0</v>
      </c>
      <c r="P864" s="1">
        <v>1.0</v>
      </c>
      <c r="Q864" s="1">
        <v>4.0</v>
      </c>
    </row>
    <row r="865">
      <c r="A865" s="1">
        <f t="shared" si="1"/>
        <v>862</v>
      </c>
      <c r="B865" s="1" t="s">
        <v>1497</v>
      </c>
      <c r="C865" s="1" t="s">
        <v>1040</v>
      </c>
      <c r="D865" s="1" t="s">
        <v>66</v>
      </c>
      <c r="E865" s="1">
        <f t="shared" si="2"/>
        <v>11.25</v>
      </c>
      <c r="F865" s="1">
        <f t="shared" si="3"/>
        <v>2.25</v>
      </c>
      <c r="G865" s="1">
        <v>5.0</v>
      </c>
      <c r="H865" s="1">
        <v>0.0</v>
      </c>
      <c r="I865" s="1">
        <v>0.0</v>
      </c>
      <c r="J865" s="1">
        <v>0.0</v>
      </c>
      <c r="K865" s="1">
        <v>8.0</v>
      </c>
      <c r="L865" s="1">
        <v>0.0</v>
      </c>
      <c r="M865" s="1">
        <v>0.0</v>
      </c>
      <c r="N865" s="1">
        <v>0.0</v>
      </c>
      <c r="O865" s="1">
        <v>0.0</v>
      </c>
      <c r="P865" s="1">
        <v>11.0</v>
      </c>
      <c r="Q865" s="1">
        <v>9.0</v>
      </c>
    </row>
    <row r="866">
      <c r="A866" s="1">
        <f t="shared" si="1"/>
        <v>862</v>
      </c>
      <c r="B866" s="1" t="s">
        <v>1979</v>
      </c>
      <c r="C866" s="1" t="s">
        <v>1120</v>
      </c>
      <c r="D866" s="1" t="s">
        <v>66</v>
      </c>
      <c r="E866" s="1">
        <f t="shared" si="2"/>
        <v>11.25</v>
      </c>
      <c r="F866" s="1">
        <f t="shared" si="3"/>
        <v>1.61</v>
      </c>
      <c r="G866" s="1">
        <v>7.0</v>
      </c>
      <c r="H866" s="1">
        <v>0.0</v>
      </c>
      <c r="I866" s="1">
        <v>0.0</v>
      </c>
      <c r="J866" s="1">
        <v>0.0</v>
      </c>
      <c r="K866" s="1">
        <v>6.0</v>
      </c>
      <c r="L866" s="1">
        <v>0.0</v>
      </c>
      <c r="M866" s="1">
        <v>0.0</v>
      </c>
      <c r="N866" s="1">
        <v>0.0</v>
      </c>
      <c r="O866" s="1">
        <v>0.0</v>
      </c>
      <c r="P866" s="1">
        <v>19.0</v>
      </c>
      <c r="Q866" s="1">
        <v>7.0</v>
      </c>
    </row>
    <row r="867">
      <c r="A867" s="1">
        <f t="shared" si="1"/>
        <v>865</v>
      </c>
      <c r="B867" s="1" t="s">
        <v>2500</v>
      </c>
      <c r="C867" s="1" t="s">
        <v>1044</v>
      </c>
      <c r="D867" s="1" t="s">
        <v>5</v>
      </c>
      <c r="E867" s="1">
        <f t="shared" si="2"/>
        <v>11.1</v>
      </c>
      <c r="F867" s="1">
        <f t="shared" si="3"/>
        <v>2.78</v>
      </c>
      <c r="G867" s="1">
        <v>4.0</v>
      </c>
      <c r="R867" s="1">
        <v>0.0</v>
      </c>
      <c r="S867" s="1">
        <v>14.0</v>
      </c>
      <c r="T867" s="1">
        <v>107.0</v>
      </c>
      <c r="U867" s="1">
        <v>0.0</v>
      </c>
    </row>
    <row r="868">
      <c r="A868" s="1">
        <f t="shared" si="1"/>
        <v>866</v>
      </c>
      <c r="B868" s="1" t="s">
        <v>2776</v>
      </c>
      <c r="C868" s="1" t="s">
        <v>1106</v>
      </c>
      <c r="D868" s="1" t="s">
        <v>36</v>
      </c>
      <c r="E868" s="1">
        <f t="shared" si="2"/>
        <v>11</v>
      </c>
      <c r="F868" s="1">
        <f t="shared" si="3"/>
        <v>1</v>
      </c>
      <c r="G868" s="1">
        <v>11.0</v>
      </c>
      <c r="H868" s="1">
        <v>0.0</v>
      </c>
      <c r="I868" s="1">
        <v>0.0</v>
      </c>
      <c r="J868" s="1">
        <v>0.0</v>
      </c>
      <c r="K868" s="1">
        <v>11.0</v>
      </c>
      <c r="L868" s="1">
        <v>0.0</v>
      </c>
      <c r="M868" s="1">
        <v>0.0</v>
      </c>
      <c r="N868" s="1">
        <v>0.0</v>
      </c>
      <c r="O868" s="1">
        <v>0.0</v>
      </c>
      <c r="P868" s="1">
        <v>16.0</v>
      </c>
      <c r="Q868" s="1">
        <v>3.0</v>
      </c>
    </row>
    <row r="869">
      <c r="A869" s="1">
        <f t="shared" si="1"/>
        <v>867</v>
      </c>
      <c r="B869" s="1" t="s">
        <v>1622</v>
      </c>
      <c r="C869" s="1" t="s">
        <v>1042</v>
      </c>
      <c r="D869" s="1" t="s">
        <v>66</v>
      </c>
      <c r="E869" s="1">
        <f t="shared" si="2"/>
        <v>10.75</v>
      </c>
      <c r="F869" s="1">
        <f t="shared" si="3"/>
        <v>2.69</v>
      </c>
      <c r="G869" s="1">
        <v>4.0</v>
      </c>
      <c r="H869" s="1">
        <v>1.0</v>
      </c>
      <c r="I869" s="1">
        <v>0.0</v>
      </c>
      <c r="J869" s="1">
        <v>1.0</v>
      </c>
      <c r="K869" s="1">
        <v>5.0</v>
      </c>
      <c r="L869" s="1">
        <v>0.0</v>
      </c>
      <c r="M869" s="1">
        <v>0.0</v>
      </c>
      <c r="N869" s="1">
        <v>0.0</v>
      </c>
      <c r="O869" s="1">
        <v>0.0</v>
      </c>
      <c r="P869" s="1">
        <v>3.0</v>
      </c>
      <c r="Q869" s="1">
        <v>6.0</v>
      </c>
    </row>
    <row r="870">
      <c r="A870" s="1">
        <f t="shared" si="1"/>
        <v>867</v>
      </c>
      <c r="B870" s="1" t="s">
        <v>2777</v>
      </c>
      <c r="C870" s="1" t="s">
        <v>1030</v>
      </c>
      <c r="D870" s="1" t="s">
        <v>36</v>
      </c>
      <c r="E870" s="1">
        <f t="shared" si="2"/>
        <v>10.75</v>
      </c>
      <c r="F870" s="1">
        <f t="shared" si="3"/>
        <v>1.79</v>
      </c>
      <c r="G870" s="1">
        <v>6.0</v>
      </c>
      <c r="H870" s="1">
        <v>1.0</v>
      </c>
      <c r="I870" s="1">
        <v>0.0</v>
      </c>
      <c r="J870" s="1">
        <v>1.0</v>
      </c>
      <c r="K870" s="1">
        <v>10.0</v>
      </c>
      <c r="L870" s="1">
        <v>0.0</v>
      </c>
      <c r="M870" s="1">
        <v>0.0</v>
      </c>
      <c r="N870" s="1">
        <v>0.0</v>
      </c>
      <c r="O870" s="1">
        <v>0.0</v>
      </c>
      <c r="P870" s="1">
        <v>3.0</v>
      </c>
      <c r="Q870" s="1">
        <v>1.0</v>
      </c>
    </row>
    <row r="871">
      <c r="A871" s="1">
        <f t="shared" si="1"/>
        <v>867</v>
      </c>
      <c r="B871" s="1" t="s">
        <v>1801</v>
      </c>
      <c r="C871" s="1" t="s">
        <v>1032</v>
      </c>
      <c r="D871" s="1" t="s">
        <v>66</v>
      </c>
      <c r="E871" s="1">
        <f t="shared" si="2"/>
        <v>10.75</v>
      </c>
      <c r="F871" s="1">
        <f t="shared" si="3"/>
        <v>0.98</v>
      </c>
      <c r="G871" s="1">
        <v>11.0</v>
      </c>
      <c r="H871" s="1">
        <v>0.0</v>
      </c>
      <c r="I871" s="1">
        <v>1.0</v>
      </c>
      <c r="J871" s="1">
        <v>1.0</v>
      </c>
      <c r="K871" s="1">
        <v>6.0</v>
      </c>
      <c r="L871" s="1">
        <v>0.0</v>
      </c>
      <c r="M871" s="1">
        <v>0.0</v>
      </c>
      <c r="N871" s="1">
        <v>0.0</v>
      </c>
      <c r="O871" s="1">
        <v>0.0</v>
      </c>
      <c r="P871" s="1">
        <v>9.0</v>
      </c>
      <c r="Q871" s="1">
        <v>5.0</v>
      </c>
    </row>
    <row r="872">
      <c r="A872" s="1">
        <f t="shared" si="1"/>
        <v>870</v>
      </c>
      <c r="B872" s="1" t="s">
        <v>1192</v>
      </c>
      <c r="C872" s="1" t="s">
        <v>1042</v>
      </c>
      <c r="D872" s="1" t="s">
        <v>28</v>
      </c>
      <c r="E872" s="1">
        <f t="shared" si="2"/>
        <v>10.5</v>
      </c>
      <c r="F872" s="1">
        <f t="shared" si="3"/>
        <v>2.63</v>
      </c>
      <c r="G872" s="1">
        <v>4.0</v>
      </c>
      <c r="H872" s="1">
        <v>1.0</v>
      </c>
      <c r="I872" s="1">
        <v>1.0</v>
      </c>
      <c r="J872" s="1">
        <v>2.0</v>
      </c>
      <c r="K872" s="1">
        <v>2.0</v>
      </c>
      <c r="L872" s="1">
        <v>0.0</v>
      </c>
      <c r="M872" s="1">
        <v>1.0</v>
      </c>
      <c r="N872" s="1">
        <v>0.0</v>
      </c>
      <c r="O872" s="1">
        <v>0.0</v>
      </c>
      <c r="P872" s="1">
        <v>4.0</v>
      </c>
      <c r="Q872" s="1">
        <v>2.0</v>
      </c>
    </row>
    <row r="873">
      <c r="A873" s="1">
        <f t="shared" si="1"/>
        <v>870</v>
      </c>
      <c r="B873" s="1" t="s">
        <v>2426</v>
      </c>
      <c r="C873" s="1" t="s">
        <v>1082</v>
      </c>
      <c r="D873" s="1" t="s">
        <v>66</v>
      </c>
      <c r="E873" s="1">
        <f t="shared" si="2"/>
        <v>10.5</v>
      </c>
      <c r="F873" s="1">
        <f t="shared" si="3"/>
        <v>5.25</v>
      </c>
      <c r="G873" s="1">
        <v>2.0</v>
      </c>
      <c r="H873" s="1">
        <v>1.0</v>
      </c>
      <c r="I873" s="1">
        <v>1.0</v>
      </c>
      <c r="J873" s="1">
        <v>2.0</v>
      </c>
      <c r="K873" s="1">
        <v>3.0</v>
      </c>
      <c r="L873" s="1">
        <v>0.0</v>
      </c>
      <c r="M873" s="1">
        <v>0.0</v>
      </c>
      <c r="N873" s="1">
        <v>0.0</v>
      </c>
      <c r="O873" s="1">
        <v>0.0</v>
      </c>
      <c r="P873" s="1">
        <v>4.0</v>
      </c>
      <c r="Q873" s="1">
        <v>1.0</v>
      </c>
    </row>
    <row r="874">
      <c r="A874" s="1">
        <f t="shared" si="1"/>
        <v>870</v>
      </c>
      <c r="B874" s="1" t="s">
        <v>2778</v>
      </c>
      <c r="C874" s="1" t="s">
        <v>1570</v>
      </c>
      <c r="D874" s="1" t="s">
        <v>66</v>
      </c>
      <c r="E874" s="1">
        <f t="shared" si="2"/>
        <v>10.5</v>
      </c>
      <c r="F874" s="1">
        <f t="shared" si="3"/>
        <v>1.75</v>
      </c>
      <c r="G874" s="1">
        <v>6.0</v>
      </c>
      <c r="H874" s="1">
        <v>0.0</v>
      </c>
      <c r="I874" s="1">
        <v>0.0</v>
      </c>
      <c r="J874" s="1">
        <v>0.0</v>
      </c>
      <c r="K874" s="1">
        <v>7.0</v>
      </c>
      <c r="L874" s="1">
        <v>0.0</v>
      </c>
      <c r="M874" s="1">
        <v>0.0</v>
      </c>
      <c r="N874" s="1">
        <v>0.0</v>
      </c>
      <c r="O874" s="1">
        <v>0.0</v>
      </c>
      <c r="P874" s="1">
        <v>18.0</v>
      </c>
      <c r="Q874" s="1">
        <v>5.0</v>
      </c>
    </row>
    <row r="875">
      <c r="A875" s="1">
        <f t="shared" si="1"/>
        <v>873</v>
      </c>
      <c r="B875" s="1" t="s">
        <v>1645</v>
      </c>
      <c r="C875" s="1" t="s">
        <v>1046</v>
      </c>
      <c r="D875" s="1" t="s">
        <v>36</v>
      </c>
      <c r="E875" s="1">
        <f t="shared" si="2"/>
        <v>10.25</v>
      </c>
      <c r="F875" s="1">
        <f t="shared" si="3"/>
        <v>0.93</v>
      </c>
      <c r="G875" s="1">
        <v>11.0</v>
      </c>
      <c r="H875" s="1">
        <v>0.0</v>
      </c>
      <c r="I875" s="1">
        <v>1.0</v>
      </c>
      <c r="J875" s="1">
        <v>1.0</v>
      </c>
      <c r="K875" s="1">
        <v>5.0</v>
      </c>
      <c r="L875" s="1">
        <v>0.0</v>
      </c>
      <c r="M875" s="1">
        <v>0.0</v>
      </c>
      <c r="N875" s="1">
        <v>0.0</v>
      </c>
      <c r="O875" s="1">
        <v>0.0</v>
      </c>
      <c r="P875" s="1">
        <v>9.0</v>
      </c>
      <c r="Q875" s="1">
        <v>5.0</v>
      </c>
    </row>
    <row r="876">
      <c r="A876" s="1">
        <f t="shared" si="1"/>
        <v>873</v>
      </c>
      <c r="B876" s="1" t="s">
        <v>1486</v>
      </c>
      <c r="C876" s="1" t="s">
        <v>1065</v>
      </c>
      <c r="D876" s="1" t="s">
        <v>31</v>
      </c>
      <c r="E876" s="1">
        <f t="shared" si="2"/>
        <v>10.25</v>
      </c>
      <c r="F876" s="1">
        <f t="shared" si="3"/>
        <v>1.71</v>
      </c>
      <c r="G876" s="1">
        <v>6.0</v>
      </c>
      <c r="H876" s="1">
        <v>0.0</v>
      </c>
      <c r="I876" s="1">
        <v>1.0</v>
      </c>
      <c r="J876" s="1">
        <v>1.0</v>
      </c>
      <c r="K876" s="1">
        <v>5.0</v>
      </c>
      <c r="L876" s="1">
        <v>0.0</v>
      </c>
      <c r="M876" s="1">
        <v>0.0</v>
      </c>
      <c r="N876" s="1">
        <v>0.0</v>
      </c>
      <c r="O876" s="1">
        <v>0.0</v>
      </c>
      <c r="P876" s="1">
        <v>15.0</v>
      </c>
      <c r="Q876" s="1">
        <v>2.0</v>
      </c>
    </row>
    <row r="877">
      <c r="A877" s="1">
        <f t="shared" si="1"/>
        <v>873</v>
      </c>
      <c r="B877" s="1" t="s">
        <v>2779</v>
      </c>
      <c r="C877" s="1" t="s">
        <v>1570</v>
      </c>
      <c r="D877" s="1" t="s">
        <v>66</v>
      </c>
      <c r="E877" s="1">
        <f t="shared" si="2"/>
        <v>10.25</v>
      </c>
      <c r="F877" s="1">
        <f t="shared" si="3"/>
        <v>1.14</v>
      </c>
      <c r="G877" s="1">
        <v>9.0</v>
      </c>
      <c r="H877" s="1">
        <v>0.0</v>
      </c>
      <c r="I877" s="1">
        <v>0.0</v>
      </c>
      <c r="J877" s="1">
        <v>0.0</v>
      </c>
      <c r="K877" s="1">
        <v>3.0</v>
      </c>
      <c r="L877" s="1">
        <v>0.0</v>
      </c>
      <c r="M877" s="1">
        <v>0.0</v>
      </c>
      <c r="N877" s="1">
        <v>0.0</v>
      </c>
      <c r="O877" s="1">
        <v>0.0</v>
      </c>
      <c r="P877" s="1">
        <v>15.0</v>
      </c>
      <c r="Q877" s="1">
        <v>10.0</v>
      </c>
    </row>
    <row r="878">
      <c r="A878" s="1">
        <f t="shared" si="1"/>
        <v>876</v>
      </c>
      <c r="B878" s="1" t="s">
        <v>2418</v>
      </c>
      <c r="C878" s="1" t="s">
        <v>1054</v>
      </c>
      <c r="D878" s="1" t="s">
        <v>31</v>
      </c>
      <c r="E878" s="1">
        <f t="shared" si="2"/>
        <v>9.75</v>
      </c>
      <c r="F878" s="1">
        <f t="shared" si="3"/>
        <v>1.63</v>
      </c>
      <c r="G878" s="1">
        <v>6.0</v>
      </c>
      <c r="H878" s="1">
        <v>0.0</v>
      </c>
      <c r="I878" s="1">
        <v>1.0</v>
      </c>
      <c r="J878" s="1">
        <v>1.0</v>
      </c>
      <c r="K878" s="1">
        <v>6.0</v>
      </c>
      <c r="L878" s="1">
        <v>0.0</v>
      </c>
      <c r="M878" s="1">
        <v>0.0</v>
      </c>
      <c r="N878" s="1">
        <v>0.0</v>
      </c>
      <c r="O878" s="1">
        <v>0.0</v>
      </c>
      <c r="P878" s="1">
        <v>11.0</v>
      </c>
      <c r="Q878" s="1">
        <v>2.0</v>
      </c>
    </row>
    <row r="879">
      <c r="A879" s="1">
        <f t="shared" si="1"/>
        <v>877</v>
      </c>
      <c r="B879" s="1" t="s">
        <v>2780</v>
      </c>
      <c r="C879" s="1" t="s">
        <v>1570</v>
      </c>
      <c r="D879" s="1" t="s">
        <v>31</v>
      </c>
      <c r="E879" s="1">
        <f t="shared" si="2"/>
        <v>9.25</v>
      </c>
      <c r="F879" s="1">
        <f t="shared" si="3"/>
        <v>3.08</v>
      </c>
      <c r="G879" s="1">
        <v>3.0</v>
      </c>
      <c r="H879" s="1">
        <v>1.0</v>
      </c>
      <c r="I879" s="1">
        <v>0.0</v>
      </c>
      <c r="J879" s="1">
        <v>1.0</v>
      </c>
      <c r="K879" s="1">
        <v>8.0</v>
      </c>
      <c r="L879" s="1">
        <v>0.0</v>
      </c>
      <c r="M879" s="1">
        <v>0.0</v>
      </c>
      <c r="N879" s="1">
        <v>0.0</v>
      </c>
      <c r="O879" s="1">
        <v>0.0</v>
      </c>
      <c r="P879" s="1">
        <v>1.0</v>
      </c>
      <c r="Q879" s="1">
        <v>1.0</v>
      </c>
    </row>
    <row r="880">
      <c r="A880" s="1">
        <f t="shared" si="1"/>
        <v>878</v>
      </c>
      <c r="B880" s="1" t="s">
        <v>1230</v>
      </c>
      <c r="C880" s="1" t="s">
        <v>1111</v>
      </c>
      <c r="D880" s="1" t="s">
        <v>28</v>
      </c>
      <c r="E880" s="1">
        <f t="shared" si="2"/>
        <v>9</v>
      </c>
      <c r="F880" s="1">
        <f t="shared" si="3"/>
        <v>1.8</v>
      </c>
      <c r="G880" s="1">
        <v>5.0</v>
      </c>
      <c r="H880" s="1">
        <v>1.0</v>
      </c>
      <c r="I880" s="1">
        <v>0.0</v>
      </c>
      <c r="J880" s="1">
        <v>1.0</v>
      </c>
      <c r="K880" s="1">
        <v>5.0</v>
      </c>
      <c r="L880" s="1">
        <v>0.0</v>
      </c>
      <c r="M880" s="1">
        <v>0.0</v>
      </c>
      <c r="N880" s="1">
        <v>0.0</v>
      </c>
      <c r="O880" s="1">
        <v>0.0</v>
      </c>
      <c r="P880" s="1">
        <v>6.0</v>
      </c>
      <c r="Q880" s="1">
        <v>1.0</v>
      </c>
    </row>
    <row r="881">
      <c r="A881" s="1">
        <f t="shared" si="1"/>
        <v>879</v>
      </c>
      <c r="B881" s="1" t="s">
        <v>1251</v>
      </c>
      <c r="C881" s="1" t="s">
        <v>1097</v>
      </c>
      <c r="D881" s="1" t="s">
        <v>5</v>
      </c>
      <c r="E881" s="1">
        <f t="shared" si="2"/>
        <v>8.7</v>
      </c>
      <c r="F881" s="1">
        <f t="shared" si="3"/>
        <v>8.7</v>
      </c>
      <c r="G881" s="1">
        <v>1.0</v>
      </c>
      <c r="R881" s="1">
        <v>1.0</v>
      </c>
      <c r="S881" s="1">
        <v>5.0</v>
      </c>
      <c r="T881" s="1">
        <v>44.0</v>
      </c>
      <c r="U881" s="1">
        <v>0.0</v>
      </c>
    </row>
    <row r="882">
      <c r="A882" s="1">
        <f t="shared" si="1"/>
        <v>880</v>
      </c>
      <c r="B882" s="1" t="s">
        <v>1443</v>
      </c>
      <c r="C882" s="1" t="s">
        <v>1156</v>
      </c>
      <c r="D882" s="1" t="s">
        <v>31</v>
      </c>
      <c r="E882" s="1">
        <f t="shared" si="2"/>
        <v>8.5</v>
      </c>
      <c r="F882" s="1">
        <f t="shared" si="3"/>
        <v>4.25</v>
      </c>
      <c r="G882" s="1">
        <v>2.0</v>
      </c>
      <c r="H882" s="1">
        <v>1.0</v>
      </c>
      <c r="I882" s="1">
        <v>0.0</v>
      </c>
      <c r="J882" s="1">
        <v>1.0</v>
      </c>
      <c r="K882" s="1">
        <v>6.0</v>
      </c>
      <c r="L882" s="1">
        <v>0.0</v>
      </c>
      <c r="M882" s="1">
        <v>0.0</v>
      </c>
      <c r="N882" s="1">
        <v>0.0</v>
      </c>
      <c r="O882" s="1">
        <v>0.0</v>
      </c>
      <c r="P882" s="1">
        <v>2.0</v>
      </c>
      <c r="Q882" s="1">
        <v>1.0</v>
      </c>
    </row>
    <row r="883">
      <c r="A883" s="1">
        <f t="shared" si="1"/>
        <v>881</v>
      </c>
      <c r="B883" s="1" t="s">
        <v>1958</v>
      </c>
      <c r="C883" s="1" t="s">
        <v>1030</v>
      </c>
      <c r="D883" s="1" t="s">
        <v>66</v>
      </c>
      <c r="E883" s="1">
        <f t="shared" si="2"/>
        <v>8.25</v>
      </c>
      <c r="F883" s="1">
        <f t="shared" si="3"/>
        <v>2.06</v>
      </c>
      <c r="G883" s="1">
        <v>4.0</v>
      </c>
      <c r="H883" s="1">
        <v>1.0</v>
      </c>
      <c r="I883" s="1">
        <v>0.0</v>
      </c>
      <c r="J883" s="1">
        <v>1.0</v>
      </c>
      <c r="K883" s="1">
        <v>5.0</v>
      </c>
      <c r="L883" s="1">
        <v>0.0</v>
      </c>
      <c r="M883" s="1">
        <v>0.0</v>
      </c>
      <c r="N883" s="1">
        <v>0.0</v>
      </c>
      <c r="O883" s="1">
        <v>0.0</v>
      </c>
      <c r="P883" s="1">
        <v>1.0</v>
      </c>
      <c r="Q883" s="1">
        <v>2.0</v>
      </c>
    </row>
    <row r="884">
      <c r="A884" s="1">
        <f t="shared" si="1"/>
        <v>881</v>
      </c>
      <c r="B884" s="1" t="s">
        <v>2781</v>
      </c>
      <c r="C884" s="1" t="s">
        <v>1040</v>
      </c>
      <c r="D884" s="1" t="s">
        <v>28</v>
      </c>
      <c r="E884" s="1">
        <f t="shared" si="2"/>
        <v>8.25</v>
      </c>
      <c r="F884" s="1">
        <f t="shared" si="3"/>
        <v>2.06</v>
      </c>
      <c r="G884" s="1">
        <v>4.0</v>
      </c>
      <c r="H884" s="1">
        <v>1.0</v>
      </c>
      <c r="I884" s="1">
        <v>0.0</v>
      </c>
      <c r="J884" s="1">
        <v>1.0</v>
      </c>
      <c r="K884" s="1">
        <v>3.0</v>
      </c>
      <c r="L884" s="1">
        <v>0.0</v>
      </c>
      <c r="M884" s="1">
        <v>0.0</v>
      </c>
      <c r="N884" s="1">
        <v>0.0</v>
      </c>
      <c r="O884" s="1">
        <v>0.0</v>
      </c>
      <c r="P884" s="1">
        <v>7.0</v>
      </c>
      <c r="Q884" s="1">
        <v>1.0</v>
      </c>
    </row>
    <row r="885">
      <c r="A885" s="1">
        <f t="shared" si="1"/>
        <v>881</v>
      </c>
      <c r="B885" s="1" t="s">
        <v>1630</v>
      </c>
      <c r="C885" s="1" t="s">
        <v>1156</v>
      </c>
      <c r="D885" s="1" t="s">
        <v>28</v>
      </c>
      <c r="E885" s="1">
        <f t="shared" si="2"/>
        <v>8.25</v>
      </c>
      <c r="F885" s="1">
        <f t="shared" si="3"/>
        <v>1.03</v>
      </c>
      <c r="G885" s="1">
        <v>8.0</v>
      </c>
      <c r="H885" s="1">
        <v>1.0</v>
      </c>
      <c r="I885" s="1">
        <v>0.0</v>
      </c>
      <c r="J885" s="1">
        <v>1.0</v>
      </c>
      <c r="K885" s="1">
        <v>5.0</v>
      </c>
      <c r="L885" s="1">
        <v>0.0</v>
      </c>
      <c r="M885" s="1">
        <v>0.0</v>
      </c>
      <c r="N885" s="1">
        <v>0.0</v>
      </c>
      <c r="O885" s="1">
        <v>0.0</v>
      </c>
      <c r="P885" s="1">
        <v>5.0</v>
      </c>
      <c r="Q885" s="1">
        <v>0.0</v>
      </c>
    </row>
    <row r="886">
      <c r="A886" s="1">
        <f t="shared" si="1"/>
        <v>881</v>
      </c>
      <c r="B886" s="1" t="s">
        <v>1803</v>
      </c>
      <c r="C886" s="1" t="s">
        <v>1078</v>
      </c>
      <c r="D886" s="1" t="s">
        <v>31</v>
      </c>
      <c r="E886" s="1">
        <f t="shared" si="2"/>
        <v>8.25</v>
      </c>
      <c r="F886" s="1">
        <f t="shared" si="3"/>
        <v>1.65</v>
      </c>
      <c r="G886" s="1">
        <v>5.0</v>
      </c>
      <c r="H886" s="1">
        <v>0.0</v>
      </c>
      <c r="I886" s="1">
        <v>1.0</v>
      </c>
      <c r="J886" s="1">
        <v>1.0</v>
      </c>
      <c r="K886" s="1">
        <v>6.0</v>
      </c>
      <c r="L886" s="1">
        <v>0.0</v>
      </c>
      <c r="M886" s="1">
        <v>0.0</v>
      </c>
      <c r="N886" s="1">
        <v>0.0</v>
      </c>
      <c r="O886" s="1">
        <v>0.0</v>
      </c>
      <c r="P886" s="1">
        <v>5.0</v>
      </c>
      <c r="Q886" s="1">
        <v>2.0</v>
      </c>
    </row>
    <row r="887">
      <c r="A887" s="1">
        <f t="shared" si="1"/>
        <v>881</v>
      </c>
      <c r="B887" s="1" t="s">
        <v>2507</v>
      </c>
      <c r="C887" s="1" t="s">
        <v>1091</v>
      </c>
      <c r="D887" s="1" t="s">
        <v>66</v>
      </c>
      <c r="E887" s="1">
        <f t="shared" si="2"/>
        <v>8.25</v>
      </c>
      <c r="F887" s="1">
        <f t="shared" si="3"/>
        <v>1.65</v>
      </c>
      <c r="G887" s="1">
        <v>5.0</v>
      </c>
      <c r="H887" s="1">
        <v>0.0</v>
      </c>
      <c r="I887" s="1">
        <v>0.0</v>
      </c>
      <c r="J887" s="1">
        <v>0.0</v>
      </c>
      <c r="K887" s="1">
        <v>5.0</v>
      </c>
      <c r="L887" s="1">
        <v>0.0</v>
      </c>
      <c r="M887" s="1">
        <v>0.0</v>
      </c>
      <c r="N887" s="1">
        <v>0.0</v>
      </c>
      <c r="O887" s="1">
        <v>0.0</v>
      </c>
      <c r="P887" s="1">
        <v>9.0</v>
      </c>
      <c r="Q887" s="1">
        <v>7.0</v>
      </c>
    </row>
    <row r="888">
      <c r="A888" s="1">
        <f t="shared" si="1"/>
        <v>886</v>
      </c>
      <c r="B888" s="1" t="s">
        <v>2252</v>
      </c>
      <c r="C888" s="1" t="s">
        <v>1085</v>
      </c>
      <c r="D888" s="1" t="s">
        <v>66</v>
      </c>
      <c r="E888" s="1">
        <f t="shared" si="2"/>
        <v>8</v>
      </c>
      <c r="F888" s="1">
        <f t="shared" si="3"/>
        <v>1.6</v>
      </c>
      <c r="G888" s="1">
        <v>5.0</v>
      </c>
      <c r="H888" s="1">
        <v>0.0</v>
      </c>
      <c r="I888" s="1">
        <v>1.0</v>
      </c>
      <c r="J888" s="1">
        <v>1.0</v>
      </c>
      <c r="K888" s="1">
        <v>5.0</v>
      </c>
      <c r="L888" s="1">
        <v>0.0</v>
      </c>
      <c r="M888" s="1">
        <v>0.0</v>
      </c>
      <c r="N888" s="1">
        <v>0.0</v>
      </c>
      <c r="O888" s="1">
        <v>0.0</v>
      </c>
      <c r="P888" s="1">
        <v>6.0</v>
      </c>
      <c r="Q888" s="1">
        <v>2.0</v>
      </c>
    </row>
    <row r="889">
      <c r="A889" s="1">
        <f t="shared" si="1"/>
        <v>887</v>
      </c>
      <c r="B889" s="1" t="s">
        <v>2782</v>
      </c>
      <c r="C889" s="1" t="s">
        <v>1120</v>
      </c>
      <c r="D889" s="1" t="s">
        <v>28</v>
      </c>
      <c r="E889" s="1">
        <f t="shared" si="2"/>
        <v>7.5</v>
      </c>
      <c r="F889" s="1">
        <f t="shared" si="3"/>
        <v>0.75</v>
      </c>
      <c r="G889" s="1">
        <v>10.0</v>
      </c>
      <c r="H889" s="1">
        <v>0.0</v>
      </c>
      <c r="I889" s="1">
        <v>0.0</v>
      </c>
      <c r="J889" s="1">
        <v>0.0</v>
      </c>
      <c r="K889" s="1">
        <v>8.0</v>
      </c>
      <c r="L889" s="1">
        <v>0.0</v>
      </c>
      <c r="M889" s="1">
        <v>0.0</v>
      </c>
      <c r="N889" s="1">
        <v>0.0</v>
      </c>
      <c r="O889" s="1">
        <v>0.0</v>
      </c>
      <c r="P889" s="1">
        <v>4.0</v>
      </c>
      <c r="Q889" s="1">
        <v>5.0</v>
      </c>
    </row>
    <row r="890">
      <c r="A890" s="1">
        <f t="shared" si="1"/>
        <v>887</v>
      </c>
      <c r="B890" s="1" t="s">
        <v>2263</v>
      </c>
      <c r="C890" s="1" t="s">
        <v>1040</v>
      </c>
      <c r="D890" s="1" t="s">
        <v>31</v>
      </c>
      <c r="E890" s="1">
        <f t="shared" si="2"/>
        <v>7.5</v>
      </c>
      <c r="F890" s="1">
        <f t="shared" si="3"/>
        <v>0.75</v>
      </c>
      <c r="G890" s="1">
        <v>10.0</v>
      </c>
      <c r="H890" s="1">
        <v>0.0</v>
      </c>
      <c r="I890" s="1">
        <v>0.0</v>
      </c>
      <c r="J890" s="1">
        <v>0.0</v>
      </c>
      <c r="K890" s="1">
        <v>9.0</v>
      </c>
      <c r="L890" s="1">
        <v>0.0</v>
      </c>
      <c r="M890" s="1">
        <v>0.0</v>
      </c>
      <c r="N890" s="1">
        <v>0.0</v>
      </c>
      <c r="O890" s="1">
        <v>0.0</v>
      </c>
      <c r="P890" s="1">
        <v>6.0</v>
      </c>
      <c r="Q890" s="1">
        <v>3.0</v>
      </c>
    </row>
    <row r="891">
      <c r="A891" s="1">
        <f t="shared" si="1"/>
        <v>889</v>
      </c>
      <c r="B891" s="1" t="s">
        <v>2783</v>
      </c>
      <c r="C891" s="1" t="s">
        <v>1078</v>
      </c>
      <c r="D891" s="1" t="s">
        <v>66</v>
      </c>
      <c r="E891" s="1">
        <f t="shared" si="2"/>
        <v>7.25</v>
      </c>
      <c r="F891" s="1">
        <f t="shared" si="3"/>
        <v>1.81</v>
      </c>
      <c r="G891" s="1">
        <v>4.0</v>
      </c>
      <c r="H891" s="1">
        <v>0.0</v>
      </c>
      <c r="I891" s="1">
        <v>1.0</v>
      </c>
      <c r="J891" s="1">
        <v>1.0</v>
      </c>
      <c r="K891" s="1">
        <v>2.0</v>
      </c>
      <c r="L891" s="1">
        <v>0.0</v>
      </c>
      <c r="M891" s="1">
        <v>0.0</v>
      </c>
      <c r="N891" s="1">
        <v>0.0</v>
      </c>
      <c r="O891" s="1">
        <v>0.0</v>
      </c>
      <c r="P891" s="1">
        <v>5.0</v>
      </c>
      <c r="Q891" s="1">
        <v>4.0</v>
      </c>
    </row>
    <row r="892">
      <c r="A892" s="1">
        <f t="shared" si="1"/>
        <v>889</v>
      </c>
      <c r="B892" s="1" t="s">
        <v>2332</v>
      </c>
      <c r="C892" s="1" t="s">
        <v>1570</v>
      </c>
      <c r="D892" s="1" t="s">
        <v>66</v>
      </c>
      <c r="E892" s="1">
        <f t="shared" si="2"/>
        <v>7.25</v>
      </c>
      <c r="F892" s="1">
        <f t="shared" si="3"/>
        <v>1.45</v>
      </c>
      <c r="G892" s="1">
        <v>5.0</v>
      </c>
      <c r="H892" s="1">
        <v>0.0</v>
      </c>
      <c r="I892" s="1">
        <v>0.0</v>
      </c>
      <c r="J892" s="1">
        <v>0.0</v>
      </c>
      <c r="K892" s="1">
        <v>6.0</v>
      </c>
      <c r="L892" s="1">
        <v>0.0</v>
      </c>
      <c r="M892" s="1">
        <v>0.0</v>
      </c>
      <c r="N892" s="1">
        <v>0.0</v>
      </c>
      <c r="O892" s="1">
        <v>0.0</v>
      </c>
      <c r="P892" s="1">
        <v>3.0</v>
      </c>
      <c r="Q892" s="1">
        <v>7.0</v>
      </c>
    </row>
    <row r="893">
      <c r="A893" s="1">
        <f t="shared" si="1"/>
        <v>889</v>
      </c>
      <c r="B893" s="1" t="s">
        <v>2625</v>
      </c>
      <c r="C893" s="1" t="s">
        <v>1044</v>
      </c>
      <c r="D893" s="1" t="s">
        <v>66</v>
      </c>
      <c r="E893" s="1">
        <f t="shared" si="2"/>
        <v>7.25</v>
      </c>
      <c r="F893" s="1">
        <f t="shared" si="3"/>
        <v>1.45</v>
      </c>
      <c r="G893" s="1">
        <v>5.0</v>
      </c>
      <c r="H893" s="1">
        <v>0.0</v>
      </c>
      <c r="I893" s="1">
        <v>0.0</v>
      </c>
      <c r="J893" s="1">
        <v>0.0</v>
      </c>
      <c r="K893" s="1">
        <v>3.0</v>
      </c>
      <c r="L893" s="1">
        <v>0.0</v>
      </c>
      <c r="M893" s="1">
        <v>0.0</v>
      </c>
      <c r="N893" s="1">
        <v>0.0</v>
      </c>
      <c r="O893" s="1">
        <v>0.0</v>
      </c>
      <c r="P893" s="1">
        <v>13.0</v>
      </c>
      <c r="Q893" s="1">
        <v>5.0</v>
      </c>
    </row>
    <row r="894">
      <c r="A894" s="1">
        <f t="shared" si="1"/>
        <v>889</v>
      </c>
      <c r="B894" s="1" t="s">
        <v>2784</v>
      </c>
      <c r="C894" s="1" t="s">
        <v>1116</v>
      </c>
      <c r="D894" s="1" t="s">
        <v>66</v>
      </c>
      <c r="E894" s="1">
        <f t="shared" si="2"/>
        <v>7.25</v>
      </c>
      <c r="F894" s="1">
        <f t="shared" si="3"/>
        <v>1.81</v>
      </c>
      <c r="G894" s="1">
        <v>4.0</v>
      </c>
      <c r="H894" s="1">
        <v>0.0</v>
      </c>
      <c r="I894" s="1">
        <v>1.0</v>
      </c>
      <c r="J894" s="1">
        <v>1.0</v>
      </c>
      <c r="K894" s="1">
        <v>2.0</v>
      </c>
      <c r="L894" s="1">
        <v>0.0</v>
      </c>
      <c r="M894" s="1">
        <v>0.0</v>
      </c>
      <c r="N894" s="1">
        <v>0.0</v>
      </c>
      <c r="O894" s="1">
        <v>0.0</v>
      </c>
      <c r="P894" s="1">
        <v>3.0</v>
      </c>
      <c r="Q894" s="1">
        <v>5.0</v>
      </c>
    </row>
    <row r="895">
      <c r="A895" s="1">
        <f t="shared" si="1"/>
        <v>893</v>
      </c>
      <c r="B895" s="1" t="s">
        <v>1495</v>
      </c>
      <c r="C895" s="1" t="s">
        <v>1073</v>
      </c>
      <c r="D895" s="1" t="s">
        <v>5</v>
      </c>
      <c r="E895" s="1">
        <f t="shared" si="2"/>
        <v>7.2</v>
      </c>
      <c r="F895" s="1">
        <f t="shared" si="3"/>
        <v>7.2</v>
      </c>
      <c r="G895" s="1">
        <v>1.0</v>
      </c>
      <c r="R895" s="1">
        <v>1.0</v>
      </c>
      <c r="S895" s="1">
        <v>2.0</v>
      </c>
      <c r="T895" s="1">
        <v>24.0</v>
      </c>
      <c r="U895" s="1">
        <v>0.0</v>
      </c>
    </row>
    <row r="896">
      <c r="A896" s="1">
        <f t="shared" si="1"/>
        <v>894</v>
      </c>
      <c r="B896" s="1" t="s">
        <v>2677</v>
      </c>
      <c r="C896" s="1" t="s">
        <v>1156</v>
      </c>
      <c r="D896" s="1" t="s">
        <v>31</v>
      </c>
      <c r="E896" s="1">
        <f t="shared" si="2"/>
        <v>7</v>
      </c>
      <c r="F896" s="1">
        <f t="shared" si="3"/>
        <v>0.88</v>
      </c>
      <c r="G896" s="1">
        <v>8.0</v>
      </c>
      <c r="H896" s="1">
        <v>0.0</v>
      </c>
      <c r="I896" s="1">
        <v>0.0</v>
      </c>
      <c r="J896" s="1">
        <v>0.0</v>
      </c>
      <c r="K896" s="1">
        <v>3.0</v>
      </c>
      <c r="L896" s="1">
        <v>0.0</v>
      </c>
      <c r="M896" s="1">
        <v>0.0</v>
      </c>
      <c r="N896" s="1">
        <v>0.0</v>
      </c>
      <c r="O896" s="1">
        <v>0.0</v>
      </c>
      <c r="P896" s="1">
        <v>16.0</v>
      </c>
      <c r="Q896" s="1">
        <v>3.0</v>
      </c>
    </row>
    <row r="897">
      <c r="A897" s="1">
        <f t="shared" si="1"/>
        <v>894</v>
      </c>
      <c r="B897" s="1" t="s">
        <v>2314</v>
      </c>
      <c r="C897" s="1" t="s">
        <v>1570</v>
      </c>
      <c r="D897" s="1" t="s">
        <v>28</v>
      </c>
      <c r="E897" s="1">
        <f t="shared" si="2"/>
        <v>7</v>
      </c>
      <c r="F897" s="1">
        <f t="shared" si="3"/>
        <v>1</v>
      </c>
      <c r="G897" s="1">
        <v>7.0</v>
      </c>
      <c r="H897" s="1">
        <v>0.0</v>
      </c>
      <c r="I897" s="1">
        <v>0.0</v>
      </c>
      <c r="J897" s="1">
        <v>0.0</v>
      </c>
      <c r="K897" s="1">
        <v>8.0</v>
      </c>
      <c r="L897" s="1">
        <v>0.0</v>
      </c>
      <c r="M897" s="1">
        <v>0.0</v>
      </c>
      <c r="N897" s="1">
        <v>0.0</v>
      </c>
      <c r="O897" s="1">
        <v>0.0</v>
      </c>
      <c r="P897" s="1">
        <v>10.0</v>
      </c>
      <c r="Q897" s="1">
        <v>1.0</v>
      </c>
    </row>
    <row r="898">
      <c r="A898" s="1">
        <f t="shared" si="1"/>
        <v>894</v>
      </c>
      <c r="B898" s="1" t="s">
        <v>2785</v>
      </c>
      <c r="C898" s="1" t="s">
        <v>1065</v>
      </c>
      <c r="D898" s="1" t="s">
        <v>36</v>
      </c>
      <c r="E898" s="1">
        <f t="shared" si="2"/>
        <v>7</v>
      </c>
      <c r="F898" s="1">
        <f t="shared" si="3"/>
        <v>1</v>
      </c>
      <c r="G898" s="1">
        <v>7.0</v>
      </c>
      <c r="H898" s="1">
        <v>0.0</v>
      </c>
      <c r="I898" s="1">
        <v>0.0</v>
      </c>
      <c r="J898" s="1">
        <v>0.0</v>
      </c>
      <c r="K898" s="1">
        <v>6.0</v>
      </c>
      <c r="L898" s="1">
        <v>0.0</v>
      </c>
      <c r="M898" s="1">
        <v>0.0</v>
      </c>
      <c r="N898" s="1">
        <v>0.0</v>
      </c>
      <c r="O898" s="1">
        <v>0.0</v>
      </c>
      <c r="P898" s="1">
        <v>14.0</v>
      </c>
      <c r="Q898" s="1">
        <v>1.0</v>
      </c>
    </row>
    <row r="899">
      <c r="A899" s="1">
        <f t="shared" si="1"/>
        <v>894</v>
      </c>
      <c r="B899" s="1" t="s">
        <v>2628</v>
      </c>
      <c r="C899" s="1" t="s">
        <v>1052</v>
      </c>
      <c r="D899" s="1" t="s">
        <v>31</v>
      </c>
      <c r="E899" s="1">
        <f t="shared" si="2"/>
        <v>7</v>
      </c>
      <c r="F899" s="1">
        <f t="shared" si="3"/>
        <v>0.78</v>
      </c>
      <c r="G899" s="1">
        <v>9.0</v>
      </c>
      <c r="H899" s="1">
        <v>0.0</v>
      </c>
      <c r="I899" s="1">
        <v>0.0</v>
      </c>
      <c r="J899" s="1">
        <v>0.0</v>
      </c>
      <c r="K899" s="1">
        <v>8.0</v>
      </c>
      <c r="L899" s="1">
        <v>0.0</v>
      </c>
      <c r="M899" s="1">
        <v>0.0</v>
      </c>
      <c r="N899" s="1">
        <v>0.0</v>
      </c>
      <c r="O899" s="1">
        <v>0.0</v>
      </c>
      <c r="P899" s="1">
        <v>10.0</v>
      </c>
      <c r="Q899" s="1">
        <v>1.0</v>
      </c>
    </row>
    <row r="900">
      <c r="A900" s="1">
        <f t="shared" si="1"/>
        <v>898</v>
      </c>
      <c r="B900" s="1" t="s">
        <v>2121</v>
      </c>
      <c r="C900" s="1" t="s">
        <v>1030</v>
      </c>
      <c r="D900" s="1" t="s">
        <v>5</v>
      </c>
      <c r="E900" s="1">
        <f t="shared" si="2"/>
        <v>6.9</v>
      </c>
      <c r="F900" s="1">
        <f t="shared" si="3"/>
        <v>3.45</v>
      </c>
      <c r="G900" s="1">
        <v>2.0</v>
      </c>
      <c r="R900" s="1">
        <v>0.0</v>
      </c>
      <c r="S900" s="1">
        <v>2.0</v>
      </c>
      <c r="T900" s="1">
        <v>33.0</v>
      </c>
      <c r="U900" s="1">
        <v>0.0</v>
      </c>
    </row>
    <row r="901">
      <c r="A901" s="1">
        <f t="shared" si="1"/>
        <v>899</v>
      </c>
      <c r="B901" s="1" t="s">
        <v>2449</v>
      </c>
      <c r="C901" s="1" t="s">
        <v>1038</v>
      </c>
      <c r="D901" s="1" t="s">
        <v>36</v>
      </c>
      <c r="E901" s="1">
        <f t="shared" si="2"/>
        <v>6.75</v>
      </c>
      <c r="F901" s="1">
        <f t="shared" si="3"/>
        <v>3.38</v>
      </c>
      <c r="G901" s="1">
        <v>2.0</v>
      </c>
      <c r="H901" s="1">
        <v>1.0</v>
      </c>
      <c r="I901" s="1">
        <v>0.0</v>
      </c>
      <c r="J901" s="1">
        <v>1.0</v>
      </c>
      <c r="K901" s="1">
        <v>4.0</v>
      </c>
      <c r="L901" s="1">
        <v>0.0</v>
      </c>
      <c r="M901" s="1">
        <v>0.0</v>
      </c>
      <c r="N901" s="1">
        <v>0.0</v>
      </c>
      <c r="O901" s="1">
        <v>0.0</v>
      </c>
      <c r="P901" s="1">
        <v>1.0</v>
      </c>
      <c r="Q901" s="1">
        <v>0.0</v>
      </c>
    </row>
    <row r="902">
      <c r="A902" s="1">
        <f t="shared" si="1"/>
        <v>899</v>
      </c>
      <c r="B902" s="1" t="s">
        <v>2120</v>
      </c>
      <c r="C902" s="1" t="s">
        <v>1175</v>
      </c>
      <c r="D902" s="1" t="s">
        <v>31</v>
      </c>
      <c r="E902" s="1">
        <f t="shared" si="2"/>
        <v>6.75</v>
      </c>
      <c r="F902" s="1">
        <f t="shared" si="3"/>
        <v>0.84</v>
      </c>
      <c r="G902" s="1">
        <v>8.0</v>
      </c>
      <c r="H902" s="1">
        <v>0.0</v>
      </c>
      <c r="I902" s="1">
        <v>0.0</v>
      </c>
      <c r="J902" s="1">
        <v>0.0</v>
      </c>
      <c r="K902" s="1">
        <v>6.0</v>
      </c>
      <c r="L902" s="1">
        <v>0.0</v>
      </c>
      <c r="M902" s="1">
        <v>0.0</v>
      </c>
      <c r="N902" s="1">
        <v>0.0</v>
      </c>
      <c r="O902" s="1">
        <v>0.0</v>
      </c>
      <c r="P902" s="1">
        <v>13.0</v>
      </c>
      <c r="Q902" s="1">
        <v>1.0</v>
      </c>
    </row>
    <row r="903">
      <c r="A903" s="1">
        <f t="shared" si="1"/>
        <v>899</v>
      </c>
      <c r="B903" s="1" t="s">
        <v>2648</v>
      </c>
      <c r="C903" s="1" t="s">
        <v>1120</v>
      </c>
      <c r="D903" s="1" t="s">
        <v>66</v>
      </c>
      <c r="E903" s="1">
        <f t="shared" si="2"/>
        <v>6.75</v>
      </c>
      <c r="F903" s="1">
        <f t="shared" si="3"/>
        <v>1.69</v>
      </c>
      <c r="G903" s="1">
        <v>4.0</v>
      </c>
      <c r="H903" s="1">
        <v>0.0</v>
      </c>
      <c r="I903" s="1">
        <v>1.0</v>
      </c>
      <c r="J903" s="1">
        <v>1.0</v>
      </c>
      <c r="K903" s="1">
        <v>2.0</v>
      </c>
      <c r="L903" s="1">
        <v>0.0</v>
      </c>
      <c r="M903" s="1">
        <v>0.0</v>
      </c>
      <c r="N903" s="1">
        <v>0.0</v>
      </c>
      <c r="O903" s="1">
        <v>0.0</v>
      </c>
      <c r="P903" s="1">
        <v>3.0</v>
      </c>
      <c r="Q903" s="1">
        <v>4.0</v>
      </c>
    </row>
    <row r="904">
      <c r="A904" s="1">
        <f t="shared" si="1"/>
        <v>899</v>
      </c>
      <c r="B904" s="1" t="s">
        <v>2786</v>
      </c>
      <c r="C904" s="1" t="s">
        <v>1570</v>
      </c>
      <c r="D904" s="1" t="s">
        <v>66</v>
      </c>
      <c r="E904" s="1">
        <f t="shared" si="2"/>
        <v>6.75</v>
      </c>
      <c r="F904" s="1">
        <f t="shared" si="3"/>
        <v>1.35</v>
      </c>
      <c r="G904" s="1">
        <v>5.0</v>
      </c>
      <c r="H904" s="1">
        <v>0.0</v>
      </c>
      <c r="I904" s="1">
        <v>0.0</v>
      </c>
      <c r="J904" s="1">
        <v>0.0</v>
      </c>
      <c r="K904" s="1">
        <v>5.0</v>
      </c>
      <c r="L904" s="1">
        <v>0.0</v>
      </c>
      <c r="M904" s="1">
        <v>0.0</v>
      </c>
      <c r="N904" s="1">
        <v>0.0</v>
      </c>
      <c r="O904" s="1">
        <v>0.0</v>
      </c>
      <c r="P904" s="1">
        <v>7.0</v>
      </c>
      <c r="Q904" s="1">
        <v>5.0</v>
      </c>
    </row>
    <row r="905">
      <c r="A905" s="1">
        <f t="shared" si="1"/>
        <v>899</v>
      </c>
      <c r="B905" s="1" t="s">
        <v>2156</v>
      </c>
      <c r="C905" s="1" t="s">
        <v>1046</v>
      </c>
      <c r="D905" s="1" t="s">
        <v>66</v>
      </c>
      <c r="E905" s="1">
        <f t="shared" si="2"/>
        <v>6.75</v>
      </c>
      <c r="F905" s="1">
        <f t="shared" si="3"/>
        <v>0.84</v>
      </c>
      <c r="G905" s="1">
        <v>8.0</v>
      </c>
      <c r="H905" s="1">
        <v>0.0</v>
      </c>
      <c r="I905" s="1">
        <v>0.0</v>
      </c>
      <c r="J905" s="1">
        <v>0.0</v>
      </c>
      <c r="K905" s="1">
        <v>5.0</v>
      </c>
      <c r="L905" s="1">
        <v>0.0</v>
      </c>
      <c r="M905" s="1">
        <v>0.0</v>
      </c>
      <c r="N905" s="1">
        <v>0.0</v>
      </c>
      <c r="O905" s="1">
        <v>0.0</v>
      </c>
      <c r="P905" s="1">
        <v>3.0</v>
      </c>
      <c r="Q905" s="1">
        <v>7.0</v>
      </c>
    </row>
    <row r="906">
      <c r="A906" s="1">
        <f t="shared" si="1"/>
        <v>904</v>
      </c>
      <c r="B906" s="1" t="s">
        <v>1662</v>
      </c>
      <c r="C906" s="1" t="s">
        <v>1042</v>
      </c>
      <c r="D906" s="1" t="s">
        <v>31</v>
      </c>
      <c r="E906" s="1">
        <f t="shared" si="2"/>
        <v>6.5</v>
      </c>
      <c r="F906" s="1">
        <f t="shared" si="3"/>
        <v>1.08</v>
      </c>
      <c r="G906" s="1">
        <v>6.0</v>
      </c>
      <c r="H906" s="1">
        <v>0.0</v>
      </c>
      <c r="I906" s="1">
        <v>0.0</v>
      </c>
      <c r="J906" s="1">
        <v>0.0</v>
      </c>
      <c r="K906" s="1">
        <v>5.0</v>
      </c>
      <c r="L906" s="1">
        <v>0.0</v>
      </c>
      <c r="M906" s="1">
        <v>0.0</v>
      </c>
      <c r="N906" s="1">
        <v>0.0</v>
      </c>
      <c r="O906" s="1">
        <v>0.0</v>
      </c>
      <c r="P906" s="1">
        <v>10.0</v>
      </c>
      <c r="Q906" s="1">
        <v>3.0</v>
      </c>
    </row>
    <row r="907">
      <c r="A907" s="1">
        <f t="shared" si="1"/>
        <v>904</v>
      </c>
      <c r="B907" s="1" t="s">
        <v>2787</v>
      </c>
      <c r="C907" s="1" t="s">
        <v>1570</v>
      </c>
      <c r="D907" s="1" t="s">
        <v>31</v>
      </c>
      <c r="E907" s="1">
        <f t="shared" si="2"/>
        <v>6.5</v>
      </c>
      <c r="F907" s="1">
        <f t="shared" si="3"/>
        <v>1.3</v>
      </c>
      <c r="G907" s="1">
        <v>5.0</v>
      </c>
      <c r="H907" s="1">
        <v>0.0</v>
      </c>
      <c r="I907" s="1">
        <v>0.0</v>
      </c>
      <c r="J907" s="1">
        <v>0.0</v>
      </c>
      <c r="K907" s="1">
        <v>4.0</v>
      </c>
      <c r="L907" s="1">
        <v>0.0</v>
      </c>
      <c r="M907" s="1">
        <v>0.0</v>
      </c>
      <c r="N907" s="1">
        <v>0.0</v>
      </c>
      <c r="O907" s="1">
        <v>0.0</v>
      </c>
      <c r="P907" s="1">
        <v>14.0</v>
      </c>
      <c r="Q907" s="1">
        <v>2.0</v>
      </c>
    </row>
    <row r="908">
      <c r="A908" s="1">
        <f t="shared" si="1"/>
        <v>906</v>
      </c>
      <c r="B908" s="1" t="s">
        <v>2561</v>
      </c>
      <c r="C908" s="1" t="s">
        <v>1054</v>
      </c>
      <c r="D908" s="1" t="s">
        <v>66</v>
      </c>
      <c r="E908" s="1">
        <f t="shared" si="2"/>
        <v>6.25</v>
      </c>
      <c r="F908" s="1">
        <f t="shared" si="3"/>
        <v>3.13</v>
      </c>
      <c r="G908" s="1">
        <v>2.0</v>
      </c>
      <c r="H908" s="1">
        <v>1.0</v>
      </c>
      <c r="I908" s="1">
        <v>0.0</v>
      </c>
      <c r="J908" s="1">
        <v>1.0</v>
      </c>
      <c r="K908" s="1">
        <v>2.0</v>
      </c>
      <c r="L908" s="1">
        <v>0.0</v>
      </c>
      <c r="M908" s="1">
        <v>0.0</v>
      </c>
      <c r="N908" s="1">
        <v>0.0</v>
      </c>
      <c r="O908" s="1">
        <v>0.0</v>
      </c>
      <c r="P908" s="1">
        <v>1.0</v>
      </c>
      <c r="Q908" s="1">
        <v>1.0</v>
      </c>
    </row>
    <row r="909">
      <c r="A909" s="1">
        <f t="shared" si="1"/>
        <v>906</v>
      </c>
      <c r="B909" s="1" t="s">
        <v>2520</v>
      </c>
      <c r="C909" s="1" t="s">
        <v>1036</v>
      </c>
      <c r="D909" s="1" t="s">
        <v>36</v>
      </c>
      <c r="E909" s="1">
        <f t="shared" si="2"/>
        <v>6.25</v>
      </c>
      <c r="F909" s="1">
        <f t="shared" si="3"/>
        <v>1.04</v>
      </c>
      <c r="G909" s="1">
        <v>6.0</v>
      </c>
      <c r="H909" s="1">
        <v>0.0</v>
      </c>
      <c r="I909" s="1">
        <v>0.0</v>
      </c>
      <c r="J909" s="1">
        <v>0.0</v>
      </c>
      <c r="K909" s="1">
        <v>6.0</v>
      </c>
      <c r="L909" s="1">
        <v>0.0</v>
      </c>
      <c r="M909" s="1">
        <v>0.0</v>
      </c>
      <c r="N909" s="1">
        <v>0.0</v>
      </c>
      <c r="O909" s="1">
        <v>0.0</v>
      </c>
      <c r="P909" s="1">
        <v>9.0</v>
      </c>
      <c r="Q909" s="1">
        <v>2.0</v>
      </c>
    </row>
    <row r="910">
      <c r="A910" s="1">
        <f t="shared" si="1"/>
        <v>906</v>
      </c>
      <c r="B910" s="1" t="s">
        <v>2394</v>
      </c>
      <c r="C910" s="1" t="s">
        <v>1040</v>
      </c>
      <c r="D910" s="1" t="s">
        <v>28</v>
      </c>
      <c r="E910" s="1">
        <f t="shared" si="2"/>
        <v>6.25</v>
      </c>
      <c r="F910" s="1">
        <f t="shared" si="3"/>
        <v>1.56</v>
      </c>
      <c r="G910" s="1">
        <v>4.0</v>
      </c>
      <c r="H910" s="1">
        <v>0.0</v>
      </c>
      <c r="I910" s="1">
        <v>0.0</v>
      </c>
      <c r="J910" s="1">
        <v>0.0</v>
      </c>
      <c r="K910" s="1">
        <v>2.0</v>
      </c>
      <c r="L910" s="1">
        <v>0.0</v>
      </c>
      <c r="M910" s="1">
        <v>0.0</v>
      </c>
      <c r="N910" s="1">
        <v>0.0</v>
      </c>
      <c r="O910" s="1">
        <v>0.0</v>
      </c>
      <c r="P910" s="1">
        <v>15.0</v>
      </c>
      <c r="Q910" s="1">
        <v>3.0</v>
      </c>
    </row>
    <row r="911">
      <c r="A911" s="1">
        <f t="shared" si="1"/>
        <v>909</v>
      </c>
      <c r="B911" s="1" t="s">
        <v>1346</v>
      </c>
      <c r="C911" s="1" t="s">
        <v>1052</v>
      </c>
      <c r="D911" s="1" t="s">
        <v>5</v>
      </c>
      <c r="E911" s="1">
        <f t="shared" si="2"/>
        <v>6</v>
      </c>
      <c r="F911" s="1">
        <f t="shared" si="3"/>
        <v>3</v>
      </c>
      <c r="G911" s="1">
        <v>2.0</v>
      </c>
      <c r="R911" s="1">
        <v>0.0</v>
      </c>
      <c r="S911" s="1">
        <v>7.0</v>
      </c>
      <c r="T911" s="1">
        <v>55.0</v>
      </c>
      <c r="U911" s="1">
        <v>0.0</v>
      </c>
    </row>
    <row r="912">
      <c r="A912" s="1">
        <f t="shared" si="1"/>
        <v>910</v>
      </c>
      <c r="B912" s="1" t="s">
        <v>1739</v>
      </c>
      <c r="C912" s="1" t="s">
        <v>1030</v>
      </c>
      <c r="D912" s="1" t="s">
        <v>66</v>
      </c>
      <c r="E912" s="1">
        <f t="shared" si="2"/>
        <v>5.75</v>
      </c>
      <c r="F912" s="1">
        <f t="shared" si="3"/>
        <v>2.88</v>
      </c>
      <c r="G912" s="1">
        <v>2.0</v>
      </c>
      <c r="H912" s="1">
        <v>1.0</v>
      </c>
      <c r="I912" s="1">
        <v>0.0</v>
      </c>
      <c r="J912" s="1">
        <v>1.0</v>
      </c>
      <c r="K912" s="1">
        <v>1.0</v>
      </c>
      <c r="L912" s="1">
        <v>0.0</v>
      </c>
      <c r="M912" s="1">
        <v>0.0</v>
      </c>
      <c r="N912" s="1">
        <v>0.0</v>
      </c>
      <c r="O912" s="1">
        <v>0.0</v>
      </c>
      <c r="P912" s="1">
        <v>1.0</v>
      </c>
      <c r="Q912" s="1">
        <v>1.0</v>
      </c>
    </row>
    <row r="913">
      <c r="A913" s="1">
        <f t="shared" si="1"/>
        <v>911</v>
      </c>
      <c r="B913" s="1" t="s">
        <v>1849</v>
      </c>
      <c r="C913" s="1" t="s">
        <v>1048</v>
      </c>
      <c r="D913" s="1" t="s">
        <v>28</v>
      </c>
      <c r="E913" s="1">
        <f t="shared" si="2"/>
        <v>5.5</v>
      </c>
      <c r="F913" s="1">
        <f t="shared" si="3"/>
        <v>2.75</v>
      </c>
      <c r="G913" s="1">
        <v>2.0</v>
      </c>
      <c r="H913" s="1">
        <v>1.0</v>
      </c>
      <c r="I913" s="1">
        <v>0.0</v>
      </c>
      <c r="J913" s="1">
        <v>1.0</v>
      </c>
      <c r="K913" s="1">
        <v>1.0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1.0</v>
      </c>
    </row>
    <row r="914">
      <c r="A914" s="1">
        <f t="shared" si="1"/>
        <v>911</v>
      </c>
      <c r="B914" s="1" t="s">
        <v>2788</v>
      </c>
      <c r="C914" s="1" t="s">
        <v>1046</v>
      </c>
      <c r="D914" s="1" t="s">
        <v>31</v>
      </c>
      <c r="E914" s="1">
        <f t="shared" si="2"/>
        <v>5.5</v>
      </c>
      <c r="F914" s="1">
        <f t="shared" si="3"/>
        <v>1.38</v>
      </c>
      <c r="G914" s="1">
        <v>4.0</v>
      </c>
      <c r="H914" s="1">
        <v>0.0</v>
      </c>
      <c r="I914" s="1">
        <v>1.0</v>
      </c>
      <c r="J914" s="1">
        <v>1.0</v>
      </c>
      <c r="K914" s="1">
        <v>2.0</v>
      </c>
      <c r="L914" s="1">
        <v>0.0</v>
      </c>
      <c r="M914" s="1">
        <v>0.0</v>
      </c>
      <c r="N914" s="1">
        <v>0.0</v>
      </c>
      <c r="O914" s="1">
        <v>0.0</v>
      </c>
      <c r="P914" s="1">
        <v>4.0</v>
      </c>
      <c r="Q914" s="1">
        <v>1.0</v>
      </c>
    </row>
    <row r="915">
      <c r="A915" s="1">
        <f t="shared" si="1"/>
        <v>911</v>
      </c>
      <c r="B915" s="1" t="s">
        <v>2369</v>
      </c>
      <c r="C915" s="1" t="s">
        <v>1076</v>
      </c>
      <c r="D915" s="1" t="s">
        <v>66</v>
      </c>
      <c r="E915" s="1">
        <f t="shared" si="2"/>
        <v>5.5</v>
      </c>
      <c r="F915" s="1">
        <f t="shared" si="3"/>
        <v>1.38</v>
      </c>
      <c r="G915" s="1">
        <v>4.0</v>
      </c>
      <c r="H915" s="1">
        <v>0.0</v>
      </c>
      <c r="I915" s="1">
        <v>0.0</v>
      </c>
      <c r="J915" s="1">
        <v>0.0</v>
      </c>
      <c r="K915" s="1">
        <v>4.0</v>
      </c>
      <c r="L915" s="1">
        <v>0.0</v>
      </c>
      <c r="M915" s="1">
        <v>0.0</v>
      </c>
      <c r="N915" s="1">
        <v>0.0</v>
      </c>
      <c r="O915" s="1">
        <v>0.0</v>
      </c>
      <c r="P915" s="1">
        <v>10.0</v>
      </c>
      <c r="Q915" s="1">
        <v>2.0</v>
      </c>
    </row>
    <row r="916">
      <c r="A916" s="1">
        <f t="shared" si="1"/>
        <v>911</v>
      </c>
      <c r="B916" s="1" t="s">
        <v>1330</v>
      </c>
      <c r="C916" s="1" t="s">
        <v>1067</v>
      </c>
      <c r="D916" s="1" t="s">
        <v>66</v>
      </c>
      <c r="E916" s="1">
        <f t="shared" si="2"/>
        <v>5.5</v>
      </c>
      <c r="F916" s="1">
        <f t="shared" si="3"/>
        <v>1.38</v>
      </c>
      <c r="G916" s="1">
        <v>4.0</v>
      </c>
      <c r="H916" s="1">
        <v>0.0</v>
      </c>
      <c r="I916" s="1">
        <v>0.0</v>
      </c>
      <c r="J916" s="1">
        <v>0.0</v>
      </c>
      <c r="K916" s="1">
        <v>2.0</v>
      </c>
      <c r="L916" s="1">
        <v>0.0</v>
      </c>
      <c r="M916" s="1">
        <v>0.0</v>
      </c>
      <c r="N916" s="1">
        <v>0.0</v>
      </c>
      <c r="O916" s="1">
        <v>0.0</v>
      </c>
      <c r="P916" s="1">
        <v>12.0</v>
      </c>
      <c r="Q916" s="1">
        <v>3.0</v>
      </c>
    </row>
    <row r="917">
      <c r="A917" s="1">
        <f t="shared" si="1"/>
        <v>911</v>
      </c>
      <c r="B917" s="1" t="s">
        <v>2789</v>
      </c>
      <c r="C917" s="1" t="s">
        <v>1570</v>
      </c>
      <c r="D917" s="1" t="s">
        <v>66</v>
      </c>
      <c r="E917" s="1">
        <f t="shared" si="2"/>
        <v>5.5</v>
      </c>
      <c r="F917" s="1">
        <f t="shared" si="3"/>
        <v>1.83</v>
      </c>
      <c r="G917" s="1">
        <v>3.0</v>
      </c>
      <c r="H917" s="1">
        <v>0.0</v>
      </c>
      <c r="I917" s="1">
        <v>1.0</v>
      </c>
      <c r="J917" s="1">
        <v>1.0</v>
      </c>
      <c r="K917" s="1">
        <v>3.0</v>
      </c>
      <c r="L917" s="1">
        <v>0.0</v>
      </c>
      <c r="M917" s="1">
        <v>0.0</v>
      </c>
      <c r="N917" s="1">
        <v>0.0</v>
      </c>
      <c r="O917" s="1">
        <v>0.0</v>
      </c>
      <c r="P917" s="1">
        <v>2.0</v>
      </c>
      <c r="Q917" s="1">
        <v>1.0</v>
      </c>
    </row>
    <row r="918">
      <c r="A918" s="1">
        <f t="shared" si="1"/>
        <v>916</v>
      </c>
      <c r="B918" s="1" t="s">
        <v>1653</v>
      </c>
      <c r="C918" s="1" t="s">
        <v>1106</v>
      </c>
      <c r="D918" s="1" t="s">
        <v>31</v>
      </c>
      <c r="E918" s="1">
        <f t="shared" si="2"/>
        <v>5.25</v>
      </c>
      <c r="F918" s="1">
        <f t="shared" si="3"/>
        <v>1.75</v>
      </c>
      <c r="G918" s="1">
        <v>3.0</v>
      </c>
      <c r="H918" s="1">
        <v>0.0</v>
      </c>
      <c r="I918" s="1">
        <v>1.0</v>
      </c>
      <c r="J918" s="1">
        <v>1.0</v>
      </c>
      <c r="K918" s="1">
        <v>2.0</v>
      </c>
      <c r="L918" s="1">
        <v>0.0</v>
      </c>
      <c r="M918" s="1">
        <v>0.0</v>
      </c>
      <c r="N918" s="1">
        <v>0.0</v>
      </c>
      <c r="O918" s="1">
        <v>0.0</v>
      </c>
      <c r="P918" s="1">
        <v>5.0</v>
      </c>
      <c r="Q918" s="1">
        <v>0.0</v>
      </c>
    </row>
    <row r="919">
      <c r="A919" s="1">
        <f t="shared" si="1"/>
        <v>916</v>
      </c>
      <c r="B919" s="1" t="s">
        <v>1639</v>
      </c>
      <c r="C919" s="1" t="s">
        <v>1054</v>
      </c>
      <c r="D919" s="1" t="s">
        <v>31</v>
      </c>
      <c r="E919" s="1">
        <f t="shared" si="2"/>
        <v>5.25</v>
      </c>
      <c r="F919" s="1">
        <f t="shared" si="3"/>
        <v>2.63</v>
      </c>
      <c r="G919" s="1">
        <v>2.0</v>
      </c>
      <c r="H919" s="1">
        <v>0.0</v>
      </c>
      <c r="I919" s="1">
        <v>0.0</v>
      </c>
      <c r="J919" s="1">
        <v>0.0</v>
      </c>
      <c r="K919" s="1">
        <v>7.0</v>
      </c>
      <c r="L919" s="1">
        <v>0.0</v>
      </c>
      <c r="M919" s="1">
        <v>0.0</v>
      </c>
      <c r="N919" s="1">
        <v>0.0</v>
      </c>
      <c r="O919" s="1">
        <v>0.0</v>
      </c>
      <c r="P919" s="1">
        <v>3.0</v>
      </c>
      <c r="Q919" s="1">
        <v>2.0</v>
      </c>
    </row>
    <row r="920">
      <c r="A920" s="1">
        <f t="shared" si="1"/>
        <v>916</v>
      </c>
      <c r="B920" s="1" t="s">
        <v>2790</v>
      </c>
      <c r="C920" s="1" t="s">
        <v>1570</v>
      </c>
      <c r="D920" s="1" t="s">
        <v>66</v>
      </c>
      <c r="E920" s="1">
        <f t="shared" si="2"/>
        <v>5.25</v>
      </c>
      <c r="F920" s="1">
        <f t="shared" si="3"/>
        <v>1.75</v>
      </c>
      <c r="G920" s="1">
        <v>3.0</v>
      </c>
      <c r="H920" s="1">
        <v>0.0</v>
      </c>
      <c r="I920" s="1">
        <v>1.0</v>
      </c>
      <c r="J920" s="1">
        <v>1.0</v>
      </c>
      <c r="K920" s="1">
        <v>1.0</v>
      </c>
      <c r="L920" s="1">
        <v>0.0</v>
      </c>
      <c r="M920" s="1">
        <v>1.0</v>
      </c>
      <c r="N920" s="1">
        <v>0.0</v>
      </c>
      <c r="O920" s="1">
        <v>0.0</v>
      </c>
      <c r="P920" s="1">
        <v>1.0</v>
      </c>
      <c r="Q920" s="1">
        <v>3.0</v>
      </c>
    </row>
    <row r="921">
      <c r="A921" s="1">
        <f t="shared" si="1"/>
        <v>919</v>
      </c>
      <c r="B921" s="1" t="s">
        <v>2791</v>
      </c>
      <c r="C921" s="1" t="s">
        <v>1042</v>
      </c>
      <c r="D921" s="1" t="s">
        <v>66</v>
      </c>
      <c r="E921" s="1">
        <f t="shared" si="2"/>
        <v>5</v>
      </c>
      <c r="F921" s="1">
        <f t="shared" si="3"/>
        <v>2.5</v>
      </c>
      <c r="G921" s="1">
        <v>2.0</v>
      </c>
      <c r="H921" s="1">
        <v>0.0</v>
      </c>
      <c r="I921" s="1">
        <v>1.0</v>
      </c>
      <c r="J921" s="1">
        <v>1.0</v>
      </c>
      <c r="K921" s="1">
        <v>1.0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3.0</v>
      </c>
    </row>
    <row r="922">
      <c r="A922" s="1">
        <f t="shared" si="1"/>
        <v>919</v>
      </c>
      <c r="B922" s="1" t="s">
        <v>2792</v>
      </c>
      <c r="C922" s="1" t="s">
        <v>1082</v>
      </c>
      <c r="D922" s="1" t="s">
        <v>66</v>
      </c>
      <c r="E922" s="1">
        <f t="shared" si="2"/>
        <v>5</v>
      </c>
      <c r="F922" s="1">
        <f t="shared" si="3"/>
        <v>1.25</v>
      </c>
      <c r="G922" s="1">
        <v>4.0</v>
      </c>
      <c r="H922" s="1">
        <v>0.0</v>
      </c>
      <c r="I922" s="1">
        <v>0.0</v>
      </c>
      <c r="J922" s="1">
        <v>0.0</v>
      </c>
      <c r="K922" s="1">
        <v>2.0</v>
      </c>
      <c r="L922" s="1">
        <v>0.0</v>
      </c>
      <c r="M922" s="1">
        <v>0.0</v>
      </c>
      <c r="N922" s="1">
        <v>0.0</v>
      </c>
      <c r="O922" s="1">
        <v>0.0</v>
      </c>
      <c r="P922" s="1">
        <v>16.0</v>
      </c>
      <c r="Q922" s="1">
        <v>0.0</v>
      </c>
    </row>
    <row r="923">
      <c r="A923" s="1">
        <f t="shared" si="1"/>
        <v>919</v>
      </c>
      <c r="B923" s="1" t="s">
        <v>2793</v>
      </c>
      <c r="C923" s="1" t="s">
        <v>1085</v>
      </c>
      <c r="D923" s="1" t="s">
        <v>66</v>
      </c>
      <c r="E923" s="1">
        <f t="shared" si="2"/>
        <v>5</v>
      </c>
      <c r="F923" s="1">
        <f t="shared" si="3"/>
        <v>1.25</v>
      </c>
      <c r="G923" s="1">
        <v>4.0</v>
      </c>
      <c r="H923" s="1">
        <v>0.0</v>
      </c>
      <c r="I923" s="1">
        <v>1.0</v>
      </c>
      <c r="J923" s="1">
        <v>1.0</v>
      </c>
      <c r="K923" s="1">
        <v>2.0</v>
      </c>
      <c r="L923" s="1">
        <v>0.0</v>
      </c>
      <c r="M923" s="1">
        <v>0.0</v>
      </c>
      <c r="N923" s="1">
        <v>0.0</v>
      </c>
      <c r="O923" s="1">
        <v>0.0</v>
      </c>
      <c r="P923" s="1">
        <v>2.0</v>
      </c>
      <c r="Q923" s="1">
        <v>1.0</v>
      </c>
    </row>
    <row r="924">
      <c r="A924" s="1">
        <f t="shared" si="1"/>
        <v>922</v>
      </c>
      <c r="B924" s="1" t="s">
        <v>1574</v>
      </c>
      <c r="C924" s="1" t="s">
        <v>1091</v>
      </c>
      <c r="D924" s="1" t="s">
        <v>31</v>
      </c>
      <c r="E924" s="1">
        <f t="shared" si="2"/>
        <v>4.5</v>
      </c>
      <c r="F924" s="1">
        <f t="shared" si="3"/>
        <v>0.5</v>
      </c>
      <c r="G924" s="1">
        <v>9.0</v>
      </c>
      <c r="H924" s="1">
        <v>0.0</v>
      </c>
      <c r="I924" s="1">
        <v>0.0</v>
      </c>
      <c r="J924" s="1">
        <v>0.0</v>
      </c>
      <c r="K924" s="1">
        <v>2.0</v>
      </c>
      <c r="L924" s="1">
        <v>0.0</v>
      </c>
      <c r="M924" s="1">
        <v>0.0</v>
      </c>
      <c r="N924" s="1">
        <v>0.0</v>
      </c>
      <c r="O924" s="1">
        <v>0.0</v>
      </c>
      <c r="P924" s="1">
        <v>14.0</v>
      </c>
      <c r="Q924" s="1">
        <v>0.0</v>
      </c>
    </row>
    <row r="925">
      <c r="A925" s="1">
        <f t="shared" si="1"/>
        <v>922</v>
      </c>
      <c r="B925" s="1" t="s">
        <v>2794</v>
      </c>
      <c r="C925" s="1" t="s">
        <v>1044</v>
      </c>
      <c r="D925" s="1" t="s">
        <v>36</v>
      </c>
      <c r="E925" s="1">
        <f t="shared" si="2"/>
        <v>4.5</v>
      </c>
      <c r="F925" s="1">
        <f t="shared" si="3"/>
        <v>0.75</v>
      </c>
      <c r="G925" s="1">
        <v>6.0</v>
      </c>
      <c r="H925" s="1">
        <v>0.0</v>
      </c>
      <c r="I925" s="1">
        <v>0.0</v>
      </c>
      <c r="J925" s="1">
        <v>0.0</v>
      </c>
      <c r="K925" s="1">
        <v>2.0</v>
      </c>
      <c r="L925" s="1">
        <v>0.0</v>
      </c>
      <c r="M925" s="1">
        <v>0.0</v>
      </c>
      <c r="N925" s="1">
        <v>0.0</v>
      </c>
      <c r="O925" s="1">
        <v>0.0</v>
      </c>
      <c r="P925" s="1">
        <v>8.0</v>
      </c>
      <c r="Q925" s="1">
        <v>3.0</v>
      </c>
    </row>
    <row r="926">
      <c r="A926" s="1">
        <f t="shared" si="1"/>
        <v>922</v>
      </c>
      <c r="B926" s="1" t="s">
        <v>2308</v>
      </c>
      <c r="C926" s="1" t="s">
        <v>1073</v>
      </c>
      <c r="D926" s="1" t="s">
        <v>28</v>
      </c>
      <c r="E926" s="1">
        <f t="shared" si="2"/>
        <v>4.5</v>
      </c>
      <c r="F926" s="1">
        <f t="shared" si="3"/>
        <v>0.64</v>
      </c>
      <c r="G926" s="1">
        <v>7.0</v>
      </c>
      <c r="H926" s="1">
        <v>0.0</v>
      </c>
      <c r="I926" s="1">
        <v>0.0</v>
      </c>
      <c r="J926" s="1">
        <v>0.0</v>
      </c>
      <c r="K926" s="1">
        <v>6.0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3.0</v>
      </c>
    </row>
    <row r="927">
      <c r="A927" s="1">
        <f t="shared" si="1"/>
        <v>925</v>
      </c>
      <c r="B927" s="1" t="s">
        <v>2331</v>
      </c>
      <c r="C927" s="1" t="s">
        <v>1116</v>
      </c>
      <c r="D927" s="1" t="s">
        <v>28</v>
      </c>
      <c r="E927" s="1">
        <f t="shared" si="2"/>
        <v>4.25</v>
      </c>
      <c r="F927" s="1">
        <f t="shared" si="3"/>
        <v>0.85</v>
      </c>
      <c r="G927" s="1">
        <v>5.0</v>
      </c>
      <c r="H927" s="1">
        <v>0.0</v>
      </c>
      <c r="I927" s="1">
        <v>1.0</v>
      </c>
      <c r="J927" s="1">
        <v>1.0</v>
      </c>
      <c r="K927" s="1">
        <v>1.0</v>
      </c>
      <c r="L927" s="1">
        <v>0.0</v>
      </c>
      <c r="M927" s="1">
        <v>0.0</v>
      </c>
      <c r="N927" s="1">
        <v>0.0</v>
      </c>
      <c r="O927" s="1">
        <v>0.0</v>
      </c>
      <c r="P927" s="1">
        <v>1.0</v>
      </c>
      <c r="Q927" s="1">
        <v>1.0</v>
      </c>
    </row>
    <row r="928">
      <c r="A928" s="1">
        <f t="shared" si="1"/>
        <v>925</v>
      </c>
      <c r="B928" s="1" t="s">
        <v>2689</v>
      </c>
      <c r="C928" s="1" t="s">
        <v>1038</v>
      </c>
      <c r="D928" s="1" t="s">
        <v>36</v>
      </c>
      <c r="E928" s="1">
        <f t="shared" si="2"/>
        <v>4.25</v>
      </c>
      <c r="F928" s="1">
        <f t="shared" si="3"/>
        <v>0.61</v>
      </c>
      <c r="G928" s="1">
        <v>7.0</v>
      </c>
      <c r="H928" s="1">
        <v>0.0</v>
      </c>
      <c r="I928" s="1">
        <v>0.0</v>
      </c>
      <c r="J928" s="1">
        <v>0.0</v>
      </c>
      <c r="K928" s="1">
        <v>4.0</v>
      </c>
      <c r="L928" s="1">
        <v>0.0</v>
      </c>
      <c r="M928" s="1">
        <v>0.0</v>
      </c>
      <c r="N928" s="1">
        <v>0.0</v>
      </c>
      <c r="O928" s="1">
        <v>0.0</v>
      </c>
      <c r="P928" s="1">
        <v>3.0</v>
      </c>
      <c r="Q928" s="1">
        <v>3.0</v>
      </c>
    </row>
    <row r="929">
      <c r="A929" s="1">
        <f t="shared" si="1"/>
        <v>925</v>
      </c>
      <c r="B929" s="1" t="s">
        <v>1308</v>
      </c>
      <c r="C929" s="1" t="s">
        <v>1175</v>
      </c>
      <c r="D929" s="1" t="s">
        <v>66</v>
      </c>
      <c r="E929" s="1">
        <f t="shared" si="2"/>
        <v>4.25</v>
      </c>
      <c r="F929" s="1">
        <f t="shared" si="3"/>
        <v>1.42</v>
      </c>
      <c r="G929" s="1">
        <v>3.0</v>
      </c>
      <c r="H929" s="1">
        <v>0.0</v>
      </c>
      <c r="I929" s="1">
        <v>1.0</v>
      </c>
      <c r="J929" s="1">
        <v>1.0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1.0</v>
      </c>
      <c r="Q929" s="1">
        <v>2.0</v>
      </c>
    </row>
    <row r="930">
      <c r="A930" s="1">
        <f t="shared" si="1"/>
        <v>928</v>
      </c>
      <c r="B930" s="1" t="s">
        <v>2795</v>
      </c>
      <c r="C930" s="1" t="s">
        <v>1080</v>
      </c>
      <c r="D930" s="1" t="s">
        <v>66</v>
      </c>
      <c r="E930" s="1">
        <f t="shared" si="2"/>
        <v>4</v>
      </c>
      <c r="F930" s="1">
        <f t="shared" si="3"/>
        <v>4</v>
      </c>
      <c r="G930" s="1">
        <v>1.0</v>
      </c>
      <c r="H930" s="1">
        <v>0.0</v>
      </c>
      <c r="I930" s="1">
        <v>1.0</v>
      </c>
      <c r="J930" s="1">
        <v>1.0</v>
      </c>
      <c r="K930" s="1">
        <v>1.0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1.0</v>
      </c>
    </row>
    <row r="931">
      <c r="A931" s="1">
        <f t="shared" si="1"/>
        <v>928</v>
      </c>
      <c r="B931" s="1" t="s">
        <v>2432</v>
      </c>
      <c r="C931" s="1" t="s">
        <v>1156</v>
      </c>
      <c r="D931" s="1" t="s">
        <v>31</v>
      </c>
      <c r="E931" s="1">
        <f t="shared" si="2"/>
        <v>4</v>
      </c>
      <c r="F931" s="1">
        <f t="shared" si="3"/>
        <v>2</v>
      </c>
      <c r="G931" s="1">
        <v>2.0</v>
      </c>
      <c r="H931" s="1">
        <v>0.0</v>
      </c>
      <c r="I931" s="1">
        <v>0.0</v>
      </c>
      <c r="J931" s="1">
        <v>0.0</v>
      </c>
      <c r="K931" s="1">
        <v>2.0</v>
      </c>
      <c r="L931" s="1">
        <v>0.0</v>
      </c>
      <c r="M931" s="1">
        <v>0.0</v>
      </c>
      <c r="N931" s="1">
        <v>0.0</v>
      </c>
      <c r="O931" s="1">
        <v>0.0</v>
      </c>
      <c r="P931" s="1">
        <v>10.0</v>
      </c>
      <c r="Q931" s="1">
        <v>1.0</v>
      </c>
    </row>
    <row r="932">
      <c r="A932" s="1">
        <f t="shared" si="1"/>
        <v>930</v>
      </c>
      <c r="B932" s="1" t="s">
        <v>2796</v>
      </c>
      <c r="C932" s="1" t="s">
        <v>1085</v>
      </c>
      <c r="D932" s="1" t="s">
        <v>5</v>
      </c>
      <c r="E932" s="1">
        <f t="shared" si="2"/>
        <v>3.9</v>
      </c>
      <c r="F932" s="1">
        <f t="shared" si="3"/>
        <v>1.95</v>
      </c>
      <c r="G932" s="1">
        <v>2.0</v>
      </c>
      <c r="R932" s="1">
        <v>0.0</v>
      </c>
      <c r="S932" s="1">
        <v>1.0</v>
      </c>
      <c r="T932" s="1">
        <v>18.0</v>
      </c>
      <c r="U932" s="1">
        <v>0.0</v>
      </c>
    </row>
    <row r="933">
      <c r="A933" s="1">
        <f t="shared" si="1"/>
        <v>931</v>
      </c>
      <c r="B933" s="1" t="s">
        <v>2162</v>
      </c>
      <c r="C933" s="1" t="s">
        <v>1156</v>
      </c>
      <c r="D933" s="1" t="s">
        <v>31</v>
      </c>
      <c r="E933" s="1">
        <f t="shared" si="2"/>
        <v>3.5</v>
      </c>
      <c r="F933" s="1">
        <f t="shared" si="3"/>
        <v>3.5</v>
      </c>
      <c r="G933" s="1">
        <v>1.0</v>
      </c>
      <c r="H933" s="1">
        <v>0.0</v>
      </c>
      <c r="I933" s="1">
        <v>1.0</v>
      </c>
      <c r="J933" s="1">
        <v>1.0</v>
      </c>
      <c r="K933" s="1">
        <v>1.0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</row>
    <row r="934">
      <c r="A934" s="1">
        <f t="shared" si="1"/>
        <v>931</v>
      </c>
      <c r="B934" s="1" t="s">
        <v>1623</v>
      </c>
      <c r="C934" s="1" t="s">
        <v>1069</v>
      </c>
      <c r="D934" s="1" t="s">
        <v>28</v>
      </c>
      <c r="E934" s="1">
        <f t="shared" si="2"/>
        <v>3.5</v>
      </c>
      <c r="F934" s="1">
        <f t="shared" si="3"/>
        <v>0.88</v>
      </c>
      <c r="G934" s="1">
        <v>4.0</v>
      </c>
      <c r="H934" s="1">
        <v>0.0</v>
      </c>
      <c r="I934" s="1">
        <v>0.0</v>
      </c>
      <c r="J934" s="1">
        <v>0.0</v>
      </c>
      <c r="K934" s="1">
        <v>1.0</v>
      </c>
      <c r="L934" s="1">
        <v>0.0</v>
      </c>
      <c r="M934" s="1">
        <v>0.0</v>
      </c>
      <c r="N934" s="1">
        <v>0.0</v>
      </c>
      <c r="O934" s="1">
        <v>0.0</v>
      </c>
      <c r="P934" s="1">
        <v>12.0</v>
      </c>
      <c r="Q934" s="1">
        <v>0.0</v>
      </c>
    </row>
    <row r="935">
      <c r="A935" s="1">
        <f t="shared" si="1"/>
        <v>933</v>
      </c>
      <c r="B935" s="1" t="s">
        <v>2538</v>
      </c>
      <c r="C935" s="1" t="s">
        <v>1087</v>
      </c>
      <c r="D935" s="1" t="s">
        <v>5</v>
      </c>
      <c r="E935" s="1">
        <f t="shared" si="2"/>
        <v>3.3</v>
      </c>
      <c r="F935" s="1">
        <f t="shared" si="3"/>
        <v>1.65</v>
      </c>
      <c r="G935" s="1">
        <v>2.0</v>
      </c>
      <c r="R935" s="1">
        <v>0.0</v>
      </c>
      <c r="S935" s="1">
        <v>1.0</v>
      </c>
      <c r="T935" s="1">
        <v>16.0</v>
      </c>
      <c r="U935" s="1">
        <v>0.0</v>
      </c>
    </row>
    <row r="936">
      <c r="A936" s="1">
        <f t="shared" si="1"/>
        <v>934</v>
      </c>
      <c r="B936" s="1" t="s">
        <v>2797</v>
      </c>
      <c r="C936" s="1" t="s">
        <v>1156</v>
      </c>
      <c r="D936" s="1" t="s">
        <v>66</v>
      </c>
      <c r="E936" s="1">
        <f t="shared" si="2"/>
        <v>3.25</v>
      </c>
      <c r="F936" s="1">
        <f t="shared" si="3"/>
        <v>0.81</v>
      </c>
      <c r="G936" s="1">
        <v>4.0</v>
      </c>
      <c r="H936" s="1">
        <v>0.0</v>
      </c>
      <c r="I936" s="1">
        <v>0.0</v>
      </c>
      <c r="J936" s="1">
        <v>0.0</v>
      </c>
      <c r="K936" s="1">
        <v>3.0</v>
      </c>
      <c r="L936" s="1">
        <v>0.0</v>
      </c>
      <c r="M936" s="1">
        <v>0.0</v>
      </c>
      <c r="N936" s="1">
        <v>0.0</v>
      </c>
      <c r="O936" s="1">
        <v>0.0</v>
      </c>
      <c r="P936" s="1">
        <v>1.0</v>
      </c>
      <c r="Q936" s="1">
        <v>3.0</v>
      </c>
    </row>
    <row r="937">
      <c r="A937" s="1">
        <f t="shared" si="1"/>
        <v>934</v>
      </c>
      <c r="B937" s="1" t="s">
        <v>2798</v>
      </c>
      <c r="C937" s="1" t="s">
        <v>1120</v>
      </c>
      <c r="D937" s="1" t="s">
        <v>31</v>
      </c>
      <c r="E937" s="1">
        <f t="shared" si="2"/>
        <v>3.25</v>
      </c>
      <c r="F937" s="1">
        <f t="shared" si="3"/>
        <v>0.81</v>
      </c>
      <c r="G937" s="1">
        <v>4.0</v>
      </c>
      <c r="H937" s="1">
        <v>0.0</v>
      </c>
      <c r="I937" s="1">
        <v>0.0</v>
      </c>
      <c r="J937" s="1">
        <v>0.0</v>
      </c>
      <c r="K937" s="1">
        <v>2.0</v>
      </c>
      <c r="L937" s="1">
        <v>0.0</v>
      </c>
      <c r="M937" s="1">
        <v>0.0</v>
      </c>
      <c r="N937" s="1">
        <v>0.0</v>
      </c>
      <c r="O937" s="1">
        <v>0.0</v>
      </c>
      <c r="P937" s="1">
        <v>3.0</v>
      </c>
      <c r="Q937" s="1">
        <v>3.0</v>
      </c>
    </row>
    <row r="938">
      <c r="A938" s="1">
        <f t="shared" si="1"/>
        <v>934</v>
      </c>
      <c r="B938" s="1" t="s">
        <v>1555</v>
      </c>
      <c r="C938" s="1" t="s">
        <v>1044</v>
      </c>
      <c r="D938" s="1" t="s">
        <v>66</v>
      </c>
      <c r="E938" s="1">
        <f t="shared" si="2"/>
        <v>3.25</v>
      </c>
      <c r="F938" s="1">
        <f t="shared" si="3"/>
        <v>1.08</v>
      </c>
      <c r="G938" s="1">
        <v>3.0</v>
      </c>
      <c r="H938" s="1">
        <v>0.0</v>
      </c>
      <c r="I938" s="1">
        <v>0.0</v>
      </c>
      <c r="J938" s="1">
        <v>0.0</v>
      </c>
      <c r="K938" s="1">
        <v>2.0</v>
      </c>
      <c r="L938" s="1">
        <v>0.0</v>
      </c>
      <c r="M938" s="1">
        <v>0.0</v>
      </c>
      <c r="N938" s="1">
        <v>0.0</v>
      </c>
      <c r="O938" s="1">
        <v>0.0</v>
      </c>
      <c r="P938" s="1">
        <v>5.0</v>
      </c>
      <c r="Q938" s="1">
        <v>2.0</v>
      </c>
    </row>
    <row r="939">
      <c r="A939" s="1">
        <f t="shared" si="1"/>
        <v>937</v>
      </c>
      <c r="B939" s="1" t="s">
        <v>1295</v>
      </c>
      <c r="C939" s="1" t="s">
        <v>1044</v>
      </c>
      <c r="D939" s="1" t="s">
        <v>5</v>
      </c>
      <c r="E939" s="1">
        <f t="shared" si="2"/>
        <v>3</v>
      </c>
      <c r="F939" s="1">
        <f t="shared" si="3"/>
        <v>3</v>
      </c>
      <c r="G939" s="1">
        <v>1.0</v>
      </c>
      <c r="R939" s="1">
        <v>0.0</v>
      </c>
      <c r="S939" s="1">
        <v>5.0</v>
      </c>
      <c r="T939" s="1">
        <v>35.0</v>
      </c>
      <c r="U939" s="1">
        <v>0.0</v>
      </c>
    </row>
    <row r="940">
      <c r="A940" s="1">
        <f t="shared" si="1"/>
        <v>937</v>
      </c>
      <c r="B940" s="1" t="s">
        <v>2799</v>
      </c>
      <c r="C940" s="1" t="s">
        <v>1570</v>
      </c>
      <c r="D940" s="1" t="s">
        <v>31</v>
      </c>
      <c r="E940" s="1">
        <f t="shared" si="2"/>
        <v>3</v>
      </c>
      <c r="F940" s="1">
        <f t="shared" si="3"/>
        <v>1.5</v>
      </c>
      <c r="G940" s="1">
        <v>2.0</v>
      </c>
      <c r="H940" s="1">
        <v>0.0</v>
      </c>
      <c r="I940" s="1">
        <v>0.0</v>
      </c>
      <c r="J940" s="1">
        <v>0.0</v>
      </c>
      <c r="K940" s="1">
        <v>3.0</v>
      </c>
      <c r="L940" s="1">
        <v>0.0</v>
      </c>
      <c r="M940" s="1">
        <v>0.0</v>
      </c>
      <c r="N940" s="1">
        <v>0.0</v>
      </c>
      <c r="O940" s="1">
        <v>0.0</v>
      </c>
      <c r="P940" s="1">
        <v>6.0</v>
      </c>
      <c r="Q940" s="1">
        <v>0.0</v>
      </c>
    </row>
    <row r="941">
      <c r="A941" s="1">
        <f t="shared" si="1"/>
        <v>937</v>
      </c>
      <c r="B941" s="1" t="s">
        <v>2413</v>
      </c>
      <c r="C941" s="1" t="s">
        <v>1036</v>
      </c>
      <c r="D941" s="1" t="s">
        <v>31</v>
      </c>
      <c r="E941" s="1">
        <f t="shared" si="2"/>
        <v>3</v>
      </c>
      <c r="F941" s="1">
        <f t="shared" si="3"/>
        <v>0.5</v>
      </c>
      <c r="G941" s="1">
        <v>6.0</v>
      </c>
      <c r="H941" s="1">
        <v>0.0</v>
      </c>
      <c r="I941" s="1">
        <v>0.0</v>
      </c>
      <c r="J941" s="1">
        <v>0.0</v>
      </c>
      <c r="K941" s="1">
        <v>6.0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</row>
    <row r="942">
      <c r="A942" s="1">
        <f t="shared" si="1"/>
        <v>937</v>
      </c>
      <c r="B942" s="1" t="s">
        <v>2800</v>
      </c>
      <c r="C942" s="1" t="s">
        <v>1080</v>
      </c>
      <c r="D942" s="1" t="s">
        <v>28</v>
      </c>
      <c r="E942" s="1">
        <f t="shared" si="2"/>
        <v>3</v>
      </c>
      <c r="F942" s="1">
        <f t="shared" si="3"/>
        <v>1.5</v>
      </c>
      <c r="G942" s="1">
        <v>2.0</v>
      </c>
      <c r="H942" s="1">
        <v>0.0</v>
      </c>
      <c r="I942" s="1">
        <v>0.0</v>
      </c>
      <c r="J942" s="1">
        <v>0.0</v>
      </c>
      <c r="K942" s="1">
        <v>3.0</v>
      </c>
      <c r="L942" s="1">
        <v>0.0</v>
      </c>
      <c r="M942" s="1">
        <v>0.0</v>
      </c>
      <c r="N942" s="1">
        <v>0.0</v>
      </c>
      <c r="O942" s="1">
        <v>0.0</v>
      </c>
      <c r="P942" s="1">
        <v>6.0</v>
      </c>
      <c r="Q942" s="1">
        <v>0.0</v>
      </c>
    </row>
    <row r="943">
      <c r="A943" s="1">
        <f t="shared" si="1"/>
        <v>941</v>
      </c>
      <c r="B943" s="1" t="s">
        <v>1551</v>
      </c>
      <c r="C943" s="1" t="s">
        <v>1156</v>
      </c>
      <c r="D943" s="1" t="s">
        <v>31</v>
      </c>
      <c r="E943" s="1">
        <f t="shared" si="2"/>
        <v>2.75</v>
      </c>
      <c r="F943" s="1">
        <f t="shared" si="3"/>
        <v>0.69</v>
      </c>
      <c r="G943" s="1">
        <v>4.0</v>
      </c>
      <c r="H943" s="1">
        <v>0.0</v>
      </c>
      <c r="I943" s="1">
        <v>0.0</v>
      </c>
      <c r="J943" s="1">
        <v>0.0</v>
      </c>
      <c r="K943" s="1">
        <v>3.0</v>
      </c>
      <c r="L943" s="1">
        <v>0.0</v>
      </c>
      <c r="M943" s="1">
        <v>0.0</v>
      </c>
      <c r="N943" s="1">
        <v>0.0</v>
      </c>
      <c r="O943" s="1">
        <v>0.0</v>
      </c>
      <c r="P943" s="1">
        <v>3.0</v>
      </c>
      <c r="Q943" s="1">
        <v>1.0</v>
      </c>
    </row>
    <row r="944">
      <c r="A944" s="1">
        <f t="shared" si="1"/>
        <v>941</v>
      </c>
      <c r="B944" s="1" t="s">
        <v>1348</v>
      </c>
      <c r="C944" s="1" t="s">
        <v>1080</v>
      </c>
      <c r="D944" s="1" t="s">
        <v>31</v>
      </c>
      <c r="E944" s="1">
        <f t="shared" si="2"/>
        <v>2.75</v>
      </c>
      <c r="F944" s="1">
        <f t="shared" si="3"/>
        <v>0.46</v>
      </c>
      <c r="G944" s="1">
        <v>6.0</v>
      </c>
      <c r="H944" s="1">
        <v>0.0</v>
      </c>
      <c r="I944" s="1">
        <v>0.0</v>
      </c>
      <c r="J944" s="1">
        <v>0.0</v>
      </c>
      <c r="K944" s="1">
        <v>1.0</v>
      </c>
      <c r="L944" s="1">
        <v>0.0</v>
      </c>
      <c r="M944" s="1">
        <v>0.0</v>
      </c>
      <c r="N944" s="1">
        <v>0.0</v>
      </c>
      <c r="O944" s="1">
        <v>0.0</v>
      </c>
      <c r="P944" s="1">
        <v>7.0</v>
      </c>
      <c r="Q944" s="1">
        <v>1.0</v>
      </c>
    </row>
    <row r="945">
      <c r="A945" s="1">
        <f t="shared" si="1"/>
        <v>941</v>
      </c>
      <c r="B945" s="1" t="s">
        <v>2235</v>
      </c>
      <c r="C945" s="1" t="s">
        <v>1570</v>
      </c>
      <c r="D945" s="1" t="s">
        <v>28</v>
      </c>
      <c r="E945" s="1">
        <f t="shared" si="2"/>
        <v>2.75</v>
      </c>
      <c r="F945" s="1">
        <f t="shared" si="3"/>
        <v>0.55</v>
      </c>
      <c r="G945" s="1">
        <v>5.0</v>
      </c>
      <c r="H945" s="1">
        <v>0.0</v>
      </c>
      <c r="I945" s="1">
        <v>0.0</v>
      </c>
      <c r="J945" s="1">
        <v>0.0</v>
      </c>
      <c r="K945" s="1">
        <v>1.0</v>
      </c>
      <c r="L945" s="1">
        <v>0.0</v>
      </c>
      <c r="M945" s="1">
        <v>0.0</v>
      </c>
      <c r="N945" s="1">
        <v>0.0</v>
      </c>
      <c r="O945" s="1">
        <v>0.0</v>
      </c>
      <c r="P945" s="1">
        <v>5.0</v>
      </c>
      <c r="Q945" s="1">
        <v>2.0</v>
      </c>
    </row>
    <row r="946">
      <c r="A946" s="1">
        <f t="shared" si="1"/>
        <v>944</v>
      </c>
      <c r="B946" s="1" t="s">
        <v>2543</v>
      </c>
      <c r="C946" s="1" t="s">
        <v>1046</v>
      </c>
      <c r="D946" s="1" t="s">
        <v>66</v>
      </c>
      <c r="E946" s="1">
        <f t="shared" si="2"/>
        <v>2.5</v>
      </c>
      <c r="F946" s="1">
        <f t="shared" si="3"/>
        <v>1.25</v>
      </c>
      <c r="G946" s="1">
        <v>2.0</v>
      </c>
      <c r="H946" s="1">
        <v>0.0</v>
      </c>
      <c r="I946" s="1">
        <v>0.0</v>
      </c>
      <c r="J946" s="1">
        <v>0.0</v>
      </c>
      <c r="K946" s="1">
        <v>3.0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2.0</v>
      </c>
    </row>
    <row r="947">
      <c r="A947" s="1">
        <f t="shared" si="1"/>
        <v>944</v>
      </c>
      <c r="B947" s="1" t="s">
        <v>2643</v>
      </c>
      <c r="C947" s="1" t="s">
        <v>1034</v>
      </c>
      <c r="D947" s="1" t="s">
        <v>66</v>
      </c>
      <c r="E947" s="1">
        <f t="shared" si="2"/>
        <v>2.5</v>
      </c>
      <c r="F947" s="1">
        <f t="shared" si="3"/>
        <v>1.25</v>
      </c>
      <c r="G947" s="1">
        <v>2.0</v>
      </c>
      <c r="H947" s="1">
        <v>0.0</v>
      </c>
      <c r="I947" s="1">
        <v>0.0</v>
      </c>
      <c r="J947" s="1">
        <v>0.0</v>
      </c>
      <c r="K947" s="1">
        <v>2.0</v>
      </c>
      <c r="L947" s="1">
        <v>0.0</v>
      </c>
      <c r="M947" s="1">
        <v>0.0</v>
      </c>
      <c r="N947" s="1">
        <v>0.0</v>
      </c>
      <c r="O947" s="1">
        <v>0.0</v>
      </c>
      <c r="P947" s="1">
        <v>4.0</v>
      </c>
      <c r="Q947" s="1">
        <v>1.0</v>
      </c>
    </row>
    <row r="948">
      <c r="A948" s="1">
        <f t="shared" si="1"/>
        <v>946</v>
      </c>
      <c r="B948" s="1" t="s">
        <v>2425</v>
      </c>
      <c r="C948" s="1" t="s">
        <v>1065</v>
      </c>
      <c r="D948" s="1" t="s">
        <v>31</v>
      </c>
      <c r="E948" s="1">
        <f t="shared" si="2"/>
        <v>2.25</v>
      </c>
      <c r="F948" s="1">
        <f t="shared" si="3"/>
        <v>2.25</v>
      </c>
      <c r="G948" s="1">
        <v>1.0</v>
      </c>
      <c r="H948" s="1">
        <v>0.0</v>
      </c>
      <c r="I948" s="1">
        <v>0.0</v>
      </c>
      <c r="J948" s="1">
        <v>0.0</v>
      </c>
      <c r="K948" s="1">
        <v>4.0</v>
      </c>
      <c r="L948" s="1">
        <v>0.0</v>
      </c>
      <c r="M948" s="1">
        <v>0.0</v>
      </c>
      <c r="N948" s="1">
        <v>0.0</v>
      </c>
      <c r="O948" s="1">
        <v>0.0</v>
      </c>
      <c r="P948" s="1">
        <v>1.0</v>
      </c>
      <c r="Q948" s="1">
        <v>0.0</v>
      </c>
    </row>
    <row r="949">
      <c r="A949" s="1">
        <f t="shared" si="1"/>
        <v>946</v>
      </c>
      <c r="B949" s="1" t="s">
        <v>1851</v>
      </c>
      <c r="C949" s="1" t="s">
        <v>1054</v>
      </c>
      <c r="D949" s="1" t="s">
        <v>66</v>
      </c>
      <c r="E949" s="1">
        <f t="shared" si="2"/>
        <v>2.25</v>
      </c>
      <c r="F949" s="1">
        <f t="shared" si="3"/>
        <v>1.13</v>
      </c>
      <c r="G949" s="1">
        <v>2.0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1.0</v>
      </c>
      <c r="Q949" s="1">
        <v>4.0</v>
      </c>
    </row>
    <row r="950">
      <c r="A950" s="1">
        <f t="shared" si="1"/>
        <v>948</v>
      </c>
      <c r="B950" s="1" t="s">
        <v>2424</v>
      </c>
      <c r="C950" s="1" t="s">
        <v>1038</v>
      </c>
      <c r="D950" s="1" t="s">
        <v>5</v>
      </c>
      <c r="E950" s="1">
        <f t="shared" si="2"/>
        <v>2.1</v>
      </c>
      <c r="F950" s="1">
        <f t="shared" si="3"/>
        <v>2.1</v>
      </c>
      <c r="G950" s="1">
        <v>1.0</v>
      </c>
      <c r="R950" s="1">
        <v>0.0</v>
      </c>
      <c r="S950" s="1">
        <v>4.0</v>
      </c>
      <c r="T950" s="1">
        <v>27.0</v>
      </c>
      <c r="U950" s="1">
        <v>0.0</v>
      </c>
    </row>
    <row r="951">
      <c r="A951" s="1">
        <f t="shared" si="1"/>
        <v>949</v>
      </c>
      <c r="B951" s="1" t="s">
        <v>1904</v>
      </c>
      <c r="C951" s="1" t="s">
        <v>1078</v>
      </c>
      <c r="D951" s="1" t="s">
        <v>28</v>
      </c>
      <c r="E951" s="1">
        <f t="shared" si="2"/>
        <v>2</v>
      </c>
      <c r="F951" s="1">
        <f t="shared" si="3"/>
        <v>0.29</v>
      </c>
      <c r="G951" s="1">
        <v>7.0</v>
      </c>
      <c r="H951" s="1">
        <v>0.0</v>
      </c>
      <c r="I951" s="1">
        <v>0.0</v>
      </c>
      <c r="J951" s="1">
        <v>0.0</v>
      </c>
      <c r="K951" s="1">
        <v>3.0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1.0</v>
      </c>
    </row>
    <row r="952">
      <c r="A952" s="1">
        <f t="shared" si="1"/>
        <v>949</v>
      </c>
      <c r="B952" s="1" t="s">
        <v>2176</v>
      </c>
      <c r="C952" s="1" t="s">
        <v>1111</v>
      </c>
      <c r="D952" s="1" t="s">
        <v>66</v>
      </c>
      <c r="E952" s="1">
        <f t="shared" si="2"/>
        <v>2</v>
      </c>
      <c r="F952" s="1">
        <f t="shared" si="3"/>
        <v>1</v>
      </c>
      <c r="G952" s="1">
        <v>2.0</v>
      </c>
      <c r="H952" s="1">
        <v>0.0</v>
      </c>
      <c r="I952" s="1">
        <v>0.0</v>
      </c>
      <c r="J952" s="1">
        <v>0.0</v>
      </c>
      <c r="K952" s="1">
        <v>1.0</v>
      </c>
      <c r="L952" s="1">
        <v>0.0</v>
      </c>
      <c r="M952" s="1">
        <v>0.0</v>
      </c>
      <c r="N952" s="1">
        <v>0.0</v>
      </c>
      <c r="O952" s="1">
        <v>0.0</v>
      </c>
      <c r="P952" s="1">
        <v>2.0</v>
      </c>
      <c r="Q952" s="1">
        <v>2.0</v>
      </c>
    </row>
    <row r="953">
      <c r="A953" s="1">
        <f t="shared" si="1"/>
        <v>949</v>
      </c>
      <c r="B953" s="1" t="s">
        <v>2058</v>
      </c>
      <c r="C953" s="1" t="s">
        <v>1038</v>
      </c>
      <c r="D953" s="1" t="s">
        <v>28</v>
      </c>
      <c r="E953" s="1">
        <f t="shared" si="2"/>
        <v>2</v>
      </c>
      <c r="F953" s="1">
        <f t="shared" si="3"/>
        <v>2</v>
      </c>
      <c r="G953" s="1">
        <v>1.0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6.0</v>
      </c>
      <c r="Q953" s="1">
        <v>1.0</v>
      </c>
    </row>
    <row r="954">
      <c r="A954" s="1">
        <f t="shared" si="1"/>
        <v>949</v>
      </c>
      <c r="B954" s="1" t="s">
        <v>2801</v>
      </c>
      <c r="C954" s="1" t="s">
        <v>1048</v>
      </c>
      <c r="D954" s="1" t="s">
        <v>31</v>
      </c>
      <c r="E954" s="1">
        <f t="shared" si="2"/>
        <v>2</v>
      </c>
      <c r="F954" s="1">
        <f t="shared" si="3"/>
        <v>0.67</v>
      </c>
      <c r="G954" s="1">
        <v>3.0</v>
      </c>
      <c r="H954" s="1">
        <v>0.0</v>
      </c>
      <c r="I954" s="1">
        <v>0.0</v>
      </c>
      <c r="J954" s="1">
        <v>0.0</v>
      </c>
      <c r="K954" s="1">
        <v>2.0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2.0</v>
      </c>
    </row>
    <row r="955">
      <c r="A955" s="1">
        <f t="shared" si="1"/>
        <v>949</v>
      </c>
      <c r="B955" s="1" t="s">
        <v>1500</v>
      </c>
      <c r="C955" s="1" t="s">
        <v>1030</v>
      </c>
      <c r="D955" s="1" t="s">
        <v>31</v>
      </c>
      <c r="E955" s="1">
        <f t="shared" si="2"/>
        <v>2</v>
      </c>
      <c r="F955" s="1">
        <f t="shared" si="3"/>
        <v>0.4</v>
      </c>
      <c r="G955" s="1">
        <v>5.0</v>
      </c>
      <c r="H955" s="1">
        <v>0.0</v>
      </c>
      <c r="I955" s="1">
        <v>0.0</v>
      </c>
      <c r="J955" s="1">
        <v>0.0</v>
      </c>
      <c r="K955" s="1">
        <v>1.0</v>
      </c>
      <c r="L955" s="1">
        <v>0.0</v>
      </c>
      <c r="M955" s="1">
        <v>0.0</v>
      </c>
      <c r="N955" s="1">
        <v>0.0</v>
      </c>
      <c r="O955" s="1">
        <v>0.0</v>
      </c>
      <c r="P955" s="1">
        <v>4.0</v>
      </c>
      <c r="Q955" s="1">
        <v>1.0</v>
      </c>
    </row>
    <row r="956">
      <c r="A956" s="1">
        <f t="shared" si="1"/>
        <v>949</v>
      </c>
      <c r="B956" s="1" t="s">
        <v>1749</v>
      </c>
      <c r="C956" s="1" t="s">
        <v>1172</v>
      </c>
      <c r="D956" s="1" t="s">
        <v>66</v>
      </c>
      <c r="E956" s="1">
        <f t="shared" si="2"/>
        <v>2</v>
      </c>
      <c r="F956" s="1">
        <f t="shared" si="3"/>
        <v>2</v>
      </c>
      <c r="G956" s="1">
        <v>1.0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6.0</v>
      </c>
      <c r="Q956" s="1">
        <v>1.0</v>
      </c>
    </row>
    <row r="957">
      <c r="A957" s="1">
        <f t="shared" si="1"/>
        <v>949</v>
      </c>
      <c r="B957" s="1" t="s">
        <v>2551</v>
      </c>
      <c r="C957" s="1" t="s">
        <v>1030</v>
      </c>
      <c r="D957" s="1" t="s">
        <v>66</v>
      </c>
      <c r="E957" s="1">
        <f t="shared" si="2"/>
        <v>2</v>
      </c>
      <c r="F957" s="1">
        <f t="shared" si="3"/>
        <v>1</v>
      </c>
      <c r="G957" s="1">
        <v>2.0</v>
      </c>
      <c r="H957" s="1">
        <v>0.0</v>
      </c>
      <c r="I957" s="1">
        <v>0.0</v>
      </c>
      <c r="J957" s="1">
        <v>0.0</v>
      </c>
      <c r="K957" s="1">
        <v>2.0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2.0</v>
      </c>
    </row>
    <row r="958">
      <c r="A958" s="1">
        <f t="shared" si="1"/>
        <v>949</v>
      </c>
      <c r="B958" s="1" t="s">
        <v>2138</v>
      </c>
      <c r="C958" s="1" t="s">
        <v>1076</v>
      </c>
      <c r="D958" s="1" t="s">
        <v>66</v>
      </c>
      <c r="E958" s="1">
        <f t="shared" si="2"/>
        <v>2</v>
      </c>
      <c r="F958" s="1">
        <f t="shared" si="3"/>
        <v>0.67</v>
      </c>
      <c r="G958" s="1">
        <v>3.0</v>
      </c>
      <c r="H958" s="1">
        <v>0.0</v>
      </c>
      <c r="I958" s="1">
        <v>0.0</v>
      </c>
      <c r="J958" s="1">
        <v>0.0</v>
      </c>
      <c r="K958" s="1">
        <v>1.0</v>
      </c>
      <c r="L958" s="1">
        <v>0.0</v>
      </c>
      <c r="M958" s="1">
        <v>0.0</v>
      </c>
      <c r="N958" s="1">
        <v>0.0</v>
      </c>
      <c r="O958" s="1">
        <v>0.0</v>
      </c>
      <c r="P958" s="1">
        <v>2.0</v>
      </c>
      <c r="Q958" s="1">
        <v>2.0</v>
      </c>
    </row>
    <row r="959">
      <c r="A959" s="1">
        <f t="shared" si="1"/>
        <v>957</v>
      </c>
      <c r="B959" s="1" t="s">
        <v>2126</v>
      </c>
      <c r="C959" s="1" t="s">
        <v>1048</v>
      </c>
      <c r="D959" s="1" t="s">
        <v>66</v>
      </c>
      <c r="E959" s="1">
        <f t="shared" si="2"/>
        <v>1.75</v>
      </c>
      <c r="F959" s="1">
        <f t="shared" si="3"/>
        <v>1.75</v>
      </c>
      <c r="G959" s="1">
        <v>1.0</v>
      </c>
      <c r="H959" s="1">
        <v>0.0</v>
      </c>
      <c r="I959" s="1">
        <v>0.0</v>
      </c>
      <c r="J959" s="1">
        <v>0.0</v>
      </c>
      <c r="K959" s="1">
        <v>1.0</v>
      </c>
      <c r="L959" s="1">
        <v>0.0</v>
      </c>
      <c r="M959" s="1">
        <v>0.0</v>
      </c>
      <c r="N959" s="1">
        <v>0.0</v>
      </c>
      <c r="O959" s="1">
        <v>0.0</v>
      </c>
      <c r="P959" s="1">
        <v>5.0</v>
      </c>
      <c r="Q959" s="1">
        <v>0.0</v>
      </c>
    </row>
    <row r="960">
      <c r="A960" s="1">
        <f t="shared" si="1"/>
        <v>957</v>
      </c>
      <c r="B960" s="1" t="s">
        <v>2802</v>
      </c>
      <c r="C960" s="1" t="s">
        <v>1570</v>
      </c>
      <c r="D960" s="1" t="s">
        <v>28</v>
      </c>
      <c r="E960" s="1">
        <f t="shared" si="2"/>
        <v>1.75</v>
      </c>
      <c r="F960" s="1">
        <f t="shared" si="3"/>
        <v>0.88</v>
      </c>
      <c r="G960" s="1">
        <v>2.0</v>
      </c>
      <c r="H960" s="1">
        <v>0.0</v>
      </c>
      <c r="I960" s="1">
        <v>0.0</v>
      </c>
      <c r="J960" s="1">
        <v>0.0</v>
      </c>
      <c r="K960" s="1">
        <v>1.0</v>
      </c>
      <c r="L960" s="1">
        <v>0.0</v>
      </c>
      <c r="M960" s="1">
        <v>0.0</v>
      </c>
      <c r="N960" s="1">
        <v>0.0</v>
      </c>
      <c r="O960" s="1">
        <v>0.0</v>
      </c>
      <c r="P960" s="1">
        <v>3.0</v>
      </c>
      <c r="Q960" s="1">
        <v>1.0</v>
      </c>
    </row>
    <row r="961">
      <c r="A961" s="1">
        <f t="shared" si="1"/>
        <v>959</v>
      </c>
      <c r="B961" s="1" t="s">
        <v>2574</v>
      </c>
      <c r="C961" s="1" t="s">
        <v>1048</v>
      </c>
      <c r="D961" s="1" t="s">
        <v>66</v>
      </c>
      <c r="E961" s="1">
        <f t="shared" si="2"/>
        <v>1.5</v>
      </c>
      <c r="F961" s="1">
        <f t="shared" si="3"/>
        <v>1.5</v>
      </c>
      <c r="G961" s="1">
        <v>1.0</v>
      </c>
      <c r="H961" s="1">
        <v>0.0</v>
      </c>
      <c r="I961" s="1">
        <v>0.0</v>
      </c>
      <c r="J961" s="1">
        <v>0.0</v>
      </c>
      <c r="K961" s="1">
        <v>1.0</v>
      </c>
      <c r="L961" s="1">
        <v>0.0</v>
      </c>
      <c r="M961" s="1">
        <v>0.0</v>
      </c>
      <c r="N961" s="1">
        <v>0.0</v>
      </c>
      <c r="O961" s="1">
        <v>0.0</v>
      </c>
      <c r="P961" s="1">
        <v>2.0</v>
      </c>
      <c r="Q961" s="1">
        <v>1.0</v>
      </c>
    </row>
    <row r="962">
      <c r="A962" s="1">
        <f t="shared" si="1"/>
        <v>959</v>
      </c>
      <c r="B962" s="1" t="s">
        <v>2803</v>
      </c>
      <c r="C962" s="1" t="s">
        <v>1036</v>
      </c>
      <c r="D962" s="1" t="s">
        <v>36</v>
      </c>
      <c r="E962" s="1">
        <f t="shared" si="2"/>
        <v>1.5</v>
      </c>
      <c r="F962" s="1">
        <f t="shared" si="3"/>
        <v>0.38</v>
      </c>
      <c r="G962" s="1">
        <v>4.0</v>
      </c>
      <c r="H962" s="1">
        <v>0.0</v>
      </c>
      <c r="I962" s="1">
        <v>0.0</v>
      </c>
      <c r="J962" s="1">
        <v>0.0</v>
      </c>
      <c r="K962" s="1">
        <v>1.0</v>
      </c>
      <c r="L962" s="1">
        <v>0.0</v>
      </c>
      <c r="M962" s="1">
        <v>0.0</v>
      </c>
      <c r="N962" s="1">
        <v>0.0</v>
      </c>
      <c r="O962" s="1">
        <v>0.0</v>
      </c>
      <c r="P962" s="1">
        <v>4.0</v>
      </c>
      <c r="Q962" s="1">
        <v>0.0</v>
      </c>
    </row>
    <row r="963">
      <c r="A963" s="1">
        <f t="shared" si="1"/>
        <v>959</v>
      </c>
      <c r="B963" s="1" t="s">
        <v>2674</v>
      </c>
      <c r="C963" s="1" t="s">
        <v>1076</v>
      </c>
      <c r="D963" s="1" t="s">
        <v>66</v>
      </c>
      <c r="E963" s="1">
        <f t="shared" si="2"/>
        <v>1.5</v>
      </c>
      <c r="F963" s="1">
        <f t="shared" si="3"/>
        <v>1.5</v>
      </c>
      <c r="G963" s="1">
        <v>1.0</v>
      </c>
      <c r="H963" s="1">
        <v>0.0</v>
      </c>
      <c r="I963" s="1">
        <v>0.0</v>
      </c>
      <c r="J963" s="1">
        <v>0.0</v>
      </c>
      <c r="K963" s="1">
        <v>1.0</v>
      </c>
      <c r="L963" s="1">
        <v>0.0</v>
      </c>
      <c r="M963" s="1">
        <v>0.0</v>
      </c>
      <c r="N963" s="1">
        <v>0.0</v>
      </c>
      <c r="O963" s="1">
        <v>0.0</v>
      </c>
      <c r="P963" s="1">
        <v>2.0</v>
      </c>
      <c r="Q963" s="1">
        <v>1.0</v>
      </c>
    </row>
    <row r="964">
      <c r="A964" s="1">
        <f t="shared" si="1"/>
        <v>959</v>
      </c>
      <c r="B964" s="1" t="s">
        <v>2804</v>
      </c>
      <c r="C964" s="1" t="s">
        <v>1046</v>
      </c>
      <c r="D964" s="1" t="s">
        <v>66</v>
      </c>
      <c r="E964" s="1">
        <f t="shared" si="2"/>
        <v>1.5</v>
      </c>
      <c r="F964" s="1">
        <f t="shared" si="3"/>
        <v>1.5</v>
      </c>
      <c r="G964" s="1">
        <v>1.0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4.0</v>
      </c>
      <c r="Q964" s="1">
        <v>1.0</v>
      </c>
    </row>
    <row r="965">
      <c r="A965" s="1">
        <f t="shared" si="1"/>
        <v>959</v>
      </c>
      <c r="B965" s="1" t="s">
        <v>2146</v>
      </c>
      <c r="C965" s="1" t="s">
        <v>1044</v>
      </c>
      <c r="D965" s="1" t="s">
        <v>31</v>
      </c>
      <c r="E965" s="1">
        <f t="shared" si="2"/>
        <v>1.5</v>
      </c>
      <c r="F965" s="1">
        <f t="shared" si="3"/>
        <v>0.75</v>
      </c>
      <c r="G965" s="1">
        <v>2.0</v>
      </c>
      <c r="H965" s="1">
        <v>0.0</v>
      </c>
      <c r="I965" s="1">
        <v>0.0</v>
      </c>
      <c r="J965" s="1">
        <v>0.0</v>
      </c>
      <c r="K965" s="1">
        <v>2.0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1.0</v>
      </c>
    </row>
    <row r="966">
      <c r="A966" s="1">
        <f t="shared" si="1"/>
        <v>959</v>
      </c>
      <c r="B966" s="1" t="s">
        <v>2805</v>
      </c>
      <c r="C966" s="1" t="s">
        <v>1065</v>
      </c>
      <c r="D966" s="1" t="s">
        <v>31</v>
      </c>
      <c r="E966" s="1">
        <f t="shared" si="2"/>
        <v>1.5</v>
      </c>
      <c r="F966" s="1">
        <f t="shared" si="3"/>
        <v>1.5</v>
      </c>
      <c r="G966" s="1">
        <v>1.0</v>
      </c>
      <c r="H966" s="1">
        <v>0.0</v>
      </c>
      <c r="I966" s="1">
        <v>0.0</v>
      </c>
      <c r="J966" s="1">
        <v>0.0</v>
      </c>
      <c r="K966" s="1">
        <v>2.0</v>
      </c>
      <c r="L966" s="1">
        <v>0.0</v>
      </c>
      <c r="M966" s="1">
        <v>0.0</v>
      </c>
      <c r="N966" s="1">
        <v>0.0</v>
      </c>
      <c r="O966" s="1">
        <v>0.0</v>
      </c>
      <c r="P966" s="1">
        <v>2.0</v>
      </c>
      <c r="Q966" s="1">
        <v>0.0</v>
      </c>
    </row>
    <row r="967">
      <c r="A967" s="1">
        <f t="shared" si="1"/>
        <v>959</v>
      </c>
      <c r="B967" s="1" t="s">
        <v>2168</v>
      </c>
      <c r="C967" s="1" t="s">
        <v>1042</v>
      </c>
      <c r="D967" s="1" t="s">
        <v>31</v>
      </c>
      <c r="E967" s="1">
        <f t="shared" si="2"/>
        <v>1.5</v>
      </c>
      <c r="F967" s="1">
        <f t="shared" si="3"/>
        <v>1.5</v>
      </c>
      <c r="G967" s="1">
        <v>1.0</v>
      </c>
      <c r="H967" s="1">
        <v>0.0</v>
      </c>
      <c r="I967" s="1">
        <v>0.0</v>
      </c>
      <c r="J967" s="1">
        <v>0.0</v>
      </c>
      <c r="K967" s="1">
        <v>2.0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1.0</v>
      </c>
    </row>
    <row r="968">
      <c r="A968" s="1">
        <f t="shared" si="1"/>
        <v>966</v>
      </c>
      <c r="B968" s="1" t="s">
        <v>2666</v>
      </c>
      <c r="C968" s="1" t="s">
        <v>1116</v>
      </c>
      <c r="D968" s="1" t="s">
        <v>31</v>
      </c>
      <c r="E968" s="1">
        <f t="shared" si="2"/>
        <v>1.25</v>
      </c>
      <c r="F968" s="1">
        <f t="shared" si="3"/>
        <v>0.63</v>
      </c>
      <c r="G968" s="1">
        <v>2.0</v>
      </c>
      <c r="H968" s="1">
        <v>0.0</v>
      </c>
      <c r="I968" s="1">
        <v>0.0</v>
      </c>
      <c r="J968" s="1">
        <v>0.0</v>
      </c>
      <c r="K968" s="1">
        <v>1.0</v>
      </c>
      <c r="L968" s="1">
        <v>0.0</v>
      </c>
      <c r="M968" s="1">
        <v>0.0</v>
      </c>
      <c r="N968" s="1">
        <v>0.0</v>
      </c>
      <c r="O968" s="1">
        <v>0.0</v>
      </c>
      <c r="P968" s="1">
        <v>3.0</v>
      </c>
      <c r="Q968" s="1">
        <v>0.0</v>
      </c>
    </row>
    <row r="969">
      <c r="A969" s="1">
        <f t="shared" si="1"/>
        <v>966</v>
      </c>
      <c r="B969" s="1" t="s">
        <v>2150</v>
      </c>
      <c r="C969" s="1" t="s">
        <v>1038</v>
      </c>
      <c r="D969" s="1" t="s">
        <v>66</v>
      </c>
      <c r="E969" s="1">
        <f t="shared" si="2"/>
        <v>1.25</v>
      </c>
      <c r="F969" s="1">
        <f t="shared" si="3"/>
        <v>0.63</v>
      </c>
      <c r="G969" s="1">
        <v>2.0</v>
      </c>
      <c r="H969" s="1">
        <v>0.0</v>
      </c>
      <c r="I969" s="1">
        <v>0.0</v>
      </c>
      <c r="J969" s="1">
        <v>0.0</v>
      </c>
      <c r="K969" s="1">
        <v>1.0</v>
      </c>
      <c r="L969" s="1">
        <v>0.0</v>
      </c>
      <c r="M969" s="1">
        <v>0.0</v>
      </c>
      <c r="N969" s="1">
        <v>0.0</v>
      </c>
      <c r="O969" s="1">
        <v>0.0</v>
      </c>
      <c r="P969" s="1">
        <v>3.0</v>
      </c>
      <c r="Q969" s="1">
        <v>0.0</v>
      </c>
    </row>
    <row r="970">
      <c r="A970" s="1">
        <f t="shared" si="1"/>
        <v>968</v>
      </c>
      <c r="B970" s="1" t="s">
        <v>2398</v>
      </c>
      <c r="C970" s="1" t="s">
        <v>1040</v>
      </c>
      <c r="D970" s="1" t="s">
        <v>31</v>
      </c>
      <c r="E970" s="1">
        <f t="shared" si="2"/>
        <v>1</v>
      </c>
      <c r="F970" s="1">
        <f t="shared" si="3"/>
        <v>1</v>
      </c>
      <c r="G970" s="1">
        <v>1.0</v>
      </c>
      <c r="H970" s="1">
        <v>0.0</v>
      </c>
      <c r="I970" s="1">
        <v>0.0</v>
      </c>
      <c r="J970" s="1">
        <v>0.0</v>
      </c>
      <c r="K970" s="1">
        <v>2.0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</row>
    <row r="971">
      <c r="A971" s="1">
        <f t="shared" si="1"/>
        <v>968</v>
      </c>
      <c r="B971" s="1" t="s">
        <v>1934</v>
      </c>
      <c r="C971" s="1" t="s">
        <v>1076</v>
      </c>
      <c r="D971" s="1" t="s">
        <v>31</v>
      </c>
      <c r="E971" s="1">
        <f t="shared" si="2"/>
        <v>1</v>
      </c>
      <c r="F971" s="1">
        <f t="shared" si="3"/>
        <v>1</v>
      </c>
      <c r="G971" s="1">
        <v>1.0</v>
      </c>
      <c r="H971" s="1">
        <v>0.0</v>
      </c>
      <c r="I971" s="1">
        <v>0.0</v>
      </c>
      <c r="J971" s="1">
        <v>0.0</v>
      </c>
      <c r="K971" s="1">
        <v>1.0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1.0</v>
      </c>
    </row>
    <row r="972">
      <c r="A972" s="1">
        <f t="shared" si="1"/>
        <v>968</v>
      </c>
      <c r="B972" s="1" t="s">
        <v>1621</v>
      </c>
      <c r="C972" s="1" t="s">
        <v>1078</v>
      </c>
      <c r="D972" s="1" t="s">
        <v>28</v>
      </c>
      <c r="E972" s="1">
        <f t="shared" si="2"/>
        <v>1</v>
      </c>
      <c r="F972" s="1">
        <f t="shared" si="3"/>
        <v>1</v>
      </c>
      <c r="G972" s="1">
        <v>1.0</v>
      </c>
      <c r="H972" s="1">
        <v>0.0</v>
      </c>
      <c r="I972" s="1">
        <v>0.0</v>
      </c>
      <c r="J972" s="1">
        <v>0.0</v>
      </c>
      <c r="K972" s="1">
        <v>1.0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1.0</v>
      </c>
    </row>
    <row r="973">
      <c r="A973" s="1">
        <f t="shared" si="1"/>
        <v>968</v>
      </c>
      <c r="B973" s="1" t="s">
        <v>2414</v>
      </c>
      <c r="C973" s="1" t="s">
        <v>1048</v>
      </c>
      <c r="D973" s="1" t="s">
        <v>31</v>
      </c>
      <c r="E973" s="1">
        <f t="shared" si="2"/>
        <v>1</v>
      </c>
      <c r="F973" s="1">
        <f t="shared" si="3"/>
        <v>1</v>
      </c>
      <c r="G973" s="1">
        <v>1.0</v>
      </c>
      <c r="H973" s="1">
        <v>0.0</v>
      </c>
      <c r="I973" s="1">
        <v>0.0</v>
      </c>
      <c r="J973" s="1">
        <v>0.0</v>
      </c>
      <c r="K973" s="1">
        <v>2.0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</row>
    <row r="974">
      <c r="A974" s="1">
        <f t="shared" si="1"/>
        <v>968</v>
      </c>
      <c r="B974" s="1" t="s">
        <v>2806</v>
      </c>
      <c r="C974" s="1" t="s">
        <v>1570</v>
      </c>
      <c r="D974" s="1" t="s">
        <v>66</v>
      </c>
      <c r="E974" s="1">
        <f t="shared" si="2"/>
        <v>1</v>
      </c>
      <c r="F974" s="1">
        <f t="shared" si="3"/>
        <v>1</v>
      </c>
      <c r="G974" s="1">
        <v>1.0</v>
      </c>
      <c r="H974" s="1">
        <v>0.0</v>
      </c>
      <c r="I974" s="1">
        <v>0.0</v>
      </c>
      <c r="J974" s="1">
        <v>0.0</v>
      </c>
      <c r="K974" s="1">
        <v>1.0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1.0</v>
      </c>
    </row>
    <row r="975">
      <c r="A975" s="1">
        <f t="shared" si="1"/>
        <v>968</v>
      </c>
      <c r="B975" s="1" t="s">
        <v>2807</v>
      </c>
      <c r="C975" s="1" t="s">
        <v>1116</v>
      </c>
      <c r="D975" s="1" t="s">
        <v>66</v>
      </c>
      <c r="E975" s="1">
        <f t="shared" si="2"/>
        <v>1</v>
      </c>
      <c r="F975" s="1">
        <f t="shared" si="3"/>
        <v>1</v>
      </c>
      <c r="G975" s="1">
        <v>1.0</v>
      </c>
      <c r="H975" s="1">
        <v>0.0</v>
      </c>
      <c r="I975" s="1">
        <v>0.0</v>
      </c>
      <c r="J975" s="1">
        <v>0.0</v>
      </c>
      <c r="K975" s="1">
        <v>1.0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1.0</v>
      </c>
    </row>
    <row r="976">
      <c r="A976" s="1">
        <f t="shared" si="1"/>
        <v>968</v>
      </c>
      <c r="B976" s="1" t="s">
        <v>1615</v>
      </c>
      <c r="C976" s="1" t="s">
        <v>1038</v>
      </c>
      <c r="D976" s="1" t="s">
        <v>66</v>
      </c>
      <c r="E976" s="1">
        <f t="shared" si="2"/>
        <v>1</v>
      </c>
      <c r="F976" s="1">
        <f t="shared" si="3"/>
        <v>0.5</v>
      </c>
      <c r="G976" s="1">
        <v>2.0</v>
      </c>
      <c r="H976" s="1">
        <v>0.0</v>
      </c>
      <c r="I976" s="1">
        <v>0.0</v>
      </c>
      <c r="J976" s="1">
        <v>0.0</v>
      </c>
      <c r="K976" s="1">
        <v>2.0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</row>
    <row r="977">
      <c r="A977" s="1">
        <f t="shared" si="1"/>
        <v>975</v>
      </c>
      <c r="B977" s="1" t="s">
        <v>2545</v>
      </c>
      <c r="C977" s="1" t="s">
        <v>1030</v>
      </c>
      <c r="D977" s="1" t="s">
        <v>5</v>
      </c>
      <c r="E977" s="1">
        <f t="shared" si="2"/>
        <v>0.9</v>
      </c>
      <c r="F977" s="1">
        <f t="shared" si="3"/>
        <v>0.9</v>
      </c>
      <c r="G977" s="1">
        <v>1.0</v>
      </c>
      <c r="R977" s="1">
        <v>0.0</v>
      </c>
      <c r="S977" s="1">
        <v>1.0</v>
      </c>
      <c r="T977" s="1">
        <v>8.0</v>
      </c>
      <c r="U977" s="1">
        <v>0.0</v>
      </c>
    </row>
    <row r="978">
      <c r="A978" s="1">
        <f t="shared" si="1"/>
        <v>976</v>
      </c>
      <c r="B978" s="1" t="s">
        <v>1841</v>
      </c>
      <c r="C978" s="1" t="s">
        <v>1091</v>
      </c>
      <c r="D978" s="1" t="s">
        <v>66</v>
      </c>
      <c r="E978" s="1">
        <f t="shared" si="2"/>
        <v>0.75</v>
      </c>
      <c r="F978" s="1">
        <f t="shared" si="3"/>
        <v>0.75</v>
      </c>
      <c r="G978" s="1">
        <v>1.0</v>
      </c>
      <c r="H978" s="1">
        <v>0.0</v>
      </c>
      <c r="I978" s="1">
        <v>0.0</v>
      </c>
      <c r="J978" s="1">
        <v>0.0</v>
      </c>
      <c r="K978" s="1">
        <v>1.0</v>
      </c>
      <c r="L978" s="1">
        <v>0.0</v>
      </c>
      <c r="M978" s="1">
        <v>0.0</v>
      </c>
      <c r="N978" s="1">
        <v>0.0</v>
      </c>
      <c r="O978" s="1">
        <v>0.0</v>
      </c>
      <c r="P978" s="1">
        <v>1.0</v>
      </c>
      <c r="Q978" s="1">
        <v>0.0</v>
      </c>
    </row>
    <row r="979">
      <c r="A979" s="1">
        <f t="shared" si="1"/>
        <v>976</v>
      </c>
      <c r="B979" s="1" t="s">
        <v>2688</v>
      </c>
      <c r="C979" s="1" t="s">
        <v>1175</v>
      </c>
      <c r="D979" s="1" t="s">
        <v>66</v>
      </c>
      <c r="E979" s="1">
        <f t="shared" si="2"/>
        <v>0.75</v>
      </c>
      <c r="F979" s="1">
        <f t="shared" si="3"/>
        <v>0.75</v>
      </c>
      <c r="G979" s="1">
        <v>1.0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1.0</v>
      </c>
      <c r="Q979" s="1">
        <v>1.0</v>
      </c>
    </row>
    <row r="980">
      <c r="A980" s="1">
        <f t="shared" si="1"/>
        <v>976</v>
      </c>
      <c r="B980" s="1" t="s">
        <v>1513</v>
      </c>
      <c r="C980" s="1" t="s">
        <v>1044</v>
      </c>
      <c r="D980" s="1" t="s">
        <v>66</v>
      </c>
      <c r="E980" s="1">
        <f t="shared" si="2"/>
        <v>0.75</v>
      </c>
      <c r="F980" s="1">
        <f t="shared" si="3"/>
        <v>0.38</v>
      </c>
      <c r="G980" s="1">
        <v>2.0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1.0</v>
      </c>
      <c r="Q980" s="1">
        <v>1.0</v>
      </c>
    </row>
    <row r="981">
      <c r="A981" s="1">
        <f t="shared" si="1"/>
        <v>976</v>
      </c>
      <c r="B981" s="1" t="s">
        <v>2808</v>
      </c>
      <c r="C981" s="1" t="s">
        <v>1172</v>
      </c>
      <c r="D981" s="1" t="s">
        <v>31</v>
      </c>
      <c r="E981" s="1">
        <f t="shared" si="2"/>
        <v>0.75</v>
      </c>
      <c r="F981" s="1">
        <f t="shared" si="3"/>
        <v>0.38</v>
      </c>
      <c r="G981" s="1">
        <v>2.0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1.0</v>
      </c>
      <c r="Q981" s="1">
        <v>1.0</v>
      </c>
    </row>
    <row r="982">
      <c r="A982" s="1">
        <f t="shared" si="1"/>
        <v>976</v>
      </c>
      <c r="B982" s="1" t="s">
        <v>1588</v>
      </c>
      <c r="C982" s="1" t="s">
        <v>1073</v>
      </c>
      <c r="D982" s="1" t="s">
        <v>66</v>
      </c>
      <c r="E982" s="1">
        <f t="shared" si="2"/>
        <v>0.75</v>
      </c>
      <c r="F982" s="1">
        <f t="shared" si="3"/>
        <v>0.38</v>
      </c>
      <c r="G982" s="1">
        <v>2.0</v>
      </c>
      <c r="H982" s="1">
        <v>0.0</v>
      </c>
      <c r="I982" s="1">
        <v>0.0</v>
      </c>
      <c r="J982" s="1">
        <v>0.0</v>
      </c>
      <c r="K982" s="1">
        <v>1.0</v>
      </c>
      <c r="L982" s="1">
        <v>0.0</v>
      </c>
      <c r="M982" s="1">
        <v>0.0</v>
      </c>
      <c r="N982" s="1">
        <v>0.0</v>
      </c>
      <c r="O982" s="1">
        <v>0.0</v>
      </c>
      <c r="P982" s="1">
        <v>1.0</v>
      </c>
      <c r="Q982" s="1">
        <v>0.0</v>
      </c>
    </row>
    <row r="983">
      <c r="A983" s="1">
        <f t="shared" si="1"/>
        <v>976</v>
      </c>
      <c r="B983" s="1" t="s">
        <v>2658</v>
      </c>
      <c r="C983" s="1" t="s">
        <v>1030</v>
      </c>
      <c r="D983" s="1" t="s">
        <v>66</v>
      </c>
      <c r="E983" s="1">
        <f t="shared" si="2"/>
        <v>0.75</v>
      </c>
      <c r="F983" s="1">
        <f t="shared" si="3"/>
        <v>0.38</v>
      </c>
      <c r="G983" s="1">
        <v>2.0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1.0</v>
      </c>
      <c r="Q983" s="1">
        <v>1.0</v>
      </c>
    </row>
    <row r="984">
      <c r="A984" s="1">
        <f t="shared" si="1"/>
        <v>982</v>
      </c>
      <c r="B984" s="1" t="s">
        <v>2809</v>
      </c>
      <c r="C984" s="1" t="s">
        <v>1570</v>
      </c>
      <c r="D984" s="1" t="s">
        <v>36</v>
      </c>
      <c r="E984" s="1">
        <f t="shared" si="2"/>
        <v>0.5</v>
      </c>
      <c r="F984" s="1">
        <f t="shared" si="3"/>
        <v>0.25</v>
      </c>
      <c r="G984" s="1">
        <v>2.0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2.0</v>
      </c>
      <c r="Q984" s="1">
        <v>0.0</v>
      </c>
    </row>
    <row r="985">
      <c r="A985" s="1">
        <f t="shared" si="1"/>
        <v>982</v>
      </c>
      <c r="B985" s="1" t="s">
        <v>2659</v>
      </c>
      <c r="C985" s="1" t="s">
        <v>1034</v>
      </c>
      <c r="D985" s="1" t="s">
        <v>28</v>
      </c>
      <c r="E985" s="1">
        <f t="shared" si="2"/>
        <v>0.5</v>
      </c>
      <c r="F985" s="1">
        <f t="shared" si="3"/>
        <v>0.5</v>
      </c>
      <c r="G985" s="1">
        <v>1.0</v>
      </c>
      <c r="H985" s="1">
        <v>0.0</v>
      </c>
      <c r="I985" s="1">
        <v>0.0</v>
      </c>
      <c r="J985" s="1">
        <v>0.0</v>
      </c>
      <c r="K985" s="1">
        <v>1.0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</row>
    <row r="986">
      <c r="A986" s="1">
        <f t="shared" si="1"/>
        <v>982</v>
      </c>
      <c r="B986" s="1" t="s">
        <v>2577</v>
      </c>
      <c r="C986" s="1" t="s">
        <v>1044</v>
      </c>
      <c r="D986" s="1" t="s">
        <v>36</v>
      </c>
      <c r="E986" s="1">
        <f t="shared" si="2"/>
        <v>0.5</v>
      </c>
      <c r="F986" s="1">
        <f t="shared" si="3"/>
        <v>0.5</v>
      </c>
      <c r="G986" s="1">
        <v>1.0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1.0</v>
      </c>
    </row>
    <row r="987">
      <c r="A987" s="1">
        <f t="shared" si="1"/>
        <v>982</v>
      </c>
      <c r="B987" s="1" t="s">
        <v>1407</v>
      </c>
      <c r="C987" s="1" t="s">
        <v>1067</v>
      </c>
      <c r="D987" s="1" t="s">
        <v>31</v>
      </c>
      <c r="E987" s="1">
        <f t="shared" si="2"/>
        <v>0.5</v>
      </c>
      <c r="F987" s="1">
        <f t="shared" si="3"/>
        <v>0.5</v>
      </c>
      <c r="G987" s="1">
        <v>1.0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1.0</v>
      </c>
    </row>
    <row r="988">
      <c r="A988" s="1">
        <f t="shared" si="1"/>
        <v>982</v>
      </c>
      <c r="B988" s="1" t="s">
        <v>1894</v>
      </c>
      <c r="C988" s="1" t="s">
        <v>1042</v>
      </c>
      <c r="D988" s="1" t="s">
        <v>31</v>
      </c>
      <c r="E988" s="1">
        <f t="shared" si="2"/>
        <v>0.5</v>
      </c>
      <c r="F988" s="1">
        <f t="shared" si="3"/>
        <v>0.5</v>
      </c>
      <c r="G988" s="1">
        <v>1.0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1.0</v>
      </c>
    </row>
    <row r="989">
      <c r="A989" s="1">
        <f t="shared" si="1"/>
        <v>982</v>
      </c>
      <c r="B989" s="1" t="s">
        <v>2207</v>
      </c>
      <c r="C989" s="1" t="s">
        <v>1156</v>
      </c>
      <c r="D989" s="1" t="s">
        <v>66</v>
      </c>
      <c r="E989" s="1">
        <f t="shared" si="2"/>
        <v>0.5</v>
      </c>
      <c r="F989" s="1">
        <f t="shared" si="3"/>
        <v>0.5</v>
      </c>
      <c r="G989" s="1">
        <v>1.0</v>
      </c>
      <c r="H989" s="1">
        <v>0.0</v>
      </c>
      <c r="I989" s="1">
        <v>0.0</v>
      </c>
      <c r="J989" s="1">
        <v>0.0</v>
      </c>
      <c r="K989" s="1">
        <v>1.0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</row>
    <row r="990">
      <c r="A990" s="1">
        <f t="shared" si="1"/>
        <v>988</v>
      </c>
      <c r="B990" s="1" t="s">
        <v>2810</v>
      </c>
      <c r="C990" s="1" t="s">
        <v>1570</v>
      </c>
      <c r="D990" s="1" t="s">
        <v>36</v>
      </c>
      <c r="E990" s="1">
        <f t="shared" si="2"/>
        <v>0.25</v>
      </c>
      <c r="F990" s="1">
        <f t="shared" si="3"/>
        <v>0.25</v>
      </c>
      <c r="G990" s="1">
        <v>1.0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1.0</v>
      </c>
      <c r="Q990" s="1">
        <v>0.0</v>
      </c>
    </row>
    <row r="991">
      <c r="A991" s="1">
        <f t="shared" si="1"/>
        <v>988</v>
      </c>
      <c r="B991" s="1" t="s">
        <v>2811</v>
      </c>
      <c r="C991" s="1" t="s">
        <v>1046</v>
      </c>
      <c r="D991" s="1" t="s">
        <v>36</v>
      </c>
      <c r="E991" s="1">
        <f t="shared" si="2"/>
        <v>0.25</v>
      </c>
      <c r="F991" s="1">
        <f t="shared" si="3"/>
        <v>0.25</v>
      </c>
      <c r="G991" s="1">
        <v>1.0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1.0</v>
      </c>
      <c r="Q991" s="1">
        <v>0.0</v>
      </c>
    </row>
    <row r="992">
      <c r="A992" s="1">
        <f t="shared" si="1"/>
        <v>990</v>
      </c>
      <c r="B992" s="1" t="s">
        <v>1717</v>
      </c>
      <c r="C992" s="1" t="s">
        <v>1076</v>
      </c>
      <c r="D992" s="1" t="s">
        <v>66</v>
      </c>
      <c r="E992" s="1">
        <f t="shared" si="2"/>
        <v>0</v>
      </c>
      <c r="F992" s="1">
        <f t="shared" si="3"/>
        <v>0</v>
      </c>
      <c r="G992" s="1">
        <v>1.0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</row>
    <row r="993">
      <c r="A993" s="1">
        <f t="shared" si="1"/>
        <v>990</v>
      </c>
      <c r="B993" s="1" t="s">
        <v>1941</v>
      </c>
      <c r="C993" s="1" t="s">
        <v>1042</v>
      </c>
      <c r="D993" s="1" t="s">
        <v>31</v>
      </c>
      <c r="E993" s="1">
        <f t="shared" si="2"/>
        <v>0</v>
      </c>
      <c r="F993" s="1">
        <f t="shared" si="3"/>
        <v>0</v>
      </c>
      <c r="G993" s="1">
        <v>1.0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</row>
    <row r="994">
      <c r="A994" s="1">
        <f t="shared" si="1"/>
        <v>990</v>
      </c>
      <c r="B994" s="1" t="s">
        <v>2812</v>
      </c>
      <c r="C994" s="1" t="s">
        <v>1570</v>
      </c>
      <c r="D994" s="1" t="s">
        <v>31</v>
      </c>
      <c r="E994" s="1">
        <f t="shared" si="2"/>
        <v>0</v>
      </c>
      <c r="F994" s="1">
        <f t="shared" si="3"/>
        <v>0</v>
      </c>
      <c r="G994" s="1">
        <v>1.0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</row>
    <row r="995">
      <c r="A995" s="1">
        <f t="shared" si="1"/>
        <v>993</v>
      </c>
      <c r="B995" s="1" t="s">
        <v>2813</v>
      </c>
      <c r="C995" s="1" t="s">
        <v>1120</v>
      </c>
      <c r="D995" s="1" t="s">
        <v>5</v>
      </c>
      <c r="E995" s="1">
        <f t="shared" si="2"/>
        <v>-0.3</v>
      </c>
      <c r="F995" s="1">
        <f t="shared" si="3"/>
        <v>-0.3</v>
      </c>
      <c r="G995" s="1">
        <v>1.0</v>
      </c>
      <c r="R995" s="1">
        <v>0.0</v>
      </c>
      <c r="S995" s="1">
        <v>2.0</v>
      </c>
      <c r="T995" s="1">
        <v>9.0</v>
      </c>
      <c r="U995" s="1">
        <v>0.0</v>
      </c>
    </row>
    <row r="996">
      <c r="A996" s="1">
        <f t="shared" si="1"/>
        <v>994</v>
      </c>
      <c r="B996" s="1" t="s">
        <v>1895</v>
      </c>
      <c r="C996" s="1" t="s">
        <v>1116</v>
      </c>
      <c r="D996" s="1" t="s">
        <v>5</v>
      </c>
      <c r="E996" s="1">
        <f t="shared" si="2"/>
        <v>-0.6</v>
      </c>
      <c r="F996" s="1">
        <f t="shared" si="3"/>
        <v>-0.6</v>
      </c>
      <c r="G996" s="1">
        <v>1.0</v>
      </c>
      <c r="R996" s="1">
        <v>0.0</v>
      </c>
      <c r="S996" s="1">
        <v>5.0</v>
      </c>
      <c r="T996" s="1">
        <v>23.0</v>
      </c>
      <c r="U996" s="1">
        <v>0.0</v>
      </c>
    </row>
    <row r="997">
      <c r="A997" s="1">
        <f t="shared" si="1"/>
        <v>995</v>
      </c>
      <c r="B997" s="1" t="s">
        <v>2814</v>
      </c>
      <c r="C997" s="1" t="s">
        <v>1570</v>
      </c>
      <c r="D997" s="1" t="s">
        <v>5</v>
      </c>
      <c r="E997" s="1">
        <f t="shared" si="2"/>
        <v>-0.9</v>
      </c>
      <c r="F997" s="1">
        <f t="shared" si="3"/>
        <v>-0.3</v>
      </c>
      <c r="G997" s="1">
        <v>3.0</v>
      </c>
      <c r="R997" s="1">
        <v>0.0</v>
      </c>
      <c r="S997" s="1">
        <v>6.0</v>
      </c>
      <c r="T997" s="1">
        <v>27.0</v>
      </c>
      <c r="U997" s="1">
        <v>0.0</v>
      </c>
    </row>
    <row r="998">
      <c r="A998" s="1">
        <f t="shared" si="1"/>
        <v>996</v>
      </c>
      <c r="B998" s="1" t="s">
        <v>1362</v>
      </c>
      <c r="C998" s="1" t="s">
        <v>1091</v>
      </c>
      <c r="D998" s="1" t="s">
        <v>5</v>
      </c>
      <c r="E998" s="1">
        <f t="shared" si="2"/>
        <v>-1.5</v>
      </c>
      <c r="F998" s="1">
        <f t="shared" si="3"/>
        <v>-0.75</v>
      </c>
      <c r="G998" s="1">
        <v>2.0</v>
      </c>
      <c r="R998" s="1">
        <v>0.0</v>
      </c>
      <c r="S998" s="1">
        <v>6.0</v>
      </c>
      <c r="T998" s="1">
        <v>25.0</v>
      </c>
      <c r="U998" s="1">
        <v>0.0</v>
      </c>
    </row>
    <row r="999">
      <c r="A999" s="1">
        <f t="shared" si="1"/>
        <v>997</v>
      </c>
      <c r="B999" s="1" t="s">
        <v>2815</v>
      </c>
      <c r="C999" s="1" t="s">
        <v>1046</v>
      </c>
      <c r="D999" s="1" t="s">
        <v>5</v>
      </c>
      <c r="E999" s="1">
        <f t="shared" si="2"/>
        <v>-2.1</v>
      </c>
      <c r="F999" s="1">
        <f t="shared" si="3"/>
        <v>-2.1</v>
      </c>
      <c r="G999" s="1">
        <v>1.0</v>
      </c>
      <c r="R999" s="1">
        <v>0.0</v>
      </c>
      <c r="S999" s="1">
        <v>6.0</v>
      </c>
      <c r="T999" s="1">
        <v>23.0</v>
      </c>
      <c r="U999" s="1">
        <v>0.0</v>
      </c>
    </row>
    <row r="1000">
      <c r="A1000" s="1">
        <f t="shared" si="1"/>
        <v>998</v>
      </c>
      <c r="B1000" s="1" t="s">
        <v>2816</v>
      </c>
      <c r="C1000" s="1" t="s">
        <v>1034</v>
      </c>
      <c r="D1000" s="1" t="s">
        <v>5</v>
      </c>
      <c r="E1000" s="1">
        <f t="shared" si="2"/>
        <v>-2.4</v>
      </c>
      <c r="F1000" s="1">
        <f t="shared" si="3"/>
        <v>-1.2</v>
      </c>
      <c r="G1000" s="1">
        <v>2.0</v>
      </c>
      <c r="R1000" s="1">
        <v>0.0</v>
      </c>
      <c r="S1000" s="1">
        <v>8.0</v>
      </c>
      <c r="T1000" s="1">
        <v>32.0</v>
      </c>
      <c r="U1000" s="1">
        <v>0.0</v>
      </c>
    </row>
    <row r="1001">
      <c r="A1001" s="1">
        <f t="shared" si="1"/>
        <v>999</v>
      </c>
      <c r="B1001" s="1" t="s">
        <v>2461</v>
      </c>
      <c r="C1001" s="1" t="s">
        <v>1046</v>
      </c>
      <c r="D1001" s="1" t="s">
        <v>5</v>
      </c>
      <c r="E1001" s="1">
        <f t="shared" si="2"/>
        <v>-5.4</v>
      </c>
      <c r="F1001" s="1">
        <f t="shared" si="3"/>
        <v>-5.4</v>
      </c>
      <c r="G1001" s="1">
        <v>1.0</v>
      </c>
      <c r="R1001" s="1">
        <v>0.0</v>
      </c>
      <c r="S1001" s="1">
        <v>7.0</v>
      </c>
      <c r="T1001" s="1">
        <v>17.0</v>
      </c>
      <c r="U1001" s="1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hidden="1" min="1" max="1" width="28.13"/>
    <col customWidth="1" min="2" max="2" width="10.5"/>
    <col customWidth="1" min="3" max="3" width="20.0"/>
    <col customWidth="1" hidden="1" min="4" max="4" width="28.13"/>
    <col customWidth="1" min="5" max="7" width="11.5"/>
    <col customWidth="1" min="8" max="8" width="7.0"/>
    <col customWidth="1" min="9" max="9" width="5.63"/>
    <col customWidth="1" min="10" max="10" width="5.25"/>
    <col customWidth="1" min="11" max="11" width="6.13"/>
    <col customWidth="1" min="12" max="12" width="6.63"/>
    <col customWidth="1" min="13" max="13" width="4.88"/>
    <col customWidth="1" min="14" max="14" width="5.38"/>
    <col customWidth="1" min="15" max="15" width="7.38"/>
    <col customWidth="1" min="16" max="16" width="6.63"/>
    <col customWidth="1" min="17" max="17" width="5.13"/>
    <col customWidth="1" min="18" max="18" width="4.63"/>
    <col customWidth="1" hidden="1" min="19" max="19" width="6.25"/>
    <col customWidth="1" hidden="1" min="20" max="20" width="4.38"/>
    <col customWidth="1" hidden="1" min="21" max="21" width="6.0"/>
    <col customWidth="1" hidden="1" min="22" max="22" width="6.25"/>
    <col customWidth="1" min="23" max="23" width="6.25"/>
    <col customWidth="1" hidden="1" min="24" max="24" width="6.25"/>
    <col customWidth="1" min="25" max="25" width="6.25"/>
    <col customWidth="1" hidden="1" min="26" max="26" width="6.25"/>
    <col customWidth="1" min="27" max="28" width="6.25"/>
  </cols>
  <sheetData>
    <row r="1" ht="12.75" customHeight="1">
      <c r="A1" s="1" t="s">
        <v>0</v>
      </c>
      <c r="B1" s="13" t="s">
        <v>1021</v>
      </c>
      <c r="C1" s="1" t="s">
        <v>0</v>
      </c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ht="12.75" customHeight="1">
      <c r="A2" s="1" t="s">
        <v>25</v>
      </c>
      <c r="E2" s="15"/>
      <c r="F2" s="15"/>
      <c r="H2" s="1">
        <v>0.0</v>
      </c>
      <c r="I2" s="1">
        <v>4.5</v>
      </c>
      <c r="J2" s="1">
        <v>3.0</v>
      </c>
      <c r="K2" s="1">
        <v>0.0</v>
      </c>
      <c r="L2" s="1">
        <v>0.5</v>
      </c>
      <c r="M2" s="1">
        <v>0.25</v>
      </c>
      <c r="N2" s="1">
        <v>0.5</v>
      </c>
      <c r="O2" s="1">
        <v>0.0</v>
      </c>
      <c r="P2" s="1">
        <v>0.0</v>
      </c>
      <c r="Q2" s="1">
        <v>3.0</v>
      </c>
      <c r="R2" s="1">
        <v>3.0</v>
      </c>
      <c r="S2" s="1">
        <v>-1.5</v>
      </c>
      <c r="T2" s="1">
        <v>0.3</v>
      </c>
      <c r="U2" s="1">
        <v>2.0</v>
      </c>
      <c r="V2" s="1">
        <v>0.0</v>
      </c>
      <c r="W2" s="1">
        <v>3.0</v>
      </c>
      <c r="X2" s="1">
        <v>0.0</v>
      </c>
      <c r="Y2" s="1">
        <v>-1.5</v>
      </c>
      <c r="Z2" s="1">
        <v>0.0</v>
      </c>
      <c r="AA2" s="1">
        <v>0.3</v>
      </c>
      <c r="AB2" s="1">
        <v>3.0</v>
      </c>
    </row>
    <row r="3" ht="12.75" hidden="1" customHeight="1">
      <c r="A3" s="1" t="s">
        <v>860</v>
      </c>
      <c r="B3" s="1"/>
      <c r="C3" s="1" t="str">
        <f>IFERROR(__xludf.DUMMYFUNCTION("split(A3, ""\"")"),"Brandon Pirri")</f>
        <v>Brandon Pirri</v>
      </c>
      <c r="D3" s="1" t="str">
        <f>IFERROR(__xludf.DUMMYFUNCTION("""COMPUTED_VALUE"""),"pirribr01")</f>
        <v>pirribr01</v>
      </c>
      <c r="E3" s="1" t="s">
        <v>31</v>
      </c>
      <c r="F3" s="1">
        <f t="shared" ref="F3:F987" si="1">SUMPRODUCT(H$2:AB$2, H3:AB3)</f>
        <v>15</v>
      </c>
      <c r="G3" s="1">
        <f t="shared" ref="G3:G987" si="2">round(F3/H3, 2)</f>
        <v>7.5</v>
      </c>
      <c r="H3" s="1">
        <v>2.0</v>
      </c>
      <c r="I3" s="1">
        <v>3.0</v>
      </c>
      <c r="J3" s="1">
        <v>0.0</v>
      </c>
      <c r="K3" s="1">
        <v>3.0</v>
      </c>
      <c r="L3" s="1">
        <v>11.0</v>
      </c>
      <c r="M3" s="1">
        <v>2.0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3.0</v>
      </c>
      <c r="T3" s="1">
        <v>0.0</v>
      </c>
      <c r="U3" s="1">
        <v>0.0</v>
      </c>
    </row>
    <row r="4" ht="12.75" hidden="1" customHeight="1">
      <c r="A4" s="1" t="s">
        <v>872</v>
      </c>
      <c r="B4" s="1"/>
      <c r="C4" s="1" t="str">
        <f>IFERROR(__xludf.DUMMYFUNCTION("split(A4, ""\"")"),"Warren Foegele")</f>
        <v>Warren Foegele</v>
      </c>
      <c r="D4" s="1" t="str">
        <f>IFERROR(__xludf.DUMMYFUNCTION("""COMPUTED_VALUE"""),"foegewa01")</f>
        <v>foegewa01</v>
      </c>
      <c r="E4" s="1" t="s">
        <v>28</v>
      </c>
      <c r="F4" s="1">
        <f t="shared" si="1"/>
        <v>12.25</v>
      </c>
      <c r="G4" s="1">
        <f t="shared" si="2"/>
        <v>6.13</v>
      </c>
      <c r="H4" s="1">
        <v>2.0</v>
      </c>
      <c r="I4" s="1">
        <v>2.0</v>
      </c>
      <c r="J4" s="1">
        <v>1.0</v>
      </c>
      <c r="K4" s="1">
        <v>3.0</v>
      </c>
      <c r="L4" s="1">
        <v>6.0</v>
      </c>
      <c r="M4" s="1">
        <v>5.0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3.0</v>
      </c>
      <c r="T4" s="1">
        <v>0.0</v>
      </c>
      <c r="U4" s="1">
        <v>0.0</v>
      </c>
    </row>
    <row r="5" ht="12.75" hidden="1" customHeight="1">
      <c r="A5" s="1" t="s">
        <v>923</v>
      </c>
      <c r="B5" s="1"/>
      <c r="C5" s="1" t="str">
        <f>IFERROR(__xludf.DUMMYFUNCTION("split(A5, ""\"")"),"Sami Niku")</f>
        <v>Sami Niku</v>
      </c>
      <c r="D5" s="1" t="str">
        <f>IFERROR(__xludf.DUMMYFUNCTION("""COMPUTED_VALUE"""),"nikusa01")</f>
        <v>nikusa01</v>
      </c>
      <c r="E5" s="1" t="s">
        <v>66</v>
      </c>
      <c r="F5" s="1">
        <f t="shared" si="1"/>
        <v>7</v>
      </c>
      <c r="G5" s="1">
        <f t="shared" si="2"/>
        <v>7</v>
      </c>
      <c r="H5" s="1">
        <v>1.0</v>
      </c>
      <c r="I5" s="1">
        <v>1.0</v>
      </c>
      <c r="J5" s="1">
        <v>0.0</v>
      </c>
      <c r="K5" s="1">
        <v>1.0</v>
      </c>
      <c r="L5" s="1">
        <v>2.0</v>
      </c>
      <c r="M5" s="1">
        <v>0.0</v>
      </c>
      <c r="N5" s="1">
        <v>3.0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</row>
    <row r="6" ht="12.75" hidden="1" customHeight="1">
      <c r="A6" s="1" t="s">
        <v>930</v>
      </c>
      <c r="B6" s="1"/>
      <c r="C6" s="1" t="str">
        <f>IFERROR(__xludf.DUMMYFUNCTION("split(A6, ""\"")"),"Patrick Sieloff")</f>
        <v>Patrick Sieloff</v>
      </c>
      <c r="D6" s="1" t="str">
        <f>IFERROR(__xludf.DUMMYFUNCTION("""COMPUTED_VALUE"""),"sielopa01")</f>
        <v>sielopa01</v>
      </c>
      <c r="E6" s="1" t="s">
        <v>66</v>
      </c>
      <c r="F6" s="1">
        <f t="shared" si="1"/>
        <v>9.75</v>
      </c>
      <c r="G6" s="1">
        <f t="shared" si="2"/>
        <v>9.75</v>
      </c>
      <c r="H6" s="1">
        <v>1.0</v>
      </c>
      <c r="I6" s="1">
        <v>1.0</v>
      </c>
      <c r="J6" s="1">
        <v>0.0</v>
      </c>
      <c r="K6" s="1">
        <v>1.0</v>
      </c>
      <c r="L6" s="1">
        <v>3.0</v>
      </c>
      <c r="M6" s="1">
        <v>1.0</v>
      </c>
      <c r="N6" s="1">
        <v>1.0</v>
      </c>
      <c r="O6" s="1">
        <v>0.0</v>
      </c>
      <c r="P6" s="1">
        <v>0.0</v>
      </c>
      <c r="Q6" s="1">
        <v>0.0</v>
      </c>
      <c r="R6" s="1">
        <v>0.0</v>
      </c>
      <c r="S6" s="1">
        <v>-2.0</v>
      </c>
      <c r="T6" s="1">
        <v>0.0</v>
      </c>
      <c r="U6" s="1">
        <v>0.0</v>
      </c>
    </row>
    <row r="7" ht="12.75" customHeight="1">
      <c r="A7" s="1" t="s">
        <v>27</v>
      </c>
      <c r="B7" s="1">
        <f t="shared" ref="B7:B987" si="3">rank(F7, F:F)</f>
        <v>1</v>
      </c>
      <c r="C7" s="1" t="str">
        <f>IFERROR(__xludf.DUMMYFUNCTION("split(A7, ""\"")"),"Alex Ovechkin")</f>
        <v>Alex Ovechkin</v>
      </c>
      <c r="D7" s="1" t="str">
        <f>IFERROR(__xludf.DUMMYFUNCTION("""COMPUTED_VALUE"""),"ovechal01")</f>
        <v>ovechal01</v>
      </c>
      <c r="E7" s="1" t="s">
        <v>28</v>
      </c>
      <c r="F7" s="1">
        <f t="shared" si="1"/>
        <v>576.35</v>
      </c>
      <c r="G7" s="1">
        <f t="shared" si="2"/>
        <v>7.03</v>
      </c>
      <c r="H7" s="1">
        <v>82.0</v>
      </c>
      <c r="I7" s="1">
        <v>49.0</v>
      </c>
      <c r="J7" s="1">
        <v>38.0</v>
      </c>
      <c r="K7" s="1">
        <v>87.0</v>
      </c>
      <c r="L7" s="1">
        <v>355.0</v>
      </c>
      <c r="M7" s="1">
        <v>139.0</v>
      </c>
      <c r="N7" s="1">
        <v>21.0</v>
      </c>
      <c r="O7" s="1">
        <v>17.0</v>
      </c>
      <c r="P7" s="1">
        <v>14.0</v>
      </c>
      <c r="Q7" s="1">
        <v>0.0</v>
      </c>
      <c r="R7" s="1">
        <v>0.0</v>
      </c>
      <c r="S7" s="1">
        <v>3.0</v>
      </c>
      <c r="T7" s="1">
        <v>32.0</v>
      </c>
      <c r="U7" s="1">
        <v>7.0</v>
      </c>
    </row>
    <row r="8" ht="12.75" customHeight="1">
      <c r="A8" s="1" t="s">
        <v>30</v>
      </c>
      <c r="B8" s="1">
        <f t="shared" si="3"/>
        <v>2</v>
      </c>
      <c r="C8" s="1" t="str">
        <f>IFERROR(__xludf.DUMMYFUNCTION("split(A8, ""\"")"),"Connor McDavid")</f>
        <v>Connor McDavid</v>
      </c>
      <c r="D8" s="1" t="str">
        <f>IFERROR(__xludf.DUMMYFUNCTION("""COMPUTED_VALUE"""),"mcdavco01")</f>
        <v>mcdavco01</v>
      </c>
      <c r="E8" s="1" t="s">
        <v>31</v>
      </c>
      <c r="F8" s="1">
        <f t="shared" si="1"/>
        <v>556.3</v>
      </c>
      <c r="G8" s="1">
        <f t="shared" si="2"/>
        <v>6.78</v>
      </c>
      <c r="H8" s="1">
        <v>82.0</v>
      </c>
      <c r="I8" s="1">
        <v>41.0</v>
      </c>
      <c r="J8" s="1">
        <v>67.0</v>
      </c>
      <c r="K8" s="1">
        <v>108.0</v>
      </c>
      <c r="L8" s="1">
        <v>274.0</v>
      </c>
      <c r="M8" s="1">
        <v>28.0</v>
      </c>
      <c r="N8" s="1">
        <v>46.0</v>
      </c>
      <c r="O8" s="1">
        <v>5.0</v>
      </c>
      <c r="P8" s="1">
        <v>15.0</v>
      </c>
      <c r="Q8" s="1">
        <v>1.0</v>
      </c>
      <c r="R8" s="1">
        <v>3.0</v>
      </c>
      <c r="S8" s="1">
        <v>20.0</v>
      </c>
      <c r="T8" s="1">
        <v>26.0</v>
      </c>
      <c r="U8" s="1">
        <v>7.0</v>
      </c>
    </row>
    <row r="9" ht="12.75" customHeight="1">
      <c r="A9" s="1" t="s">
        <v>38</v>
      </c>
      <c r="B9" s="1">
        <f t="shared" si="3"/>
        <v>3</v>
      </c>
      <c r="C9" s="1" t="str">
        <f>IFERROR(__xludf.DUMMYFUNCTION("split(A9, ""\"")"),"Nathan MacKinnon")</f>
        <v>Nathan MacKinnon</v>
      </c>
      <c r="D9" s="1" t="str">
        <f>IFERROR(__xludf.DUMMYFUNCTION("""COMPUTED_VALUE"""),"mackina01")</f>
        <v>mackina01</v>
      </c>
      <c r="E9" s="1" t="s">
        <v>31</v>
      </c>
      <c r="F9" s="1">
        <f t="shared" si="1"/>
        <v>539</v>
      </c>
      <c r="G9" s="1">
        <f t="shared" si="2"/>
        <v>7.28</v>
      </c>
      <c r="H9" s="1">
        <v>74.0</v>
      </c>
      <c r="I9" s="1">
        <v>39.0</v>
      </c>
      <c r="J9" s="1">
        <v>58.0</v>
      </c>
      <c r="K9" s="1">
        <v>97.0</v>
      </c>
      <c r="L9" s="1">
        <v>284.0</v>
      </c>
      <c r="M9" s="1">
        <v>38.0</v>
      </c>
      <c r="N9" s="1">
        <v>22.0</v>
      </c>
      <c r="O9" s="1">
        <v>12.0</v>
      </c>
      <c r="P9" s="1">
        <v>20.0</v>
      </c>
      <c r="Q9" s="1">
        <v>0.0</v>
      </c>
      <c r="R9" s="1">
        <v>1.0</v>
      </c>
      <c r="S9" s="1">
        <v>11.0</v>
      </c>
      <c r="T9" s="1">
        <v>55.0</v>
      </c>
      <c r="U9" s="1">
        <v>12.0</v>
      </c>
    </row>
    <row r="10" ht="12.75" customHeight="1">
      <c r="A10" s="1" t="s">
        <v>48</v>
      </c>
      <c r="B10" s="1">
        <f t="shared" si="3"/>
        <v>4</v>
      </c>
      <c r="C10" s="1" t="str">
        <f>IFERROR(__xludf.DUMMYFUNCTION("split(A10, ""\"")"),"Vincent Trocheck")</f>
        <v>Vincent Trocheck</v>
      </c>
      <c r="D10" s="1" t="str">
        <f>IFERROR(__xludf.DUMMYFUNCTION("""COMPUTED_VALUE"""),"trochvi01")</f>
        <v>trochvi01</v>
      </c>
      <c r="E10" s="1" t="s">
        <v>31</v>
      </c>
      <c r="F10" s="1">
        <f t="shared" si="1"/>
        <v>530.45</v>
      </c>
      <c r="G10" s="1">
        <f t="shared" si="2"/>
        <v>6.47</v>
      </c>
      <c r="H10" s="1">
        <v>82.0</v>
      </c>
      <c r="I10" s="1">
        <v>31.0</v>
      </c>
      <c r="J10" s="1">
        <v>44.0</v>
      </c>
      <c r="K10" s="1">
        <v>75.0</v>
      </c>
      <c r="L10" s="1">
        <v>287.0</v>
      </c>
      <c r="M10" s="1">
        <v>145.0</v>
      </c>
      <c r="N10" s="1">
        <v>55.0</v>
      </c>
      <c r="O10" s="1">
        <v>13.0</v>
      </c>
      <c r="P10" s="1">
        <v>14.0</v>
      </c>
      <c r="Q10" s="1">
        <v>3.0</v>
      </c>
      <c r="R10" s="1">
        <v>1.0</v>
      </c>
      <c r="S10" s="1">
        <v>-9.0</v>
      </c>
      <c r="T10" s="1">
        <v>54.0</v>
      </c>
      <c r="U10" s="1">
        <v>5.0</v>
      </c>
    </row>
    <row r="11" ht="12.75" customHeight="1">
      <c r="A11" s="1" t="s">
        <v>33</v>
      </c>
      <c r="B11" s="1">
        <f t="shared" si="3"/>
        <v>5</v>
      </c>
      <c r="C11" s="1" t="str">
        <f>IFERROR(__xludf.DUMMYFUNCTION("split(A11, ""\"")"),"Taylor Hall")</f>
        <v>Taylor Hall</v>
      </c>
      <c r="D11" s="1" t="str">
        <f>IFERROR(__xludf.DUMMYFUNCTION("""COMPUTED_VALUE"""),"hallta02")</f>
        <v>hallta02</v>
      </c>
      <c r="E11" s="1" t="s">
        <v>28</v>
      </c>
      <c r="F11" s="1">
        <f t="shared" si="1"/>
        <v>522.7</v>
      </c>
      <c r="G11" s="1">
        <f t="shared" si="2"/>
        <v>6.88</v>
      </c>
      <c r="H11" s="1">
        <v>76.0</v>
      </c>
      <c r="I11" s="1">
        <v>39.0</v>
      </c>
      <c r="J11" s="1">
        <v>54.0</v>
      </c>
      <c r="K11" s="1">
        <v>93.0</v>
      </c>
      <c r="L11" s="1">
        <v>278.0</v>
      </c>
      <c r="M11" s="1">
        <v>72.0</v>
      </c>
      <c r="N11" s="1">
        <v>44.0</v>
      </c>
      <c r="O11" s="1">
        <v>13.0</v>
      </c>
      <c r="P11" s="1">
        <v>24.0</v>
      </c>
      <c r="Q11" s="1">
        <v>1.0</v>
      </c>
      <c r="R11" s="1">
        <v>0.0</v>
      </c>
      <c r="S11" s="1">
        <v>14.0</v>
      </c>
      <c r="T11" s="1">
        <v>34.0</v>
      </c>
      <c r="U11" s="1">
        <v>7.0</v>
      </c>
    </row>
    <row r="12" ht="12.75" customHeight="1">
      <c r="A12" s="1" t="s">
        <v>34</v>
      </c>
      <c r="B12" s="1">
        <f t="shared" si="3"/>
        <v>6</v>
      </c>
      <c r="C12" s="1" t="str">
        <f>IFERROR(__xludf.DUMMYFUNCTION("split(A12, ""\"")"),"Evgeni Malkin")</f>
        <v>Evgeni Malkin</v>
      </c>
      <c r="D12" s="1" t="str">
        <f>IFERROR(__xludf.DUMMYFUNCTION("""COMPUTED_VALUE"""),"malkiev01")</f>
        <v>malkiev01</v>
      </c>
      <c r="E12" s="1" t="s">
        <v>31</v>
      </c>
      <c r="F12" s="1">
        <f t="shared" si="1"/>
        <v>520.6</v>
      </c>
      <c r="G12" s="1">
        <f t="shared" si="2"/>
        <v>6.67</v>
      </c>
      <c r="H12" s="1">
        <v>78.0</v>
      </c>
      <c r="I12" s="1">
        <v>42.0</v>
      </c>
      <c r="J12" s="1">
        <v>56.0</v>
      </c>
      <c r="K12" s="1">
        <v>98.0</v>
      </c>
      <c r="L12" s="1">
        <v>239.0</v>
      </c>
      <c r="M12" s="1">
        <v>48.0</v>
      </c>
      <c r="N12" s="1">
        <v>32.0</v>
      </c>
      <c r="O12" s="1">
        <v>14.0</v>
      </c>
      <c r="P12" s="1">
        <v>24.0</v>
      </c>
      <c r="Q12" s="1">
        <v>0.0</v>
      </c>
      <c r="R12" s="1">
        <v>0.0</v>
      </c>
      <c r="S12" s="1">
        <v>16.0</v>
      </c>
      <c r="T12" s="1">
        <v>87.0</v>
      </c>
      <c r="U12" s="1">
        <v>7.0</v>
      </c>
    </row>
    <row r="13" ht="12.75" customHeight="1">
      <c r="A13" s="1" t="s">
        <v>55</v>
      </c>
      <c r="B13" s="1">
        <f t="shared" si="3"/>
        <v>7</v>
      </c>
      <c r="C13" s="1" t="str">
        <f>IFERROR(__xludf.DUMMYFUNCTION("split(A13, ""\"")"),"Brent Burns")</f>
        <v>Brent Burns</v>
      </c>
      <c r="D13" s="1" t="str">
        <f>IFERROR(__xludf.DUMMYFUNCTION("""COMPUTED_VALUE"""),"burnsbr01")</f>
        <v>burnsbr01</v>
      </c>
      <c r="E13" s="1" t="s">
        <v>66</v>
      </c>
      <c r="F13" s="1">
        <f t="shared" si="1"/>
        <v>517.55</v>
      </c>
      <c r="G13" s="1">
        <f t="shared" si="2"/>
        <v>6.31</v>
      </c>
      <c r="H13" s="1">
        <v>82.0</v>
      </c>
      <c r="I13" s="1">
        <v>12.0</v>
      </c>
      <c r="J13" s="1">
        <v>55.0</v>
      </c>
      <c r="K13" s="1">
        <v>67.0</v>
      </c>
      <c r="L13" s="1">
        <v>332.0</v>
      </c>
      <c r="M13" s="1">
        <v>79.0</v>
      </c>
      <c r="N13" s="1">
        <v>136.0</v>
      </c>
      <c r="O13" s="1">
        <v>5.0</v>
      </c>
      <c r="P13" s="1">
        <v>22.0</v>
      </c>
      <c r="Q13" s="1">
        <v>0.0</v>
      </c>
      <c r="R13" s="1">
        <v>1.0</v>
      </c>
      <c r="S13" s="1">
        <v>-16.0</v>
      </c>
      <c r="T13" s="1">
        <v>46.0</v>
      </c>
      <c r="U13" s="1">
        <v>2.0</v>
      </c>
    </row>
    <row r="14" ht="12.75" customHeight="1">
      <c r="A14" s="1" t="s">
        <v>35</v>
      </c>
      <c r="B14" s="1">
        <f t="shared" si="3"/>
        <v>8</v>
      </c>
      <c r="C14" s="1" t="str">
        <f>IFERROR(__xludf.DUMMYFUNCTION("split(A14, ""\"")"),"Nikita Kucherov")</f>
        <v>Nikita Kucherov</v>
      </c>
      <c r="D14" s="1" t="str">
        <f>IFERROR(__xludf.DUMMYFUNCTION("""COMPUTED_VALUE"""),"kucheni01")</f>
        <v>kucheni01</v>
      </c>
      <c r="E14" s="1" t="s">
        <v>36</v>
      </c>
      <c r="F14" s="1">
        <f t="shared" si="1"/>
        <v>517.35</v>
      </c>
      <c r="G14" s="1">
        <f t="shared" si="2"/>
        <v>6.47</v>
      </c>
      <c r="H14" s="1">
        <v>80.0</v>
      </c>
      <c r="I14" s="1">
        <v>39.0</v>
      </c>
      <c r="J14" s="1">
        <v>61.0</v>
      </c>
      <c r="K14" s="1">
        <v>100.0</v>
      </c>
      <c r="L14" s="1">
        <v>279.0</v>
      </c>
      <c r="M14" s="1">
        <v>31.0</v>
      </c>
      <c r="N14" s="1">
        <v>15.0</v>
      </c>
      <c r="O14" s="1">
        <v>8.0</v>
      </c>
      <c r="P14" s="1">
        <v>28.0</v>
      </c>
      <c r="Q14" s="1">
        <v>0.0</v>
      </c>
      <c r="R14" s="1">
        <v>0.0</v>
      </c>
      <c r="S14" s="1">
        <v>15.0</v>
      </c>
      <c r="T14" s="1">
        <v>42.0</v>
      </c>
      <c r="U14" s="1">
        <v>7.0</v>
      </c>
    </row>
    <row r="15" ht="12.75" customHeight="1">
      <c r="A15" s="1" t="s">
        <v>43</v>
      </c>
      <c r="B15" s="1">
        <f t="shared" si="3"/>
        <v>9</v>
      </c>
      <c r="C15" s="1" t="str">
        <f>IFERROR(__xludf.DUMMYFUNCTION("split(A15, ""\"")"),"Tyler Seguin")</f>
        <v>Tyler Seguin</v>
      </c>
      <c r="D15" s="1" t="str">
        <f>IFERROR(__xludf.DUMMYFUNCTION("""COMPUTED_VALUE"""),"seguity01")</f>
        <v>seguity01</v>
      </c>
      <c r="E15" s="1" t="s">
        <v>31</v>
      </c>
      <c r="F15" s="1">
        <f t="shared" si="1"/>
        <v>514.9</v>
      </c>
      <c r="G15" s="1">
        <f t="shared" si="2"/>
        <v>6.28</v>
      </c>
      <c r="H15" s="1">
        <v>82.0</v>
      </c>
      <c r="I15" s="1">
        <v>40.0</v>
      </c>
      <c r="J15" s="1">
        <v>38.0</v>
      </c>
      <c r="K15" s="1">
        <v>78.0</v>
      </c>
      <c r="L15" s="1">
        <v>335.0</v>
      </c>
      <c r="M15" s="1">
        <v>74.0</v>
      </c>
      <c r="N15" s="1">
        <v>44.0</v>
      </c>
      <c r="O15" s="1">
        <v>14.0</v>
      </c>
      <c r="P15" s="1">
        <v>11.0</v>
      </c>
      <c r="Q15" s="1">
        <v>1.0</v>
      </c>
      <c r="R15" s="1">
        <v>1.0</v>
      </c>
      <c r="S15" s="1">
        <v>12.0</v>
      </c>
      <c r="T15" s="1">
        <v>43.0</v>
      </c>
      <c r="U15" s="1">
        <v>6.0</v>
      </c>
    </row>
    <row r="16" ht="12.75" hidden="1" customHeight="1">
      <c r="A16" s="1" t="s">
        <v>808</v>
      </c>
      <c r="B16" s="1">
        <f t="shared" si="3"/>
        <v>792</v>
      </c>
      <c r="C16" s="1" t="str">
        <f>IFERROR(__xludf.DUMMYFUNCTION("split(A16, ""\"")"),"Oscar Dansk")</f>
        <v>Oscar Dansk</v>
      </c>
      <c r="D16" s="2" t="str">
        <f>IFERROR(__xludf.DUMMYFUNCTION("""COMPUTED_VALUE"""),"danskos01")</f>
        <v>danskos01</v>
      </c>
      <c r="E16" s="1" t="s">
        <v>5</v>
      </c>
      <c r="F16" s="1">
        <f t="shared" si="1"/>
        <v>30.9</v>
      </c>
      <c r="G16" s="1">
        <f t="shared" si="2"/>
        <v>7.73</v>
      </c>
      <c r="H16" s="1">
        <v>4.0</v>
      </c>
      <c r="V16" s="1">
        <v>3.0</v>
      </c>
      <c r="W16" s="1">
        <v>3.0</v>
      </c>
      <c r="X16" s="1">
        <v>0.0</v>
      </c>
      <c r="Y16" s="1">
        <v>5.0</v>
      </c>
      <c r="Z16" s="1">
        <v>93.0</v>
      </c>
      <c r="AA16" s="1">
        <v>88.0</v>
      </c>
      <c r="AB16" s="1">
        <v>1.0</v>
      </c>
    </row>
    <row r="17" ht="12.75" hidden="1" customHeight="1">
      <c r="A17" s="1" t="s">
        <v>926</v>
      </c>
      <c r="B17" s="1">
        <f t="shared" si="3"/>
        <v>918</v>
      </c>
      <c r="C17" s="1" t="str">
        <f>IFERROR(__xludf.DUMMYFUNCTION("split(A17, ""\"")"),"Louis Belpedio")</f>
        <v>Louis Belpedio</v>
      </c>
      <c r="D17" s="1" t="str">
        <f>IFERROR(__xludf.DUMMYFUNCTION("""COMPUTED_VALUE"""),"belpelo01")</f>
        <v>belpelo01</v>
      </c>
      <c r="E17" s="1" t="s">
        <v>66</v>
      </c>
      <c r="F17" s="1">
        <f t="shared" si="1"/>
        <v>5.25</v>
      </c>
      <c r="G17" s="1">
        <f t="shared" si="2"/>
        <v>5.25</v>
      </c>
      <c r="H17" s="1">
        <v>1.0</v>
      </c>
      <c r="I17" s="1">
        <v>0.0</v>
      </c>
      <c r="J17" s="1">
        <v>2.0</v>
      </c>
      <c r="K17" s="1">
        <v>2.0</v>
      </c>
      <c r="L17" s="1">
        <v>0.0</v>
      </c>
      <c r="M17" s="1">
        <v>1.0</v>
      </c>
      <c r="N17" s="1">
        <v>1.0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</row>
    <row r="18" ht="12.75" customHeight="1">
      <c r="A18" s="1" t="s">
        <v>51</v>
      </c>
      <c r="B18" s="1">
        <f t="shared" si="3"/>
        <v>10</v>
      </c>
      <c r="C18" s="1" t="str">
        <f>IFERROR(__xludf.DUMMYFUNCTION("split(A18, ""\"")"),"John Tavares")</f>
        <v>John Tavares</v>
      </c>
      <c r="D18" s="1" t="str">
        <f>IFERROR(__xludf.DUMMYFUNCTION("""COMPUTED_VALUE"""),"tavarjo01")</f>
        <v>tavarjo01</v>
      </c>
      <c r="E18" s="1" t="s">
        <v>31</v>
      </c>
      <c r="F18" s="1">
        <f t="shared" si="1"/>
        <v>501.3</v>
      </c>
      <c r="G18" s="1">
        <f t="shared" si="2"/>
        <v>6.11</v>
      </c>
      <c r="H18" s="1">
        <v>82.0</v>
      </c>
      <c r="I18" s="1">
        <v>37.0</v>
      </c>
      <c r="J18" s="1">
        <v>47.0</v>
      </c>
      <c r="K18" s="1">
        <v>84.0</v>
      </c>
      <c r="L18" s="1">
        <v>257.0</v>
      </c>
      <c r="M18" s="1">
        <v>30.0</v>
      </c>
      <c r="N18" s="1">
        <v>34.0</v>
      </c>
      <c r="O18" s="1">
        <v>12.0</v>
      </c>
      <c r="P18" s="1">
        <v>18.0</v>
      </c>
      <c r="Q18" s="1">
        <v>2.0</v>
      </c>
      <c r="R18" s="1">
        <v>1.0</v>
      </c>
      <c r="S18" s="1">
        <v>-12.0</v>
      </c>
      <c r="T18" s="1">
        <v>26.0</v>
      </c>
      <c r="U18" s="1">
        <v>3.0</v>
      </c>
    </row>
    <row r="19" ht="12.75" customHeight="1">
      <c r="A19" s="1" t="s">
        <v>46</v>
      </c>
      <c r="B19" s="1">
        <f t="shared" si="3"/>
        <v>11</v>
      </c>
      <c r="C19" s="1" t="str">
        <f>IFERROR(__xludf.DUMMYFUNCTION("split(A19, ""\"")"),"Phil Kessel")</f>
        <v>Phil Kessel</v>
      </c>
      <c r="D19" s="1" t="str">
        <f>IFERROR(__xludf.DUMMYFUNCTION("""COMPUTED_VALUE"""),"kesseph01")</f>
        <v>kesseph01</v>
      </c>
      <c r="E19" s="1" t="s">
        <v>36</v>
      </c>
      <c r="F19" s="1">
        <f t="shared" si="1"/>
        <v>497.3</v>
      </c>
      <c r="G19" s="1">
        <f t="shared" si="2"/>
        <v>6.06</v>
      </c>
      <c r="H19" s="1">
        <v>82.0</v>
      </c>
      <c r="I19" s="1">
        <v>34.0</v>
      </c>
      <c r="J19" s="1">
        <v>58.0</v>
      </c>
      <c r="K19" s="1">
        <v>92.0</v>
      </c>
      <c r="L19" s="1">
        <v>261.0</v>
      </c>
      <c r="M19" s="1">
        <v>10.0</v>
      </c>
      <c r="N19" s="1">
        <v>17.0</v>
      </c>
      <c r="O19" s="1">
        <v>12.0</v>
      </c>
      <c r="P19" s="1">
        <v>30.0</v>
      </c>
      <c r="Q19" s="1">
        <v>0.0</v>
      </c>
      <c r="R19" s="1">
        <v>0.0</v>
      </c>
      <c r="S19" s="1">
        <v>-4.0</v>
      </c>
      <c r="T19" s="1">
        <v>36.0</v>
      </c>
      <c r="U19" s="1">
        <v>6.0</v>
      </c>
    </row>
    <row r="20" ht="12.75" customHeight="1">
      <c r="A20" s="1" t="s">
        <v>45</v>
      </c>
      <c r="B20" s="1">
        <f t="shared" si="3"/>
        <v>12</v>
      </c>
      <c r="C20" s="1" t="str">
        <f>IFERROR(__xludf.DUMMYFUNCTION("split(A20, ""\"")"),"Sidney Crosby")</f>
        <v>Sidney Crosby</v>
      </c>
      <c r="D20" s="1" t="str">
        <f>IFERROR(__xludf.DUMMYFUNCTION("""COMPUTED_VALUE"""),"crosbsi01")</f>
        <v>crosbsi01</v>
      </c>
      <c r="E20" s="1" t="s">
        <v>31</v>
      </c>
      <c r="F20" s="1">
        <f t="shared" si="1"/>
        <v>496.55</v>
      </c>
      <c r="G20" s="1">
        <f t="shared" si="2"/>
        <v>6.06</v>
      </c>
      <c r="H20" s="1">
        <v>82.0</v>
      </c>
      <c r="I20" s="1">
        <v>29.0</v>
      </c>
      <c r="J20" s="1">
        <v>60.0</v>
      </c>
      <c r="K20" s="1">
        <v>89.0</v>
      </c>
      <c r="L20" s="1">
        <v>247.0</v>
      </c>
      <c r="M20" s="1">
        <v>75.0</v>
      </c>
      <c r="N20" s="1">
        <v>36.0</v>
      </c>
      <c r="O20" s="1">
        <v>9.0</v>
      </c>
      <c r="P20" s="1">
        <v>29.0</v>
      </c>
      <c r="Q20" s="1">
        <v>0.0</v>
      </c>
      <c r="R20" s="1">
        <v>0.0</v>
      </c>
      <c r="S20" s="1">
        <v>0.0</v>
      </c>
      <c r="T20" s="1">
        <v>46.0</v>
      </c>
      <c r="U20" s="1">
        <v>6.0</v>
      </c>
    </row>
    <row r="21" ht="12.75" customHeight="1">
      <c r="A21" s="1" t="s">
        <v>40</v>
      </c>
      <c r="B21" s="1">
        <f t="shared" si="3"/>
        <v>13</v>
      </c>
      <c r="C21" s="1" t="str">
        <f>IFERROR(__xludf.DUMMYFUNCTION("split(A21, ""\"")"),"Blake Wheeler")</f>
        <v>Blake Wheeler</v>
      </c>
      <c r="D21" s="1" t="str">
        <f>IFERROR(__xludf.DUMMYFUNCTION("""COMPUTED_VALUE"""),"wheelbl01")</f>
        <v>wheelbl01</v>
      </c>
      <c r="E21" s="1" t="s">
        <v>36</v>
      </c>
      <c r="F21" s="1">
        <f t="shared" si="1"/>
        <v>493.1</v>
      </c>
      <c r="G21" s="1">
        <f t="shared" si="2"/>
        <v>6.09</v>
      </c>
      <c r="H21" s="1">
        <v>81.0</v>
      </c>
      <c r="I21" s="1">
        <v>23.0</v>
      </c>
      <c r="J21" s="1">
        <v>68.0</v>
      </c>
      <c r="K21" s="1">
        <v>91.0</v>
      </c>
      <c r="L21" s="1">
        <v>246.0</v>
      </c>
      <c r="M21" s="1">
        <v>94.0</v>
      </c>
      <c r="N21" s="1">
        <v>66.0</v>
      </c>
      <c r="O21" s="1">
        <v>6.0</v>
      </c>
      <c r="P21" s="1">
        <v>34.0</v>
      </c>
      <c r="Q21" s="1">
        <v>0.0</v>
      </c>
      <c r="R21" s="1">
        <v>2.0</v>
      </c>
      <c r="S21" s="1">
        <v>13.0</v>
      </c>
      <c r="T21" s="1">
        <v>52.0</v>
      </c>
      <c r="U21" s="1">
        <v>2.0</v>
      </c>
    </row>
    <row r="22" ht="12.75" customHeight="1">
      <c r="A22" s="1" t="s">
        <v>47</v>
      </c>
      <c r="B22" s="1">
        <f t="shared" si="3"/>
        <v>14</v>
      </c>
      <c r="C22" s="1" t="str">
        <f>IFERROR(__xludf.DUMMYFUNCTION("split(A22, ""\"")"),"Jamie Benn")</f>
        <v>Jamie Benn</v>
      </c>
      <c r="D22" s="1" t="str">
        <f>IFERROR(__xludf.DUMMYFUNCTION("""COMPUTED_VALUE"""),"bennja01")</f>
        <v>bennja01</v>
      </c>
      <c r="E22" s="1" t="s">
        <v>28</v>
      </c>
      <c r="F22" s="1">
        <f t="shared" si="1"/>
        <v>483.7</v>
      </c>
      <c r="G22" s="1">
        <f t="shared" si="2"/>
        <v>5.9</v>
      </c>
      <c r="H22" s="1">
        <v>82.0</v>
      </c>
      <c r="I22" s="1">
        <v>36.0</v>
      </c>
      <c r="J22" s="1">
        <v>43.0</v>
      </c>
      <c r="K22" s="1">
        <v>79.0</v>
      </c>
      <c r="L22" s="1">
        <v>241.0</v>
      </c>
      <c r="M22" s="1">
        <v>140.0</v>
      </c>
      <c r="N22" s="1">
        <v>62.0</v>
      </c>
      <c r="O22" s="1">
        <v>9.0</v>
      </c>
      <c r="P22" s="1">
        <v>13.0</v>
      </c>
      <c r="Q22" s="1">
        <v>1.0</v>
      </c>
      <c r="R22" s="1">
        <v>1.0</v>
      </c>
      <c r="S22" s="1">
        <v>20.0</v>
      </c>
      <c r="T22" s="1">
        <v>54.0</v>
      </c>
      <c r="U22" s="1">
        <v>7.0</v>
      </c>
    </row>
    <row r="23" ht="12.75" customHeight="1">
      <c r="A23" s="1" t="s">
        <v>26</v>
      </c>
      <c r="B23" s="1">
        <f t="shared" si="3"/>
        <v>15</v>
      </c>
      <c r="C23" s="1" t="str">
        <f>IFERROR(__xludf.DUMMYFUNCTION("split(A23, ""\"")"),"Connor Hellebuyck")</f>
        <v>Connor Hellebuyck</v>
      </c>
      <c r="D23" s="2" t="str">
        <f>IFERROR(__xludf.DUMMYFUNCTION("""COMPUTED_VALUE"""),"helleco01")</f>
        <v>helleco01</v>
      </c>
      <c r="E23" s="1" t="s">
        <v>5</v>
      </c>
      <c r="F23" s="1">
        <f t="shared" si="1"/>
        <v>483.6</v>
      </c>
      <c r="G23" s="1">
        <f t="shared" si="2"/>
        <v>7.22</v>
      </c>
      <c r="H23" s="1">
        <v>67.0</v>
      </c>
      <c r="V23" s="1">
        <v>64.0</v>
      </c>
      <c r="W23" s="1">
        <v>44.0</v>
      </c>
      <c r="X23" s="1">
        <v>11.0</v>
      </c>
      <c r="Y23" s="1">
        <v>156.0</v>
      </c>
      <c r="Z23" s="1">
        <v>2048.0</v>
      </c>
      <c r="AA23" s="1">
        <v>1892.0</v>
      </c>
      <c r="AB23" s="1">
        <v>6.0</v>
      </c>
    </row>
    <row r="24" ht="12.75" hidden="1" customHeight="1">
      <c r="A24" s="1" t="s">
        <v>893</v>
      </c>
      <c r="B24" s="1">
        <f t="shared" si="3"/>
        <v>913</v>
      </c>
      <c r="C24" s="1" t="str">
        <f>IFERROR(__xludf.DUMMYFUNCTION("split(A24, ""\"")"),"Justin Holl")</f>
        <v>Justin Holl</v>
      </c>
      <c r="D24" s="1" t="str">
        <f>IFERROR(__xludf.DUMMYFUNCTION("""COMPUTED_VALUE"""),"hollju01")</f>
        <v>hollju01</v>
      </c>
      <c r="E24" s="1" t="s">
        <v>66</v>
      </c>
      <c r="F24" s="1">
        <f t="shared" si="1"/>
        <v>6.5</v>
      </c>
      <c r="G24" s="1">
        <f t="shared" si="2"/>
        <v>3.25</v>
      </c>
      <c r="H24" s="1">
        <v>2.0</v>
      </c>
      <c r="I24" s="1">
        <v>2.0</v>
      </c>
      <c r="J24" s="1">
        <v>0.0</v>
      </c>
      <c r="K24" s="1">
        <v>2.0</v>
      </c>
      <c r="L24" s="1">
        <v>2.0</v>
      </c>
      <c r="M24" s="1">
        <v>2.0</v>
      </c>
      <c r="N24" s="1">
        <v>3.0</v>
      </c>
      <c r="O24" s="1">
        <v>0.0</v>
      </c>
      <c r="P24" s="1">
        <v>0.0</v>
      </c>
      <c r="Q24" s="1">
        <v>0.0</v>
      </c>
      <c r="R24" s="1">
        <v>0.0</v>
      </c>
      <c r="S24" s="1">
        <v>5.0</v>
      </c>
      <c r="T24" s="1">
        <v>0.0</v>
      </c>
      <c r="U24" s="1">
        <v>1.0</v>
      </c>
    </row>
    <row r="25" ht="12.75" customHeight="1">
      <c r="A25" s="1" t="s">
        <v>29</v>
      </c>
      <c r="B25" s="1">
        <f t="shared" si="3"/>
        <v>16</v>
      </c>
      <c r="C25" s="1" t="str">
        <f>IFERROR(__xludf.DUMMYFUNCTION("split(A25, ""\"")"),"Andrei Vasilevskiy")</f>
        <v>Andrei Vasilevskiy</v>
      </c>
      <c r="D25" s="2" t="str">
        <f>IFERROR(__xludf.DUMMYFUNCTION("""COMPUTED_VALUE"""),"vasilan02")</f>
        <v>vasilan02</v>
      </c>
      <c r="E25" s="1" t="s">
        <v>5</v>
      </c>
      <c r="F25" s="1">
        <f t="shared" si="1"/>
        <v>477.9</v>
      </c>
      <c r="G25" s="1">
        <f t="shared" si="2"/>
        <v>7.35</v>
      </c>
      <c r="H25" s="1">
        <v>65.0</v>
      </c>
      <c r="V25" s="1">
        <v>64.0</v>
      </c>
      <c r="W25" s="1">
        <v>44.0</v>
      </c>
      <c r="X25" s="1">
        <v>17.0</v>
      </c>
      <c r="Y25" s="1">
        <v>167.0</v>
      </c>
      <c r="Z25" s="1">
        <v>2075.0</v>
      </c>
      <c r="AA25" s="1">
        <v>1908.0</v>
      </c>
      <c r="AB25" s="1">
        <v>8.0</v>
      </c>
    </row>
    <row r="26" ht="12.75" customHeight="1">
      <c r="A26" s="1" t="s">
        <v>79</v>
      </c>
      <c r="B26" s="1">
        <f t="shared" si="3"/>
        <v>17</v>
      </c>
      <c r="C26" s="1" t="str">
        <f>IFERROR(__xludf.DUMMYFUNCTION("split(A26, ""\"")"),"Patrick Kane")</f>
        <v>Patrick Kane</v>
      </c>
      <c r="D26" s="1" t="str">
        <f>IFERROR(__xludf.DUMMYFUNCTION("""COMPUTED_VALUE"""),"kanepa01")</f>
        <v>kanepa01</v>
      </c>
      <c r="E26" s="1" t="s">
        <v>36</v>
      </c>
      <c r="F26" s="1">
        <f t="shared" si="1"/>
        <v>470.1</v>
      </c>
      <c r="G26" s="1">
        <f t="shared" si="2"/>
        <v>5.73</v>
      </c>
      <c r="H26" s="1">
        <v>82.0</v>
      </c>
      <c r="I26" s="1">
        <v>27.0</v>
      </c>
      <c r="J26" s="1">
        <v>49.0</v>
      </c>
      <c r="K26" s="1">
        <v>76.0</v>
      </c>
      <c r="L26" s="1">
        <v>285.0</v>
      </c>
      <c r="M26" s="1">
        <v>18.0</v>
      </c>
      <c r="N26" s="1">
        <v>14.0</v>
      </c>
      <c r="O26" s="1">
        <v>5.0</v>
      </c>
      <c r="P26" s="1">
        <v>17.0</v>
      </c>
      <c r="Q26" s="1">
        <v>0.0</v>
      </c>
      <c r="R26" s="1">
        <v>0.0</v>
      </c>
      <c r="S26" s="1">
        <v>-20.0</v>
      </c>
      <c r="T26" s="1">
        <v>32.0</v>
      </c>
      <c r="U26" s="1">
        <v>4.0</v>
      </c>
    </row>
    <row r="27" ht="12.75" customHeight="1">
      <c r="A27" s="1" t="s">
        <v>90</v>
      </c>
      <c r="B27" s="1">
        <f t="shared" si="3"/>
        <v>18</v>
      </c>
      <c r="C27" s="1" t="str">
        <f>IFERROR(__xludf.DUMMYFUNCTION("split(A27, ""\"")"),"Evander Kane")</f>
        <v>Evander Kane</v>
      </c>
      <c r="D27" s="1" t="str">
        <f>IFERROR(__xludf.DUMMYFUNCTION("""COMPUTED_VALUE"""),"kaneev01")</f>
        <v>kaneev01</v>
      </c>
      <c r="E27" s="1" t="s">
        <v>28</v>
      </c>
      <c r="F27" s="1">
        <f t="shared" si="1"/>
        <v>469.85</v>
      </c>
      <c r="G27" s="1">
        <f t="shared" si="2"/>
        <v>6.02</v>
      </c>
      <c r="H27" s="1">
        <v>78.0</v>
      </c>
      <c r="I27" s="1">
        <v>29.0</v>
      </c>
      <c r="J27" s="1">
        <v>25.0</v>
      </c>
      <c r="K27" s="1">
        <v>54.0</v>
      </c>
      <c r="L27" s="1">
        <v>307.0</v>
      </c>
      <c r="M27" s="1">
        <v>159.0</v>
      </c>
      <c r="N27" s="1">
        <v>34.0</v>
      </c>
      <c r="O27" s="1">
        <v>3.0</v>
      </c>
      <c r="P27" s="1">
        <v>6.0</v>
      </c>
      <c r="Q27" s="1">
        <v>4.0</v>
      </c>
      <c r="R27" s="1">
        <v>0.0</v>
      </c>
      <c r="S27" s="1">
        <v>-9.0</v>
      </c>
      <c r="T27" s="1">
        <v>82.0</v>
      </c>
      <c r="U27" s="1">
        <v>2.0</v>
      </c>
    </row>
    <row r="28" ht="12.75" customHeight="1">
      <c r="A28" s="1" t="s">
        <v>44</v>
      </c>
      <c r="B28" s="1">
        <f t="shared" si="3"/>
        <v>19</v>
      </c>
      <c r="C28" s="1" t="str">
        <f>IFERROR(__xludf.DUMMYFUNCTION("split(A28, ""\"")"),"Anze Kopitar")</f>
        <v>Anze Kopitar</v>
      </c>
      <c r="D28" s="1" t="str">
        <f>IFERROR(__xludf.DUMMYFUNCTION("""COMPUTED_VALUE"""),"kopitan01")</f>
        <v>kopitan01</v>
      </c>
      <c r="E28" s="1" t="s">
        <v>31</v>
      </c>
      <c r="F28" s="1">
        <f t="shared" si="1"/>
        <v>465.5</v>
      </c>
      <c r="G28" s="1">
        <f t="shared" si="2"/>
        <v>5.68</v>
      </c>
      <c r="H28" s="1">
        <v>82.0</v>
      </c>
      <c r="I28" s="1">
        <v>35.0</v>
      </c>
      <c r="J28" s="1">
        <v>57.0</v>
      </c>
      <c r="K28" s="1">
        <v>92.0</v>
      </c>
      <c r="L28" s="1">
        <v>200.0</v>
      </c>
      <c r="M28" s="1">
        <v>50.0</v>
      </c>
      <c r="N28" s="1">
        <v>64.0</v>
      </c>
      <c r="O28" s="1">
        <v>7.0</v>
      </c>
      <c r="P28" s="1">
        <v>20.0</v>
      </c>
      <c r="Q28" s="1">
        <v>0.0</v>
      </c>
      <c r="R28" s="1">
        <v>2.0</v>
      </c>
      <c r="S28" s="1">
        <v>21.0</v>
      </c>
      <c r="T28" s="1">
        <v>20.0</v>
      </c>
      <c r="U28" s="1">
        <v>6.0</v>
      </c>
    </row>
    <row r="29" ht="12.75" customHeight="1">
      <c r="A29" s="1" t="s">
        <v>32</v>
      </c>
      <c r="B29" s="1">
        <f t="shared" si="3"/>
        <v>20</v>
      </c>
      <c r="C29" s="1" t="str">
        <f>IFERROR(__xludf.DUMMYFUNCTION("split(A29, ""\"")"),"Frederik Andersen")</f>
        <v>Frederik Andersen</v>
      </c>
      <c r="D29" s="2" t="str">
        <f>IFERROR(__xludf.DUMMYFUNCTION("""COMPUTED_VALUE"""),"anderfr01")</f>
        <v>anderfr01</v>
      </c>
      <c r="E29" s="1" t="s">
        <v>5</v>
      </c>
      <c r="F29" s="1">
        <f t="shared" si="1"/>
        <v>464.7</v>
      </c>
      <c r="G29" s="1">
        <f t="shared" si="2"/>
        <v>7.04</v>
      </c>
      <c r="H29" s="1">
        <v>66.0</v>
      </c>
      <c r="V29" s="1">
        <v>66.0</v>
      </c>
      <c r="W29" s="1">
        <v>38.0</v>
      </c>
      <c r="X29" s="1">
        <v>21.0</v>
      </c>
      <c r="Y29" s="1">
        <v>182.0</v>
      </c>
      <c r="Z29" s="1">
        <v>2211.0</v>
      </c>
      <c r="AA29" s="1">
        <v>2029.0</v>
      </c>
      <c r="AB29" s="1">
        <v>5.0</v>
      </c>
    </row>
    <row r="30" ht="12.75" customHeight="1">
      <c r="A30" s="1" t="s">
        <v>60</v>
      </c>
      <c r="B30" s="1">
        <f t="shared" si="3"/>
        <v>21</v>
      </c>
      <c r="C30" s="1" t="str">
        <f>IFERROR(__xludf.DUMMYFUNCTION("split(A30, ""\"")"),"Eric Staal")</f>
        <v>Eric Staal</v>
      </c>
      <c r="D30" s="1" t="str">
        <f>IFERROR(__xludf.DUMMYFUNCTION("""COMPUTED_VALUE"""),"staaler01")</f>
        <v>staaler01</v>
      </c>
      <c r="E30" s="1" t="s">
        <v>31</v>
      </c>
      <c r="F30" s="1">
        <f t="shared" si="1"/>
        <v>464.1</v>
      </c>
      <c r="G30" s="1">
        <f t="shared" si="2"/>
        <v>5.66</v>
      </c>
      <c r="H30" s="1">
        <v>82.0</v>
      </c>
      <c r="I30" s="1">
        <v>42.0</v>
      </c>
      <c r="J30" s="1">
        <v>34.0</v>
      </c>
      <c r="K30" s="1">
        <v>76.0</v>
      </c>
      <c r="L30" s="1">
        <v>241.0</v>
      </c>
      <c r="M30" s="1">
        <v>42.0</v>
      </c>
      <c r="N30" s="1">
        <v>49.0</v>
      </c>
      <c r="O30" s="1">
        <v>11.0</v>
      </c>
      <c r="P30" s="1">
        <v>6.0</v>
      </c>
      <c r="Q30" s="1">
        <v>2.0</v>
      </c>
      <c r="R30" s="1">
        <v>1.0</v>
      </c>
      <c r="S30" s="1">
        <v>8.0</v>
      </c>
      <c r="T30" s="1">
        <v>42.0</v>
      </c>
      <c r="U30" s="1">
        <v>4.0</v>
      </c>
    </row>
    <row r="31" ht="12.75" customHeight="1">
      <c r="A31" s="1" t="s">
        <v>37</v>
      </c>
      <c r="B31" s="1">
        <f t="shared" si="3"/>
        <v>22</v>
      </c>
      <c r="C31" s="1" t="str">
        <f>IFERROR(__xludf.DUMMYFUNCTION("split(A31, ""\"")"),"Pekka Rinne")</f>
        <v>Pekka Rinne</v>
      </c>
      <c r="D31" s="2" t="str">
        <f>IFERROR(__xludf.DUMMYFUNCTION("""COMPUTED_VALUE"""),"rinnepe01")</f>
        <v>rinnepe01</v>
      </c>
      <c r="E31" s="1" t="s">
        <v>5</v>
      </c>
      <c r="F31" s="1">
        <f t="shared" si="1"/>
        <v>460.8</v>
      </c>
      <c r="G31" s="1">
        <f t="shared" si="2"/>
        <v>7.81</v>
      </c>
      <c r="H31" s="1">
        <v>59.0</v>
      </c>
      <c r="V31" s="1">
        <v>59.0</v>
      </c>
      <c r="W31" s="1">
        <v>42.0</v>
      </c>
      <c r="X31" s="1">
        <v>13.0</v>
      </c>
      <c r="Y31" s="1">
        <v>134.0</v>
      </c>
      <c r="Z31" s="1">
        <v>1840.0</v>
      </c>
      <c r="AA31" s="1">
        <v>1706.0</v>
      </c>
      <c r="AB31" s="1">
        <v>8.0</v>
      </c>
    </row>
    <row r="32" ht="12.75" customHeight="1">
      <c r="A32" s="1" t="s">
        <v>63</v>
      </c>
      <c r="B32" s="1">
        <f t="shared" si="3"/>
        <v>23</v>
      </c>
      <c r="C32" s="1" t="str">
        <f>IFERROR(__xludf.DUMMYFUNCTION("split(A32, ""\"")"),"Aleksander Barkov")</f>
        <v>Aleksander Barkov</v>
      </c>
      <c r="D32" s="1" t="str">
        <f>IFERROR(__xludf.DUMMYFUNCTION("""COMPUTED_VALUE"""),"barkoal01")</f>
        <v>barkoal01</v>
      </c>
      <c r="E32" s="1" t="s">
        <v>31</v>
      </c>
      <c r="F32" s="1">
        <f t="shared" si="1"/>
        <v>455.2</v>
      </c>
      <c r="G32" s="1">
        <f t="shared" si="2"/>
        <v>5.76</v>
      </c>
      <c r="H32" s="1">
        <v>79.0</v>
      </c>
      <c r="I32" s="1">
        <v>27.0</v>
      </c>
      <c r="J32" s="1">
        <v>51.0</v>
      </c>
      <c r="K32" s="1">
        <v>78.0</v>
      </c>
      <c r="L32" s="1">
        <v>256.0</v>
      </c>
      <c r="M32" s="1">
        <v>30.0</v>
      </c>
      <c r="N32" s="1">
        <v>67.0</v>
      </c>
      <c r="O32" s="1">
        <v>5.0</v>
      </c>
      <c r="P32" s="1">
        <v>12.0</v>
      </c>
      <c r="Q32" s="1">
        <v>5.0</v>
      </c>
      <c r="R32" s="1">
        <v>0.0</v>
      </c>
      <c r="S32" s="1">
        <v>9.0</v>
      </c>
      <c r="T32" s="1">
        <v>14.0</v>
      </c>
      <c r="U32" s="1">
        <v>3.0</v>
      </c>
    </row>
    <row r="33" ht="12.75" customHeight="1">
      <c r="A33" s="1" t="s">
        <v>59</v>
      </c>
      <c r="B33" s="1">
        <f t="shared" si="3"/>
        <v>24</v>
      </c>
      <c r="C33" s="1" t="str">
        <f>IFERROR(__xludf.DUMMYFUNCTION("split(A33, ""\"")"),"David Pastrnak")</f>
        <v>David Pastrnak</v>
      </c>
      <c r="D33" s="1" t="str">
        <f>IFERROR(__xludf.DUMMYFUNCTION("""COMPUTED_VALUE"""),"pastrda01")</f>
        <v>pastrda01</v>
      </c>
      <c r="E33" s="1" t="s">
        <v>36</v>
      </c>
      <c r="F33" s="1">
        <f t="shared" si="1"/>
        <v>450.85</v>
      </c>
      <c r="G33" s="1">
        <f t="shared" si="2"/>
        <v>5.5</v>
      </c>
      <c r="H33" s="1">
        <v>82.0</v>
      </c>
      <c r="I33" s="1">
        <v>35.0</v>
      </c>
      <c r="J33" s="1">
        <v>45.0</v>
      </c>
      <c r="K33" s="1">
        <v>80.0</v>
      </c>
      <c r="L33" s="1">
        <v>246.0</v>
      </c>
      <c r="M33" s="1">
        <v>55.0</v>
      </c>
      <c r="N33" s="1">
        <v>31.0</v>
      </c>
      <c r="O33" s="1">
        <v>13.0</v>
      </c>
      <c r="P33" s="1">
        <v>13.0</v>
      </c>
      <c r="Q33" s="1">
        <v>0.0</v>
      </c>
      <c r="R33" s="1">
        <v>0.0</v>
      </c>
      <c r="S33" s="1">
        <v>10.0</v>
      </c>
      <c r="T33" s="1">
        <v>37.0</v>
      </c>
      <c r="U33" s="1">
        <v>5.0</v>
      </c>
    </row>
    <row r="34" ht="12.75" customHeight="1">
      <c r="A34" s="1" t="s">
        <v>82</v>
      </c>
      <c r="B34" s="1">
        <f t="shared" si="3"/>
        <v>25</v>
      </c>
      <c r="C34" s="1" t="str">
        <f>IFERROR(__xludf.DUMMYFUNCTION("split(A34, ""\"")"),"Anders Lee")</f>
        <v>Anders Lee</v>
      </c>
      <c r="D34" s="1" t="str">
        <f>IFERROR(__xludf.DUMMYFUNCTION("""COMPUTED_VALUE"""),"leean01")</f>
        <v>leean01</v>
      </c>
      <c r="E34" s="1" t="s">
        <v>31</v>
      </c>
      <c r="F34" s="1">
        <f t="shared" si="1"/>
        <v>449.2</v>
      </c>
      <c r="G34" s="1">
        <f t="shared" si="2"/>
        <v>5.48</v>
      </c>
      <c r="H34" s="1">
        <v>82.0</v>
      </c>
      <c r="I34" s="1">
        <v>40.0</v>
      </c>
      <c r="J34" s="1">
        <v>22.0</v>
      </c>
      <c r="K34" s="1">
        <v>62.0</v>
      </c>
      <c r="L34" s="1">
        <v>208.0</v>
      </c>
      <c r="M34" s="1">
        <v>102.0</v>
      </c>
      <c r="N34" s="1">
        <v>38.0</v>
      </c>
      <c r="O34" s="1">
        <v>14.0</v>
      </c>
      <c r="P34" s="1">
        <v>8.0</v>
      </c>
      <c r="Q34" s="1">
        <v>0.0</v>
      </c>
      <c r="R34" s="1">
        <v>0.0</v>
      </c>
      <c r="S34" s="1">
        <v>-25.0</v>
      </c>
      <c r="T34" s="1">
        <v>44.0</v>
      </c>
      <c r="U34" s="1">
        <v>2.0</v>
      </c>
    </row>
    <row r="35" ht="12.75" customHeight="1">
      <c r="A35" s="1" t="s">
        <v>58</v>
      </c>
      <c r="B35" s="1">
        <f t="shared" si="3"/>
        <v>26</v>
      </c>
      <c r="C35" s="1" t="str">
        <f>IFERROR(__xludf.DUMMYFUNCTION("split(A35, ""\"")"),"Patrik Laine")</f>
        <v>Patrik Laine</v>
      </c>
      <c r="D35" s="1" t="str">
        <f>IFERROR(__xludf.DUMMYFUNCTION("""COMPUTED_VALUE"""),"lainepa01")</f>
        <v>lainepa01</v>
      </c>
      <c r="E35" s="1" t="s">
        <v>36</v>
      </c>
      <c r="F35" s="1">
        <f t="shared" si="1"/>
        <v>447.7</v>
      </c>
      <c r="G35" s="1">
        <f t="shared" si="2"/>
        <v>5.46</v>
      </c>
      <c r="H35" s="1">
        <v>82.0</v>
      </c>
      <c r="I35" s="1">
        <v>44.0</v>
      </c>
      <c r="J35" s="1">
        <v>26.0</v>
      </c>
      <c r="K35" s="1">
        <v>70.0</v>
      </c>
      <c r="L35" s="1">
        <v>241.0</v>
      </c>
      <c r="M35" s="1">
        <v>74.0</v>
      </c>
      <c r="N35" s="1">
        <v>43.0</v>
      </c>
      <c r="O35" s="1">
        <v>20.0</v>
      </c>
      <c r="P35" s="1">
        <v>11.0</v>
      </c>
      <c r="Q35" s="1">
        <v>0.0</v>
      </c>
      <c r="R35" s="1">
        <v>0.0</v>
      </c>
      <c r="S35" s="1">
        <v>8.0</v>
      </c>
      <c r="T35" s="1">
        <v>24.0</v>
      </c>
      <c r="U35" s="1">
        <v>8.0</v>
      </c>
    </row>
    <row r="36" ht="12.75" customHeight="1">
      <c r="A36" s="1" t="s">
        <v>65</v>
      </c>
      <c r="B36" s="1">
        <f t="shared" si="3"/>
        <v>27</v>
      </c>
      <c r="C36" s="1" t="str">
        <f>IFERROR(__xludf.DUMMYFUNCTION("split(A36, ""\"")"),"John Carlson")</f>
        <v>John Carlson</v>
      </c>
      <c r="D36" s="1" t="str">
        <f>IFERROR(__xludf.DUMMYFUNCTION("""COMPUTED_VALUE"""),"carlsjo01")</f>
        <v>carlsjo01</v>
      </c>
      <c r="E36" s="1" t="s">
        <v>66</v>
      </c>
      <c r="F36" s="1">
        <f t="shared" si="1"/>
        <v>447.35</v>
      </c>
      <c r="G36" s="1">
        <f t="shared" si="2"/>
        <v>5.46</v>
      </c>
      <c r="H36" s="1">
        <v>82.0</v>
      </c>
      <c r="I36" s="1">
        <v>15.0</v>
      </c>
      <c r="J36" s="1">
        <v>53.0</v>
      </c>
      <c r="K36" s="1">
        <v>68.0</v>
      </c>
      <c r="L36" s="1">
        <v>237.0</v>
      </c>
      <c r="M36" s="1">
        <v>47.0</v>
      </c>
      <c r="N36" s="1">
        <v>146.0</v>
      </c>
      <c r="O36" s="1">
        <v>4.0</v>
      </c>
      <c r="P36" s="1">
        <v>28.0</v>
      </c>
      <c r="Q36" s="1">
        <v>0.0</v>
      </c>
      <c r="R36" s="1">
        <v>0.0</v>
      </c>
      <c r="S36" s="1">
        <v>0.0</v>
      </c>
      <c r="T36" s="1">
        <v>32.0</v>
      </c>
      <c r="U36" s="1">
        <v>4.0</v>
      </c>
    </row>
    <row r="37" ht="12.75" customHeight="1">
      <c r="A37" s="1" t="s">
        <v>104</v>
      </c>
      <c r="B37" s="1">
        <f t="shared" si="3"/>
        <v>28</v>
      </c>
      <c r="C37" s="1" t="str">
        <f>IFERROR(__xludf.DUMMYFUNCTION("split(A37, ""\"")"),"Jack Eichel")</f>
        <v>Jack Eichel</v>
      </c>
      <c r="D37" s="1" t="str">
        <f>IFERROR(__xludf.DUMMYFUNCTION("""COMPUTED_VALUE"""),"eicheja01")</f>
        <v>eicheja01</v>
      </c>
      <c r="E37" s="1" t="s">
        <v>31</v>
      </c>
      <c r="F37" s="1">
        <f t="shared" si="1"/>
        <v>444.1</v>
      </c>
      <c r="G37" s="1">
        <f t="shared" si="2"/>
        <v>6.63</v>
      </c>
      <c r="H37" s="1">
        <v>67.0</v>
      </c>
      <c r="I37" s="1">
        <v>25.0</v>
      </c>
      <c r="J37" s="1">
        <v>39.0</v>
      </c>
      <c r="K37" s="1">
        <v>64.0</v>
      </c>
      <c r="L37" s="1">
        <v>246.0</v>
      </c>
      <c r="M37" s="1">
        <v>52.0</v>
      </c>
      <c r="N37" s="1">
        <v>35.0</v>
      </c>
      <c r="O37" s="1">
        <v>3.0</v>
      </c>
      <c r="P37" s="1">
        <v>17.0</v>
      </c>
      <c r="Q37" s="1">
        <v>0.0</v>
      </c>
      <c r="R37" s="1">
        <v>2.0</v>
      </c>
      <c r="S37" s="1">
        <v>-25.0</v>
      </c>
      <c r="T37" s="1">
        <v>32.0</v>
      </c>
      <c r="U37" s="1">
        <v>4.0</v>
      </c>
    </row>
    <row r="38" ht="12.75" customHeight="1">
      <c r="A38" s="1" t="s">
        <v>73</v>
      </c>
      <c r="B38" s="1">
        <f t="shared" si="3"/>
        <v>29</v>
      </c>
      <c r="C38" s="1" t="str">
        <f>IFERROR(__xludf.DUMMYFUNCTION("split(A38, ""\"")"),"Alexander Radulov")</f>
        <v>Alexander Radulov</v>
      </c>
      <c r="D38" s="1" t="str">
        <f>IFERROR(__xludf.DUMMYFUNCTION("""COMPUTED_VALUE"""),"radulal01")</f>
        <v>radulal01</v>
      </c>
      <c r="E38" s="1" t="s">
        <v>36</v>
      </c>
      <c r="F38" s="1">
        <f t="shared" si="1"/>
        <v>439.85</v>
      </c>
      <c r="G38" s="1">
        <f t="shared" si="2"/>
        <v>5.36</v>
      </c>
      <c r="H38" s="1">
        <v>82.0</v>
      </c>
      <c r="I38" s="1">
        <v>27.0</v>
      </c>
      <c r="J38" s="1">
        <v>45.0</v>
      </c>
      <c r="K38" s="1">
        <v>72.0</v>
      </c>
      <c r="L38" s="1">
        <v>217.0</v>
      </c>
      <c r="M38" s="1">
        <v>77.0</v>
      </c>
      <c r="N38" s="1">
        <v>64.0</v>
      </c>
      <c r="O38" s="1">
        <v>7.0</v>
      </c>
      <c r="P38" s="1">
        <v>16.0</v>
      </c>
      <c r="Q38" s="1">
        <v>0.0</v>
      </c>
      <c r="R38" s="1">
        <v>0.0</v>
      </c>
      <c r="S38" s="1">
        <v>4.0</v>
      </c>
      <c r="T38" s="1">
        <v>72.0</v>
      </c>
      <c r="U38" s="1">
        <v>4.0</v>
      </c>
    </row>
    <row r="39" ht="12.75" customHeight="1">
      <c r="A39" s="1" t="s">
        <v>39</v>
      </c>
      <c r="B39" s="1">
        <f t="shared" si="3"/>
        <v>30</v>
      </c>
      <c r="C39" s="1" t="str">
        <f>IFERROR(__xludf.DUMMYFUNCTION("split(A39, ""\"")"),"Sergei Bobrovsky")</f>
        <v>Sergei Bobrovsky</v>
      </c>
      <c r="D39" s="2" t="str">
        <f>IFERROR(__xludf.DUMMYFUNCTION("""COMPUTED_VALUE"""),"bobrose01")</f>
        <v>bobrose01</v>
      </c>
      <c r="E39" s="1" t="s">
        <v>5</v>
      </c>
      <c r="F39" s="1">
        <f t="shared" si="1"/>
        <v>439.5</v>
      </c>
      <c r="G39" s="1">
        <f t="shared" si="2"/>
        <v>6.76</v>
      </c>
      <c r="H39" s="1">
        <v>65.0</v>
      </c>
      <c r="V39" s="1">
        <v>65.0</v>
      </c>
      <c r="W39" s="1">
        <v>37.0</v>
      </c>
      <c r="X39" s="1">
        <v>22.0</v>
      </c>
      <c r="Y39" s="1">
        <v>158.0</v>
      </c>
      <c r="Z39" s="1">
        <v>1993.0</v>
      </c>
      <c r="AA39" s="1">
        <v>1835.0</v>
      </c>
      <c r="AB39" s="1">
        <v>5.0</v>
      </c>
    </row>
    <row r="40" ht="12.75" customHeight="1">
      <c r="A40" s="1" t="s">
        <v>41</v>
      </c>
      <c r="B40" s="1">
        <f t="shared" si="3"/>
        <v>31</v>
      </c>
      <c r="C40" s="1" t="str">
        <f>IFERROR(__xludf.DUMMYFUNCTION("split(A40, ""\"")"),"Claude Giroux")</f>
        <v>Claude Giroux</v>
      </c>
      <c r="D40" s="1" t="str">
        <f>IFERROR(__xludf.DUMMYFUNCTION("""COMPUTED_VALUE"""),"giroucl01")</f>
        <v>giroucl01</v>
      </c>
      <c r="E40" s="1" t="s">
        <v>42</v>
      </c>
      <c r="F40" s="1">
        <f t="shared" si="1"/>
        <v>438.5</v>
      </c>
      <c r="G40" s="1">
        <f t="shared" si="2"/>
        <v>5.35</v>
      </c>
      <c r="H40" s="1">
        <v>82.0</v>
      </c>
      <c r="I40" s="1">
        <v>34.0</v>
      </c>
      <c r="J40" s="1">
        <v>68.0</v>
      </c>
      <c r="K40" s="1">
        <v>102.0</v>
      </c>
      <c r="L40" s="1">
        <v>193.0</v>
      </c>
      <c r="M40" s="1">
        <v>30.0</v>
      </c>
      <c r="N40" s="1">
        <v>23.0</v>
      </c>
      <c r="O40" s="1">
        <v>9.0</v>
      </c>
      <c r="P40" s="1">
        <v>27.0</v>
      </c>
      <c r="Q40" s="1">
        <v>0.0</v>
      </c>
      <c r="R40" s="1">
        <v>0.0</v>
      </c>
      <c r="S40" s="1">
        <v>28.0</v>
      </c>
      <c r="T40" s="1">
        <v>20.0</v>
      </c>
      <c r="U40" s="1">
        <v>1.0</v>
      </c>
    </row>
    <row r="41" ht="12.75" customHeight="1">
      <c r="A41" s="1" t="s">
        <v>68</v>
      </c>
      <c r="B41" s="1">
        <f t="shared" si="3"/>
        <v>32</v>
      </c>
      <c r="C41" s="1" t="str">
        <f>IFERROR(__xludf.DUMMYFUNCTION("split(A41, ""\"")"),"Evgeny Kuznetsov")</f>
        <v>Evgeny Kuznetsov</v>
      </c>
      <c r="D41" s="1" t="str">
        <f>IFERROR(__xludf.DUMMYFUNCTION("""COMPUTED_VALUE"""),"kuzneev01")</f>
        <v>kuzneev01</v>
      </c>
      <c r="E41" s="1" t="s">
        <v>31</v>
      </c>
      <c r="F41" s="1">
        <f t="shared" si="1"/>
        <v>437.4</v>
      </c>
      <c r="G41" s="1">
        <f t="shared" si="2"/>
        <v>5.54</v>
      </c>
      <c r="H41" s="1">
        <v>79.0</v>
      </c>
      <c r="I41" s="1">
        <v>27.0</v>
      </c>
      <c r="J41" s="1">
        <v>56.0</v>
      </c>
      <c r="K41" s="1">
        <v>83.0</v>
      </c>
      <c r="L41" s="1">
        <v>187.0</v>
      </c>
      <c r="M41" s="1">
        <v>50.0</v>
      </c>
      <c r="N41" s="1">
        <v>26.0</v>
      </c>
      <c r="O41" s="1">
        <v>7.0</v>
      </c>
      <c r="P41" s="1">
        <v>23.0</v>
      </c>
      <c r="Q41" s="1">
        <v>1.0</v>
      </c>
      <c r="R41" s="1">
        <v>0.0</v>
      </c>
      <c r="S41" s="1">
        <v>3.0</v>
      </c>
      <c r="T41" s="1">
        <v>48.0</v>
      </c>
      <c r="U41" s="1">
        <v>8.0</v>
      </c>
    </row>
    <row r="42" ht="12.75" customHeight="1">
      <c r="A42" s="1" t="s">
        <v>70</v>
      </c>
      <c r="B42" s="1">
        <f t="shared" si="3"/>
        <v>33</v>
      </c>
      <c r="C42" s="1" t="str">
        <f>IFERROR(__xludf.DUMMYFUNCTION("split(A42, ""\"")"),"Vladimir Tarasenko")</f>
        <v>Vladimir Tarasenko</v>
      </c>
      <c r="D42" s="1" t="str">
        <f>IFERROR(__xludf.DUMMYFUNCTION("""COMPUTED_VALUE"""),"tarasvl01")</f>
        <v>tarasvl01</v>
      </c>
      <c r="E42" s="1" t="s">
        <v>36</v>
      </c>
      <c r="F42" s="1">
        <f t="shared" si="1"/>
        <v>433.85</v>
      </c>
      <c r="G42" s="1">
        <f t="shared" si="2"/>
        <v>5.42</v>
      </c>
      <c r="H42" s="1">
        <v>80.0</v>
      </c>
      <c r="I42" s="1">
        <v>33.0</v>
      </c>
      <c r="J42" s="1">
        <v>33.0</v>
      </c>
      <c r="K42" s="1">
        <v>66.0</v>
      </c>
      <c r="L42" s="1">
        <v>306.0</v>
      </c>
      <c r="M42" s="1">
        <v>89.0</v>
      </c>
      <c r="N42" s="1">
        <v>37.0</v>
      </c>
      <c r="O42" s="1">
        <v>6.0</v>
      </c>
      <c r="P42" s="1">
        <v>10.0</v>
      </c>
      <c r="Q42" s="1">
        <v>0.0</v>
      </c>
      <c r="R42" s="1">
        <v>0.0</v>
      </c>
      <c r="S42" s="1">
        <v>15.0</v>
      </c>
      <c r="T42" s="1">
        <v>17.0</v>
      </c>
      <c r="U42" s="1">
        <v>5.0</v>
      </c>
    </row>
    <row r="43" ht="12.75" customHeight="1">
      <c r="A43" s="1" t="s">
        <v>54</v>
      </c>
      <c r="B43" s="1">
        <f t="shared" si="3"/>
        <v>33</v>
      </c>
      <c r="C43" s="1" t="str">
        <f>IFERROR(__xludf.DUMMYFUNCTION("split(A43, ""\"")"),"Steven Stamkos")</f>
        <v>Steven Stamkos</v>
      </c>
      <c r="D43" s="1" t="str">
        <f>IFERROR(__xludf.DUMMYFUNCTION("""COMPUTED_VALUE"""),"stamkst01")</f>
        <v>stamkst01</v>
      </c>
      <c r="E43" s="1" t="s">
        <v>31</v>
      </c>
      <c r="F43" s="1">
        <f t="shared" si="1"/>
        <v>433.85</v>
      </c>
      <c r="G43" s="1">
        <f t="shared" si="2"/>
        <v>5.56</v>
      </c>
      <c r="H43" s="1">
        <v>78.0</v>
      </c>
      <c r="I43" s="1">
        <v>27.0</v>
      </c>
      <c r="J43" s="1">
        <v>59.0</v>
      </c>
      <c r="K43" s="1">
        <v>86.0</v>
      </c>
      <c r="L43" s="1">
        <v>212.0</v>
      </c>
      <c r="M43" s="1">
        <v>61.0</v>
      </c>
      <c r="N43" s="1">
        <v>35.0</v>
      </c>
      <c r="O43" s="1">
        <v>15.0</v>
      </c>
      <c r="P43" s="1">
        <v>18.0</v>
      </c>
      <c r="Q43" s="1">
        <v>0.0</v>
      </c>
      <c r="R43" s="1">
        <v>0.0</v>
      </c>
      <c r="S43" s="1">
        <v>18.0</v>
      </c>
      <c r="T43" s="1">
        <v>72.0</v>
      </c>
      <c r="U43" s="1">
        <v>1.0</v>
      </c>
    </row>
    <row r="44" ht="12.75" customHeight="1">
      <c r="A44" s="1" t="s">
        <v>74</v>
      </c>
      <c r="B44" s="1">
        <f t="shared" si="3"/>
        <v>35</v>
      </c>
      <c r="C44" s="1" t="str">
        <f>IFERROR(__xludf.DUMMYFUNCTION("split(A44, ""\"")"),"Brayden Schenn")</f>
        <v>Brayden Schenn</v>
      </c>
      <c r="D44" s="1" t="str">
        <f>IFERROR(__xludf.DUMMYFUNCTION("""COMPUTED_VALUE"""),"schenbr01")</f>
        <v>schenbr01</v>
      </c>
      <c r="E44" s="1" t="s">
        <v>31</v>
      </c>
      <c r="F44" s="1">
        <f t="shared" si="1"/>
        <v>431.8</v>
      </c>
      <c r="G44" s="1">
        <f t="shared" si="2"/>
        <v>5.27</v>
      </c>
      <c r="H44" s="1">
        <v>82.0</v>
      </c>
      <c r="I44" s="1">
        <v>28.0</v>
      </c>
      <c r="J44" s="1">
        <v>42.0</v>
      </c>
      <c r="K44" s="1">
        <v>70.0</v>
      </c>
      <c r="L44" s="1">
        <v>210.0</v>
      </c>
      <c r="M44" s="1">
        <v>154.0</v>
      </c>
      <c r="N44" s="1">
        <v>37.0</v>
      </c>
      <c r="O44" s="1">
        <v>8.0</v>
      </c>
      <c r="P44" s="1">
        <v>11.0</v>
      </c>
      <c r="Q44" s="1">
        <v>0.0</v>
      </c>
      <c r="R44" s="1">
        <v>0.0</v>
      </c>
      <c r="S44" s="1">
        <v>10.0</v>
      </c>
      <c r="T44" s="1">
        <v>56.0</v>
      </c>
      <c r="U44" s="1">
        <v>8.0</v>
      </c>
    </row>
    <row r="45" ht="12.75" customHeight="1">
      <c r="A45" s="1" t="s">
        <v>105</v>
      </c>
      <c r="B45" s="1">
        <f t="shared" si="3"/>
        <v>36</v>
      </c>
      <c r="C45" s="1" t="str">
        <f>IFERROR(__xludf.DUMMYFUNCTION("split(A45, ""\"")"),"Brendan Gallagher")</f>
        <v>Brendan Gallagher</v>
      </c>
      <c r="D45" s="1" t="str">
        <f>IFERROR(__xludf.DUMMYFUNCTION("""COMPUTED_VALUE"""),"gallabr01")</f>
        <v>gallabr01</v>
      </c>
      <c r="E45" s="1" t="s">
        <v>36</v>
      </c>
      <c r="F45" s="1">
        <f t="shared" si="1"/>
        <v>431.2</v>
      </c>
      <c r="G45" s="1">
        <f t="shared" si="2"/>
        <v>5.26</v>
      </c>
      <c r="H45" s="1">
        <v>82.0</v>
      </c>
      <c r="I45" s="1">
        <v>31.0</v>
      </c>
      <c r="J45" s="1">
        <v>23.0</v>
      </c>
      <c r="K45" s="1">
        <v>54.0</v>
      </c>
      <c r="L45" s="1">
        <v>278.0</v>
      </c>
      <c r="M45" s="1">
        <v>90.0</v>
      </c>
      <c r="N45" s="1">
        <v>41.0</v>
      </c>
      <c r="O45" s="1">
        <v>8.0</v>
      </c>
      <c r="P45" s="1">
        <v>9.0</v>
      </c>
      <c r="Q45" s="1">
        <v>1.0</v>
      </c>
      <c r="R45" s="1">
        <v>0.0</v>
      </c>
      <c r="S45" s="1">
        <v>-13.0</v>
      </c>
      <c r="T45" s="1">
        <v>34.0</v>
      </c>
      <c r="U45" s="1">
        <v>4.0</v>
      </c>
    </row>
    <row r="46" ht="12.75" customHeight="1">
      <c r="A46" s="1" t="s">
        <v>61</v>
      </c>
      <c r="B46" s="1">
        <f t="shared" si="3"/>
        <v>37</v>
      </c>
      <c r="C46" s="1" t="str">
        <f>IFERROR(__xludf.DUMMYFUNCTION("split(A46, ""\"")"),"Mikko Rantanen")</f>
        <v>Mikko Rantanen</v>
      </c>
      <c r="D46" s="1" t="str">
        <f>IFERROR(__xludf.DUMMYFUNCTION("""COMPUTED_VALUE"""),"rantami01")</f>
        <v>rantami01</v>
      </c>
      <c r="E46" s="1" t="s">
        <v>36</v>
      </c>
      <c r="F46" s="1">
        <f t="shared" si="1"/>
        <v>428.7</v>
      </c>
      <c r="G46" s="1">
        <f t="shared" si="2"/>
        <v>5.29</v>
      </c>
      <c r="H46" s="1">
        <v>81.0</v>
      </c>
      <c r="I46" s="1">
        <v>29.0</v>
      </c>
      <c r="J46" s="1">
        <v>55.0</v>
      </c>
      <c r="K46" s="1">
        <v>84.0</v>
      </c>
      <c r="L46" s="1">
        <v>178.0</v>
      </c>
      <c r="M46" s="1">
        <v>32.0</v>
      </c>
      <c r="N46" s="1">
        <v>40.0</v>
      </c>
      <c r="O46" s="1">
        <v>12.0</v>
      </c>
      <c r="P46" s="1">
        <v>23.0</v>
      </c>
      <c r="Q46" s="1">
        <v>0.0</v>
      </c>
      <c r="R46" s="1">
        <v>0.0</v>
      </c>
      <c r="S46" s="1">
        <v>0.0</v>
      </c>
      <c r="T46" s="1">
        <v>34.0</v>
      </c>
      <c r="U46" s="1">
        <v>3.0</v>
      </c>
    </row>
    <row r="47" ht="12.75" customHeight="1">
      <c r="A47" s="1" t="s">
        <v>64</v>
      </c>
      <c r="B47" s="1">
        <f t="shared" si="3"/>
        <v>38</v>
      </c>
      <c r="C47" s="1" t="str">
        <f>IFERROR(__xludf.DUMMYFUNCTION("split(A47, ""\"")"),"Brad Marchand")</f>
        <v>Brad Marchand</v>
      </c>
      <c r="D47" s="1" t="str">
        <f>IFERROR(__xludf.DUMMYFUNCTION("""COMPUTED_VALUE"""),"marchbr03")</f>
        <v>marchbr03</v>
      </c>
      <c r="E47" s="1" t="s">
        <v>28</v>
      </c>
      <c r="F47" s="1">
        <f t="shared" si="1"/>
        <v>428.15</v>
      </c>
      <c r="G47" s="1">
        <f t="shared" si="2"/>
        <v>6.3</v>
      </c>
      <c r="H47" s="1">
        <v>68.0</v>
      </c>
      <c r="I47" s="1">
        <v>34.0</v>
      </c>
      <c r="J47" s="1">
        <v>51.0</v>
      </c>
      <c r="K47" s="1">
        <v>85.0</v>
      </c>
      <c r="L47" s="1">
        <v>182.0</v>
      </c>
      <c r="M47" s="1">
        <v>37.0</v>
      </c>
      <c r="N47" s="1">
        <v>25.0</v>
      </c>
      <c r="O47" s="1">
        <v>8.0</v>
      </c>
      <c r="P47" s="1">
        <v>15.0</v>
      </c>
      <c r="Q47" s="1">
        <v>1.0</v>
      </c>
      <c r="R47" s="1">
        <v>3.0</v>
      </c>
      <c r="S47" s="1">
        <v>25.0</v>
      </c>
      <c r="T47" s="1">
        <v>63.0</v>
      </c>
      <c r="U47" s="1">
        <v>8.0</v>
      </c>
    </row>
    <row r="48" ht="12.75" customHeight="1">
      <c r="A48" s="1" t="s">
        <v>76</v>
      </c>
      <c r="B48" s="1">
        <f t="shared" si="3"/>
        <v>39</v>
      </c>
      <c r="C48" s="1" t="str">
        <f>IFERROR(__xludf.DUMMYFUNCTION("split(A48, ""\"")"),"Johnny Gaudreau")</f>
        <v>Johnny Gaudreau</v>
      </c>
      <c r="D48" s="1" t="str">
        <f>IFERROR(__xludf.DUMMYFUNCTION("""COMPUTED_VALUE"""),"gaudrjo01")</f>
        <v>gaudrjo01</v>
      </c>
      <c r="E48" s="1" t="s">
        <v>28</v>
      </c>
      <c r="F48" s="1">
        <f t="shared" si="1"/>
        <v>427.3</v>
      </c>
      <c r="G48" s="1">
        <f t="shared" si="2"/>
        <v>5.34</v>
      </c>
      <c r="H48" s="1">
        <v>80.0</v>
      </c>
      <c r="I48" s="1">
        <v>24.0</v>
      </c>
      <c r="J48" s="1">
        <v>60.0</v>
      </c>
      <c r="K48" s="1">
        <v>84.0</v>
      </c>
      <c r="L48" s="1">
        <v>227.0</v>
      </c>
      <c r="M48" s="1">
        <v>16.0</v>
      </c>
      <c r="N48" s="1">
        <v>18.0</v>
      </c>
      <c r="O48" s="1">
        <v>3.0</v>
      </c>
      <c r="P48" s="1">
        <v>21.0</v>
      </c>
      <c r="Q48" s="1">
        <v>0.0</v>
      </c>
      <c r="R48" s="1">
        <v>0.0</v>
      </c>
      <c r="S48" s="1">
        <v>2.0</v>
      </c>
      <c r="T48" s="1">
        <v>26.0</v>
      </c>
      <c r="U48" s="1">
        <v>4.0</v>
      </c>
    </row>
    <row r="49" ht="12.75" customHeight="1">
      <c r="A49" s="1" t="s">
        <v>111</v>
      </c>
      <c r="B49" s="1">
        <f t="shared" si="3"/>
        <v>39</v>
      </c>
      <c r="C49" s="1" t="str">
        <f>IFERROR(__xludf.DUMMYFUNCTION("split(A49, ""\"")"),"Erik Karlsson")</f>
        <v>Erik Karlsson</v>
      </c>
      <c r="D49" s="1" t="str">
        <f>IFERROR(__xludf.DUMMYFUNCTION("""COMPUTED_VALUE"""),"karlser01")</f>
        <v>karlser01</v>
      </c>
      <c r="E49" s="1" t="s">
        <v>66</v>
      </c>
      <c r="F49" s="1">
        <f t="shared" si="1"/>
        <v>427.3</v>
      </c>
      <c r="G49" s="1">
        <f t="shared" si="2"/>
        <v>6.02</v>
      </c>
      <c r="H49" s="1">
        <v>71.0</v>
      </c>
      <c r="I49" s="1">
        <v>9.0</v>
      </c>
      <c r="J49" s="1">
        <v>53.0</v>
      </c>
      <c r="K49" s="1">
        <v>62.0</v>
      </c>
      <c r="L49" s="1">
        <v>196.0</v>
      </c>
      <c r="M49" s="1">
        <v>58.0</v>
      </c>
      <c r="N49" s="1">
        <v>120.0</v>
      </c>
      <c r="O49" s="1">
        <v>3.0</v>
      </c>
      <c r="P49" s="1">
        <v>15.0</v>
      </c>
      <c r="Q49" s="1">
        <v>0.0</v>
      </c>
      <c r="R49" s="1">
        <v>1.0</v>
      </c>
      <c r="S49" s="1">
        <v>-25.0</v>
      </c>
      <c r="T49" s="1">
        <v>36.0</v>
      </c>
      <c r="U49" s="1">
        <v>2.0</v>
      </c>
    </row>
    <row r="50" ht="12.75" customHeight="1">
      <c r="A50" s="1" t="s">
        <v>67</v>
      </c>
      <c r="B50" s="1">
        <f t="shared" si="3"/>
        <v>41</v>
      </c>
      <c r="C50" s="1" t="str">
        <f>IFERROR(__xludf.DUMMYFUNCTION("split(A50, ""\"")"),"Jakub Voracek")</f>
        <v>Jakub Voracek</v>
      </c>
      <c r="D50" s="1" t="str">
        <f>IFERROR(__xludf.DUMMYFUNCTION("""COMPUTED_VALUE"""),"voracja01")</f>
        <v>voracja01</v>
      </c>
      <c r="E50" s="1" t="s">
        <v>36</v>
      </c>
      <c r="F50" s="1">
        <f t="shared" si="1"/>
        <v>426.75</v>
      </c>
      <c r="G50" s="1">
        <f t="shared" si="2"/>
        <v>5.2</v>
      </c>
      <c r="H50" s="1">
        <v>82.0</v>
      </c>
      <c r="I50" s="1">
        <v>20.0</v>
      </c>
      <c r="J50" s="1">
        <v>65.0</v>
      </c>
      <c r="K50" s="1">
        <v>85.0</v>
      </c>
      <c r="L50" s="1">
        <v>228.0</v>
      </c>
      <c r="M50" s="1">
        <v>23.0</v>
      </c>
      <c r="N50" s="1">
        <v>32.0</v>
      </c>
      <c r="O50" s="1">
        <v>5.0</v>
      </c>
      <c r="P50" s="1">
        <v>30.0</v>
      </c>
      <c r="Q50" s="1">
        <v>0.0</v>
      </c>
      <c r="R50" s="1">
        <v>0.0</v>
      </c>
      <c r="S50" s="1">
        <v>10.0</v>
      </c>
      <c r="T50" s="1">
        <v>50.0</v>
      </c>
      <c r="U50" s="1">
        <v>3.0</v>
      </c>
    </row>
    <row r="51" ht="12.75" customHeight="1">
      <c r="A51" s="1" t="s">
        <v>109</v>
      </c>
      <c r="B51" s="1">
        <f t="shared" si="3"/>
        <v>42</v>
      </c>
      <c r="C51" s="1" t="str">
        <f>IFERROR(__xludf.DUMMYFUNCTION("split(A51, ""\"")"),"Ryan O'Reilly")</f>
        <v>Ryan O'Reilly</v>
      </c>
      <c r="D51" s="1" t="str">
        <f>IFERROR(__xludf.DUMMYFUNCTION("""COMPUTED_VALUE"""),"oreilry01")</f>
        <v>oreilry01</v>
      </c>
      <c r="E51" s="1" t="s">
        <v>31</v>
      </c>
      <c r="F51" s="1">
        <f t="shared" si="1"/>
        <v>421.6</v>
      </c>
      <c r="G51" s="1">
        <f t="shared" si="2"/>
        <v>5.2</v>
      </c>
      <c r="H51" s="1">
        <v>81.0</v>
      </c>
      <c r="I51" s="1">
        <v>24.0</v>
      </c>
      <c r="J51" s="1">
        <v>37.0</v>
      </c>
      <c r="K51" s="1">
        <v>61.0</v>
      </c>
      <c r="L51" s="1">
        <v>230.0</v>
      </c>
      <c r="M51" s="1">
        <v>42.0</v>
      </c>
      <c r="N51" s="1">
        <v>48.0</v>
      </c>
      <c r="O51" s="1">
        <v>15.0</v>
      </c>
      <c r="P51" s="1">
        <v>8.0</v>
      </c>
      <c r="Q51" s="1">
        <v>0.0</v>
      </c>
      <c r="R51" s="1">
        <v>4.0</v>
      </c>
      <c r="S51" s="1">
        <v>-23.0</v>
      </c>
      <c r="T51" s="1">
        <v>2.0</v>
      </c>
      <c r="U51" s="1">
        <v>3.0</v>
      </c>
    </row>
    <row r="52" ht="12.75" customHeight="1">
      <c r="A52" s="1" t="s">
        <v>75</v>
      </c>
      <c r="B52" s="1">
        <f t="shared" si="3"/>
        <v>43</v>
      </c>
      <c r="C52" s="1" t="str">
        <f>IFERROR(__xludf.DUMMYFUNCTION("split(A52, ""\"")"),"Rickard Rakell")</f>
        <v>Rickard Rakell</v>
      </c>
      <c r="D52" s="1" t="str">
        <f>IFERROR(__xludf.DUMMYFUNCTION("""COMPUTED_VALUE"""),"rakelri01")</f>
        <v>rakelri01</v>
      </c>
      <c r="E52" s="1" t="s">
        <v>36</v>
      </c>
      <c r="F52" s="1">
        <f t="shared" si="1"/>
        <v>417.95</v>
      </c>
      <c r="G52" s="1">
        <f t="shared" si="2"/>
        <v>5.43</v>
      </c>
      <c r="H52" s="1">
        <v>77.0</v>
      </c>
      <c r="I52" s="1">
        <v>34.0</v>
      </c>
      <c r="J52" s="1">
        <v>35.0</v>
      </c>
      <c r="K52" s="1">
        <v>69.0</v>
      </c>
      <c r="L52" s="1">
        <v>230.0</v>
      </c>
      <c r="M52" s="1">
        <v>115.0</v>
      </c>
      <c r="N52" s="1">
        <v>30.0</v>
      </c>
      <c r="O52" s="1">
        <v>8.0</v>
      </c>
      <c r="P52" s="1">
        <v>10.0</v>
      </c>
      <c r="Q52" s="1">
        <v>0.0</v>
      </c>
      <c r="R52" s="1">
        <v>0.0</v>
      </c>
      <c r="S52" s="1">
        <v>6.0</v>
      </c>
      <c r="T52" s="1">
        <v>14.0</v>
      </c>
      <c r="U52" s="1">
        <v>3.0</v>
      </c>
    </row>
    <row r="53" ht="12.75" customHeight="1">
      <c r="A53" s="1" t="s">
        <v>131</v>
      </c>
      <c r="B53" s="1">
        <f t="shared" si="3"/>
        <v>44</v>
      </c>
      <c r="C53" s="1" t="str">
        <f>IFERROR(__xludf.DUMMYFUNCTION("split(A53, ""\"")"),"Dylan Larkin")</f>
        <v>Dylan Larkin</v>
      </c>
      <c r="D53" s="1" t="str">
        <f>IFERROR(__xludf.DUMMYFUNCTION("""COMPUTED_VALUE"""),"larkidy01")</f>
        <v>larkidy01</v>
      </c>
      <c r="E53" s="1" t="s">
        <v>31</v>
      </c>
      <c r="F53" s="1">
        <f t="shared" si="1"/>
        <v>417.8</v>
      </c>
      <c r="G53" s="1">
        <f t="shared" si="2"/>
        <v>5.1</v>
      </c>
      <c r="H53" s="1">
        <v>82.0</v>
      </c>
      <c r="I53" s="1">
        <v>16.0</v>
      </c>
      <c r="J53" s="1">
        <v>47.0</v>
      </c>
      <c r="K53" s="1">
        <v>63.0</v>
      </c>
      <c r="L53" s="1">
        <v>232.0</v>
      </c>
      <c r="M53" s="1">
        <v>76.0</v>
      </c>
      <c r="N53" s="1">
        <v>42.0</v>
      </c>
      <c r="O53" s="1">
        <v>1.0</v>
      </c>
      <c r="P53" s="1">
        <v>7.0</v>
      </c>
      <c r="Q53" s="1">
        <v>2.0</v>
      </c>
      <c r="R53" s="1">
        <v>1.0</v>
      </c>
      <c r="S53" s="1">
        <v>-9.0</v>
      </c>
      <c r="T53" s="1">
        <v>61.0</v>
      </c>
      <c r="U53" s="1">
        <v>4.0</v>
      </c>
    </row>
    <row r="54" ht="12.75" customHeight="1">
      <c r="A54" s="1" t="s">
        <v>89</v>
      </c>
      <c r="B54" s="1">
        <f t="shared" si="3"/>
        <v>45</v>
      </c>
      <c r="C54" s="1" t="str">
        <f>IFERROR(__xludf.DUMMYFUNCTION("split(A54, ""\"")"),"Jason Zucker")</f>
        <v>Jason Zucker</v>
      </c>
      <c r="D54" s="1" t="str">
        <f>IFERROR(__xludf.DUMMYFUNCTION("""COMPUTED_VALUE"""),"zuckeja01")</f>
        <v>zuckeja01</v>
      </c>
      <c r="E54" s="1" t="s">
        <v>28</v>
      </c>
      <c r="F54" s="1">
        <f t="shared" si="1"/>
        <v>417.2</v>
      </c>
      <c r="G54" s="1">
        <f t="shared" si="2"/>
        <v>5.09</v>
      </c>
      <c r="H54" s="1">
        <v>82.0</v>
      </c>
      <c r="I54" s="1">
        <v>33.0</v>
      </c>
      <c r="J54" s="1">
        <v>31.0</v>
      </c>
      <c r="K54" s="1">
        <v>64.0</v>
      </c>
      <c r="L54" s="1">
        <v>222.0</v>
      </c>
      <c r="M54" s="1">
        <v>80.0</v>
      </c>
      <c r="N54" s="1">
        <v>47.0</v>
      </c>
      <c r="O54" s="1">
        <v>7.0</v>
      </c>
      <c r="P54" s="1">
        <v>9.0</v>
      </c>
      <c r="Q54" s="1">
        <v>1.0</v>
      </c>
      <c r="R54" s="1">
        <v>1.0</v>
      </c>
      <c r="S54" s="1">
        <v>8.0</v>
      </c>
      <c r="T54" s="1">
        <v>44.0</v>
      </c>
      <c r="U54" s="1">
        <v>7.0</v>
      </c>
    </row>
    <row r="55" ht="12.75" customHeight="1">
      <c r="A55" s="1" t="s">
        <v>49</v>
      </c>
      <c r="B55" s="1">
        <f t="shared" si="3"/>
        <v>46</v>
      </c>
      <c r="C55" s="1" t="str">
        <f>IFERROR(__xludf.DUMMYFUNCTION("split(A55, ""\"")"),"John Gibson")</f>
        <v>John Gibson</v>
      </c>
      <c r="D55" s="2" t="str">
        <f>IFERROR(__xludf.DUMMYFUNCTION("""COMPUTED_VALUE"""),"gibsojo02")</f>
        <v>gibsojo02</v>
      </c>
      <c r="E55" s="1" t="s">
        <v>5</v>
      </c>
      <c r="F55" s="1">
        <f t="shared" si="1"/>
        <v>416.4</v>
      </c>
      <c r="G55" s="1">
        <f t="shared" si="2"/>
        <v>6.94</v>
      </c>
      <c r="H55" s="1">
        <v>60.0</v>
      </c>
      <c r="V55" s="1">
        <v>60.0</v>
      </c>
      <c r="W55" s="1">
        <v>31.0</v>
      </c>
      <c r="X55" s="1">
        <v>18.0</v>
      </c>
      <c r="Y55" s="1">
        <v>139.0</v>
      </c>
      <c r="Z55" s="1">
        <v>1872.0</v>
      </c>
      <c r="AA55" s="1">
        <v>1733.0</v>
      </c>
      <c r="AB55" s="1">
        <v>4.0</v>
      </c>
    </row>
    <row r="56" ht="12.75" customHeight="1">
      <c r="A56" s="1" t="s">
        <v>83</v>
      </c>
      <c r="B56" s="1">
        <f t="shared" si="3"/>
        <v>47</v>
      </c>
      <c r="C56" s="1" t="str">
        <f>IFERROR(__xludf.DUMMYFUNCTION("split(A56, ""\"")"),"Joe Pavelski")</f>
        <v>Joe Pavelski</v>
      </c>
      <c r="D56" s="1" t="str">
        <f>IFERROR(__xludf.DUMMYFUNCTION("""COMPUTED_VALUE"""),"paveljo01")</f>
        <v>paveljo01</v>
      </c>
      <c r="E56" s="1" t="s">
        <v>31</v>
      </c>
      <c r="F56" s="1">
        <f t="shared" si="1"/>
        <v>415.55</v>
      </c>
      <c r="G56" s="1">
        <f t="shared" si="2"/>
        <v>5.07</v>
      </c>
      <c r="H56" s="1">
        <v>82.0</v>
      </c>
      <c r="I56" s="1">
        <v>22.0</v>
      </c>
      <c r="J56" s="1">
        <v>44.0</v>
      </c>
      <c r="K56" s="1">
        <v>66.0</v>
      </c>
      <c r="L56" s="1">
        <v>224.0</v>
      </c>
      <c r="M56" s="1">
        <v>93.0</v>
      </c>
      <c r="N56" s="1">
        <v>70.0</v>
      </c>
      <c r="O56" s="1">
        <v>7.0</v>
      </c>
      <c r="P56" s="1">
        <v>16.0</v>
      </c>
      <c r="Q56" s="1">
        <v>0.0</v>
      </c>
      <c r="R56" s="1">
        <v>0.0</v>
      </c>
      <c r="S56" s="1">
        <v>0.0</v>
      </c>
      <c r="T56" s="1">
        <v>41.0</v>
      </c>
      <c r="U56" s="1">
        <v>1.0</v>
      </c>
    </row>
    <row r="57" ht="12.75" hidden="1" customHeight="1">
      <c r="A57" s="1" t="s">
        <v>922</v>
      </c>
      <c r="B57" s="1">
        <f t="shared" si="3"/>
        <v>914</v>
      </c>
      <c r="C57" s="1" t="str">
        <f>IFERROR(__xludf.DUMMYFUNCTION("split(A57, ""\"")"),"Andrew Hammond")</f>
        <v>Andrew Hammond</v>
      </c>
      <c r="D57" s="2" t="str">
        <f>IFERROR(__xludf.DUMMYFUNCTION("""COMPUTED_VALUE"""),"hammoan01")</f>
        <v>hammoan01</v>
      </c>
      <c r="E57" s="1" t="s">
        <v>5</v>
      </c>
      <c r="F57" s="1">
        <f t="shared" si="1"/>
        <v>6.3</v>
      </c>
      <c r="G57" s="1">
        <f t="shared" si="2"/>
        <v>6.3</v>
      </c>
      <c r="H57" s="1">
        <v>1.0</v>
      </c>
      <c r="V57" s="1">
        <v>1.0</v>
      </c>
      <c r="W57" s="1">
        <v>0.0</v>
      </c>
      <c r="X57" s="1">
        <v>1.0</v>
      </c>
      <c r="Y57" s="1">
        <v>2.0</v>
      </c>
      <c r="Z57" s="1">
        <v>33.0</v>
      </c>
      <c r="AA57" s="1">
        <v>31.0</v>
      </c>
      <c r="AB57" s="1">
        <v>0.0</v>
      </c>
    </row>
    <row r="58" ht="12.75" customHeight="1">
      <c r="A58" s="1" t="s">
        <v>50</v>
      </c>
      <c r="B58" s="1">
        <f t="shared" si="3"/>
        <v>48</v>
      </c>
      <c r="C58" s="1" t="str">
        <f>IFERROR(__xludf.DUMMYFUNCTION("split(A58, ""\"")"),"Jonathan Quick")</f>
        <v>Jonathan Quick</v>
      </c>
      <c r="D58" s="2" t="str">
        <f>IFERROR(__xludf.DUMMYFUNCTION("""COMPUTED_VALUE"""),"quickjo01")</f>
        <v>quickjo01</v>
      </c>
      <c r="E58" s="1" t="s">
        <v>5</v>
      </c>
      <c r="F58" s="1">
        <f t="shared" si="1"/>
        <v>409.5</v>
      </c>
      <c r="G58" s="1">
        <f t="shared" si="2"/>
        <v>6.4</v>
      </c>
      <c r="H58" s="1">
        <v>64.0</v>
      </c>
      <c r="V58" s="1">
        <v>63.0</v>
      </c>
      <c r="W58" s="1">
        <v>33.0</v>
      </c>
      <c r="X58" s="1">
        <v>28.0</v>
      </c>
      <c r="Y58" s="1">
        <v>147.0</v>
      </c>
      <c r="Z58" s="1">
        <v>1867.0</v>
      </c>
      <c r="AA58" s="1">
        <v>1720.0</v>
      </c>
      <c r="AB58" s="1">
        <v>5.0</v>
      </c>
    </row>
    <row r="59" ht="12.75" customHeight="1">
      <c r="A59" s="1" t="s">
        <v>80</v>
      </c>
      <c r="B59" s="1">
        <f t="shared" si="3"/>
        <v>49</v>
      </c>
      <c r="C59" s="1" t="str">
        <f>IFERROR(__xludf.DUMMYFUNCTION("split(A59, ""\"")"),"Mathew Barzal")</f>
        <v>Mathew Barzal</v>
      </c>
      <c r="D59" s="1" t="str">
        <f>IFERROR(__xludf.DUMMYFUNCTION("""COMPUTED_VALUE"""),"barzama01")</f>
        <v>barzama01</v>
      </c>
      <c r="E59" s="1" t="s">
        <v>31</v>
      </c>
      <c r="F59" s="1">
        <f t="shared" si="1"/>
        <v>409.25</v>
      </c>
      <c r="G59" s="1">
        <f t="shared" si="2"/>
        <v>4.99</v>
      </c>
      <c r="H59" s="1">
        <v>82.0</v>
      </c>
      <c r="I59" s="1">
        <v>22.0</v>
      </c>
      <c r="J59" s="1">
        <v>63.0</v>
      </c>
      <c r="K59" s="1">
        <v>85.0</v>
      </c>
      <c r="L59" s="1">
        <v>170.0</v>
      </c>
      <c r="M59" s="1">
        <v>21.0</v>
      </c>
      <c r="N59" s="1">
        <v>31.0</v>
      </c>
      <c r="O59" s="1">
        <v>5.0</v>
      </c>
      <c r="P59" s="1">
        <v>22.0</v>
      </c>
      <c r="Q59" s="1">
        <v>0.0</v>
      </c>
      <c r="R59" s="1">
        <v>0.0</v>
      </c>
      <c r="S59" s="1">
        <v>1.0</v>
      </c>
      <c r="T59" s="1">
        <v>30.0</v>
      </c>
      <c r="U59" s="1">
        <v>4.0</v>
      </c>
    </row>
    <row r="60" ht="12.75" customHeight="1">
      <c r="A60" s="1" t="s">
        <v>97</v>
      </c>
      <c r="B60" s="1">
        <f t="shared" si="3"/>
        <v>50</v>
      </c>
      <c r="C60" s="1" t="str">
        <f>IFERROR(__xludf.DUMMYFUNCTION("split(A60, ""\"")"),"Brayden Point")</f>
        <v>Brayden Point</v>
      </c>
      <c r="D60" s="1" t="str">
        <f>IFERROR(__xludf.DUMMYFUNCTION("""COMPUTED_VALUE"""),"pointbr01")</f>
        <v>pointbr01</v>
      </c>
      <c r="E60" s="1" t="s">
        <v>31</v>
      </c>
      <c r="F60" s="1">
        <f t="shared" si="1"/>
        <v>408.7</v>
      </c>
      <c r="G60" s="1">
        <f t="shared" si="2"/>
        <v>4.98</v>
      </c>
      <c r="H60" s="1">
        <v>82.0</v>
      </c>
      <c r="I60" s="1">
        <v>32.0</v>
      </c>
      <c r="J60" s="1">
        <v>34.0</v>
      </c>
      <c r="K60" s="1">
        <v>66.0</v>
      </c>
      <c r="L60" s="1">
        <v>217.0</v>
      </c>
      <c r="M60" s="1">
        <v>26.0</v>
      </c>
      <c r="N60" s="1">
        <v>57.0</v>
      </c>
      <c r="O60" s="1">
        <v>5.0</v>
      </c>
      <c r="P60" s="1">
        <v>6.0</v>
      </c>
      <c r="Q60" s="1">
        <v>3.0</v>
      </c>
      <c r="R60" s="1">
        <v>2.0</v>
      </c>
      <c r="S60" s="1">
        <v>18.0</v>
      </c>
      <c r="T60" s="1">
        <v>24.0</v>
      </c>
      <c r="U60" s="1">
        <v>12.0</v>
      </c>
    </row>
    <row r="61" ht="12.75" customHeight="1">
      <c r="A61" s="1" t="s">
        <v>69</v>
      </c>
      <c r="B61" s="1">
        <f t="shared" si="3"/>
        <v>51</v>
      </c>
      <c r="C61" s="1" t="str">
        <f>IFERROR(__xludf.DUMMYFUNCTION("split(A61, ""\"")"),"Jon Marchessault")</f>
        <v>Jon Marchessault</v>
      </c>
      <c r="D61" s="1" t="str">
        <f>IFERROR(__xludf.DUMMYFUNCTION("""COMPUTED_VALUE"""),"audymjo01")</f>
        <v>audymjo01</v>
      </c>
      <c r="E61" s="1" t="s">
        <v>31</v>
      </c>
      <c r="F61" s="1">
        <f t="shared" si="1"/>
        <v>407.25</v>
      </c>
      <c r="G61" s="1">
        <f t="shared" si="2"/>
        <v>5.29</v>
      </c>
      <c r="H61" s="1">
        <v>77.0</v>
      </c>
      <c r="I61" s="1">
        <v>27.0</v>
      </c>
      <c r="J61" s="1">
        <v>48.0</v>
      </c>
      <c r="K61" s="1">
        <v>75.0</v>
      </c>
      <c r="L61" s="1">
        <v>268.0</v>
      </c>
      <c r="M61" s="1">
        <v>99.0</v>
      </c>
      <c r="N61" s="1">
        <v>26.0</v>
      </c>
      <c r="O61" s="1">
        <v>6.0</v>
      </c>
      <c r="P61" s="1">
        <v>10.0</v>
      </c>
      <c r="Q61" s="1">
        <v>0.0</v>
      </c>
      <c r="R61" s="1">
        <v>0.0</v>
      </c>
      <c r="S61" s="1">
        <v>36.0</v>
      </c>
      <c r="T61" s="1">
        <v>40.0</v>
      </c>
      <c r="U61" s="1">
        <v>6.0</v>
      </c>
    </row>
    <row r="62" ht="12.75" customHeight="1">
      <c r="A62" s="1" t="s">
        <v>86</v>
      </c>
      <c r="B62" s="1">
        <f t="shared" si="3"/>
        <v>52</v>
      </c>
      <c r="C62" s="1" t="str">
        <f>IFERROR(__xludf.DUMMYFUNCTION("split(A62, ""\"")"),"Seth Jones")</f>
        <v>Seth Jones</v>
      </c>
      <c r="D62" s="1" t="str">
        <f>IFERROR(__xludf.DUMMYFUNCTION("""COMPUTED_VALUE"""),"jonesse01")</f>
        <v>jonesse01</v>
      </c>
      <c r="E62" s="1" t="s">
        <v>66</v>
      </c>
      <c r="F62" s="1">
        <f t="shared" si="1"/>
        <v>406.5</v>
      </c>
      <c r="G62" s="1">
        <f t="shared" si="2"/>
        <v>5.21</v>
      </c>
      <c r="H62" s="1">
        <v>78.0</v>
      </c>
      <c r="I62" s="1">
        <v>16.0</v>
      </c>
      <c r="J62" s="1">
        <v>41.0</v>
      </c>
      <c r="K62" s="1">
        <v>57.0</v>
      </c>
      <c r="L62" s="1">
        <v>249.0</v>
      </c>
      <c r="M62" s="1">
        <v>92.0</v>
      </c>
      <c r="N62" s="1">
        <v>124.0</v>
      </c>
      <c r="O62" s="1">
        <v>7.0</v>
      </c>
      <c r="P62" s="1">
        <v>17.0</v>
      </c>
      <c r="Q62" s="1">
        <v>0.0</v>
      </c>
      <c r="R62" s="1">
        <v>0.0</v>
      </c>
      <c r="S62" s="1">
        <v>10.0</v>
      </c>
      <c r="T62" s="1">
        <v>30.0</v>
      </c>
      <c r="U62" s="1">
        <v>4.0</v>
      </c>
    </row>
    <row r="63" ht="12.75" customHeight="1">
      <c r="A63" s="1" t="s">
        <v>92</v>
      </c>
      <c r="B63" s="1">
        <f t="shared" si="3"/>
        <v>53</v>
      </c>
      <c r="C63" s="1" t="str">
        <f>IFERROR(__xludf.DUMMYFUNCTION("split(A63, ""\"")"),"Logan Couture")</f>
        <v>Logan Couture</v>
      </c>
      <c r="D63" s="1" t="str">
        <f>IFERROR(__xludf.DUMMYFUNCTION("""COMPUTED_VALUE"""),"coutulo01")</f>
        <v>coutulo01</v>
      </c>
      <c r="E63" s="1" t="s">
        <v>31</v>
      </c>
      <c r="F63" s="1">
        <f t="shared" si="1"/>
        <v>405.65</v>
      </c>
      <c r="G63" s="1">
        <f t="shared" si="2"/>
        <v>5.2</v>
      </c>
      <c r="H63" s="1">
        <v>78.0</v>
      </c>
      <c r="I63" s="1">
        <v>34.0</v>
      </c>
      <c r="J63" s="1">
        <v>27.0</v>
      </c>
      <c r="K63" s="1">
        <v>61.0</v>
      </c>
      <c r="L63" s="1">
        <v>204.0</v>
      </c>
      <c r="M63" s="1">
        <v>33.0</v>
      </c>
      <c r="N63" s="1">
        <v>72.0</v>
      </c>
      <c r="O63" s="1">
        <v>10.0</v>
      </c>
      <c r="P63" s="1">
        <v>11.0</v>
      </c>
      <c r="Q63" s="1">
        <v>2.0</v>
      </c>
      <c r="R63" s="1">
        <v>1.0</v>
      </c>
      <c r="S63" s="1">
        <v>-2.0</v>
      </c>
      <c r="T63" s="1">
        <v>18.0</v>
      </c>
      <c r="U63" s="1">
        <v>4.0</v>
      </c>
    </row>
    <row r="64" ht="12.75" customHeight="1">
      <c r="A64" s="1" t="s">
        <v>140</v>
      </c>
      <c r="B64" s="1">
        <f t="shared" si="3"/>
        <v>54</v>
      </c>
      <c r="C64" s="1" t="str">
        <f>IFERROR(__xludf.DUMMYFUNCTION("split(A64, ""\"")"),"Mike Hoffman")</f>
        <v>Mike Hoffman</v>
      </c>
      <c r="D64" s="1" t="str">
        <f>IFERROR(__xludf.DUMMYFUNCTION("""COMPUTED_VALUE"""),"hoffmmi02")</f>
        <v>hoffmmi02</v>
      </c>
      <c r="E64" s="1" t="s">
        <v>141</v>
      </c>
      <c r="F64" s="1">
        <f t="shared" si="1"/>
        <v>403.85</v>
      </c>
      <c r="G64" s="1">
        <f t="shared" si="2"/>
        <v>4.93</v>
      </c>
      <c r="H64" s="1">
        <v>82.0</v>
      </c>
      <c r="I64" s="1">
        <v>22.0</v>
      </c>
      <c r="J64" s="1">
        <v>34.0</v>
      </c>
      <c r="K64" s="1">
        <v>56.0</v>
      </c>
      <c r="L64" s="1">
        <v>257.0</v>
      </c>
      <c r="M64" s="1">
        <v>31.0</v>
      </c>
      <c r="N64" s="1">
        <v>34.0</v>
      </c>
      <c r="O64" s="1">
        <v>8.0</v>
      </c>
      <c r="P64" s="1">
        <v>13.0</v>
      </c>
      <c r="Q64" s="1">
        <v>0.0</v>
      </c>
      <c r="R64" s="1">
        <v>0.0</v>
      </c>
      <c r="S64" s="1">
        <v>-20.0</v>
      </c>
      <c r="T64" s="1">
        <v>32.0</v>
      </c>
      <c r="U64" s="1">
        <v>5.0</v>
      </c>
    </row>
    <row r="65" ht="12.75" customHeight="1">
      <c r="A65" s="1" t="s">
        <v>99</v>
      </c>
      <c r="B65" s="1">
        <f t="shared" si="3"/>
        <v>55</v>
      </c>
      <c r="C65" s="1" t="str">
        <f>IFERROR(__xludf.DUMMYFUNCTION("split(A65, ""\"")"),"Jonathan Huberdeau")</f>
        <v>Jonathan Huberdeau</v>
      </c>
      <c r="D65" s="1" t="str">
        <f>IFERROR(__xludf.DUMMYFUNCTION("""COMPUTED_VALUE"""),"huberjo01")</f>
        <v>huberjo01</v>
      </c>
      <c r="E65" s="1" t="s">
        <v>31</v>
      </c>
      <c r="F65" s="1">
        <f t="shared" si="1"/>
        <v>401.35</v>
      </c>
      <c r="G65" s="1">
        <f t="shared" si="2"/>
        <v>4.89</v>
      </c>
      <c r="H65" s="1">
        <v>82.0</v>
      </c>
      <c r="I65" s="1">
        <v>27.0</v>
      </c>
      <c r="J65" s="1">
        <v>42.0</v>
      </c>
      <c r="K65" s="1">
        <v>69.0</v>
      </c>
      <c r="L65" s="1">
        <v>204.0</v>
      </c>
      <c r="M65" s="1">
        <v>41.0</v>
      </c>
      <c r="N65" s="1">
        <v>42.0</v>
      </c>
      <c r="O65" s="1">
        <v>7.0</v>
      </c>
      <c r="P65" s="1">
        <v>12.0</v>
      </c>
      <c r="Q65" s="1">
        <v>0.0</v>
      </c>
      <c r="R65" s="1">
        <v>0.0</v>
      </c>
      <c r="S65" s="1">
        <v>-2.0</v>
      </c>
      <c r="T65" s="1">
        <v>32.0</v>
      </c>
      <c r="U65" s="1">
        <v>4.0</v>
      </c>
    </row>
    <row r="66" ht="12.75" customHeight="1">
      <c r="A66" s="1" t="s">
        <v>130</v>
      </c>
      <c r="B66" s="1">
        <f t="shared" si="3"/>
        <v>56</v>
      </c>
      <c r="C66" s="1" t="str">
        <f>IFERROR(__xludf.DUMMYFUNCTION("split(A66, ""\"")"),"Jeff Petry")</f>
        <v>Jeff Petry</v>
      </c>
      <c r="D66" s="1" t="str">
        <f>IFERROR(__xludf.DUMMYFUNCTION("""COMPUTED_VALUE"""),"petryje01")</f>
        <v>petryje01</v>
      </c>
      <c r="E66" s="1" t="s">
        <v>66</v>
      </c>
      <c r="F66" s="1">
        <f t="shared" si="1"/>
        <v>401.15</v>
      </c>
      <c r="G66" s="1">
        <f t="shared" si="2"/>
        <v>4.89</v>
      </c>
      <c r="H66" s="1">
        <v>82.0</v>
      </c>
      <c r="I66" s="1">
        <v>12.0</v>
      </c>
      <c r="J66" s="1">
        <v>30.0</v>
      </c>
      <c r="K66" s="1">
        <v>42.0</v>
      </c>
      <c r="L66" s="1">
        <v>178.0</v>
      </c>
      <c r="M66" s="1">
        <v>167.0</v>
      </c>
      <c r="N66" s="1">
        <v>138.0</v>
      </c>
      <c r="O66" s="1">
        <v>6.0</v>
      </c>
      <c r="P66" s="1">
        <v>17.0</v>
      </c>
      <c r="Q66" s="1">
        <v>0.0</v>
      </c>
      <c r="R66" s="1">
        <v>0.0</v>
      </c>
      <c r="S66" s="1">
        <v>-30.0</v>
      </c>
      <c r="T66" s="1">
        <v>28.0</v>
      </c>
      <c r="U66" s="1">
        <v>2.0</v>
      </c>
    </row>
    <row r="67" ht="12.75" customHeight="1">
      <c r="A67" s="1" t="s">
        <v>117</v>
      </c>
      <c r="B67" s="1">
        <f t="shared" si="3"/>
        <v>57</v>
      </c>
      <c r="C67" s="1" t="str">
        <f>IFERROR(__xludf.DUMMYFUNCTION("split(A67, ""\"")"),"Leon Draisaitl")</f>
        <v>Leon Draisaitl</v>
      </c>
      <c r="D67" s="1" t="str">
        <f>IFERROR(__xludf.DUMMYFUNCTION("""COMPUTED_VALUE"""),"draisle01")</f>
        <v>draisle01</v>
      </c>
      <c r="E67" s="1" t="s">
        <v>31</v>
      </c>
      <c r="F67" s="1">
        <f t="shared" si="1"/>
        <v>400</v>
      </c>
      <c r="G67" s="1">
        <f t="shared" si="2"/>
        <v>5.13</v>
      </c>
      <c r="H67" s="1">
        <v>78.0</v>
      </c>
      <c r="I67" s="1">
        <v>25.0</v>
      </c>
      <c r="J67" s="1">
        <v>45.0</v>
      </c>
      <c r="K67" s="1">
        <v>70.0</v>
      </c>
      <c r="L67" s="1">
        <v>194.0</v>
      </c>
      <c r="M67" s="1">
        <v>40.0</v>
      </c>
      <c r="N67" s="1">
        <v>24.0</v>
      </c>
      <c r="O67" s="1">
        <v>6.0</v>
      </c>
      <c r="P67" s="1">
        <v>5.0</v>
      </c>
      <c r="Q67" s="1">
        <v>3.0</v>
      </c>
      <c r="R67" s="1">
        <v>1.0</v>
      </c>
      <c r="S67" s="1">
        <v>-7.0</v>
      </c>
      <c r="T67" s="1">
        <v>30.0</v>
      </c>
      <c r="U67" s="1">
        <v>1.0</v>
      </c>
    </row>
    <row r="68" ht="12.75" customHeight="1">
      <c r="A68" s="1" t="s">
        <v>72</v>
      </c>
      <c r="B68" s="1">
        <f t="shared" si="3"/>
        <v>58</v>
      </c>
      <c r="C68" s="1" t="str">
        <f>IFERROR(__xludf.DUMMYFUNCTION("split(A68, ""\"")"),"Sean Couturier")</f>
        <v>Sean Couturier</v>
      </c>
      <c r="D68" s="1" t="str">
        <f>IFERROR(__xludf.DUMMYFUNCTION("""COMPUTED_VALUE"""),"coutuse01")</f>
        <v>coutuse01</v>
      </c>
      <c r="E68" s="1" t="s">
        <v>31</v>
      </c>
      <c r="F68" s="1">
        <f t="shared" si="1"/>
        <v>398.8</v>
      </c>
      <c r="G68" s="1">
        <f t="shared" si="2"/>
        <v>4.86</v>
      </c>
      <c r="H68" s="1">
        <v>82.0</v>
      </c>
      <c r="I68" s="1">
        <v>31.0</v>
      </c>
      <c r="J68" s="1">
        <v>45.0</v>
      </c>
      <c r="K68" s="1">
        <v>76.0</v>
      </c>
      <c r="L68" s="1">
        <v>227.0</v>
      </c>
      <c r="M68" s="1">
        <v>74.0</v>
      </c>
      <c r="N68" s="1">
        <v>44.0</v>
      </c>
      <c r="O68" s="1">
        <v>7.0</v>
      </c>
      <c r="P68" s="1">
        <v>7.0</v>
      </c>
      <c r="Q68" s="1">
        <v>0.0</v>
      </c>
      <c r="R68" s="1">
        <v>0.0</v>
      </c>
      <c r="S68" s="1">
        <v>34.0</v>
      </c>
      <c r="T68" s="1">
        <v>31.0</v>
      </c>
      <c r="U68" s="1">
        <v>6.0</v>
      </c>
    </row>
    <row r="69" ht="12.75" customHeight="1">
      <c r="A69" s="1" t="s">
        <v>78</v>
      </c>
      <c r="B69" s="1">
        <f t="shared" si="3"/>
        <v>59</v>
      </c>
      <c r="C69" s="1" t="str">
        <f>IFERROR(__xludf.DUMMYFUNCTION("split(A69, ""\"")"),"Artemi Panarin")</f>
        <v>Artemi Panarin</v>
      </c>
      <c r="D69" s="1" t="str">
        <f>IFERROR(__xludf.DUMMYFUNCTION("""COMPUTED_VALUE"""),"panarar01")</f>
        <v>panarar01</v>
      </c>
      <c r="E69" s="1" t="s">
        <v>28</v>
      </c>
      <c r="F69" s="1">
        <f t="shared" si="1"/>
        <v>397.05</v>
      </c>
      <c r="G69" s="1">
        <f t="shared" si="2"/>
        <v>4.9</v>
      </c>
      <c r="H69" s="1">
        <v>81.0</v>
      </c>
      <c r="I69" s="1">
        <v>27.0</v>
      </c>
      <c r="J69" s="1">
        <v>55.0</v>
      </c>
      <c r="K69" s="1">
        <v>82.0</v>
      </c>
      <c r="L69" s="1">
        <v>228.0</v>
      </c>
      <c r="M69" s="1">
        <v>15.0</v>
      </c>
      <c r="N69" s="1">
        <v>19.0</v>
      </c>
      <c r="O69" s="1">
        <v>7.0</v>
      </c>
      <c r="P69" s="1">
        <v>14.0</v>
      </c>
      <c r="Q69" s="1">
        <v>0.0</v>
      </c>
      <c r="R69" s="1">
        <v>0.0</v>
      </c>
      <c r="S69" s="1">
        <v>23.0</v>
      </c>
      <c r="T69" s="1">
        <v>26.0</v>
      </c>
      <c r="U69" s="1">
        <v>5.0</v>
      </c>
    </row>
    <row r="70" ht="12.75" customHeight="1">
      <c r="A70" s="1" t="s">
        <v>178</v>
      </c>
      <c r="B70" s="1">
        <f t="shared" si="3"/>
        <v>60</v>
      </c>
      <c r="C70" s="1" t="str">
        <f>IFERROR(__xludf.DUMMYFUNCTION("split(A70, ""\"")"),"Jeff Skinner")</f>
        <v>Jeff Skinner</v>
      </c>
      <c r="D70" s="1" t="str">
        <f>IFERROR(__xludf.DUMMYFUNCTION("""COMPUTED_VALUE"""),"skinnje01")</f>
        <v>skinnje01</v>
      </c>
      <c r="E70" s="1" t="s">
        <v>31</v>
      </c>
      <c r="F70" s="1">
        <f t="shared" si="1"/>
        <v>396.95</v>
      </c>
      <c r="G70" s="1">
        <f t="shared" si="2"/>
        <v>4.84</v>
      </c>
      <c r="H70" s="1">
        <v>82.0</v>
      </c>
      <c r="I70" s="1">
        <v>24.0</v>
      </c>
      <c r="J70" s="1">
        <v>25.0</v>
      </c>
      <c r="K70" s="1">
        <v>49.0</v>
      </c>
      <c r="L70" s="1">
        <v>277.0</v>
      </c>
      <c r="M70" s="1">
        <v>35.0</v>
      </c>
      <c r="N70" s="1">
        <v>24.0</v>
      </c>
      <c r="O70" s="1">
        <v>4.0</v>
      </c>
      <c r="P70" s="1">
        <v>5.0</v>
      </c>
      <c r="Q70" s="1">
        <v>0.0</v>
      </c>
      <c r="R70" s="1">
        <v>0.0</v>
      </c>
      <c r="S70" s="1">
        <v>-27.0</v>
      </c>
      <c r="T70" s="1">
        <v>34.0</v>
      </c>
      <c r="U70" s="1">
        <v>2.0</v>
      </c>
    </row>
    <row r="71" ht="12.75" customHeight="1">
      <c r="A71" s="1" t="s">
        <v>101</v>
      </c>
      <c r="B71" s="1">
        <f t="shared" si="3"/>
        <v>61</v>
      </c>
      <c r="C71" s="1" t="str">
        <f>IFERROR(__xludf.DUMMYFUNCTION("split(A71, ""\"")"),"Patric Hornqvist")</f>
        <v>Patric Hornqvist</v>
      </c>
      <c r="D71" s="1" t="str">
        <f>IFERROR(__xludf.DUMMYFUNCTION("""COMPUTED_VALUE"""),"hornqpa01")</f>
        <v>hornqpa01</v>
      </c>
      <c r="E71" s="1" t="s">
        <v>36</v>
      </c>
      <c r="F71" s="1">
        <f t="shared" si="1"/>
        <v>396.65</v>
      </c>
      <c r="G71" s="1">
        <f t="shared" si="2"/>
        <v>5.67</v>
      </c>
      <c r="H71" s="1">
        <v>70.0</v>
      </c>
      <c r="I71" s="1">
        <v>29.0</v>
      </c>
      <c r="J71" s="1">
        <v>20.0</v>
      </c>
      <c r="K71" s="1">
        <v>49.0</v>
      </c>
      <c r="L71" s="1">
        <v>247.0</v>
      </c>
      <c r="M71" s="1">
        <v>137.0</v>
      </c>
      <c r="N71" s="1">
        <v>64.0</v>
      </c>
      <c r="O71" s="1">
        <v>15.0</v>
      </c>
      <c r="P71" s="1">
        <v>7.0</v>
      </c>
      <c r="Q71" s="1">
        <v>0.0</v>
      </c>
      <c r="R71" s="1">
        <v>0.0</v>
      </c>
      <c r="S71" s="1">
        <v>2.0</v>
      </c>
      <c r="T71" s="1">
        <v>58.0</v>
      </c>
      <c r="U71" s="1">
        <v>1.0</v>
      </c>
    </row>
    <row r="72" ht="12.75" customHeight="1">
      <c r="A72" s="1" t="s">
        <v>135</v>
      </c>
      <c r="B72" s="1">
        <f t="shared" si="3"/>
        <v>62</v>
      </c>
      <c r="C72" s="1" t="str">
        <f>IFERROR(__xludf.DUMMYFUNCTION("split(A72, ""\"")"),"Matt Duchene")</f>
        <v>Matt Duchene</v>
      </c>
      <c r="D72" s="1" t="str">
        <f>IFERROR(__xludf.DUMMYFUNCTION("""COMPUTED_VALUE"""),"duchema01")</f>
        <v>duchema01</v>
      </c>
      <c r="E72" s="1" t="s">
        <v>31</v>
      </c>
      <c r="F72" s="1">
        <f t="shared" si="1"/>
        <v>396.4</v>
      </c>
      <c r="G72" s="1">
        <f t="shared" si="2"/>
        <v>4.83</v>
      </c>
      <c r="H72" s="1">
        <v>82.0</v>
      </c>
      <c r="I72" s="1">
        <v>27.0</v>
      </c>
      <c r="J72" s="1">
        <v>32.0</v>
      </c>
      <c r="K72" s="1">
        <v>59.0</v>
      </c>
      <c r="L72" s="1">
        <v>190.0</v>
      </c>
      <c r="M72" s="1">
        <v>60.0</v>
      </c>
      <c r="N72" s="1">
        <v>49.0</v>
      </c>
      <c r="O72" s="1">
        <v>9.0</v>
      </c>
      <c r="P72" s="1">
        <v>4.0</v>
      </c>
      <c r="Q72" s="1">
        <v>0.0</v>
      </c>
      <c r="R72" s="1">
        <v>0.0</v>
      </c>
      <c r="S72" s="1">
        <v>-22.0</v>
      </c>
      <c r="T72" s="1">
        <v>18.0</v>
      </c>
      <c r="U72" s="1">
        <v>3.0</v>
      </c>
    </row>
    <row r="73" ht="12.75" customHeight="1">
      <c r="A73" s="1" t="s">
        <v>108</v>
      </c>
      <c r="B73" s="1">
        <f t="shared" si="3"/>
        <v>63</v>
      </c>
      <c r="C73" s="1" t="str">
        <f>IFERROR(__xludf.DUMMYFUNCTION("split(A73, ""\"")"),"Alex Pietrangelo")</f>
        <v>Alex Pietrangelo</v>
      </c>
      <c r="D73" s="1" t="str">
        <f>IFERROR(__xludf.DUMMYFUNCTION("""COMPUTED_VALUE"""),"pietral01")</f>
        <v>pietral01</v>
      </c>
      <c r="E73" s="1" t="s">
        <v>66</v>
      </c>
      <c r="F73" s="1">
        <f t="shared" si="1"/>
        <v>394.1</v>
      </c>
      <c r="G73" s="1">
        <f t="shared" si="2"/>
        <v>5.05</v>
      </c>
      <c r="H73" s="1">
        <v>78.0</v>
      </c>
      <c r="I73" s="1">
        <v>15.0</v>
      </c>
      <c r="J73" s="1">
        <v>39.0</v>
      </c>
      <c r="K73" s="1">
        <v>54.0</v>
      </c>
      <c r="L73" s="1">
        <v>216.0</v>
      </c>
      <c r="M73" s="1">
        <v>48.0</v>
      </c>
      <c r="N73" s="1">
        <v>164.0</v>
      </c>
      <c r="O73" s="1">
        <v>3.0</v>
      </c>
      <c r="P73" s="1">
        <v>10.0</v>
      </c>
      <c r="Q73" s="1">
        <v>0.0</v>
      </c>
      <c r="R73" s="1">
        <v>1.0</v>
      </c>
      <c r="S73" s="1">
        <v>8.0</v>
      </c>
      <c r="T73" s="1">
        <v>22.0</v>
      </c>
      <c r="U73" s="1">
        <v>5.0</v>
      </c>
    </row>
    <row r="74" ht="12.75" customHeight="1">
      <c r="A74" s="1" t="s">
        <v>129</v>
      </c>
      <c r="B74" s="1">
        <f t="shared" si="3"/>
        <v>64</v>
      </c>
      <c r="C74" s="1" t="str">
        <f>IFERROR(__xludf.DUMMYFUNCTION("split(A74, ""\"")"),"Kris Letang")</f>
        <v>Kris Letang</v>
      </c>
      <c r="D74" s="1" t="str">
        <f>IFERROR(__xludf.DUMMYFUNCTION("""COMPUTED_VALUE"""),"letankr01")</f>
        <v>letankr01</v>
      </c>
      <c r="E74" s="1" t="s">
        <v>66</v>
      </c>
      <c r="F74" s="1">
        <f t="shared" si="1"/>
        <v>394.05</v>
      </c>
      <c r="G74" s="1">
        <f t="shared" si="2"/>
        <v>4.99</v>
      </c>
      <c r="H74" s="1">
        <v>79.0</v>
      </c>
      <c r="I74" s="1">
        <v>9.0</v>
      </c>
      <c r="J74" s="1">
        <v>42.0</v>
      </c>
      <c r="K74" s="1">
        <v>51.0</v>
      </c>
      <c r="L74" s="1">
        <v>222.0</v>
      </c>
      <c r="M74" s="1">
        <v>109.0</v>
      </c>
      <c r="N74" s="1">
        <v>108.0</v>
      </c>
      <c r="O74" s="1">
        <v>4.0</v>
      </c>
      <c r="P74" s="1">
        <v>16.0</v>
      </c>
      <c r="Q74" s="1">
        <v>0.0</v>
      </c>
      <c r="R74" s="1">
        <v>1.0</v>
      </c>
      <c r="S74" s="1">
        <v>-9.0</v>
      </c>
      <c r="T74" s="1">
        <v>56.0</v>
      </c>
      <c r="U74" s="1">
        <v>1.0</v>
      </c>
    </row>
    <row r="75" ht="12.75" customHeight="1">
      <c r="A75" s="1" t="s">
        <v>81</v>
      </c>
      <c r="B75" s="1">
        <f t="shared" si="3"/>
        <v>65</v>
      </c>
      <c r="C75" s="1" t="str">
        <f>IFERROR(__xludf.DUMMYFUNCTION("split(A75, ""\"")"),"Shayne Gostisbehere")</f>
        <v>Shayne Gostisbehere</v>
      </c>
      <c r="D75" s="1" t="str">
        <f>IFERROR(__xludf.DUMMYFUNCTION("""COMPUTED_VALUE"""),"gostish01")</f>
        <v>gostish01</v>
      </c>
      <c r="E75" s="1" t="s">
        <v>66</v>
      </c>
      <c r="F75" s="1">
        <f t="shared" si="1"/>
        <v>392.75</v>
      </c>
      <c r="G75" s="1">
        <f t="shared" si="2"/>
        <v>5.04</v>
      </c>
      <c r="H75" s="1">
        <v>78.0</v>
      </c>
      <c r="I75" s="1">
        <v>13.0</v>
      </c>
      <c r="J75" s="1">
        <v>52.0</v>
      </c>
      <c r="K75" s="1">
        <v>65.0</v>
      </c>
      <c r="L75" s="1">
        <v>221.0</v>
      </c>
      <c r="M75" s="1">
        <v>53.0</v>
      </c>
      <c r="N75" s="1">
        <v>116.0</v>
      </c>
      <c r="O75" s="1">
        <v>7.0</v>
      </c>
      <c r="P75" s="1">
        <v>26.0</v>
      </c>
      <c r="Q75" s="1">
        <v>0.0</v>
      </c>
      <c r="R75" s="1">
        <v>0.0</v>
      </c>
      <c r="S75" s="1">
        <v>10.0</v>
      </c>
      <c r="T75" s="1">
        <v>25.0</v>
      </c>
      <c r="U75" s="1">
        <v>2.0</v>
      </c>
    </row>
    <row r="76" ht="12.75" customHeight="1">
      <c r="A76" s="1" t="s">
        <v>138</v>
      </c>
      <c r="B76" s="1">
        <f t="shared" si="3"/>
        <v>66</v>
      </c>
      <c r="C76" s="1" t="str">
        <f>IFERROR(__xludf.DUMMYFUNCTION("split(A76, ""\"")"),"Mika Zibanejad")</f>
        <v>Mika Zibanejad</v>
      </c>
      <c r="D76" s="1" t="str">
        <f>IFERROR(__xludf.DUMMYFUNCTION("""COMPUTED_VALUE"""),"zibanmi01")</f>
        <v>zibanmi01</v>
      </c>
      <c r="E76" s="1" t="s">
        <v>31</v>
      </c>
      <c r="F76" s="1">
        <f t="shared" si="1"/>
        <v>392.2</v>
      </c>
      <c r="G76" s="1">
        <f t="shared" si="2"/>
        <v>5.45</v>
      </c>
      <c r="H76" s="1">
        <v>72.0</v>
      </c>
      <c r="I76" s="1">
        <v>27.0</v>
      </c>
      <c r="J76" s="1">
        <v>20.0</v>
      </c>
      <c r="K76" s="1">
        <v>47.0</v>
      </c>
      <c r="L76" s="1">
        <v>212.0</v>
      </c>
      <c r="M76" s="1">
        <v>92.0</v>
      </c>
      <c r="N76" s="1">
        <v>64.0</v>
      </c>
      <c r="O76" s="1">
        <v>14.0</v>
      </c>
      <c r="P76" s="1">
        <v>7.0</v>
      </c>
      <c r="Q76" s="1">
        <v>0.0</v>
      </c>
      <c r="R76" s="1">
        <v>1.0</v>
      </c>
      <c r="S76" s="1">
        <v>-23.0</v>
      </c>
      <c r="T76" s="1">
        <v>14.0</v>
      </c>
      <c r="U76" s="1">
        <v>4.0</v>
      </c>
    </row>
    <row r="77" ht="12.75" customHeight="1">
      <c r="A77" s="1" t="s">
        <v>53</v>
      </c>
      <c r="B77" s="1">
        <f t="shared" si="3"/>
        <v>67</v>
      </c>
      <c r="C77" s="1" t="str">
        <f>IFERROR(__xludf.DUMMYFUNCTION("split(A77, ""\"")"),"Devan Dubnyk")</f>
        <v>Devan Dubnyk</v>
      </c>
      <c r="D77" s="2" t="str">
        <f>IFERROR(__xludf.DUMMYFUNCTION("""COMPUTED_VALUE"""),"dubnyde01")</f>
        <v>dubnyde01</v>
      </c>
      <c r="E77" s="1" t="s">
        <v>5</v>
      </c>
      <c r="F77" s="1">
        <f t="shared" si="1"/>
        <v>389.7</v>
      </c>
      <c r="G77" s="1">
        <f t="shared" si="2"/>
        <v>6.5</v>
      </c>
      <c r="H77" s="1">
        <v>60.0</v>
      </c>
      <c r="V77" s="1">
        <v>59.0</v>
      </c>
      <c r="W77" s="1">
        <v>35.0</v>
      </c>
      <c r="X77" s="1">
        <v>16.0</v>
      </c>
      <c r="Y77" s="1">
        <v>145.0</v>
      </c>
      <c r="Z77" s="1">
        <v>1769.0</v>
      </c>
      <c r="AA77" s="1">
        <v>1624.0</v>
      </c>
      <c r="AB77" s="1">
        <v>5.0</v>
      </c>
    </row>
    <row r="78" ht="12.75" customHeight="1">
      <c r="A78" s="1" t="s">
        <v>148</v>
      </c>
      <c r="B78" s="1">
        <f t="shared" si="3"/>
        <v>68</v>
      </c>
      <c r="C78" s="1" t="str">
        <f>IFERROR(__xludf.DUMMYFUNCTION("split(A78, ""\"")"),"Alexander Edler")</f>
        <v>Alexander Edler</v>
      </c>
      <c r="D78" s="1" t="str">
        <f>IFERROR(__xludf.DUMMYFUNCTION("""COMPUTED_VALUE"""),"edleral01")</f>
        <v>edleral01</v>
      </c>
      <c r="E78" s="1" t="s">
        <v>66</v>
      </c>
      <c r="F78" s="1">
        <f t="shared" si="1"/>
        <v>389.15</v>
      </c>
      <c r="G78" s="1">
        <f t="shared" si="2"/>
        <v>5.56</v>
      </c>
      <c r="H78" s="1">
        <v>70.0</v>
      </c>
      <c r="I78" s="1">
        <v>6.0</v>
      </c>
      <c r="J78" s="1">
        <v>28.0</v>
      </c>
      <c r="K78" s="1">
        <v>34.0</v>
      </c>
      <c r="L78" s="1">
        <v>172.0</v>
      </c>
      <c r="M78" s="1">
        <v>157.0</v>
      </c>
      <c r="N78" s="1">
        <v>203.0</v>
      </c>
      <c r="O78" s="1">
        <v>1.0</v>
      </c>
      <c r="P78" s="1">
        <v>14.0</v>
      </c>
      <c r="Q78" s="1">
        <v>0.0</v>
      </c>
      <c r="R78" s="1">
        <v>0.0</v>
      </c>
      <c r="S78" s="1">
        <v>-18.0</v>
      </c>
      <c r="T78" s="1">
        <v>68.0</v>
      </c>
      <c r="U78" s="1">
        <v>2.0</v>
      </c>
    </row>
    <row r="79" ht="12.75" customHeight="1">
      <c r="A79" s="1" t="s">
        <v>160</v>
      </c>
      <c r="B79" s="1">
        <f t="shared" si="3"/>
        <v>69</v>
      </c>
      <c r="C79" s="1" t="str">
        <f>IFERROR(__xludf.DUMMYFUNCTION("split(A79, ""\"")"),"Oliver Ekman-Larsson")</f>
        <v>Oliver Ekman-Larsson</v>
      </c>
      <c r="D79" s="1" t="str">
        <f>IFERROR(__xludf.DUMMYFUNCTION("""COMPUTED_VALUE"""),"ekmanol01")</f>
        <v>ekmanol01</v>
      </c>
      <c r="E79" s="1" t="s">
        <v>66</v>
      </c>
      <c r="F79" s="1">
        <f t="shared" si="1"/>
        <v>388.7</v>
      </c>
      <c r="G79" s="1">
        <f t="shared" si="2"/>
        <v>4.74</v>
      </c>
      <c r="H79" s="1">
        <v>82.0</v>
      </c>
      <c r="I79" s="1">
        <v>14.0</v>
      </c>
      <c r="J79" s="1">
        <v>28.0</v>
      </c>
      <c r="K79" s="1">
        <v>42.0</v>
      </c>
      <c r="L79" s="1">
        <v>202.0</v>
      </c>
      <c r="M79" s="1">
        <v>160.0</v>
      </c>
      <c r="N79" s="1">
        <v>79.0</v>
      </c>
      <c r="O79" s="1">
        <v>6.0</v>
      </c>
      <c r="P79" s="1">
        <v>9.0</v>
      </c>
      <c r="Q79" s="1">
        <v>0.0</v>
      </c>
      <c r="R79" s="1">
        <v>0.0</v>
      </c>
      <c r="S79" s="1">
        <v>-28.0</v>
      </c>
      <c r="T79" s="1">
        <v>44.0</v>
      </c>
      <c r="U79" s="1">
        <v>3.0</v>
      </c>
    </row>
    <row r="80" ht="12.75" customHeight="1">
      <c r="A80" s="1" t="s">
        <v>71</v>
      </c>
      <c r="B80" s="1">
        <f t="shared" si="3"/>
        <v>70</v>
      </c>
      <c r="C80" s="1" t="str">
        <f>IFERROR(__xludf.DUMMYFUNCTION("split(A80, ""\"")"),"Victor Hedman")</f>
        <v>Victor Hedman</v>
      </c>
      <c r="D80" s="1" t="str">
        <f>IFERROR(__xludf.DUMMYFUNCTION("""COMPUTED_VALUE"""),"hedmavi01")</f>
        <v>hedmavi01</v>
      </c>
      <c r="E80" s="1" t="s">
        <v>66</v>
      </c>
      <c r="F80" s="1">
        <f t="shared" si="1"/>
        <v>388.45</v>
      </c>
      <c r="G80" s="1">
        <f t="shared" si="2"/>
        <v>5.04</v>
      </c>
      <c r="H80" s="1">
        <v>77.0</v>
      </c>
      <c r="I80" s="1">
        <v>17.0</v>
      </c>
      <c r="J80" s="1">
        <v>46.0</v>
      </c>
      <c r="K80" s="1">
        <v>63.0</v>
      </c>
      <c r="L80" s="1">
        <v>216.0</v>
      </c>
      <c r="M80" s="1">
        <v>139.0</v>
      </c>
      <c r="N80" s="1">
        <v>110.0</v>
      </c>
      <c r="O80" s="1">
        <v>2.0</v>
      </c>
      <c r="P80" s="1">
        <v>24.0</v>
      </c>
      <c r="Q80" s="1">
        <v>0.0</v>
      </c>
      <c r="R80" s="1">
        <v>2.0</v>
      </c>
      <c r="S80" s="1">
        <v>32.0</v>
      </c>
      <c r="T80" s="1">
        <v>54.0</v>
      </c>
      <c r="U80" s="1">
        <v>1.0</v>
      </c>
    </row>
    <row r="81" ht="12.75" hidden="1" customHeight="1">
      <c r="A81" s="1" t="s">
        <v>929</v>
      </c>
      <c r="B81" s="1">
        <f t="shared" si="3"/>
        <v>920</v>
      </c>
      <c r="C81" s="1" t="str">
        <f>IFERROR(__xludf.DUMMYFUNCTION("split(A81, ""\"")"),"Thatcher Demko")</f>
        <v>Thatcher Demko</v>
      </c>
      <c r="D81" s="2" t="str">
        <f>IFERROR(__xludf.DUMMYFUNCTION("""COMPUTED_VALUE"""),"demkoth01")</f>
        <v>demkoth01</v>
      </c>
      <c r="E81" s="1" t="s">
        <v>5</v>
      </c>
      <c r="F81" s="1">
        <f t="shared" si="1"/>
        <v>4.8</v>
      </c>
      <c r="G81" s="1">
        <f t="shared" si="2"/>
        <v>4.8</v>
      </c>
      <c r="H81" s="1">
        <v>1.0</v>
      </c>
      <c r="V81" s="1">
        <v>1.0</v>
      </c>
      <c r="W81" s="1">
        <v>1.0</v>
      </c>
      <c r="X81" s="1">
        <v>0.0</v>
      </c>
      <c r="Y81" s="1">
        <v>4.0</v>
      </c>
      <c r="Z81" s="1">
        <v>30.0</v>
      </c>
      <c r="AA81" s="1">
        <v>26.0</v>
      </c>
      <c r="AB81" s="1">
        <v>0.0</v>
      </c>
    </row>
    <row r="82" ht="12.75" customHeight="1">
      <c r="A82" s="1" t="s">
        <v>91</v>
      </c>
      <c r="B82" s="1">
        <f t="shared" si="3"/>
        <v>71</v>
      </c>
      <c r="C82" s="1" t="str">
        <f>IFERROR(__xludf.DUMMYFUNCTION("split(A82, ""\"")"),"Drew Doughty")</f>
        <v>Drew Doughty</v>
      </c>
      <c r="D82" s="1" t="str">
        <f>IFERROR(__xludf.DUMMYFUNCTION("""COMPUTED_VALUE"""),"doughdr01")</f>
        <v>doughdr01</v>
      </c>
      <c r="E82" s="1" t="s">
        <v>66</v>
      </c>
      <c r="F82" s="1">
        <f t="shared" si="1"/>
        <v>385.95</v>
      </c>
      <c r="G82" s="1">
        <f t="shared" si="2"/>
        <v>4.71</v>
      </c>
      <c r="H82" s="1">
        <v>82.0</v>
      </c>
      <c r="I82" s="1">
        <v>10.0</v>
      </c>
      <c r="J82" s="1">
        <v>50.0</v>
      </c>
      <c r="K82" s="1">
        <v>60.0</v>
      </c>
      <c r="L82" s="1">
        <v>205.0</v>
      </c>
      <c r="M82" s="1">
        <v>127.0</v>
      </c>
      <c r="N82" s="1">
        <v>128.0</v>
      </c>
      <c r="O82" s="1">
        <v>3.0</v>
      </c>
      <c r="P82" s="1">
        <v>17.0</v>
      </c>
      <c r="Q82" s="1">
        <v>1.0</v>
      </c>
      <c r="R82" s="1">
        <v>0.0</v>
      </c>
      <c r="S82" s="1">
        <v>23.0</v>
      </c>
      <c r="T82" s="1">
        <v>54.0</v>
      </c>
      <c r="U82" s="1">
        <v>4.0</v>
      </c>
    </row>
    <row r="83" ht="12.75" customHeight="1">
      <c r="A83" s="1" t="s">
        <v>85</v>
      </c>
      <c r="B83" s="1">
        <f t="shared" si="3"/>
        <v>72</v>
      </c>
      <c r="C83" s="1" t="str">
        <f>IFERROR(__xludf.DUMMYFUNCTION("split(A83, ""\"")"),"Dustin Brown")</f>
        <v>Dustin Brown</v>
      </c>
      <c r="D83" s="1" t="str">
        <f>IFERROR(__xludf.DUMMYFUNCTION("""COMPUTED_VALUE"""),"browndu01")</f>
        <v>browndu01</v>
      </c>
      <c r="E83" s="1" t="s">
        <v>36</v>
      </c>
      <c r="F83" s="1">
        <f t="shared" si="1"/>
        <v>385.65</v>
      </c>
      <c r="G83" s="1">
        <f t="shared" si="2"/>
        <v>4.76</v>
      </c>
      <c r="H83" s="1">
        <v>81.0</v>
      </c>
      <c r="I83" s="1">
        <v>28.0</v>
      </c>
      <c r="J83" s="1">
        <v>33.0</v>
      </c>
      <c r="K83" s="1">
        <v>61.0</v>
      </c>
      <c r="L83" s="1">
        <v>222.0</v>
      </c>
      <c r="M83" s="1">
        <v>189.0</v>
      </c>
      <c r="N83" s="1">
        <v>33.0</v>
      </c>
      <c r="O83" s="1">
        <v>9.0</v>
      </c>
      <c r="P83" s="1">
        <v>6.0</v>
      </c>
      <c r="Q83" s="1">
        <v>1.0</v>
      </c>
      <c r="R83" s="1">
        <v>0.0</v>
      </c>
      <c r="S83" s="1">
        <v>31.0</v>
      </c>
      <c r="T83" s="1">
        <v>58.0</v>
      </c>
      <c r="U83" s="1">
        <v>6.0</v>
      </c>
    </row>
    <row r="84" ht="12.75" customHeight="1">
      <c r="A84" s="1" t="s">
        <v>114</v>
      </c>
      <c r="B84" s="1">
        <f t="shared" si="3"/>
        <v>73</v>
      </c>
      <c r="C84" s="1" t="str">
        <f>IFERROR(__xludf.DUMMYFUNCTION("split(A84, ""\"")"),"Viktor Arvidsson")</f>
        <v>Viktor Arvidsson</v>
      </c>
      <c r="D84" s="1" t="str">
        <f>IFERROR(__xludf.DUMMYFUNCTION("""COMPUTED_VALUE"""),"arvidvi01")</f>
        <v>arvidvi01</v>
      </c>
      <c r="E84" s="1" t="s">
        <v>28</v>
      </c>
      <c r="F84" s="1">
        <f t="shared" si="1"/>
        <v>385.3</v>
      </c>
      <c r="G84" s="1">
        <f t="shared" si="2"/>
        <v>4.94</v>
      </c>
      <c r="H84" s="1">
        <v>78.0</v>
      </c>
      <c r="I84" s="1">
        <v>29.0</v>
      </c>
      <c r="J84" s="1">
        <v>32.0</v>
      </c>
      <c r="K84" s="1">
        <v>61.0</v>
      </c>
      <c r="L84" s="1">
        <v>247.0</v>
      </c>
      <c r="M84" s="1">
        <v>30.0</v>
      </c>
      <c r="N84" s="1">
        <v>52.0</v>
      </c>
      <c r="O84" s="1">
        <v>3.0</v>
      </c>
      <c r="P84" s="1">
        <v>5.0</v>
      </c>
      <c r="Q84" s="1">
        <v>3.0</v>
      </c>
      <c r="R84" s="1">
        <v>0.0</v>
      </c>
      <c r="S84" s="1">
        <v>20.0</v>
      </c>
      <c r="T84" s="1">
        <v>36.0</v>
      </c>
      <c r="U84" s="1">
        <v>6.0</v>
      </c>
    </row>
    <row r="85" ht="12.75" customHeight="1">
      <c r="A85" s="1" t="s">
        <v>144</v>
      </c>
      <c r="B85" s="1">
        <f t="shared" si="3"/>
        <v>74</v>
      </c>
      <c r="C85" s="1" t="str">
        <f>IFERROR(__xludf.DUMMYFUNCTION("split(A85, ""\"")"),"Rasmus Ristolainen")</f>
        <v>Rasmus Ristolainen</v>
      </c>
      <c r="D85" s="1" t="str">
        <f>IFERROR(__xludf.DUMMYFUNCTION("""COMPUTED_VALUE"""),"ristora01")</f>
        <v>ristora01</v>
      </c>
      <c r="E85" s="1" t="s">
        <v>66</v>
      </c>
      <c r="F85" s="1">
        <f t="shared" si="1"/>
        <v>383.9</v>
      </c>
      <c r="G85" s="1">
        <f t="shared" si="2"/>
        <v>5.26</v>
      </c>
      <c r="H85" s="1">
        <v>73.0</v>
      </c>
      <c r="I85" s="1">
        <v>6.0</v>
      </c>
      <c r="J85" s="1">
        <v>35.0</v>
      </c>
      <c r="K85" s="1">
        <v>41.0</v>
      </c>
      <c r="L85" s="1">
        <v>182.0</v>
      </c>
      <c r="M85" s="1">
        <v>206.0</v>
      </c>
      <c r="N85" s="1">
        <v>111.0</v>
      </c>
      <c r="O85" s="1">
        <v>1.0</v>
      </c>
      <c r="P85" s="1">
        <v>22.0</v>
      </c>
      <c r="Q85" s="1">
        <v>0.0</v>
      </c>
      <c r="R85" s="1">
        <v>0.0</v>
      </c>
      <c r="S85" s="1">
        <v>-25.0</v>
      </c>
      <c r="T85" s="1">
        <v>48.0</v>
      </c>
      <c r="U85" s="1">
        <v>1.0</v>
      </c>
    </row>
    <row r="86" ht="12.75" customHeight="1">
      <c r="A86" s="1" t="s">
        <v>62</v>
      </c>
      <c r="B86" s="1">
        <f t="shared" si="3"/>
        <v>75</v>
      </c>
      <c r="C86" s="1" t="str">
        <f>IFERROR(__xludf.DUMMYFUNCTION("split(A86, ""\"")"),"William Karlsson")</f>
        <v>William Karlsson</v>
      </c>
      <c r="D86" s="1" t="str">
        <f>IFERROR(__xludf.DUMMYFUNCTION("""COMPUTED_VALUE"""),"karlswi01")</f>
        <v>karlswi01</v>
      </c>
      <c r="E86" s="1" t="s">
        <v>31</v>
      </c>
      <c r="F86" s="1">
        <f t="shared" si="1"/>
        <v>382.1</v>
      </c>
      <c r="G86" s="1">
        <f t="shared" si="2"/>
        <v>4.66</v>
      </c>
      <c r="H86" s="1">
        <v>82.0</v>
      </c>
      <c r="I86" s="1">
        <v>43.0</v>
      </c>
      <c r="J86" s="1">
        <v>35.0</v>
      </c>
      <c r="K86" s="1">
        <v>78.0</v>
      </c>
      <c r="L86" s="1">
        <v>184.0</v>
      </c>
      <c r="M86" s="1">
        <v>48.0</v>
      </c>
      <c r="N86" s="1">
        <v>45.0</v>
      </c>
      <c r="O86" s="1">
        <v>8.0</v>
      </c>
      <c r="P86" s="1">
        <v>8.0</v>
      </c>
      <c r="Q86" s="1">
        <v>4.0</v>
      </c>
      <c r="R86" s="1">
        <v>1.0</v>
      </c>
      <c r="S86" s="1">
        <v>49.0</v>
      </c>
      <c r="T86" s="1">
        <v>12.0</v>
      </c>
      <c r="U86" s="1">
        <v>6.0</v>
      </c>
    </row>
    <row r="87" ht="12.75" customHeight="1">
      <c r="A87" s="1" t="s">
        <v>95</v>
      </c>
      <c r="B87" s="1">
        <f t="shared" si="3"/>
        <v>76</v>
      </c>
      <c r="C87" s="1" t="str">
        <f>IFERROR(__xludf.DUMMYFUNCTION("split(A87, ""\"")"),"P.K. Subban")</f>
        <v>P.K. Subban</v>
      </c>
      <c r="D87" s="1" t="str">
        <f>IFERROR(__xludf.DUMMYFUNCTION("""COMPUTED_VALUE"""),"subbapk01")</f>
        <v>subbapk01</v>
      </c>
      <c r="E87" s="1" t="s">
        <v>66</v>
      </c>
      <c r="F87" s="1">
        <f t="shared" si="1"/>
        <v>381.85</v>
      </c>
      <c r="G87" s="1">
        <f t="shared" si="2"/>
        <v>4.66</v>
      </c>
      <c r="H87" s="1">
        <v>82.0</v>
      </c>
      <c r="I87" s="1">
        <v>16.0</v>
      </c>
      <c r="J87" s="1">
        <v>43.0</v>
      </c>
      <c r="K87" s="1">
        <v>59.0</v>
      </c>
      <c r="L87" s="1">
        <v>207.0</v>
      </c>
      <c r="M87" s="1">
        <v>111.0</v>
      </c>
      <c r="N87" s="1">
        <v>90.0</v>
      </c>
      <c r="O87" s="1">
        <v>5.0</v>
      </c>
      <c r="P87" s="1">
        <v>20.0</v>
      </c>
      <c r="Q87" s="1">
        <v>0.0</v>
      </c>
      <c r="R87" s="1">
        <v>1.0</v>
      </c>
      <c r="S87" s="1">
        <v>18.0</v>
      </c>
      <c r="T87" s="1">
        <v>82.0</v>
      </c>
      <c r="U87" s="1">
        <v>2.0</v>
      </c>
    </row>
    <row r="88" ht="12.75" customHeight="1">
      <c r="A88" s="1" t="s">
        <v>52</v>
      </c>
      <c r="B88" s="1">
        <f t="shared" si="3"/>
        <v>77</v>
      </c>
      <c r="C88" s="1" t="str">
        <f>IFERROR(__xludf.DUMMYFUNCTION("split(A88, ""\"")"),"Henrik Lundqvist")</f>
        <v>Henrik Lundqvist</v>
      </c>
      <c r="D88" s="2" t="str">
        <f>IFERROR(__xludf.DUMMYFUNCTION("""COMPUTED_VALUE"""),"lundqhe01")</f>
        <v>lundqhe01</v>
      </c>
      <c r="E88" s="1" t="s">
        <v>5</v>
      </c>
      <c r="F88" s="1">
        <f t="shared" si="1"/>
        <v>381.6</v>
      </c>
      <c r="G88" s="1">
        <f t="shared" si="2"/>
        <v>6.06</v>
      </c>
      <c r="H88" s="1">
        <v>63.0</v>
      </c>
      <c r="V88" s="1">
        <v>61.0</v>
      </c>
      <c r="W88" s="1">
        <v>26.0</v>
      </c>
      <c r="X88" s="1">
        <v>26.0</v>
      </c>
      <c r="Y88" s="1">
        <v>174.0</v>
      </c>
      <c r="Z88" s="1">
        <v>2036.0</v>
      </c>
      <c r="AA88" s="1">
        <v>1862.0</v>
      </c>
      <c r="AB88" s="1">
        <v>2.0</v>
      </c>
    </row>
    <row r="89" ht="12.75" customHeight="1">
      <c r="A89" s="1" t="s">
        <v>123</v>
      </c>
      <c r="B89" s="1">
        <f t="shared" si="3"/>
        <v>78</v>
      </c>
      <c r="C89" s="1" t="str">
        <f>IFERROR(__xludf.DUMMYFUNCTION("split(A89, ""\"")"),"Sean Monahan")</f>
        <v>Sean Monahan</v>
      </c>
      <c r="D89" s="1" t="str">
        <f>IFERROR(__xludf.DUMMYFUNCTION("""COMPUTED_VALUE"""),"monahse01")</f>
        <v>monahse01</v>
      </c>
      <c r="E89" s="1" t="s">
        <v>31</v>
      </c>
      <c r="F89" s="1">
        <f t="shared" si="1"/>
        <v>381.45</v>
      </c>
      <c r="G89" s="1">
        <f t="shared" si="2"/>
        <v>5.15</v>
      </c>
      <c r="H89" s="1">
        <v>74.0</v>
      </c>
      <c r="I89" s="1">
        <v>31.0</v>
      </c>
      <c r="J89" s="1">
        <v>33.0</v>
      </c>
      <c r="K89" s="1">
        <v>64.0</v>
      </c>
      <c r="L89" s="1">
        <v>202.0</v>
      </c>
      <c r="M89" s="1">
        <v>35.0</v>
      </c>
      <c r="N89" s="1">
        <v>17.0</v>
      </c>
      <c r="O89" s="1">
        <v>9.0</v>
      </c>
      <c r="P89" s="1">
        <v>10.0</v>
      </c>
      <c r="Q89" s="1">
        <v>0.0</v>
      </c>
      <c r="R89" s="1">
        <v>0.0</v>
      </c>
      <c r="S89" s="1">
        <v>3.0</v>
      </c>
      <c r="T89" s="1">
        <v>24.0</v>
      </c>
      <c r="U89" s="1">
        <v>11.0</v>
      </c>
    </row>
    <row r="90" ht="12.75" customHeight="1">
      <c r="A90" s="1" t="s">
        <v>136</v>
      </c>
      <c r="B90" s="1">
        <f t="shared" si="3"/>
        <v>79</v>
      </c>
      <c r="C90" s="1" t="str">
        <f>IFERROR(__xludf.DUMMYFUNCTION("split(A90, ""\"")"),"Erik Haula")</f>
        <v>Erik Haula</v>
      </c>
      <c r="D90" s="1" t="str">
        <f>IFERROR(__xludf.DUMMYFUNCTION("""COMPUTED_VALUE"""),"haulaer01")</f>
        <v>haulaer01</v>
      </c>
      <c r="E90" s="1" t="s">
        <v>28</v>
      </c>
      <c r="F90" s="1">
        <f t="shared" si="1"/>
        <v>381.35</v>
      </c>
      <c r="G90" s="1">
        <f t="shared" si="2"/>
        <v>5.02</v>
      </c>
      <c r="H90" s="1">
        <v>76.0</v>
      </c>
      <c r="I90" s="1">
        <v>29.0</v>
      </c>
      <c r="J90" s="1">
        <v>26.0</v>
      </c>
      <c r="K90" s="1">
        <v>55.0</v>
      </c>
      <c r="L90" s="1">
        <v>175.0</v>
      </c>
      <c r="M90" s="1">
        <v>85.0</v>
      </c>
      <c r="N90" s="1">
        <v>42.0</v>
      </c>
      <c r="O90" s="1">
        <v>12.0</v>
      </c>
      <c r="P90" s="1">
        <v>7.0</v>
      </c>
      <c r="Q90" s="1">
        <v>0.0</v>
      </c>
      <c r="R90" s="1">
        <v>0.0</v>
      </c>
      <c r="S90" s="1">
        <v>-16.0</v>
      </c>
      <c r="T90" s="1">
        <v>37.0</v>
      </c>
      <c r="U90" s="1">
        <v>4.0</v>
      </c>
    </row>
    <row r="91" ht="12.75" customHeight="1">
      <c r="A91" s="1" t="s">
        <v>103</v>
      </c>
      <c r="B91" s="1">
        <f t="shared" si="3"/>
        <v>80</v>
      </c>
      <c r="C91" s="1" t="str">
        <f>IFERROR(__xludf.DUMMYFUNCTION("split(A91, ""\"")"),"John Klingberg")</f>
        <v>John Klingberg</v>
      </c>
      <c r="D91" s="1" t="str">
        <f>IFERROR(__xludf.DUMMYFUNCTION("""COMPUTED_VALUE"""),"klingjo01")</f>
        <v>klingjo01</v>
      </c>
      <c r="E91" s="1" t="s">
        <v>66</v>
      </c>
      <c r="F91" s="1">
        <f t="shared" si="1"/>
        <v>379.3</v>
      </c>
      <c r="G91" s="1">
        <f t="shared" si="2"/>
        <v>4.63</v>
      </c>
      <c r="H91" s="1">
        <v>82.0</v>
      </c>
      <c r="I91" s="1">
        <v>8.0</v>
      </c>
      <c r="J91" s="1">
        <v>59.0</v>
      </c>
      <c r="K91" s="1">
        <v>67.0</v>
      </c>
      <c r="L91" s="1">
        <v>204.0</v>
      </c>
      <c r="M91" s="1">
        <v>44.0</v>
      </c>
      <c r="N91" s="1">
        <v>109.0</v>
      </c>
      <c r="O91" s="1">
        <v>1.0</v>
      </c>
      <c r="P91" s="1">
        <v>22.0</v>
      </c>
      <c r="Q91" s="1">
        <v>0.0</v>
      </c>
      <c r="R91" s="1">
        <v>0.0</v>
      </c>
      <c r="S91" s="1">
        <v>10.0</v>
      </c>
      <c r="T91" s="1">
        <v>26.0</v>
      </c>
      <c r="U91" s="1">
        <v>3.0</v>
      </c>
    </row>
    <row r="92" ht="12.75" customHeight="1">
      <c r="A92" s="1" t="s">
        <v>125</v>
      </c>
      <c r="B92" s="1">
        <f t="shared" si="3"/>
        <v>81</v>
      </c>
      <c r="C92" s="1" t="str">
        <f>IFERROR(__xludf.DUMMYFUNCTION("split(A92, ""\"")"),"James van Riemsdyk")</f>
        <v>James van Riemsdyk</v>
      </c>
      <c r="D92" s="1" t="str">
        <f>IFERROR(__xludf.DUMMYFUNCTION("""COMPUTED_VALUE"""),"vanrija01")</f>
        <v>vanrija01</v>
      </c>
      <c r="E92" s="1" t="s">
        <v>28</v>
      </c>
      <c r="F92" s="1">
        <f t="shared" si="1"/>
        <v>379</v>
      </c>
      <c r="G92" s="1">
        <f t="shared" si="2"/>
        <v>4.68</v>
      </c>
      <c r="H92" s="1">
        <v>81.0</v>
      </c>
      <c r="I92" s="1">
        <v>36.0</v>
      </c>
      <c r="J92" s="1">
        <v>18.0</v>
      </c>
      <c r="K92" s="1">
        <v>54.0</v>
      </c>
      <c r="L92" s="1">
        <v>248.0</v>
      </c>
      <c r="M92" s="1">
        <v>40.0</v>
      </c>
      <c r="N92" s="1">
        <v>23.0</v>
      </c>
      <c r="O92" s="1">
        <v>11.0</v>
      </c>
      <c r="P92" s="1">
        <v>9.0</v>
      </c>
      <c r="Q92" s="1">
        <v>0.0</v>
      </c>
      <c r="R92" s="1">
        <v>0.0</v>
      </c>
      <c r="S92" s="1">
        <v>1.0</v>
      </c>
      <c r="T92" s="1">
        <v>30.0</v>
      </c>
      <c r="U92" s="1">
        <v>5.0</v>
      </c>
    </row>
    <row r="93" ht="12.75" customHeight="1">
      <c r="A93" s="1" t="s">
        <v>152</v>
      </c>
      <c r="B93" s="1">
        <f t="shared" si="3"/>
        <v>82</v>
      </c>
      <c r="C93" s="1" t="str">
        <f>IFERROR(__xludf.DUMMYFUNCTION("split(A93, ""\"")"),"Dougie Hamilton")</f>
        <v>Dougie Hamilton</v>
      </c>
      <c r="D93" s="1" t="str">
        <f>IFERROR(__xludf.DUMMYFUNCTION("""COMPUTED_VALUE"""),"hamildo01")</f>
        <v>hamildo01</v>
      </c>
      <c r="E93" s="1" t="s">
        <v>66</v>
      </c>
      <c r="F93" s="1">
        <f t="shared" si="1"/>
        <v>378.95</v>
      </c>
      <c r="G93" s="1">
        <f t="shared" si="2"/>
        <v>4.62</v>
      </c>
      <c r="H93" s="1">
        <v>82.0</v>
      </c>
      <c r="I93" s="1">
        <v>17.0</v>
      </c>
      <c r="J93" s="1">
        <v>27.0</v>
      </c>
      <c r="K93" s="1">
        <v>44.0</v>
      </c>
      <c r="L93" s="1">
        <v>270.0</v>
      </c>
      <c r="M93" s="1">
        <v>83.0</v>
      </c>
      <c r="N93" s="1">
        <v>80.0</v>
      </c>
      <c r="O93" s="1">
        <v>6.0</v>
      </c>
      <c r="P93" s="1">
        <v>6.0</v>
      </c>
      <c r="Q93" s="1">
        <v>0.0</v>
      </c>
      <c r="R93" s="1">
        <v>0.0</v>
      </c>
      <c r="S93" s="1">
        <v>1.0</v>
      </c>
      <c r="T93" s="1">
        <v>64.0</v>
      </c>
      <c r="U93" s="1">
        <v>4.0</v>
      </c>
    </row>
    <row r="94" ht="12.75" customHeight="1">
      <c r="A94" s="1" t="s">
        <v>134</v>
      </c>
      <c r="B94" s="1">
        <f t="shared" si="3"/>
        <v>83</v>
      </c>
      <c r="C94" s="1" t="str">
        <f>IFERROR(__xludf.DUMMYFUNCTION("split(A94, ""\"")"),"Clayton Keller")</f>
        <v>Clayton Keller</v>
      </c>
      <c r="D94" s="1" t="str">
        <f>IFERROR(__xludf.DUMMYFUNCTION("""COMPUTED_VALUE"""),"kellecl01")</f>
        <v>kellecl01</v>
      </c>
      <c r="E94" s="1" t="s">
        <v>31</v>
      </c>
      <c r="F94" s="1">
        <f t="shared" si="1"/>
        <v>377.95</v>
      </c>
      <c r="G94" s="1">
        <f t="shared" si="2"/>
        <v>4.61</v>
      </c>
      <c r="H94" s="1">
        <v>82.0</v>
      </c>
      <c r="I94" s="1">
        <v>23.0</v>
      </c>
      <c r="J94" s="1">
        <v>42.0</v>
      </c>
      <c r="K94" s="1">
        <v>65.0</v>
      </c>
      <c r="L94" s="1">
        <v>212.0</v>
      </c>
      <c r="M94" s="1">
        <v>7.0</v>
      </c>
      <c r="N94" s="1">
        <v>28.0</v>
      </c>
      <c r="O94" s="1">
        <v>6.0</v>
      </c>
      <c r="P94" s="1">
        <v>14.0</v>
      </c>
      <c r="Q94" s="1">
        <v>0.0</v>
      </c>
      <c r="R94" s="1">
        <v>1.0</v>
      </c>
      <c r="S94" s="1">
        <v>-7.0</v>
      </c>
      <c r="T94" s="1">
        <v>24.0</v>
      </c>
      <c r="U94" s="1">
        <v>3.0</v>
      </c>
    </row>
    <row r="95" ht="12.75" customHeight="1">
      <c r="A95" s="1" t="s">
        <v>98</v>
      </c>
      <c r="B95" s="1">
        <f t="shared" si="3"/>
        <v>84</v>
      </c>
      <c r="C95" s="1" t="str">
        <f>IFERROR(__xludf.DUMMYFUNCTION("split(A95, ""\"")"),"Patrice Bergeron")</f>
        <v>Patrice Bergeron</v>
      </c>
      <c r="D95" s="1" t="str">
        <f>IFERROR(__xludf.DUMMYFUNCTION("""COMPUTED_VALUE"""),"bergepa01")</f>
        <v>bergepa01</v>
      </c>
      <c r="E95" s="1" t="s">
        <v>31</v>
      </c>
      <c r="F95" s="1">
        <f t="shared" si="1"/>
        <v>376.3</v>
      </c>
      <c r="G95" s="1">
        <f t="shared" si="2"/>
        <v>5.88</v>
      </c>
      <c r="H95" s="1">
        <v>64.0</v>
      </c>
      <c r="I95" s="1">
        <v>30.0</v>
      </c>
      <c r="J95" s="1">
        <v>33.0</v>
      </c>
      <c r="K95" s="1">
        <v>63.0</v>
      </c>
      <c r="L95" s="1">
        <v>224.0</v>
      </c>
      <c r="M95" s="1">
        <v>48.0</v>
      </c>
      <c r="N95" s="1">
        <v>42.0</v>
      </c>
      <c r="O95" s="1">
        <v>10.0</v>
      </c>
      <c r="P95" s="1">
        <v>11.0</v>
      </c>
      <c r="Q95" s="1">
        <v>2.0</v>
      </c>
      <c r="R95" s="1">
        <v>1.0</v>
      </c>
      <c r="S95" s="1">
        <v>21.0</v>
      </c>
      <c r="T95" s="1">
        <v>26.0</v>
      </c>
      <c r="U95" s="1">
        <v>6.0</v>
      </c>
    </row>
    <row r="96" ht="12.75" customHeight="1">
      <c r="A96" s="1" t="s">
        <v>126</v>
      </c>
      <c r="B96" s="1">
        <f t="shared" si="3"/>
        <v>85</v>
      </c>
      <c r="C96" s="1" t="str">
        <f>IFERROR(__xludf.DUMMYFUNCTION("split(A96, ""\"")"),"Josh Bailey")</f>
        <v>Josh Bailey</v>
      </c>
      <c r="D96" s="1" t="str">
        <f>IFERROR(__xludf.DUMMYFUNCTION("""COMPUTED_VALUE"""),"bailejo01")</f>
        <v>bailejo01</v>
      </c>
      <c r="E96" s="1" t="s">
        <v>31</v>
      </c>
      <c r="F96" s="1">
        <f t="shared" si="1"/>
        <v>376.1</v>
      </c>
      <c r="G96" s="1">
        <f t="shared" si="2"/>
        <v>4.95</v>
      </c>
      <c r="H96" s="1">
        <v>76.0</v>
      </c>
      <c r="I96" s="1">
        <v>18.0</v>
      </c>
      <c r="J96" s="1">
        <v>53.0</v>
      </c>
      <c r="K96" s="1">
        <v>71.0</v>
      </c>
      <c r="L96" s="1">
        <v>151.0</v>
      </c>
      <c r="M96" s="1">
        <v>12.0</v>
      </c>
      <c r="N96" s="1">
        <v>33.0</v>
      </c>
      <c r="O96" s="1">
        <v>5.0</v>
      </c>
      <c r="P96" s="1">
        <v>26.0</v>
      </c>
      <c r="Q96" s="1">
        <v>0.0</v>
      </c>
      <c r="R96" s="1">
        <v>0.0</v>
      </c>
      <c r="S96" s="1">
        <v>-20.0</v>
      </c>
      <c r="T96" s="1">
        <v>17.0</v>
      </c>
      <c r="U96" s="1">
        <v>3.0</v>
      </c>
    </row>
    <row r="97" ht="12.75" hidden="1" customHeight="1">
      <c r="A97" s="1" t="s">
        <v>852</v>
      </c>
      <c r="B97" s="1">
        <f t="shared" si="3"/>
        <v>847</v>
      </c>
      <c r="C97" s="1" t="str">
        <f>IFERROR(__xludf.DUMMYFUNCTION("split(A97, ""\"")"),"Michael Hutchinson")</f>
        <v>Michael Hutchinson</v>
      </c>
      <c r="D97" s="2" t="str">
        <f>IFERROR(__xludf.DUMMYFUNCTION("""COMPUTED_VALUE"""),"hutchmi01")</f>
        <v>hutchmi01</v>
      </c>
      <c r="E97" s="1" t="s">
        <v>5</v>
      </c>
      <c r="F97" s="1">
        <f t="shared" si="1"/>
        <v>15.9</v>
      </c>
      <c r="G97" s="1">
        <f t="shared" si="2"/>
        <v>5.3</v>
      </c>
      <c r="H97" s="1">
        <v>3.0</v>
      </c>
      <c r="V97" s="1">
        <v>3.0</v>
      </c>
      <c r="W97" s="1">
        <v>2.0</v>
      </c>
      <c r="X97" s="1">
        <v>1.0</v>
      </c>
      <c r="Y97" s="1">
        <v>7.0</v>
      </c>
      <c r="Z97" s="1">
        <v>75.0</v>
      </c>
      <c r="AA97" s="1">
        <v>68.0</v>
      </c>
      <c r="AB97" s="1">
        <v>0.0</v>
      </c>
    </row>
    <row r="98" ht="12.75" customHeight="1">
      <c r="A98" s="1" t="s">
        <v>106</v>
      </c>
      <c r="B98" s="1">
        <f t="shared" si="3"/>
        <v>86</v>
      </c>
      <c r="C98" s="1" t="str">
        <f>IFERROR(__xludf.DUMMYFUNCTION("split(A98, ""\"")"),"Nicklas Backstrom")</f>
        <v>Nicklas Backstrom</v>
      </c>
      <c r="D98" s="1" t="str">
        <f>IFERROR(__xludf.DUMMYFUNCTION("""COMPUTED_VALUE"""),"backsni02")</f>
        <v>backsni02</v>
      </c>
      <c r="E98" s="1" t="s">
        <v>31</v>
      </c>
      <c r="F98" s="1">
        <f t="shared" si="1"/>
        <v>376.05</v>
      </c>
      <c r="G98" s="1">
        <f t="shared" si="2"/>
        <v>4.64</v>
      </c>
      <c r="H98" s="1">
        <v>81.0</v>
      </c>
      <c r="I98" s="1">
        <v>21.0</v>
      </c>
      <c r="J98" s="1">
        <v>50.0</v>
      </c>
      <c r="K98" s="1">
        <v>71.0</v>
      </c>
      <c r="L98" s="1">
        <v>165.0</v>
      </c>
      <c r="M98" s="1">
        <v>37.0</v>
      </c>
      <c r="N98" s="1">
        <v>51.0</v>
      </c>
      <c r="O98" s="1">
        <v>7.0</v>
      </c>
      <c r="P98" s="1">
        <v>19.0</v>
      </c>
      <c r="Q98" s="1">
        <v>0.0</v>
      </c>
      <c r="R98" s="1">
        <v>0.0</v>
      </c>
      <c r="S98" s="1">
        <v>5.0</v>
      </c>
      <c r="T98" s="1">
        <v>46.0</v>
      </c>
      <c r="U98" s="1">
        <v>4.0</v>
      </c>
    </row>
    <row r="99" ht="12.75" customHeight="1">
      <c r="A99" s="1" t="s">
        <v>153</v>
      </c>
      <c r="B99" s="1">
        <f t="shared" si="3"/>
        <v>87</v>
      </c>
      <c r="C99" s="1" t="str">
        <f>IFERROR(__xludf.DUMMYFUNCTION("split(A99, ""\"")"),"Wayne Simmonds")</f>
        <v>Wayne Simmonds</v>
      </c>
      <c r="D99" s="1" t="str">
        <f>IFERROR(__xludf.DUMMYFUNCTION("""COMPUTED_VALUE"""),"simmowa01")</f>
        <v>simmowa01</v>
      </c>
      <c r="E99" s="1" t="s">
        <v>36</v>
      </c>
      <c r="F99" s="1">
        <f t="shared" si="1"/>
        <v>375.35</v>
      </c>
      <c r="G99" s="1">
        <f t="shared" si="2"/>
        <v>5</v>
      </c>
      <c r="H99" s="1">
        <v>75.0</v>
      </c>
      <c r="I99" s="1">
        <v>24.0</v>
      </c>
      <c r="J99" s="1">
        <v>22.0</v>
      </c>
      <c r="K99" s="1">
        <v>46.0</v>
      </c>
      <c r="L99" s="1">
        <v>176.0</v>
      </c>
      <c r="M99" s="1">
        <v>129.0</v>
      </c>
      <c r="N99" s="1">
        <v>54.0</v>
      </c>
      <c r="O99" s="1">
        <v>11.0</v>
      </c>
      <c r="P99" s="1">
        <v>6.0</v>
      </c>
      <c r="Q99" s="1">
        <v>1.0</v>
      </c>
      <c r="R99" s="1">
        <v>0.0</v>
      </c>
      <c r="S99" s="1">
        <v>-16.0</v>
      </c>
      <c r="T99" s="1">
        <v>57.0</v>
      </c>
      <c r="U99" s="1">
        <v>5.0</v>
      </c>
    </row>
    <row r="100" ht="12.75" customHeight="1">
      <c r="A100" s="1" t="s">
        <v>122</v>
      </c>
      <c r="B100" s="1">
        <f t="shared" si="3"/>
        <v>88</v>
      </c>
      <c r="C100" s="1" t="str">
        <f>IFERROR(__xludf.DUMMYFUNCTION("split(A100, ""\"")"),"Torey Krug")</f>
        <v>Torey Krug</v>
      </c>
      <c r="D100" s="1" t="str">
        <f>IFERROR(__xludf.DUMMYFUNCTION("""COMPUTED_VALUE"""),"krugto01")</f>
        <v>krugto01</v>
      </c>
      <c r="E100" s="1" t="s">
        <v>66</v>
      </c>
      <c r="F100" s="1">
        <f t="shared" si="1"/>
        <v>374.55</v>
      </c>
      <c r="G100" s="1">
        <f t="shared" si="2"/>
        <v>4.93</v>
      </c>
      <c r="H100" s="1">
        <v>76.0</v>
      </c>
      <c r="I100" s="1">
        <v>14.0</v>
      </c>
      <c r="J100" s="1">
        <v>45.0</v>
      </c>
      <c r="K100" s="1">
        <v>59.0</v>
      </c>
      <c r="L100" s="1">
        <v>197.0</v>
      </c>
      <c r="M100" s="1">
        <v>79.0</v>
      </c>
      <c r="N100" s="1">
        <v>73.0</v>
      </c>
      <c r="O100" s="1">
        <v>5.0</v>
      </c>
      <c r="P100" s="1">
        <v>19.0</v>
      </c>
      <c r="Q100" s="1">
        <v>1.0</v>
      </c>
      <c r="R100" s="1">
        <v>0.0</v>
      </c>
      <c r="S100" s="1">
        <v>0.0</v>
      </c>
      <c r="T100" s="1">
        <v>36.0</v>
      </c>
      <c r="U100" s="1">
        <v>4.0</v>
      </c>
    </row>
    <row r="101" ht="12.75" customHeight="1">
      <c r="A101" s="1" t="s">
        <v>154</v>
      </c>
      <c r="B101" s="1">
        <f t="shared" si="3"/>
        <v>89</v>
      </c>
      <c r="C101" s="1" t="str">
        <f>IFERROR(__xludf.DUMMYFUNCTION("split(A101, ""\"")"),"Mark Giordano")</f>
        <v>Mark Giordano</v>
      </c>
      <c r="D101" s="1" t="str">
        <f>IFERROR(__xludf.DUMMYFUNCTION("""COMPUTED_VALUE"""),"giordma01")</f>
        <v>giordma01</v>
      </c>
      <c r="E101" s="1" t="s">
        <v>66</v>
      </c>
      <c r="F101" s="1">
        <f t="shared" si="1"/>
        <v>374.15</v>
      </c>
      <c r="G101" s="1">
        <f t="shared" si="2"/>
        <v>4.56</v>
      </c>
      <c r="H101" s="1">
        <v>82.0</v>
      </c>
      <c r="I101" s="1">
        <v>13.0</v>
      </c>
      <c r="J101" s="1">
        <v>25.0</v>
      </c>
      <c r="K101" s="1">
        <v>38.0</v>
      </c>
      <c r="L101" s="1">
        <v>214.0</v>
      </c>
      <c r="M101" s="1">
        <v>93.0</v>
      </c>
      <c r="N101" s="1">
        <v>161.0</v>
      </c>
      <c r="O101" s="1">
        <v>1.0</v>
      </c>
      <c r="P101" s="1">
        <v>9.0</v>
      </c>
      <c r="Q101" s="1">
        <v>1.0</v>
      </c>
      <c r="R101" s="1">
        <v>0.0</v>
      </c>
      <c r="S101" s="1">
        <v>0.0</v>
      </c>
      <c r="T101" s="1">
        <v>63.0</v>
      </c>
      <c r="U101" s="1">
        <v>4.0</v>
      </c>
    </row>
    <row r="102" ht="12.75" customHeight="1">
      <c r="A102" s="1" t="s">
        <v>119</v>
      </c>
      <c r="B102" s="1">
        <f t="shared" si="3"/>
        <v>90</v>
      </c>
      <c r="C102" s="1" t="str">
        <f>IFERROR(__xludf.DUMMYFUNCTION("split(A102, ""\"")"),"Sebastian Aho")</f>
        <v>Sebastian Aho</v>
      </c>
      <c r="D102" s="1" t="str">
        <f>IFERROR(__xludf.DUMMYFUNCTION("""COMPUTED_VALUE"""),"ahose01")</f>
        <v>ahose01</v>
      </c>
      <c r="E102" s="1" t="s">
        <v>36</v>
      </c>
      <c r="F102" s="1">
        <f t="shared" si="1"/>
        <v>372.45</v>
      </c>
      <c r="G102" s="1">
        <f t="shared" si="2"/>
        <v>4.78</v>
      </c>
      <c r="H102" s="1">
        <v>78.0</v>
      </c>
      <c r="I102" s="1">
        <v>29.0</v>
      </c>
      <c r="J102" s="1">
        <v>36.0</v>
      </c>
      <c r="K102" s="1">
        <v>65.0</v>
      </c>
      <c r="L102" s="1">
        <v>200.0</v>
      </c>
      <c r="M102" s="1">
        <v>65.0</v>
      </c>
      <c r="N102" s="1">
        <v>17.0</v>
      </c>
      <c r="O102" s="1">
        <v>8.0</v>
      </c>
      <c r="P102" s="1">
        <v>8.0</v>
      </c>
      <c r="Q102" s="1">
        <v>0.0</v>
      </c>
      <c r="R102" s="1">
        <v>0.0</v>
      </c>
      <c r="S102" s="1">
        <v>4.0</v>
      </c>
      <c r="T102" s="1">
        <v>24.0</v>
      </c>
      <c r="U102" s="1">
        <v>4.0</v>
      </c>
    </row>
    <row r="103" ht="12.75" customHeight="1">
      <c r="A103" s="1" t="s">
        <v>173</v>
      </c>
      <c r="B103" s="1">
        <f t="shared" si="3"/>
        <v>91</v>
      </c>
      <c r="C103" s="1" t="str">
        <f>IFERROR(__xludf.DUMMYFUNCTION("split(A103, ""\"")"),"Alex Galchenyuk")</f>
        <v>Alex Galchenyuk</v>
      </c>
      <c r="D103" s="1" t="str">
        <f>IFERROR(__xludf.DUMMYFUNCTION("""COMPUTED_VALUE"""),"galchal01")</f>
        <v>galchal01</v>
      </c>
      <c r="E103" s="1" t="s">
        <v>31</v>
      </c>
      <c r="F103" s="1">
        <f t="shared" si="1"/>
        <v>371.85</v>
      </c>
      <c r="G103" s="1">
        <f t="shared" si="2"/>
        <v>4.53</v>
      </c>
      <c r="H103" s="1">
        <v>82.0</v>
      </c>
      <c r="I103" s="1">
        <v>19.0</v>
      </c>
      <c r="J103" s="1">
        <v>32.0</v>
      </c>
      <c r="K103" s="1">
        <v>51.0</v>
      </c>
      <c r="L103" s="1">
        <v>213.0</v>
      </c>
      <c r="M103" s="1">
        <v>33.0</v>
      </c>
      <c r="N103" s="1">
        <v>37.0</v>
      </c>
      <c r="O103" s="1">
        <v>9.0</v>
      </c>
      <c r="P103" s="1">
        <v>15.0</v>
      </c>
      <c r="Q103" s="1">
        <v>0.0</v>
      </c>
      <c r="R103" s="1">
        <v>0.0</v>
      </c>
      <c r="S103" s="1">
        <v>-31.0</v>
      </c>
      <c r="T103" s="1">
        <v>22.0</v>
      </c>
      <c r="U103" s="1">
        <v>2.0</v>
      </c>
    </row>
    <row r="104" ht="12.75" customHeight="1">
      <c r="A104" s="1" t="s">
        <v>124</v>
      </c>
      <c r="B104" s="1">
        <f t="shared" si="3"/>
        <v>92</v>
      </c>
      <c r="C104" s="1" t="str">
        <f>IFERROR(__xludf.DUMMYFUNCTION("split(A104, ""\"")"),"Nazem Kadri")</f>
        <v>Nazem Kadri</v>
      </c>
      <c r="D104" s="1" t="str">
        <f>IFERROR(__xludf.DUMMYFUNCTION("""COMPUTED_VALUE"""),"kadrina01")</f>
        <v>kadrina01</v>
      </c>
      <c r="E104" s="1" t="s">
        <v>31</v>
      </c>
      <c r="F104" s="1">
        <f t="shared" si="1"/>
        <v>370.6</v>
      </c>
      <c r="G104" s="1">
        <f t="shared" si="2"/>
        <v>4.63</v>
      </c>
      <c r="H104" s="1">
        <v>80.0</v>
      </c>
      <c r="I104" s="1">
        <v>32.0</v>
      </c>
      <c r="J104" s="1">
        <v>23.0</v>
      </c>
      <c r="K104" s="1">
        <v>55.0</v>
      </c>
      <c r="L104" s="1">
        <v>211.0</v>
      </c>
      <c r="M104" s="1">
        <v>94.0</v>
      </c>
      <c r="N104" s="1">
        <v>26.0</v>
      </c>
      <c r="O104" s="1">
        <v>12.0</v>
      </c>
      <c r="P104" s="1">
        <v>7.0</v>
      </c>
      <c r="Q104" s="1">
        <v>0.0</v>
      </c>
      <c r="R104" s="1">
        <v>0.0</v>
      </c>
      <c r="S104" s="1">
        <v>2.0</v>
      </c>
      <c r="T104" s="1">
        <v>42.0</v>
      </c>
      <c r="U104" s="1">
        <v>3.0</v>
      </c>
    </row>
    <row r="105" ht="12.75" customHeight="1">
      <c r="A105" s="1" t="s">
        <v>113</v>
      </c>
      <c r="B105" s="1">
        <f t="shared" si="3"/>
        <v>93</v>
      </c>
      <c r="C105" s="1" t="str">
        <f>IFERROR(__xludf.DUMMYFUNCTION("split(A105, ""\"")"),"Mitch Marner")</f>
        <v>Mitch Marner</v>
      </c>
      <c r="D105" s="1" t="str">
        <f>IFERROR(__xludf.DUMMYFUNCTION("""COMPUTED_VALUE"""),"marnemi01")</f>
        <v>marnemi01</v>
      </c>
      <c r="E105" s="1" t="s">
        <v>31</v>
      </c>
      <c r="F105" s="1">
        <f t="shared" si="1"/>
        <v>370.55</v>
      </c>
      <c r="G105" s="1">
        <f t="shared" si="2"/>
        <v>4.52</v>
      </c>
      <c r="H105" s="1">
        <v>82.0</v>
      </c>
      <c r="I105" s="1">
        <v>22.0</v>
      </c>
      <c r="J105" s="1">
        <v>47.0</v>
      </c>
      <c r="K105" s="1">
        <v>69.0</v>
      </c>
      <c r="L105" s="1">
        <v>194.0</v>
      </c>
      <c r="M105" s="1">
        <v>31.0</v>
      </c>
      <c r="N105" s="1">
        <v>25.0</v>
      </c>
      <c r="O105" s="1">
        <v>8.0</v>
      </c>
      <c r="P105" s="1">
        <v>19.0</v>
      </c>
      <c r="Q105" s="1">
        <v>0.0</v>
      </c>
      <c r="R105" s="1">
        <v>0.0</v>
      </c>
      <c r="S105" s="1">
        <v>-1.0</v>
      </c>
      <c r="T105" s="1">
        <v>26.0</v>
      </c>
      <c r="U105" s="1">
        <v>2.0</v>
      </c>
    </row>
    <row r="106" ht="12.75" customHeight="1">
      <c r="A106" s="1" t="s">
        <v>94</v>
      </c>
      <c r="B106" s="1">
        <f t="shared" si="3"/>
        <v>94</v>
      </c>
      <c r="C106" s="1" t="str">
        <f>IFERROR(__xludf.DUMMYFUNCTION("split(A106, ""\"")"),"Gabriel Landeskog")</f>
        <v>Gabriel Landeskog</v>
      </c>
      <c r="D106" s="1" t="str">
        <f>IFERROR(__xludf.DUMMYFUNCTION("""COMPUTED_VALUE"""),"landega01")</f>
        <v>landega01</v>
      </c>
      <c r="E106" s="1" t="s">
        <v>28</v>
      </c>
      <c r="F106" s="1">
        <f t="shared" si="1"/>
        <v>369.85</v>
      </c>
      <c r="G106" s="1">
        <f t="shared" si="2"/>
        <v>4.74</v>
      </c>
      <c r="H106" s="1">
        <v>78.0</v>
      </c>
      <c r="I106" s="1">
        <v>25.0</v>
      </c>
      <c r="J106" s="1">
        <v>37.0</v>
      </c>
      <c r="K106" s="1">
        <v>62.0</v>
      </c>
      <c r="L106" s="1">
        <v>183.0</v>
      </c>
      <c r="M106" s="1">
        <v>149.0</v>
      </c>
      <c r="N106" s="1">
        <v>51.0</v>
      </c>
      <c r="O106" s="1">
        <v>8.0</v>
      </c>
      <c r="P106" s="1">
        <v>9.0</v>
      </c>
      <c r="Q106" s="1">
        <v>0.0</v>
      </c>
      <c r="R106" s="1">
        <v>1.0</v>
      </c>
      <c r="S106" s="1">
        <v>16.0</v>
      </c>
      <c r="T106" s="1">
        <v>37.0</v>
      </c>
      <c r="U106" s="1">
        <v>1.0</v>
      </c>
    </row>
    <row r="107" ht="12.75" customHeight="1">
      <c r="A107" s="1" t="s">
        <v>57</v>
      </c>
      <c r="B107" s="1">
        <f t="shared" si="3"/>
        <v>95</v>
      </c>
      <c r="C107" s="1" t="str">
        <f>IFERROR(__xludf.DUMMYFUNCTION("split(A107, ""\"")"),"Cam Talbot")</f>
        <v>Cam Talbot</v>
      </c>
      <c r="D107" s="2" t="str">
        <f>IFERROR(__xludf.DUMMYFUNCTION("""COMPUTED_VALUE"""),"talboca01")</f>
        <v>talboca01</v>
      </c>
      <c r="E107" s="1" t="s">
        <v>5</v>
      </c>
      <c r="F107" s="1">
        <f t="shared" si="1"/>
        <v>368.4</v>
      </c>
      <c r="G107" s="1">
        <f t="shared" si="2"/>
        <v>5.5</v>
      </c>
      <c r="H107" s="1">
        <v>67.0</v>
      </c>
      <c r="V107" s="1">
        <v>67.0</v>
      </c>
      <c r="W107" s="1">
        <v>31.0</v>
      </c>
      <c r="X107" s="1">
        <v>31.0</v>
      </c>
      <c r="Y107" s="1">
        <v>188.0</v>
      </c>
      <c r="Z107" s="1">
        <v>2036.0</v>
      </c>
      <c r="AA107" s="1">
        <v>1848.0</v>
      </c>
      <c r="AB107" s="1">
        <v>1.0</v>
      </c>
    </row>
    <row r="108" ht="12.75" hidden="1" customHeight="1">
      <c r="A108" s="1" t="s">
        <v>866</v>
      </c>
      <c r="B108" s="1">
        <f t="shared" si="3"/>
        <v>838</v>
      </c>
      <c r="C108" s="1" t="str">
        <f>IFERROR(__xludf.DUMMYFUNCTION("split(A108, ""\"")"),"Spencer Foo")</f>
        <v>Spencer Foo</v>
      </c>
      <c r="D108" s="1" t="str">
        <f>IFERROR(__xludf.DUMMYFUNCTION("""COMPUTED_VALUE"""),"foosp01")</f>
        <v>foosp01</v>
      </c>
      <c r="E108" s="1" t="s">
        <v>36</v>
      </c>
      <c r="F108" s="1">
        <f t="shared" si="1"/>
        <v>18.5</v>
      </c>
      <c r="G108" s="1">
        <f t="shared" si="2"/>
        <v>4.63</v>
      </c>
      <c r="H108" s="1">
        <v>4.0</v>
      </c>
      <c r="I108" s="1">
        <v>2.0</v>
      </c>
      <c r="J108" s="1">
        <v>0.0</v>
      </c>
      <c r="K108" s="1">
        <v>2.0</v>
      </c>
      <c r="L108" s="1">
        <v>16.0</v>
      </c>
      <c r="M108" s="1">
        <v>6.0</v>
      </c>
      <c r="N108" s="1">
        <v>3.0</v>
      </c>
      <c r="O108" s="1">
        <v>0.0</v>
      </c>
      <c r="P108" s="1">
        <v>0.0</v>
      </c>
      <c r="Q108" s="1">
        <v>0.0</v>
      </c>
      <c r="R108" s="1">
        <v>0.0</v>
      </c>
      <c r="S108" s="1">
        <v>1.0</v>
      </c>
      <c r="T108" s="1">
        <v>0.0</v>
      </c>
      <c r="U108" s="1">
        <v>0.0</v>
      </c>
    </row>
    <row r="109" ht="12.75" customHeight="1">
      <c r="A109" s="1" t="s">
        <v>169</v>
      </c>
      <c r="B109" s="1">
        <f t="shared" si="3"/>
        <v>96</v>
      </c>
      <c r="C109" s="1" t="str">
        <f>IFERROR(__xludf.DUMMYFUNCTION("split(A109, ""\"")"),"Sam Reinhart")</f>
        <v>Sam Reinhart</v>
      </c>
      <c r="D109" s="1" t="str">
        <f>IFERROR(__xludf.DUMMYFUNCTION("""COMPUTED_VALUE"""),"reinhsa01")</f>
        <v>reinhsa01</v>
      </c>
      <c r="E109" s="1" t="s">
        <v>31</v>
      </c>
      <c r="F109" s="1">
        <f t="shared" si="1"/>
        <v>368.3</v>
      </c>
      <c r="G109" s="1">
        <f t="shared" si="2"/>
        <v>4.49</v>
      </c>
      <c r="H109" s="1">
        <v>82.0</v>
      </c>
      <c r="I109" s="1">
        <v>25.0</v>
      </c>
      <c r="J109" s="1">
        <v>25.0</v>
      </c>
      <c r="K109" s="1">
        <v>50.0</v>
      </c>
      <c r="L109" s="1">
        <v>188.0</v>
      </c>
      <c r="M109" s="1">
        <v>48.0</v>
      </c>
      <c r="N109" s="1">
        <v>42.0</v>
      </c>
      <c r="O109" s="1">
        <v>12.0</v>
      </c>
      <c r="P109" s="1">
        <v>9.0</v>
      </c>
      <c r="Q109" s="1">
        <v>0.0</v>
      </c>
      <c r="R109" s="1">
        <v>0.0</v>
      </c>
      <c r="S109" s="1">
        <v>-24.0</v>
      </c>
      <c r="T109" s="1">
        <v>26.0</v>
      </c>
      <c r="U109" s="1">
        <v>5.0</v>
      </c>
    </row>
    <row r="110" ht="12.75" customHeight="1">
      <c r="A110" s="1" t="s">
        <v>107</v>
      </c>
      <c r="B110" s="1">
        <f t="shared" si="3"/>
        <v>97</v>
      </c>
      <c r="C110" s="1" t="str">
        <f>IFERROR(__xludf.DUMMYFUNCTION("split(A110, ""\"")"),"Roman Josi")</f>
        <v>Roman Josi</v>
      </c>
      <c r="D110" s="1" t="str">
        <f>IFERROR(__xludf.DUMMYFUNCTION("""COMPUTED_VALUE"""),"josiro01")</f>
        <v>josiro01</v>
      </c>
      <c r="E110" s="1" t="s">
        <v>66</v>
      </c>
      <c r="F110" s="1">
        <f t="shared" si="1"/>
        <v>366.7</v>
      </c>
      <c r="G110" s="1">
        <f t="shared" si="2"/>
        <v>4.89</v>
      </c>
      <c r="H110" s="1">
        <v>75.0</v>
      </c>
      <c r="I110" s="1">
        <v>14.0</v>
      </c>
      <c r="J110" s="1">
        <v>39.0</v>
      </c>
      <c r="K110" s="1">
        <v>53.0</v>
      </c>
      <c r="L110" s="1">
        <v>253.0</v>
      </c>
      <c r="M110" s="1">
        <v>80.0</v>
      </c>
      <c r="N110" s="1">
        <v>120.0</v>
      </c>
      <c r="O110" s="1">
        <v>7.0</v>
      </c>
      <c r="P110" s="1">
        <v>13.0</v>
      </c>
      <c r="Q110" s="1">
        <v>0.0</v>
      </c>
      <c r="R110" s="1">
        <v>1.0</v>
      </c>
      <c r="S110" s="1">
        <v>24.0</v>
      </c>
      <c r="T110" s="1">
        <v>24.0</v>
      </c>
      <c r="U110" s="1">
        <v>3.0</v>
      </c>
    </row>
    <row r="111" ht="12.75" customHeight="1">
      <c r="A111" s="1" t="s">
        <v>139</v>
      </c>
      <c r="B111" s="1">
        <f t="shared" si="3"/>
        <v>98</v>
      </c>
      <c r="C111" s="1" t="str">
        <f>IFERROR(__xludf.DUMMYFUNCTION("split(A111, ""\"")"),"Tyson Barrie")</f>
        <v>Tyson Barrie</v>
      </c>
      <c r="D111" s="1" t="str">
        <f>IFERROR(__xludf.DUMMYFUNCTION("""COMPUTED_VALUE"""),"barrity01")</f>
        <v>barrity01</v>
      </c>
      <c r="E111" s="1" t="s">
        <v>66</v>
      </c>
      <c r="F111" s="1">
        <f t="shared" si="1"/>
        <v>365.6</v>
      </c>
      <c r="G111" s="1">
        <f t="shared" si="2"/>
        <v>5.38</v>
      </c>
      <c r="H111" s="1">
        <v>68.0</v>
      </c>
      <c r="I111" s="1">
        <v>14.0</v>
      </c>
      <c r="J111" s="1">
        <v>43.0</v>
      </c>
      <c r="K111" s="1">
        <v>57.0</v>
      </c>
      <c r="L111" s="1">
        <v>178.0</v>
      </c>
      <c r="M111" s="1">
        <v>40.0</v>
      </c>
      <c r="N111" s="1">
        <v>79.0</v>
      </c>
      <c r="O111" s="1">
        <v>7.0</v>
      </c>
      <c r="P111" s="1">
        <v>23.0</v>
      </c>
      <c r="Q111" s="1">
        <v>0.0</v>
      </c>
      <c r="R111" s="1">
        <v>0.0</v>
      </c>
      <c r="S111" s="1">
        <v>-15.0</v>
      </c>
      <c r="T111" s="1">
        <v>22.0</v>
      </c>
      <c r="U111" s="1">
        <v>3.0</v>
      </c>
    </row>
    <row r="112" ht="12.75" customHeight="1">
      <c r="A112" s="1" t="s">
        <v>216</v>
      </c>
      <c r="B112" s="1">
        <f t="shared" si="3"/>
        <v>99</v>
      </c>
      <c r="C112" s="1" t="str">
        <f>IFERROR(__xludf.DUMMYFUNCTION("split(A112, ""\"")"),"Mikael Backlund")</f>
        <v>Mikael Backlund</v>
      </c>
      <c r="D112" s="1" t="str">
        <f>IFERROR(__xludf.DUMMYFUNCTION("""COMPUTED_VALUE"""),"backlmi01")</f>
        <v>backlmi01</v>
      </c>
      <c r="E112" s="1" t="s">
        <v>31</v>
      </c>
      <c r="F112" s="1">
        <f t="shared" si="1"/>
        <v>364.4</v>
      </c>
      <c r="G112" s="1">
        <f t="shared" si="2"/>
        <v>4.44</v>
      </c>
      <c r="H112" s="1">
        <v>82.0</v>
      </c>
      <c r="I112" s="1">
        <v>14.0</v>
      </c>
      <c r="J112" s="1">
        <v>31.0</v>
      </c>
      <c r="K112" s="1">
        <v>45.0</v>
      </c>
      <c r="L112" s="1">
        <v>214.0</v>
      </c>
      <c r="M112" s="1">
        <v>54.0</v>
      </c>
      <c r="N112" s="1">
        <v>40.0</v>
      </c>
      <c r="O112" s="1">
        <v>3.0</v>
      </c>
      <c r="P112" s="1">
        <v>8.0</v>
      </c>
      <c r="Q112" s="1">
        <v>1.0</v>
      </c>
      <c r="R112" s="1">
        <v>2.0</v>
      </c>
      <c r="S112" s="1">
        <v>-21.0</v>
      </c>
      <c r="T112" s="1">
        <v>78.0</v>
      </c>
      <c r="U112" s="1">
        <v>2.0</v>
      </c>
    </row>
    <row r="113" ht="12.75" customHeight="1">
      <c r="A113" s="1" t="s">
        <v>205</v>
      </c>
      <c r="B113" s="1">
        <f t="shared" si="3"/>
        <v>100</v>
      </c>
      <c r="C113" s="1" t="str">
        <f>IFERROR(__xludf.DUMMYFUNCTION("split(A113, ""\"")"),"Nick Leddy")</f>
        <v>Nick Leddy</v>
      </c>
      <c r="D113" s="1" t="str">
        <f>IFERROR(__xludf.DUMMYFUNCTION("""COMPUTED_VALUE"""),"leddyni01")</f>
        <v>leddyni01</v>
      </c>
      <c r="E113" s="1" t="s">
        <v>66</v>
      </c>
      <c r="F113" s="1">
        <f t="shared" si="1"/>
        <v>364.25</v>
      </c>
      <c r="G113" s="1">
        <f t="shared" si="2"/>
        <v>4.55</v>
      </c>
      <c r="H113" s="1">
        <v>80.0</v>
      </c>
      <c r="I113" s="1">
        <v>10.0</v>
      </c>
      <c r="J113" s="1">
        <v>32.0</v>
      </c>
      <c r="K113" s="1">
        <v>42.0</v>
      </c>
      <c r="L113" s="1">
        <v>153.0</v>
      </c>
      <c r="M113" s="1">
        <v>95.0</v>
      </c>
      <c r="N113" s="1">
        <v>104.0</v>
      </c>
      <c r="O113" s="1">
        <v>4.0</v>
      </c>
      <c r="P113" s="1">
        <v>10.0</v>
      </c>
      <c r="Q113" s="1">
        <v>0.0</v>
      </c>
      <c r="R113" s="1">
        <v>0.0</v>
      </c>
      <c r="S113" s="1">
        <v>-42.0</v>
      </c>
      <c r="T113" s="1">
        <v>20.0</v>
      </c>
      <c r="U113" s="1">
        <v>1.0</v>
      </c>
    </row>
    <row r="114" ht="12.75" customHeight="1">
      <c r="A114" s="1" t="s">
        <v>132</v>
      </c>
      <c r="B114" s="1">
        <f t="shared" si="3"/>
        <v>101</v>
      </c>
      <c r="C114" s="1" t="str">
        <f>IFERROR(__xludf.DUMMYFUNCTION("split(A114, ""\"")"),"Nikolaj Ehlers")</f>
        <v>Nikolaj Ehlers</v>
      </c>
      <c r="D114" s="1" t="str">
        <f>IFERROR(__xludf.DUMMYFUNCTION("""COMPUTED_VALUE"""),"ehlerni01")</f>
        <v>ehlerni01</v>
      </c>
      <c r="E114" s="1" t="s">
        <v>28</v>
      </c>
      <c r="F114" s="1">
        <f t="shared" si="1"/>
        <v>363.05</v>
      </c>
      <c r="G114" s="1">
        <f t="shared" si="2"/>
        <v>4.43</v>
      </c>
      <c r="H114" s="1">
        <v>82.0</v>
      </c>
      <c r="I114" s="1">
        <v>29.0</v>
      </c>
      <c r="J114" s="1">
        <v>31.0</v>
      </c>
      <c r="K114" s="1">
        <v>60.0</v>
      </c>
      <c r="L114" s="1">
        <v>231.0</v>
      </c>
      <c r="M114" s="1">
        <v>39.0</v>
      </c>
      <c r="N114" s="1">
        <v>27.0</v>
      </c>
      <c r="O114" s="1">
        <v>7.0</v>
      </c>
      <c r="P114" s="1">
        <v>6.0</v>
      </c>
      <c r="Q114" s="1">
        <v>0.0</v>
      </c>
      <c r="R114" s="1">
        <v>0.0</v>
      </c>
      <c r="S114" s="1">
        <v>14.0</v>
      </c>
      <c r="T114" s="1">
        <v>26.0</v>
      </c>
      <c r="U114" s="1">
        <v>7.0</v>
      </c>
    </row>
    <row r="115" ht="12.75" customHeight="1">
      <c r="A115" s="1" t="s">
        <v>112</v>
      </c>
      <c r="B115" s="1">
        <f t="shared" si="3"/>
        <v>102</v>
      </c>
      <c r="C115" s="1" t="str">
        <f>IFERROR(__xludf.DUMMYFUNCTION("split(A115, ""\"")"),"Mikael Granlund")</f>
        <v>Mikael Granlund</v>
      </c>
      <c r="D115" s="1" t="str">
        <f>IFERROR(__xludf.DUMMYFUNCTION("""COMPUTED_VALUE"""),"granlmi01")</f>
        <v>granlmi01</v>
      </c>
      <c r="E115" s="1" t="s">
        <v>31</v>
      </c>
      <c r="F115" s="1">
        <f t="shared" si="1"/>
        <v>362.15</v>
      </c>
      <c r="G115" s="1">
        <f t="shared" si="2"/>
        <v>4.7</v>
      </c>
      <c r="H115" s="1">
        <v>77.0</v>
      </c>
      <c r="I115" s="1">
        <v>21.0</v>
      </c>
      <c r="J115" s="1">
        <v>46.0</v>
      </c>
      <c r="K115" s="1">
        <v>67.0</v>
      </c>
      <c r="L115" s="1">
        <v>193.0</v>
      </c>
      <c r="M115" s="1">
        <v>47.0</v>
      </c>
      <c r="N115" s="1">
        <v>45.0</v>
      </c>
      <c r="O115" s="1">
        <v>7.0</v>
      </c>
      <c r="P115" s="1">
        <v>12.0</v>
      </c>
      <c r="Q115" s="1">
        <v>1.0</v>
      </c>
      <c r="R115" s="1">
        <v>2.0</v>
      </c>
      <c r="S115" s="1">
        <v>13.0</v>
      </c>
      <c r="T115" s="1">
        <v>18.0</v>
      </c>
      <c r="U115" s="1">
        <v>2.0</v>
      </c>
    </row>
    <row r="116" ht="12.75" customHeight="1">
      <c r="A116" s="1" t="s">
        <v>151</v>
      </c>
      <c r="B116" s="1">
        <f t="shared" si="3"/>
        <v>103</v>
      </c>
      <c r="C116" s="1" t="str">
        <f>IFERROR(__xludf.DUMMYFUNCTION("split(A116, ""\"")"),"Derek Stepan")</f>
        <v>Derek Stepan</v>
      </c>
      <c r="D116" s="1" t="str">
        <f>IFERROR(__xludf.DUMMYFUNCTION("""COMPUTED_VALUE"""),"stepade01")</f>
        <v>stepade01</v>
      </c>
      <c r="E116" s="1" t="s">
        <v>31</v>
      </c>
      <c r="F116" s="1">
        <f t="shared" si="1"/>
        <v>361.8</v>
      </c>
      <c r="G116" s="1">
        <f t="shared" si="2"/>
        <v>4.41</v>
      </c>
      <c r="H116" s="1">
        <v>82.0</v>
      </c>
      <c r="I116" s="1">
        <v>14.0</v>
      </c>
      <c r="J116" s="1">
        <v>42.0</v>
      </c>
      <c r="K116" s="1">
        <v>56.0</v>
      </c>
      <c r="L116" s="1">
        <v>209.0</v>
      </c>
      <c r="M116" s="1">
        <v>52.0</v>
      </c>
      <c r="N116" s="1">
        <v>54.0</v>
      </c>
      <c r="O116" s="1">
        <v>3.0</v>
      </c>
      <c r="P116" s="1">
        <v>15.0</v>
      </c>
      <c r="Q116" s="1">
        <v>2.0</v>
      </c>
      <c r="R116" s="1">
        <v>0.0</v>
      </c>
      <c r="S116" s="1">
        <v>-7.0</v>
      </c>
      <c r="T116" s="1">
        <v>26.0</v>
      </c>
      <c r="U116" s="1">
        <v>2.0</v>
      </c>
    </row>
    <row r="117" ht="12.75" customHeight="1">
      <c r="A117" s="1" t="s">
        <v>183</v>
      </c>
      <c r="B117" s="1">
        <f t="shared" si="3"/>
        <v>104</v>
      </c>
      <c r="C117" s="1" t="str">
        <f>IFERROR(__xludf.DUMMYFUNCTION("split(A117, ""\"")"),"Daniel Sedin")</f>
        <v>Daniel Sedin</v>
      </c>
      <c r="D117" s="1" t="str">
        <f>IFERROR(__xludf.DUMMYFUNCTION("""COMPUTED_VALUE"""),"sedinda01")</f>
        <v>sedinda01</v>
      </c>
      <c r="E117" s="1" t="s">
        <v>28</v>
      </c>
      <c r="F117" s="1">
        <f t="shared" si="1"/>
        <v>358</v>
      </c>
      <c r="G117" s="1">
        <f t="shared" si="2"/>
        <v>4.42</v>
      </c>
      <c r="H117" s="1">
        <v>81.0</v>
      </c>
      <c r="I117" s="1">
        <v>23.0</v>
      </c>
      <c r="J117" s="1">
        <v>32.0</v>
      </c>
      <c r="K117" s="1">
        <v>55.0</v>
      </c>
      <c r="L117" s="1">
        <v>189.0</v>
      </c>
      <c r="M117" s="1">
        <v>38.0</v>
      </c>
      <c r="N117" s="1">
        <v>2.0</v>
      </c>
      <c r="O117" s="1">
        <v>9.0</v>
      </c>
      <c r="P117" s="1">
        <v>14.0</v>
      </c>
      <c r="Q117" s="1">
        <v>0.0</v>
      </c>
      <c r="R117" s="1">
        <v>0.0</v>
      </c>
      <c r="S117" s="1">
        <v>-21.0</v>
      </c>
      <c r="T117" s="1">
        <v>40.0</v>
      </c>
      <c r="U117" s="1">
        <v>5.0</v>
      </c>
    </row>
    <row r="118" ht="12.75" customHeight="1">
      <c r="A118" s="1" t="s">
        <v>127</v>
      </c>
      <c r="B118" s="1">
        <f t="shared" si="3"/>
        <v>105</v>
      </c>
      <c r="C118" s="1" t="str">
        <f>IFERROR(__xludf.DUMMYFUNCTION("split(A118, ""\"")"),"Ivan Provorov")</f>
        <v>Ivan Provorov</v>
      </c>
      <c r="D118" s="1" t="str">
        <f>IFERROR(__xludf.DUMMYFUNCTION("""COMPUTED_VALUE"""),"provoiv01")</f>
        <v>provoiv01</v>
      </c>
      <c r="E118" s="1" t="s">
        <v>66</v>
      </c>
      <c r="F118" s="1">
        <f t="shared" si="1"/>
        <v>356</v>
      </c>
      <c r="G118" s="1">
        <f t="shared" si="2"/>
        <v>4.34</v>
      </c>
      <c r="H118" s="1">
        <v>82.0</v>
      </c>
      <c r="I118" s="1">
        <v>17.0</v>
      </c>
      <c r="J118" s="1">
        <v>24.0</v>
      </c>
      <c r="K118" s="1">
        <v>41.0</v>
      </c>
      <c r="L118" s="1">
        <v>203.0</v>
      </c>
      <c r="M118" s="1">
        <v>148.0</v>
      </c>
      <c r="N118" s="1">
        <v>169.0</v>
      </c>
      <c r="O118" s="1">
        <v>2.0</v>
      </c>
      <c r="P118" s="1">
        <v>3.0</v>
      </c>
      <c r="Q118" s="1">
        <v>0.0</v>
      </c>
      <c r="R118" s="1">
        <v>0.0</v>
      </c>
      <c r="S118" s="1">
        <v>17.0</v>
      </c>
      <c r="T118" s="1">
        <v>20.0</v>
      </c>
      <c r="U118" s="1">
        <v>2.0</v>
      </c>
    </row>
    <row r="119" ht="12.75" customHeight="1">
      <c r="A119" s="1" t="s">
        <v>133</v>
      </c>
      <c r="B119" s="1">
        <f t="shared" si="3"/>
        <v>106</v>
      </c>
      <c r="C119" s="1" t="str">
        <f>IFERROR(__xludf.DUMMYFUNCTION("split(A119, ""\"")"),"Evgeni Dadonov")</f>
        <v>Evgeni Dadonov</v>
      </c>
      <c r="D119" s="1" t="str">
        <f>IFERROR(__xludf.DUMMYFUNCTION("""COMPUTED_VALUE"""),"dadonev01")</f>
        <v>dadonev01</v>
      </c>
      <c r="E119" s="1" t="s">
        <v>36</v>
      </c>
      <c r="F119" s="1">
        <f t="shared" si="1"/>
        <v>353.65</v>
      </c>
      <c r="G119" s="1">
        <f t="shared" si="2"/>
        <v>4.78</v>
      </c>
      <c r="H119" s="1">
        <v>74.0</v>
      </c>
      <c r="I119" s="1">
        <v>28.0</v>
      </c>
      <c r="J119" s="1">
        <v>37.0</v>
      </c>
      <c r="K119" s="1">
        <v>65.0</v>
      </c>
      <c r="L119" s="1">
        <v>188.0</v>
      </c>
      <c r="M119" s="1">
        <v>27.0</v>
      </c>
      <c r="N119" s="1">
        <v>33.0</v>
      </c>
      <c r="O119" s="1">
        <v>6.0</v>
      </c>
      <c r="P119" s="1">
        <v>7.0</v>
      </c>
      <c r="Q119" s="1">
        <v>0.0</v>
      </c>
      <c r="R119" s="1">
        <v>0.0</v>
      </c>
      <c r="S119" s="1">
        <v>10.0</v>
      </c>
      <c r="T119" s="1">
        <v>8.0</v>
      </c>
      <c r="U119" s="1">
        <v>6.0</v>
      </c>
    </row>
    <row r="120" ht="12.75" customHeight="1">
      <c r="A120" s="1" t="s">
        <v>165</v>
      </c>
      <c r="B120" s="1">
        <f t="shared" si="3"/>
        <v>107</v>
      </c>
      <c r="C120" s="1" t="str">
        <f>IFERROR(__xludf.DUMMYFUNCTION("split(A120, ""\"")"),"Mats Zuccarello")</f>
        <v>Mats Zuccarello</v>
      </c>
      <c r="D120" s="1" t="str">
        <f>IFERROR(__xludf.DUMMYFUNCTION("""COMPUTED_VALUE"""),"zuccama01")</f>
        <v>zuccama01</v>
      </c>
      <c r="E120" s="1" t="s">
        <v>28</v>
      </c>
      <c r="F120" s="1">
        <f t="shared" si="1"/>
        <v>352.8</v>
      </c>
      <c r="G120" s="1">
        <f t="shared" si="2"/>
        <v>4.41</v>
      </c>
      <c r="H120" s="1">
        <v>80.0</v>
      </c>
      <c r="I120" s="1">
        <v>16.0</v>
      </c>
      <c r="J120" s="1">
        <v>37.0</v>
      </c>
      <c r="K120" s="1">
        <v>53.0</v>
      </c>
      <c r="L120" s="1">
        <v>178.0</v>
      </c>
      <c r="M120" s="1">
        <v>62.0</v>
      </c>
      <c r="N120" s="1">
        <v>67.0</v>
      </c>
      <c r="O120" s="1">
        <v>1.0</v>
      </c>
      <c r="P120" s="1">
        <v>16.0</v>
      </c>
      <c r="Q120" s="1">
        <v>0.0</v>
      </c>
      <c r="R120" s="1">
        <v>0.0</v>
      </c>
      <c r="S120" s="1">
        <v>-10.0</v>
      </c>
      <c r="T120" s="1">
        <v>36.0</v>
      </c>
      <c r="U120" s="1">
        <v>3.0</v>
      </c>
    </row>
    <row r="121" ht="12.75" customHeight="1">
      <c r="A121" s="1" t="s">
        <v>146</v>
      </c>
      <c r="B121" s="1">
        <f t="shared" si="3"/>
        <v>108</v>
      </c>
      <c r="C121" s="1" t="str">
        <f>IFERROR(__xludf.DUMMYFUNCTION("split(A121, ""\"")"),"J.T. Miller")</f>
        <v>J.T. Miller</v>
      </c>
      <c r="D121" s="1" t="str">
        <f>IFERROR(__xludf.DUMMYFUNCTION("""COMPUTED_VALUE"""),"millejt01")</f>
        <v>millejt01</v>
      </c>
      <c r="E121" s="1" t="s">
        <v>31</v>
      </c>
      <c r="F121" s="1">
        <f t="shared" si="1"/>
        <v>352</v>
      </c>
      <c r="G121" s="1">
        <f t="shared" si="2"/>
        <v>4.29</v>
      </c>
      <c r="H121" s="1">
        <v>82.0</v>
      </c>
      <c r="I121" s="1">
        <v>23.0</v>
      </c>
      <c r="J121" s="1">
        <v>35.0</v>
      </c>
      <c r="K121" s="1">
        <v>58.0</v>
      </c>
      <c r="L121" s="1">
        <v>143.0</v>
      </c>
      <c r="M121" s="1">
        <v>124.0</v>
      </c>
      <c r="N121" s="1">
        <v>26.0</v>
      </c>
      <c r="O121" s="1">
        <v>11.0</v>
      </c>
      <c r="P121" s="1">
        <v>7.0</v>
      </c>
      <c r="Q121" s="1">
        <v>0.0</v>
      </c>
      <c r="R121" s="1">
        <v>0.0</v>
      </c>
      <c r="S121" s="1">
        <v>-4.0</v>
      </c>
      <c r="T121" s="1">
        <v>40.0</v>
      </c>
      <c r="U121" s="1">
        <v>5.0</v>
      </c>
    </row>
    <row r="122" ht="12.75" customHeight="1">
      <c r="A122" s="1" t="s">
        <v>185</v>
      </c>
      <c r="B122" s="1">
        <f t="shared" si="3"/>
        <v>109</v>
      </c>
      <c r="C122" s="1" t="str">
        <f>IFERROR(__xludf.DUMMYFUNCTION("split(A122, ""\"")"),"Justin Williams")</f>
        <v>Justin Williams</v>
      </c>
      <c r="D122" s="1" t="str">
        <f>IFERROR(__xludf.DUMMYFUNCTION("""COMPUTED_VALUE"""),"williju01")</f>
        <v>williju01</v>
      </c>
      <c r="E122" s="1" t="s">
        <v>36</v>
      </c>
      <c r="F122" s="1">
        <f t="shared" si="1"/>
        <v>351.05</v>
      </c>
      <c r="G122" s="1">
        <f t="shared" si="2"/>
        <v>4.28</v>
      </c>
      <c r="H122" s="1">
        <v>82.0</v>
      </c>
      <c r="I122" s="1">
        <v>16.0</v>
      </c>
      <c r="J122" s="1">
        <v>35.0</v>
      </c>
      <c r="K122" s="1">
        <v>51.0</v>
      </c>
      <c r="L122" s="1">
        <v>198.0</v>
      </c>
      <c r="M122" s="1">
        <v>79.0</v>
      </c>
      <c r="N122" s="1">
        <v>42.0</v>
      </c>
      <c r="O122" s="1">
        <v>2.0</v>
      </c>
      <c r="P122" s="1">
        <v>10.0</v>
      </c>
      <c r="Q122" s="1">
        <v>0.0</v>
      </c>
      <c r="R122" s="1">
        <v>0.0</v>
      </c>
      <c r="S122" s="1">
        <v>-9.0</v>
      </c>
      <c r="T122" s="1">
        <v>56.0</v>
      </c>
      <c r="U122" s="1">
        <v>2.0</v>
      </c>
    </row>
    <row r="123" ht="12.75" customHeight="1">
      <c r="A123" s="1" t="s">
        <v>77</v>
      </c>
      <c r="B123" s="1">
        <f t="shared" si="3"/>
        <v>110</v>
      </c>
      <c r="C123" s="1" t="str">
        <f>IFERROR(__xludf.DUMMYFUNCTION("split(A123, ""\"")"),"Martin Jones")</f>
        <v>Martin Jones</v>
      </c>
      <c r="D123" s="2" t="str">
        <f>IFERROR(__xludf.DUMMYFUNCTION("""COMPUTED_VALUE"""),"jonesma02")</f>
        <v>jonesma02</v>
      </c>
      <c r="E123" s="1" t="s">
        <v>5</v>
      </c>
      <c r="F123" s="1">
        <f t="shared" si="1"/>
        <v>350.7</v>
      </c>
      <c r="G123" s="1">
        <f t="shared" si="2"/>
        <v>5.85</v>
      </c>
      <c r="H123" s="1">
        <v>60.0</v>
      </c>
      <c r="V123" s="1">
        <v>60.0</v>
      </c>
      <c r="W123" s="1">
        <v>30.0</v>
      </c>
      <c r="X123" s="1">
        <v>22.0</v>
      </c>
      <c r="Y123" s="1">
        <v>145.0</v>
      </c>
      <c r="Z123" s="1">
        <v>1699.0</v>
      </c>
      <c r="AA123" s="1">
        <v>1554.0</v>
      </c>
      <c r="AB123" s="1">
        <v>4.0</v>
      </c>
    </row>
    <row r="124" ht="12.75" customHeight="1">
      <c r="A124" s="1" t="s">
        <v>137</v>
      </c>
      <c r="B124" s="1">
        <f t="shared" si="3"/>
        <v>111</v>
      </c>
      <c r="C124" s="1" t="str">
        <f>IFERROR(__xludf.DUMMYFUNCTION("split(A124, ""\"")"),"Mathew Dumba")</f>
        <v>Mathew Dumba</v>
      </c>
      <c r="D124" s="1" t="str">
        <f>IFERROR(__xludf.DUMMYFUNCTION("""COMPUTED_VALUE"""),"dumbama01")</f>
        <v>dumbama01</v>
      </c>
      <c r="E124" s="1" t="s">
        <v>66</v>
      </c>
      <c r="F124" s="1">
        <f t="shared" si="1"/>
        <v>349.8</v>
      </c>
      <c r="G124" s="1">
        <f t="shared" si="2"/>
        <v>4.27</v>
      </c>
      <c r="H124" s="1">
        <v>82.0</v>
      </c>
      <c r="I124" s="1">
        <v>14.0</v>
      </c>
      <c r="J124" s="1">
        <v>36.0</v>
      </c>
      <c r="K124" s="1">
        <v>50.0</v>
      </c>
      <c r="L124" s="1">
        <v>176.0</v>
      </c>
      <c r="M124" s="1">
        <v>136.0</v>
      </c>
      <c r="N124" s="1">
        <v>112.0</v>
      </c>
      <c r="O124" s="1">
        <v>2.0</v>
      </c>
      <c r="P124" s="1">
        <v>10.0</v>
      </c>
      <c r="Q124" s="1">
        <v>0.0</v>
      </c>
      <c r="R124" s="1">
        <v>1.0</v>
      </c>
      <c r="S124" s="1">
        <v>15.0</v>
      </c>
      <c r="T124" s="1">
        <v>41.0</v>
      </c>
      <c r="U124" s="1">
        <v>4.0</v>
      </c>
    </row>
    <row r="125" ht="12.75" customHeight="1">
      <c r="A125" s="1" t="s">
        <v>175</v>
      </c>
      <c r="B125" s="1">
        <f t="shared" si="3"/>
        <v>112</v>
      </c>
      <c r="C125" s="1" t="str">
        <f>IFERROR(__xludf.DUMMYFUNCTION("split(A125, ""\"")"),"Tomas Hertl")</f>
        <v>Tomas Hertl</v>
      </c>
      <c r="D125" s="1" t="str">
        <f>IFERROR(__xludf.DUMMYFUNCTION("""COMPUTED_VALUE"""),"hertlto01")</f>
        <v>hertlto01</v>
      </c>
      <c r="E125" s="1" t="s">
        <v>31</v>
      </c>
      <c r="F125" s="1">
        <f t="shared" si="1"/>
        <v>349.3</v>
      </c>
      <c r="G125" s="1">
        <f t="shared" si="2"/>
        <v>4.42</v>
      </c>
      <c r="H125" s="1">
        <v>79.0</v>
      </c>
      <c r="I125" s="1">
        <v>22.0</v>
      </c>
      <c r="J125" s="1">
        <v>24.0</v>
      </c>
      <c r="K125" s="1">
        <v>46.0</v>
      </c>
      <c r="L125" s="1">
        <v>175.0</v>
      </c>
      <c r="M125" s="1">
        <v>84.0</v>
      </c>
      <c r="N125" s="1">
        <v>71.0</v>
      </c>
      <c r="O125" s="1">
        <v>6.0</v>
      </c>
      <c r="P125" s="1">
        <v>6.0</v>
      </c>
      <c r="Q125" s="1">
        <v>1.0</v>
      </c>
      <c r="R125" s="1">
        <v>2.0</v>
      </c>
      <c r="S125" s="1">
        <v>-2.0</v>
      </c>
      <c r="T125" s="1">
        <v>41.0</v>
      </c>
      <c r="U125" s="1">
        <v>5.0</v>
      </c>
    </row>
    <row r="126" ht="12.75" customHeight="1">
      <c r="A126" s="1" t="s">
        <v>163</v>
      </c>
      <c r="B126" s="1">
        <f t="shared" si="3"/>
        <v>113</v>
      </c>
      <c r="C126" s="1" t="str">
        <f>IFERROR(__xludf.DUMMYFUNCTION("split(A126, ""\"")"),"Jake Guentzel")</f>
        <v>Jake Guentzel</v>
      </c>
      <c r="D126" s="1" t="str">
        <f>IFERROR(__xludf.DUMMYFUNCTION("""COMPUTED_VALUE"""),"guentja01")</f>
        <v>guentja01</v>
      </c>
      <c r="E126" s="1" t="s">
        <v>31</v>
      </c>
      <c r="F126" s="1">
        <f t="shared" si="1"/>
        <v>349.1</v>
      </c>
      <c r="G126" s="1">
        <f t="shared" si="2"/>
        <v>4.26</v>
      </c>
      <c r="H126" s="1">
        <v>82.0</v>
      </c>
      <c r="I126" s="1">
        <v>22.0</v>
      </c>
      <c r="J126" s="1">
        <v>26.0</v>
      </c>
      <c r="K126" s="1">
        <v>48.0</v>
      </c>
      <c r="L126" s="1">
        <v>171.0</v>
      </c>
      <c r="M126" s="1">
        <v>142.0</v>
      </c>
      <c r="N126" s="1">
        <v>46.0</v>
      </c>
      <c r="O126" s="1">
        <v>7.0</v>
      </c>
      <c r="P126" s="1">
        <v>5.0</v>
      </c>
      <c r="Q126" s="1">
        <v>0.0</v>
      </c>
      <c r="R126" s="1">
        <v>0.0</v>
      </c>
      <c r="S126" s="1">
        <v>-9.0</v>
      </c>
      <c r="T126" s="1">
        <v>42.0</v>
      </c>
      <c r="U126" s="1">
        <v>1.0</v>
      </c>
    </row>
    <row r="127" ht="12.75" customHeight="1">
      <c r="A127" s="1" t="s">
        <v>207</v>
      </c>
      <c r="B127" s="1">
        <f t="shared" si="3"/>
        <v>114</v>
      </c>
      <c r="C127" s="1" t="str">
        <f>IFERROR(__xludf.DUMMYFUNCTION("split(A127, ""\"")"),"Alex Goligoski")</f>
        <v>Alex Goligoski</v>
      </c>
      <c r="D127" s="1" t="str">
        <f>IFERROR(__xludf.DUMMYFUNCTION("""COMPUTED_VALUE"""),"goligal01")</f>
        <v>goligal01</v>
      </c>
      <c r="E127" s="1" t="s">
        <v>66</v>
      </c>
      <c r="F127" s="1">
        <f t="shared" si="1"/>
        <v>348.3</v>
      </c>
      <c r="G127" s="1">
        <f t="shared" si="2"/>
        <v>4.47</v>
      </c>
      <c r="H127" s="1">
        <v>78.0</v>
      </c>
      <c r="I127" s="1">
        <v>12.0</v>
      </c>
      <c r="J127" s="1">
        <v>23.0</v>
      </c>
      <c r="K127" s="1">
        <v>35.0</v>
      </c>
      <c r="L127" s="1">
        <v>119.0</v>
      </c>
      <c r="M127" s="1">
        <v>114.0</v>
      </c>
      <c r="N127" s="1">
        <v>154.0</v>
      </c>
      <c r="O127" s="1">
        <v>3.0</v>
      </c>
      <c r="P127" s="1">
        <v>8.0</v>
      </c>
      <c r="Q127" s="1">
        <v>0.0</v>
      </c>
      <c r="R127" s="1">
        <v>0.0</v>
      </c>
      <c r="S127" s="1">
        <v>-31.0</v>
      </c>
      <c r="T127" s="1">
        <v>26.0</v>
      </c>
      <c r="U127" s="1">
        <v>3.0</v>
      </c>
    </row>
    <row r="128" ht="12.75" customHeight="1">
      <c r="A128" s="1" t="s">
        <v>220</v>
      </c>
      <c r="B128" s="1">
        <f t="shared" si="3"/>
        <v>115</v>
      </c>
      <c r="C128" s="1" t="str">
        <f>IFERROR(__xludf.DUMMYFUNCTION("split(A128, ""\"")"),"Justin Faulk")</f>
        <v>Justin Faulk</v>
      </c>
      <c r="D128" s="1" t="str">
        <f>IFERROR(__xludf.DUMMYFUNCTION("""COMPUTED_VALUE"""),"faulkju01")</f>
        <v>faulkju01</v>
      </c>
      <c r="E128" s="1" t="s">
        <v>66</v>
      </c>
      <c r="F128" s="1">
        <f t="shared" si="1"/>
        <v>346.9</v>
      </c>
      <c r="G128" s="1">
        <f t="shared" si="2"/>
        <v>4.56</v>
      </c>
      <c r="H128" s="1">
        <v>76.0</v>
      </c>
      <c r="I128" s="1">
        <v>8.0</v>
      </c>
      <c r="J128" s="1">
        <v>23.0</v>
      </c>
      <c r="K128" s="1">
        <v>31.0</v>
      </c>
      <c r="L128" s="1">
        <v>211.0</v>
      </c>
      <c r="M128" s="1">
        <v>128.0</v>
      </c>
      <c r="N128" s="1">
        <v>90.0</v>
      </c>
      <c r="O128" s="1">
        <v>3.0</v>
      </c>
      <c r="P128" s="1">
        <v>16.0</v>
      </c>
      <c r="Q128" s="1">
        <v>0.0</v>
      </c>
      <c r="R128" s="1">
        <v>0.0</v>
      </c>
      <c r="S128" s="1">
        <v>-26.0</v>
      </c>
      <c r="T128" s="1">
        <v>48.0</v>
      </c>
      <c r="U128" s="1">
        <v>3.0</v>
      </c>
    </row>
    <row r="129" ht="12.75" hidden="1" customHeight="1">
      <c r="A129" s="1" t="s">
        <v>895</v>
      </c>
      <c r="B129" s="1">
        <f t="shared" si="3"/>
        <v>890</v>
      </c>
      <c r="C129" s="1" t="str">
        <f>IFERROR(__xludf.DUMMYFUNCTION("split(A129, ""\"")"),"Collin Delia")</f>
        <v>Collin Delia</v>
      </c>
      <c r="D129" s="2" t="str">
        <f>IFERROR(__xludf.DUMMYFUNCTION("""COMPUTED_VALUE"""),"deliaco01")</f>
        <v>deliaco01</v>
      </c>
      <c r="E129" s="1" t="s">
        <v>5</v>
      </c>
      <c r="F129" s="1">
        <f t="shared" si="1"/>
        <v>9.3</v>
      </c>
      <c r="G129" s="1">
        <f t="shared" si="2"/>
        <v>4.65</v>
      </c>
      <c r="H129" s="1">
        <v>2.0</v>
      </c>
      <c r="V129" s="1">
        <v>2.0</v>
      </c>
      <c r="W129" s="1">
        <v>1.0</v>
      </c>
      <c r="X129" s="1">
        <v>1.0</v>
      </c>
      <c r="Y129" s="1">
        <v>7.0</v>
      </c>
      <c r="Z129" s="1">
        <v>63.0</v>
      </c>
      <c r="AA129" s="1">
        <v>56.0</v>
      </c>
      <c r="AB129" s="1">
        <v>0.0</v>
      </c>
    </row>
    <row r="130" ht="12.75" customHeight="1">
      <c r="A130" s="1" t="s">
        <v>110</v>
      </c>
      <c r="B130" s="1">
        <f t="shared" si="3"/>
        <v>116</v>
      </c>
      <c r="C130" s="1" t="str">
        <f>IFERROR(__xludf.DUMMYFUNCTION("split(A130, ""\"")"),"Filip Forsberg")</f>
        <v>Filip Forsberg</v>
      </c>
      <c r="D130" s="1" t="str">
        <f>IFERROR(__xludf.DUMMYFUNCTION("""COMPUTED_VALUE"""),"forsbfi01")</f>
        <v>forsbfi01</v>
      </c>
      <c r="E130" s="1" t="s">
        <v>31</v>
      </c>
      <c r="F130" s="1">
        <f t="shared" si="1"/>
        <v>346.4</v>
      </c>
      <c r="G130" s="1">
        <f t="shared" si="2"/>
        <v>5.17</v>
      </c>
      <c r="H130" s="1">
        <v>67.0</v>
      </c>
      <c r="I130" s="1">
        <v>26.0</v>
      </c>
      <c r="J130" s="1">
        <v>38.0</v>
      </c>
      <c r="K130" s="1">
        <v>64.0</v>
      </c>
      <c r="L130" s="1">
        <v>179.0</v>
      </c>
      <c r="M130" s="1">
        <v>86.0</v>
      </c>
      <c r="N130" s="1">
        <v>37.0</v>
      </c>
      <c r="O130" s="1">
        <v>13.0</v>
      </c>
      <c r="P130" s="1">
        <v>8.0</v>
      </c>
      <c r="Q130" s="1">
        <v>0.0</v>
      </c>
      <c r="R130" s="1">
        <v>1.0</v>
      </c>
      <c r="S130" s="1">
        <v>27.0</v>
      </c>
      <c r="T130" s="1">
        <v>38.0</v>
      </c>
      <c r="U130" s="1">
        <v>6.0</v>
      </c>
    </row>
    <row r="131" ht="12.75" customHeight="1">
      <c r="A131" s="1" t="s">
        <v>147</v>
      </c>
      <c r="B131" s="1">
        <f t="shared" si="3"/>
        <v>117</v>
      </c>
      <c r="C131" s="1" t="str">
        <f>IFERROR(__xludf.DUMMYFUNCTION("split(A131, ""\"")"),"Dustin Byfuglien")</f>
        <v>Dustin Byfuglien</v>
      </c>
      <c r="D131" s="1" t="str">
        <f>IFERROR(__xludf.DUMMYFUNCTION("""COMPUTED_VALUE"""),"byfugdu01")</f>
        <v>byfugdu01</v>
      </c>
      <c r="E131" s="1" t="s">
        <v>66</v>
      </c>
      <c r="F131" s="1">
        <f t="shared" si="1"/>
        <v>346.35</v>
      </c>
      <c r="G131" s="1">
        <f t="shared" si="2"/>
        <v>5.02</v>
      </c>
      <c r="H131" s="1">
        <v>69.0</v>
      </c>
      <c r="I131" s="1">
        <v>8.0</v>
      </c>
      <c r="J131" s="1">
        <v>37.0</v>
      </c>
      <c r="K131" s="1">
        <v>45.0</v>
      </c>
      <c r="L131" s="1">
        <v>193.0</v>
      </c>
      <c r="M131" s="1">
        <v>147.0</v>
      </c>
      <c r="N131" s="1">
        <v>100.0</v>
      </c>
      <c r="O131" s="1">
        <v>4.0</v>
      </c>
      <c r="P131" s="1">
        <v>18.0</v>
      </c>
      <c r="Q131" s="1">
        <v>0.0</v>
      </c>
      <c r="R131" s="1">
        <v>1.0</v>
      </c>
      <c r="S131" s="1">
        <v>15.0</v>
      </c>
      <c r="T131" s="1">
        <v>112.0</v>
      </c>
      <c r="U131" s="1">
        <v>1.0</v>
      </c>
    </row>
    <row r="132" ht="12.75" customHeight="1">
      <c r="A132" s="1" t="s">
        <v>145</v>
      </c>
      <c r="B132" s="1">
        <f t="shared" si="3"/>
        <v>118</v>
      </c>
      <c r="C132" s="1" t="str">
        <f>IFERROR(__xludf.DUMMYFUNCTION("split(A132, ""\"")"),"David Perron")</f>
        <v>David Perron</v>
      </c>
      <c r="D132" s="1" t="str">
        <f>IFERROR(__xludf.DUMMYFUNCTION("""COMPUTED_VALUE"""),"perroda01")</f>
        <v>perroda01</v>
      </c>
      <c r="E132" s="1" t="s">
        <v>28</v>
      </c>
      <c r="F132" s="1">
        <f t="shared" si="1"/>
        <v>345.5</v>
      </c>
      <c r="G132" s="1">
        <f t="shared" si="2"/>
        <v>4.94</v>
      </c>
      <c r="H132" s="1">
        <v>70.0</v>
      </c>
      <c r="I132" s="1">
        <v>16.0</v>
      </c>
      <c r="J132" s="1">
        <v>50.0</v>
      </c>
      <c r="K132" s="1">
        <v>66.0</v>
      </c>
      <c r="L132" s="1">
        <v>125.0</v>
      </c>
      <c r="M132" s="1">
        <v>118.0</v>
      </c>
      <c r="N132" s="1">
        <v>20.0</v>
      </c>
      <c r="O132" s="1">
        <v>1.0</v>
      </c>
      <c r="P132" s="1">
        <v>17.0</v>
      </c>
      <c r="Q132" s="1">
        <v>0.0</v>
      </c>
      <c r="R132" s="1">
        <v>0.0</v>
      </c>
      <c r="S132" s="1">
        <v>1.0</v>
      </c>
      <c r="T132" s="1">
        <v>50.0</v>
      </c>
      <c r="U132" s="1">
        <v>4.0</v>
      </c>
    </row>
    <row r="133" ht="12.75" customHeight="1">
      <c r="A133" s="1" t="s">
        <v>157</v>
      </c>
      <c r="B133" s="1">
        <f t="shared" si="3"/>
        <v>119</v>
      </c>
      <c r="C133" s="1" t="str">
        <f>IFERROR(__xludf.DUMMYFUNCTION("split(A133, ""\"")"),"Jordan Eberle")</f>
        <v>Jordan Eberle</v>
      </c>
      <c r="D133" s="1" t="str">
        <f>IFERROR(__xludf.DUMMYFUNCTION("""COMPUTED_VALUE"""),"eberljo01")</f>
        <v>eberljo01</v>
      </c>
      <c r="E133" s="1" t="s">
        <v>36</v>
      </c>
      <c r="F133" s="1">
        <f t="shared" si="1"/>
        <v>345.3</v>
      </c>
      <c r="G133" s="1">
        <f t="shared" si="2"/>
        <v>4.26</v>
      </c>
      <c r="H133" s="1">
        <v>81.0</v>
      </c>
      <c r="I133" s="1">
        <v>25.0</v>
      </c>
      <c r="J133" s="1">
        <v>34.0</v>
      </c>
      <c r="K133" s="1">
        <v>59.0</v>
      </c>
      <c r="L133" s="1">
        <v>183.0</v>
      </c>
      <c r="M133" s="1">
        <v>46.0</v>
      </c>
      <c r="N133" s="1">
        <v>30.0</v>
      </c>
      <c r="O133" s="1">
        <v>3.0</v>
      </c>
      <c r="P133" s="1">
        <v>7.0</v>
      </c>
      <c r="Q133" s="1">
        <v>0.0</v>
      </c>
      <c r="R133" s="1">
        <v>0.0</v>
      </c>
      <c r="S133" s="1">
        <v>5.0</v>
      </c>
      <c r="T133" s="1">
        <v>21.0</v>
      </c>
      <c r="U133" s="1">
        <v>7.0</v>
      </c>
    </row>
    <row r="134" ht="12.75" customHeight="1">
      <c r="A134" s="1" t="s">
        <v>115</v>
      </c>
      <c r="B134" s="1">
        <f t="shared" si="3"/>
        <v>120</v>
      </c>
      <c r="C134" s="1" t="str">
        <f>IFERROR(__xludf.DUMMYFUNCTION("split(A134, ""\"")"),"Auston Matthews")</f>
        <v>Auston Matthews</v>
      </c>
      <c r="D134" s="1" t="str">
        <f>IFERROR(__xludf.DUMMYFUNCTION("""COMPUTED_VALUE"""),"matthau01")</f>
        <v>matthau01</v>
      </c>
      <c r="E134" s="1" t="s">
        <v>31</v>
      </c>
      <c r="F134" s="1">
        <f t="shared" si="1"/>
        <v>344.1</v>
      </c>
      <c r="G134" s="1">
        <f t="shared" si="2"/>
        <v>5.55</v>
      </c>
      <c r="H134" s="1">
        <v>62.0</v>
      </c>
      <c r="I134" s="1">
        <v>34.0</v>
      </c>
      <c r="J134" s="1">
        <v>29.0</v>
      </c>
      <c r="K134" s="1">
        <v>63.0</v>
      </c>
      <c r="L134" s="1">
        <v>187.0</v>
      </c>
      <c r="M134" s="1">
        <v>16.0</v>
      </c>
      <c r="N134" s="1">
        <v>61.0</v>
      </c>
      <c r="O134" s="1">
        <v>5.0</v>
      </c>
      <c r="P134" s="1">
        <v>8.0</v>
      </c>
      <c r="Q134" s="1">
        <v>0.0</v>
      </c>
      <c r="R134" s="1">
        <v>0.0</v>
      </c>
      <c r="S134" s="1">
        <v>25.0</v>
      </c>
      <c r="T134" s="1">
        <v>12.0</v>
      </c>
      <c r="U134" s="1">
        <v>5.0</v>
      </c>
    </row>
    <row r="135" ht="12.75" customHeight="1">
      <c r="A135" s="1" t="s">
        <v>149</v>
      </c>
      <c r="B135" s="1">
        <f t="shared" si="3"/>
        <v>121</v>
      </c>
      <c r="C135" s="1" t="str">
        <f>IFERROR(__xludf.DUMMYFUNCTION("split(A135, ""\"")"),"Ryan Suter")</f>
        <v>Ryan Suter</v>
      </c>
      <c r="D135" s="1" t="str">
        <f>IFERROR(__xludf.DUMMYFUNCTION("""COMPUTED_VALUE"""),"suterry01")</f>
        <v>suterry01</v>
      </c>
      <c r="E135" s="1" t="s">
        <v>66</v>
      </c>
      <c r="F135" s="1">
        <f t="shared" si="1"/>
        <v>343.7</v>
      </c>
      <c r="G135" s="1">
        <f t="shared" si="2"/>
        <v>4.41</v>
      </c>
      <c r="H135" s="1">
        <v>78.0</v>
      </c>
      <c r="I135" s="1">
        <v>6.0</v>
      </c>
      <c r="J135" s="1">
        <v>45.0</v>
      </c>
      <c r="K135" s="1">
        <v>51.0</v>
      </c>
      <c r="L135" s="1">
        <v>149.0</v>
      </c>
      <c r="M135" s="1">
        <v>78.0</v>
      </c>
      <c r="N135" s="1">
        <v>138.0</v>
      </c>
      <c r="O135" s="1">
        <v>1.0</v>
      </c>
      <c r="P135" s="1">
        <v>22.0</v>
      </c>
      <c r="Q135" s="1">
        <v>0.0</v>
      </c>
      <c r="R135" s="1">
        <v>1.0</v>
      </c>
      <c r="S135" s="1">
        <v>-1.0</v>
      </c>
      <c r="T135" s="1">
        <v>34.0</v>
      </c>
      <c r="U135" s="1">
        <v>2.0</v>
      </c>
    </row>
    <row r="136" ht="12.75" customHeight="1">
      <c r="A136" s="1" t="s">
        <v>84</v>
      </c>
      <c r="B136" s="1">
        <f t="shared" si="3"/>
        <v>122</v>
      </c>
      <c r="C136" s="1" t="str">
        <f>IFERROR(__xludf.DUMMYFUNCTION("split(A136, ""\"")"),"Tuukka Rask")</f>
        <v>Tuukka Rask</v>
      </c>
      <c r="D136" s="2" t="str">
        <f>IFERROR(__xludf.DUMMYFUNCTION("""COMPUTED_VALUE"""),"rasktu01")</f>
        <v>rasktu01</v>
      </c>
      <c r="E136" s="1" t="s">
        <v>5</v>
      </c>
      <c r="F136" s="1">
        <f t="shared" si="1"/>
        <v>339.9</v>
      </c>
      <c r="G136" s="1">
        <f t="shared" si="2"/>
        <v>6.29</v>
      </c>
      <c r="H136" s="1">
        <v>54.0</v>
      </c>
      <c r="V136" s="1">
        <v>53.0</v>
      </c>
      <c r="W136" s="1">
        <v>34.0</v>
      </c>
      <c r="X136" s="1">
        <v>14.0</v>
      </c>
      <c r="Y136" s="1">
        <v>125.0</v>
      </c>
      <c r="Z136" s="1">
        <v>1513.0</v>
      </c>
      <c r="AA136" s="1">
        <v>1388.0</v>
      </c>
      <c r="AB136" s="1">
        <v>3.0</v>
      </c>
    </row>
    <row r="137" ht="12.75" customHeight="1">
      <c r="A137" s="1" t="s">
        <v>245</v>
      </c>
      <c r="B137" s="1">
        <f t="shared" si="3"/>
        <v>123</v>
      </c>
      <c r="C137" s="1" t="str">
        <f>IFERROR(__xludf.DUMMYFUNCTION("split(A137, ""\"")"),"Duncan Keith")</f>
        <v>Duncan Keith</v>
      </c>
      <c r="D137" s="1" t="str">
        <f>IFERROR(__xludf.DUMMYFUNCTION("""COMPUTED_VALUE"""),"keithdu01")</f>
        <v>keithdu01</v>
      </c>
      <c r="E137" s="1" t="s">
        <v>66</v>
      </c>
      <c r="F137" s="1">
        <f t="shared" si="1"/>
        <v>339.15</v>
      </c>
      <c r="G137" s="1">
        <f t="shared" si="2"/>
        <v>4.14</v>
      </c>
      <c r="H137" s="1">
        <v>82.0</v>
      </c>
      <c r="I137" s="1">
        <v>2.0</v>
      </c>
      <c r="J137" s="1">
        <v>30.0</v>
      </c>
      <c r="K137" s="1">
        <v>32.0</v>
      </c>
      <c r="L137" s="1">
        <v>187.0</v>
      </c>
      <c r="M137" s="1">
        <v>41.0</v>
      </c>
      <c r="N137" s="1">
        <v>165.0</v>
      </c>
      <c r="O137" s="1">
        <v>2.0</v>
      </c>
      <c r="P137" s="1">
        <v>8.0</v>
      </c>
      <c r="Q137" s="1">
        <v>0.0</v>
      </c>
      <c r="R137" s="1">
        <v>0.0</v>
      </c>
      <c r="S137" s="1">
        <v>-29.0</v>
      </c>
      <c r="T137" s="1">
        <v>28.0</v>
      </c>
      <c r="U137" s="1">
        <v>1.0</v>
      </c>
    </row>
    <row r="138" ht="12.75" customHeight="1">
      <c r="A138" s="1" t="s">
        <v>161</v>
      </c>
      <c r="B138" s="1">
        <f t="shared" si="3"/>
        <v>124</v>
      </c>
      <c r="C138" s="1" t="str">
        <f>IFERROR(__xludf.DUMMYFUNCTION("split(A138, ""\"")"),"Kyle Connor")</f>
        <v>Kyle Connor</v>
      </c>
      <c r="D138" s="1" t="str">
        <f>IFERROR(__xludf.DUMMYFUNCTION("""COMPUTED_VALUE"""),"connoky01")</f>
        <v>connoky01</v>
      </c>
      <c r="E138" s="1" t="s">
        <v>28</v>
      </c>
      <c r="F138" s="1">
        <f t="shared" si="1"/>
        <v>337.8</v>
      </c>
      <c r="G138" s="1">
        <f t="shared" si="2"/>
        <v>4.44</v>
      </c>
      <c r="H138" s="1">
        <v>76.0</v>
      </c>
      <c r="I138" s="1">
        <v>31.0</v>
      </c>
      <c r="J138" s="1">
        <v>26.0</v>
      </c>
      <c r="K138" s="1">
        <v>57.0</v>
      </c>
      <c r="L138" s="1">
        <v>192.0</v>
      </c>
      <c r="M138" s="1">
        <v>18.0</v>
      </c>
      <c r="N138" s="1">
        <v>26.0</v>
      </c>
      <c r="O138" s="1">
        <v>7.0</v>
      </c>
      <c r="P138" s="1">
        <v>4.0</v>
      </c>
      <c r="Q138" s="1">
        <v>0.0</v>
      </c>
      <c r="R138" s="1">
        <v>0.0</v>
      </c>
      <c r="S138" s="1">
        <v>8.0</v>
      </c>
      <c r="T138" s="1">
        <v>16.0</v>
      </c>
      <c r="U138" s="1">
        <v>7.0</v>
      </c>
    </row>
    <row r="139" ht="12.75" customHeight="1">
      <c r="A139" s="1" t="s">
        <v>155</v>
      </c>
      <c r="B139" s="1">
        <f t="shared" si="3"/>
        <v>125</v>
      </c>
      <c r="C139" s="1" t="str">
        <f>IFERROR(__xludf.DUMMYFUNCTION("split(A139, ""\"")"),"Brock Boeser")</f>
        <v>Brock Boeser</v>
      </c>
      <c r="D139" s="1" t="str">
        <f>IFERROR(__xludf.DUMMYFUNCTION("""COMPUTED_VALUE"""),"boesebr01")</f>
        <v>boesebr01</v>
      </c>
      <c r="E139" s="1" t="s">
        <v>36</v>
      </c>
      <c r="F139" s="1">
        <f t="shared" si="1"/>
        <v>337.55</v>
      </c>
      <c r="G139" s="1">
        <f t="shared" si="2"/>
        <v>5.44</v>
      </c>
      <c r="H139" s="1">
        <v>62.0</v>
      </c>
      <c r="I139" s="1">
        <v>29.0</v>
      </c>
      <c r="J139" s="1">
        <v>26.0</v>
      </c>
      <c r="K139" s="1">
        <v>55.0</v>
      </c>
      <c r="L139" s="1">
        <v>179.0</v>
      </c>
      <c r="M139" s="1">
        <v>29.0</v>
      </c>
      <c r="N139" s="1">
        <v>24.0</v>
      </c>
      <c r="O139" s="1">
        <v>10.0</v>
      </c>
      <c r="P139" s="1">
        <v>13.0</v>
      </c>
      <c r="Q139" s="1">
        <v>0.0</v>
      </c>
      <c r="R139" s="1">
        <v>0.0</v>
      </c>
      <c r="S139" s="1">
        <v>-5.0</v>
      </c>
      <c r="T139" s="1">
        <v>16.0</v>
      </c>
      <c r="U139" s="1">
        <v>4.0</v>
      </c>
    </row>
    <row r="140" ht="12.75" customHeight="1">
      <c r="A140" s="1" t="s">
        <v>182</v>
      </c>
      <c r="B140" s="1">
        <f t="shared" si="3"/>
        <v>126</v>
      </c>
      <c r="C140" s="1" t="str">
        <f>IFERROR(__xludf.DUMMYFUNCTION("split(A140, ""\"")"),"Anthony Mantha")</f>
        <v>Anthony Mantha</v>
      </c>
      <c r="D140" s="1" t="str">
        <f>IFERROR(__xludf.DUMMYFUNCTION("""COMPUTED_VALUE"""),"manthan01")</f>
        <v>manthan01</v>
      </c>
      <c r="E140" s="1" t="s">
        <v>36</v>
      </c>
      <c r="F140" s="1">
        <f t="shared" si="1"/>
        <v>336.85</v>
      </c>
      <c r="G140" s="1">
        <f t="shared" si="2"/>
        <v>4.21</v>
      </c>
      <c r="H140" s="1">
        <v>80.0</v>
      </c>
      <c r="I140" s="1">
        <v>24.0</v>
      </c>
      <c r="J140" s="1">
        <v>24.0</v>
      </c>
      <c r="K140" s="1">
        <v>48.0</v>
      </c>
      <c r="L140" s="1">
        <v>190.0</v>
      </c>
      <c r="M140" s="1">
        <v>91.0</v>
      </c>
      <c r="N140" s="1">
        <v>36.0</v>
      </c>
      <c r="O140" s="1">
        <v>9.0</v>
      </c>
      <c r="P140" s="1">
        <v>3.0</v>
      </c>
      <c r="Q140" s="1">
        <v>0.0</v>
      </c>
      <c r="R140" s="1">
        <v>0.0</v>
      </c>
      <c r="S140" s="1">
        <v>-1.0</v>
      </c>
      <c r="T140" s="1">
        <v>52.0</v>
      </c>
      <c r="U140" s="1">
        <v>2.0</v>
      </c>
    </row>
    <row r="141" ht="12.75" customHeight="1">
      <c r="A141" s="1" t="s">
        <v>226</v>
      </c>
      <c r="B141" s="1">
        <f t="shared" si="3"/>
        <v>127</v>
      </c>
      <c r="C141" s="1" t="str">
        <f>IFERROR(__xludf.DUMMYFUNCTION("split(A141, ""\"")"),"Kyle Okposo")</f>
        <v>Kyle Okposo</v>
      </c>
      <c r="D141" s="1" t="str">
        <f>IFERROR(__xludf.DUMMYFUNCTION("""COMPUTED_VALUE"""),"okposky01")</f>
        <v>okposky01</v>
      </c>
      <c r="E141" s="1" t="s">
        <v>36</v>
      </c>
      <c r="F141" s="1">
        <f t="shared" si="1"/>
        <v>336.5</v>
      </c>
      <c r="G141" s="1">
        <f t="shared" si="2"/>
        <v>4.43</v>
      </c>
      <c r="H141" s="1">
        <v>76.0</v>
      </c>
      <c r="I141" s="1">
        <v>15.0</v>
      </c>
      <c r="J141" s="1">
        <v>29.0</v>
      </c>
      <c r="K141" s="1">
        <v>44.0</v>
      </c>
      <c r="L141" s="1">
        <v>161.0</v>
      </c>
      <c r="M141" s="1">
        <v>70.0</v>
      </c>
      <c r="N141" s="1">
        <v>34.0</v>
      </c>
      <c r="O141" s="1">
        <v>6.0</v>
      </c>
      <c r="P141" s="1">
        <v>15.0</v>
      </c>
      <c r="Q141" s="1">
        <v>0.0</v>
      </c>
      <c r="R141" s="1">
        <v>0.0</v>
      </c>
      <c r="S141" s="1">
        <v>-34.0</v>
      </c>
      <c r="T141" s="1">
        <v>40.0</v>
      </c>
      <c r="U141" s="1">
        <v>2.0</v>
      </c>
    </row>
    <row r="142" ht="12.75" customHeight="1">
      <c r="A142" s="1" t="s">
        <v>87</v>
      </c>
      <c r="B142" s="1">
        <f t="shared" si="3"/>
        <v>128</v>
      </c>
      <c r="C142" s="1" t="str">
        <f>IFERROR(__xludf.DUMMYFUNCTION("split(A142, ""\"")"),"Mike Smith")</f>
        <v>Mike Smith</v>
      </c>
      <c r="D142" s="2" t="str">
        <f>IFERROR(__xludf.DUMMYFUNCTION("""COMPUTED_VALUE"""),"smithmi01")</f>
        <v>smithmi01</v>
      </c>
      <c r="E142" s="1" t="s">
        <v>5</v>
      </c>
      <c r="F142" s="1">
        <f t="shared" si="1"/>
        <v>336</v>
      </c>
      <c r="G142" s="1">
        <f t="shared" si="2"/>
        <v>6.11</v>
      </c>
      <c r="H142" s="1">
        <v>55.0</v>
      </c>
      <c r="V142" s="1">
        <v>55.0</v>
      </c>
      <c r="W142" s="1">
        <v>25.0</v>
      </c>
      <c r="X142" s="1">
        <v>22.0</v>
      </c>
      <c r="Y142" s="1">
        <v>141.0</v>
      </c>
      <c r="Z142" s="1">
        <v>1686.0</v>
      </c>
      <c r="AA142" s="1">
        <v>1545.0</v>
      </c>
      <c r="AB142" s="1">
        <v>3.0</v>
      </c>
    </row>
    <row r="143" ht="12.75" customHeight="1">
      <c r="A143" s="1" t="s">
        <v>197</v>
      </c>
      <c r="B143" s="1">
        <f t="shared" si="3"/>
        <v>129</v>
      </c>
      <c r="C143" s="1" t="str">
        <f>IFERROR(__xludf.DUMMYFUNCTION("split(A143, ""\"")"),"Colton Parayko")</f>
        <v>Colton Parayko</v>
      </c>
      <c r="D143" s="1" t="str">
        <f>IFERROR(__xludf.DUMMYFUNCTION("""COMPUTED_VALUE"""),"parayco01")</f>
        <v>parayco01</v>
      </c>
      <c r="E143" s="1" t="s">
        <v>66</v>
      </c>
      <c r="F143" s="1">
        <f t="shared" si="1"/>
        <v>334.9</v>
      </c>
      <c r="G143" s="1">
        <f t="shared" si="2"/>
        <v>4.08</v>
      </c>
      <c r="H143" s="1">
        <v>82.0</v>
      </c>
      <c r="I143" s="1">
        <v>6.0</v>
      </c>
      <c r="J143" s="1">
        <v>29.0</v>
      </c>
      <c r="K143" s="1">
        <v>35.0</v>
      </c>
      <c r="L143" s="1">
        <v>212.0</v>
      </c>
      <c r="M143" s="1">
        <v>120.0</v>
      </c>
      <c r="N143" s="1">
        <v>141.0</v>
      </c>
      <c r="O143" s="1">
        <v>2.0</v>
      </c>
      <c r="P143" s="1">
        <v>7.0</v>
      </c>
      <c r="Q143" s="1">
        <v>0.0</v>
      </c>
      <c r="R143" s="1">
        <v>0.0</v>
      </c>
      <c r="S143" s="1">
        <v>-7.0</v>
      </c>
      <c r="T143" s="1">
        <v>13.0</v>
      </c>
      <c r="U143" s="1">
        <v>0.0</v>
      </c>
    </row>
    <row r="144" ht="12.75" customHeight="1">
      <c r="A144" s="1" t="s">
        <v>143</v>
      </c>
      <c r="B144" s="1">
        <f t="shared" si="3"/>
        <v>130</v>
      </c>
      <c r="C144" s="1" t="str">
        <f>IFERROR(__xludf.DUMMYFUNCTION("split(A144, ""\"")"),"Teuvo Teravainen")</f>
        <v>Teuvo Teravainen</v>
      </c>
      <c r="D144" s="1" t="str">
        <f>IFERROR(__xludf.DUMMYFUNCTION("""COMPUTED_VALUE"""),"teravte01")</f>
        <v>teravte01</v>
      </c>
      <c r="E144" s="1" t="s">
        <v>31</v>
      </c>
      <c r="F144" s="1">
        <f t="shared" si="1"/>
        <v>334.7</v>
      </c>
      <c r="G144" s="1">
        <f t="shared" si="2"/>
        <v>4.08</v>
      </c>
      <c r="H144" s="1">
        <v>82.0</v>
      </c>
      <c r="I144" s="1">
        <v>23.0</v>
      </c>
      <c r="J144" s="1">
        <v>41.0</v>
      </c>
      <c r="K144" s="1">
        <v>64.0</v>
      </c>
      <c r="L144" s="1">
        <v>185.0</v>
      </c>
      <c r="M144" s="1">
        <v>26.0</v>
      </c>
      <c r="N144" s="1">
        <v>22.0</v>
      </c>
      <c r="O144" s="1">
        <v>5.0</v>
      </c>
      <c r="P144" s="1">
        <v>15.0</v>
      </c>
      <c r="Q144" s="1">
        <v>0.0</v>
      </c>
      <c r="R144" s="1">
        <v>0.0</v>
      </c>
      <c r="S144" s="1">
        <v>8.0</v>
      </c>
      <c r="T144" s="1">
        <v>14.0</v>
      </c>
      <c r="U144" s="1">
        <v>3.0</v>
      </c>
    </row>
    <row r="145" ht="12.75" customHeight="1">
      <c r="A145" s="1" t="s">
        <v>158</v>
      </c>
      <c r="B145" s="1">
        <f t="shared" si="3"/>
        <v>131</v>
      </c>
      <c r="C145" s="1" t="str">
        <f>IFERROR(__xludf.DUMMYFUNCTION("split(A145, ""\"")"),"Keith Yandle")</f>
        <v>Keith Yandle</v>
      </c>
      <c r="D145" s="1" t="str">
        <f>IFERROR(__xludf.DUMMYFUNCTION("""COMPUTED_VALUE"""),"yandlke01")</f>
        <v>yandlke01</v>
      </c>
      <c r="E145" s="1" t="s">
        <v>66</v>
      </c>
      <c r="F145" s="1">
        <f t="shared" si="1"/>
        <v>334.5</v>
      </c>
      <c r="G145" s="1">
        <f t="shared" si="2"/>
        <v>4.08</v>
      </c>
      <c r="H145" s="1">
        <v>82.0</v>
      </c>
      <c r="I145" s="1">
        <v>8.0</v>
      </c>
      <c r="J145" s="1">
        <v>48.0</v>
      </c>
      <c r="K145" s="1">
        <v>56.0</v>
      </c>
      <c r="L145" s="1">
        <v>179.0</v>
      </c>
      <c r="M145" s="1">
        <v>26.0</v>
      </c>
      <c r="N145" s="1">
        <v>101.0</v>
      </c>
      <c r="O145" s="1">
        <v>1.0</v>
      </c>
      <c r="P145" s="1">
        <v>17.0</v>
      </c>
      <c r="Q145" s="1">
        <v>0.0</v>
      </c>
      <c r="R145" s="1">
        <v>2.0</v>
      </c>
      <c r="S145" s="1">
        <v>7.0</v>
      </c>
      <c r="T145" s="1">
        <v>35.0</v>
      </c>
      <c r="U145" s="1">
        <v>1.0</v>
      </c>
    </row>
    <row r="146" ht="12.75" customHeight="1">
      <c r="A146" s="1" t="s">
        <v>180</v>
      </c>
      <c r="B146" s="1">
        <f t="shared" si="3"/>
        <v>132</v>
      </c>
      <c r="C146" s="1" t="str">
        <f>IFERROR(__xludf.DUMMYFUNCTION("split(A146, ""\"")"),"Tyler Toffoli")</f>
        <v>Tyler Toffoli</v>
      </c>
      <c r="D146" s="1" t="str">
        <f>IFERROR(__xludf.DUMMYFUNCTION("""COMPUTED_VALUE"""),"toffoty01")</f>
        <v>toffoty01</v>
      </c>
      <c r="E146" s="1" t="s">
        <v>31</v>
      </c>
      <c r="F146" s="1">
        <f t="shared" si="1"/>
        <v>333.05</v>
      </c>
      <c r="G146" s="1">
        <f t="shared" si="2"/>
        <v>4.06</v>
      </c>
      <c r="H146" s="1">
        <v>82.0</v>
      </c>
      <c r="I146" s="1">
        <v>24.0</v>
      </c>
      <c r="J146" s="1">
        <v>23.0</v>
      </c>
      <c r="K146" s="1">
        <v>47.0</v>
      </c>
      <c r="L146" s="1">
        <v>251.0</v>
      </c>
      <c r="M146" s="1">
        <v>75.0</v>
      </c>
      <c r="N146" s="1">
        <v>17.0</v>
      </c>
      <c r="O146" s="1">
        <v>6.0</v>
      </c>
      <c r="P146" s="1">
        <v>6.0</v>
      </c>
      <c r="Q146" s="1">
        <v>0.0</v>
      </c>
      <c r="R146" s="1">
        <v>0.0</v>
      </c>
      <c r="S146" s="1">
        <v>9.0</v>
      </c>
      <c r="T146" s="1">
        <v>16.0</v>
      </c>
      <c r="U146" s="1">
        <v>6.0</v>
      </c>
    </row>
    <row r="147" ht="12.75" customHeight="1">
      <c r="A147" s="1" t="s">
        <v>218</v>
      </c>
      <c r="B147" s="1">
        <f t="shared" si="3"/>
        <v>133</v>
      </c>
      <c r="C147" s="1" t="str">
        <f>IFERROR(__xludf.DUMMYFUNCTION("split(A147, ""\"")"),"James Neal")</f>
        <v>James Neal</v>
      </c>
      <c r="D147" s="1" t="str">
        <f>IFERROR(__xludf.DUMMYFUNCTION("""COMPUTED_VALUE"""),"nealja01")</f>
        <v>nealja01</v>
      </c>
      <c r="E147" s="1" t="s">
        <v>28</v>
      </c>
      <c r="F147" s="1">
        <f t="shared" si="1"/>
        <v>332.2</v>
      </c>
      <c r="G147" s="1">
        <f t="shared" si="2"/>
        <v>4.68</v>
      </c>
      <c r="H147" s="1">
        <v>71.0</v>
      </c>
      <c r="I147" s="1">
        <v>25.0</v>
      </c>
      <c r="J147" s="1">
        <v>19.0</v>
      </c>
      <c r="K147" s="1">
        <v>44.0</v>
      </c>
      <c r="L147" s="1">
        <v>202.0</v>
      </c>
      <c r="M147" s="1">
        <v>44.0</v>
      </c>
      <c r="N147" s="1">
        <v>30.0</v>
      </c>
      <c r="O147" s="1">
        <v>5.0</v>
      </c>
      <c r="P147" s="1">
        <v>4.0</v>
      </c>
      <c r="Q147" s="1">
        <v>0.0</v>
      </c>
      <c r="R147" s="1">
        <v>0.0</v>
      </c>
      <c r="S147" s="1">
        <v>-11.0</v>
      </c>
      <c r="T147" s="1">
        <v>24.0</v>
      </c>
      <c r="U147" s="1">
        <v>6.0</v>
      </c>
    </row>
    <row r="148" ht="12.75" customHeight="1">
      <c r="A148" s="1" t="s">
        <v>100</v>
      </c>
      <c r="B148" s="1">
        <f t="shared" si="3"/>
        <v>134</v>
      </c>
      <c r="C148" s="1" t="str">
        <f>IFERROR(__xludf.DUMMYFUNCTION("split(A148, ""\"")"),"Marc-Andre Fleury")</f>
        <v>Marc-Andre Fleury</v>
      </c>
      <c r="D148" s="2" t="str">
        <f>IFERROR(__xludf.DUMMYFUNCTION("""COMPUTED_VALUE"""),"fleurma01")</f>
        <v>fleurma01</v>
      </c>
      <c r="E148" s="1" t="s">
        <v>5</v>
      </c>
      <c r="F148" s="1">
        <f t="shared" si="1"/>
        <v>331.8</v>
      </c>
      <c r="G148" s="1">
        <f t="shared" si="2"/>
        <v>7.21</v>
      </c>
      <c r="H148" s="1">
        <v>46.0</v>
      </c>
      <c r="V148" s="1">
        <v>46.0</v>
      </c>
      <c r="W148" s="1">
        <v>29.0</v>
      </c>
      <c r="X148" s="1">
        <v>13.0</v>
      </c>
      <c r="Y148" s="1">
        <v>100.0</v>
      </c>
      <c r="Z148" s="1">
        <v>1376.0</v>
      </c>
      <c r="AA148" s="1">
        <v>1276.0</v>
      </c>
      <c r="AB148" s="1">
        <v>4.0</v>
      </c>
    </row>
    <row r="149" ht="12.75" customHeight="1">
      <c r="A149" s="1" t="s">
        <v>176</v>
      </c>
      <c r="B149" s="1">
        <f t="shared" si="3"/>
        <v>135</v>
      </c>
      <c r="C149" s="1" t="str">
        <f>IFERROR(__xludf.DUMMYFUNCTION("split(A149, ""\"")"),"Jordan Staal")</f>
        <v>Jordan Staal</v>
      </c>
      <c r="D149" s="1" t="str">
        <f>IFERROR(__xludf.DUMMYFUNCTION("""COMPUTED_VALUE"""),"staaljo01")</f>
        <v>staaljo01</v>
      </c>
      <c r="E149" s="1" t="s">
        <v>31</v>
      </c>
      <c r="F149" s="1">
        <f t="shared" si="1"/>
        <v>331.55</v>
      </c>
      <c r="G149" s="1">
        <f t="shared" si="2"/>
        <v>4.2</v>
      </c>
      <c r="H149" s="1">
        <v>79.0</v>
      </c>
      <c r="I149" s="1">
        <v>19.0</v>
      </c>
      <c r="J149" s="1">
        <v>27.0</v>
      </c>
      <c r="K149" s="1">
        <v>46.0</v>
      </c>
      <c r="L149" s="1">
        <v>160.0</v>
      </c>
      <c r="M149" s="1">
        <v>181.0</v>
      </c>
      <c r="N149" s="1">
        <v>32.0</v>
      </c>
      <c r="O149" s="1">
        <v>4.0</v>
      </c>
      <c r="P149" s="1">
        <v>8.0</v>
      </c>
      <c r="Q149" s="1">
        <v>2.0</v>
      </c>
      <c r="R149" s="1">
        <v>0.0</v>
      </c>
      <c r="S149" s="1">
        <v>-4.0</v>
      </c>
      <c r="T149" s="1">
        <v>26.0</v>
      </c>
      <c r="U149" s="1">
        <v>2.0</v>
      </c>
    </row>
    <row r="150" ht="12.75" customHeight="1">
      <c r="A150" s="1" t="s">
        <v>200</v>
      </c>
      <c r="B150" s="1">
        <f t="shared" si="3"/>
        <v>136</v>
      </c>
      <c r="C150" s="1" t="str">
        <f>IFERROR(__xludf.DUMMYFUNCTION("split(A150, ""\"")"),"Jonathan Toews")</f>
        <v>Jonathan Toews</v>
      </c>
      <c r="D150" s="1" t="str">
        <f>IFERROR(__xludf.DUMMYFUNCTION("""COMPUTED_VALUE"""),"toewsjo01")</f>
        <v>toewsjo01</v>
      </c>
      <c r="E150" s="1" t="s">
        <v>31</v>
      </c>
      <c r="F150" s="1">
        <f t="shared" si="1"/>
        <v>331.1</v>
      </c>
      <c r="G150" s="1">
        <f t="shared" si="2"/>
        <v>4.47</v>
      </c>
      <c r="H150" s="1">
        <v>74.0</v>
      </c>
      <c r="I150" s="1">
        <v>20.0</v>
      </c>
      <c r="J150" s="1">
        <v>32.0</v>
      </c>
      <c r="K150" s="1">
        <v>52.0</v>
      </c>
      <c r="L150" s="1">
        <v>211.0</v>
      </c>
      <c r="M150" s="1">
        <v>32.0</v>
      </c>
      <c r="N150" s="1">
        <v>24.0</v>
      </c>
      <c r="O150" s="1">
        <v>2.0</v>
      </c>
      <c r="P150" s="1">
        <v>10.0</v>
      </c>
      <c r="Q150" s="1">
        <v>0.0</v>
      </c>
      <c r="R150" s="1">
        <v>0.0</v>
      </c>
      <c r="S150" s="1">
        <v>-1.0</v>
      </c>
      <c r="T150" s="1">
        <v>47.0</v>
      </c>
      <c r="U150" s="1">
        <v>2.0</v>
      </c>
    </row>
    <row r="151" ht="12.75" customHeight="1">
      <c r="A151" s="1" t="s">
        <v>192</v>
      </c>
      <c r="B151" s="1">
        <f t="shared" si="3"/>
        <v>137</v>
      </c>
      <c r="C151" s="1" t="str">
        <f>IFERROR(__xludf.DUMMYFUNCTION("split(A151, ""\"")"),"Nick Bjugstad")</f>
        <v>Nick Bjugstad</v>
      </c>
      <c r="D151" s="1" t="str">
        <f>IFERROR(__xludf.DUMMYFUNCTION("""COMPUTED_VALUE"""),"bjugsni01")</f>
        <v>bjugsni01</v>
      </c>
      <c r="E151" s="1" t="s">
        <v>31</v>
      </c>
      <c r="F151" s="1">
        <f t="shared" si="1"/>
        <v>330.55</v>
      </c>
      <c r="G151" s="1">
        <f t="shared" si="2"/>
        <v>4.03</v>
      </c>
      <c r="H151" s="1">
        <v>82.0</v>
      </c>
      <c r="I151" s="1">
        <v>19.0</v>
      </c>
      <c r="J151" s="1">
        <v>30.0</v>
      </c>
      <c r="K151" s="1">
        <v>49.0</v>
      </c>
      <c r="L151" s="1">
        <v>230.0</v>
      </c>
      <c r="M151" s="1">
        <v>95.0</v>
      </c>
      <c r="N151" s="1">
        <v>19.0</v>
      </c>
      <c r="O151" s="1">
        <v>1.0</v>
      </c>
      <c r="P151" s="1">
        <v>6.0</v>
      </c>
      <c r="Q151" s="1">
        <v>0.0</v>
      </c>
      <c r="R151" s="1">
        <v>0.0</v>
      </c>
      <c r="S151" s="1">
        <v>5.0</v>
      </c>
      <c r="T151" s="1">
        <v>41.0</v>
      </c>
      <c r="U151" s="1">
        <v>1.0</v>
      </c>
    </row>
    <row r="152" ht="12.75" customHeight="1">
      <c r="A152" s="1" t="s">
        <v>186</v>
      </c>
      <c r="B152" s="1">
        <f t="shared" si="3"/>
        <v>137</v>
      </c>
      <c r="C152" s="1" t="str">
        <f>IFERROR(__xludf.DUMMYFUNCTION("split(A152, ""\"")"),"Patrick Marleau")</f>
        <v>Patrick Marleau</v>
      </c>
      <c r="D152" s="1" t="str">
        <f>IFERROR(__xludf.DUMMYFUNCTION("""COMPUTED_VALUE"""),"marlepa01")</f>
        <v>marlepa01</v>
      </c>
      <c r="E152" s="1" t="s">
        <v>31</v>
      </c>
      <c r="F152" s="1">
        <f t="shared" si="1"/>
        <v>330.55</v>
      </c>
      <c r="G152" s="1">
        <f t="shared" si="2"/>
        <v>4.03</v>
      </c>
      <c r="H152" s="1">
        <v>82.0</v>
      </c>
      <c r="I152" s="1">
        <v>27.0</v>
      </c>
      <c r="J152" s="1">
        <v>20.0</v>
      </c>
      <c r="K152" s="1">
        <v>47.0</v>
      </c>
      <c r="L152" s="1">
        <v>203.0</v>
      </c>
      <c r="M152" s="1">
        <v>85.0</v>
      </c>
      <c r="N152" s="1">
        <v>26.0</v>
      </c>
      <c r="O152" s="1">
        <v>5.0</v>
      </c>
      <c r="P152" s="1">
        <v>4.0</v>
      </c>
      <c r="Q152" s="1">
        <v>0.0</v>
      </c>
      <c r="R152" s="1">
        <v>0.0</v>
      </c>
      <c r="S152" s="1">
        <v>1.0</v>
      </c>
      <c r="T152" s="1">
        <v>16.0</v>
      </c>
      <c r="U152" s="1">
        <v>5.0</v>
      </c>
    </row>
    <row r="153" ht="12.75" customHeight="1">
      <c r="A153" s="1" t="s">
        <v>223</v>
      </c>
      <c r="B153" s="1">
        <f t="shared" si="3"/>
        <v>139</v>
      </c>
      <c r="C153" s="1" t="str">
        <f>IFERROR(__xludf.DUMMYFUNCTION("split(A153, ""\"")"),"Max Pacioretty")</f>
        <v>Max Pacioretty</v>
      </c>
      <c r="D153" s="1" t="str">
        <f>IFERROR(__xludf.DUMMYFUNCTION("""COMPUTED_VALUE"""),"pacioma01")</f>
        <v>pacioma01</v>
      </c>
      <c r="E153" s="1" t="s">
        <v>28</v>
      </c>
      <c r="F153" s="1">
        <f t="shared" si="1"/>
        <v>329.5</v>
      </c>
      <c r="G153" s="1">
        <f t="shared" si="2"/>
        <v>5.15</v>
      </c>
      <c r="H153" s="1">
        <v>64.0</v>
      </c>
      <c r="I153" s="1">
        <v>17.0</v>
      </c>
      <c r="J153" s="1">
        <v>20.0</v>
      </c>
      <c r="K153" s="1">
        <v>37.0</v>
      </c>
      <c r="L153" s="1">
        <v>212.0</v>
      </c>
      <c r="M153" s="1">
        <v>118.0</v>
      </c>
      <c r="N153" s="1">
        <v>27.0</v>
      </c>
      <c r="O153" s="1">
        <v>6.0</v>
      </c>
      <c r="P153" s="1">
        <v>9.0</v>
      </c>
      <c r="Q153" s="1">
        <v>1.0</v>
      </c>
      <c r="R153" s="1">
        <v>0.0</v>
      </c>
      <c r="S153" s="1">
        <v>-16.0</v>
      </c>
      <c r="T153" s="1">
        <v>30.0</v>
      </c>
      <c r="U153" s="1">
        <v>4.0</v>
      </c>
    </row>
    <row r="154" ht="12.75" customHeight="1">
      <c r="A154" s="1" t="s">
        <v>189</v>
      </c>
      <c r="B154" s="1">
        <f t="shared" si="3"/>
        <v>140</v>
      </c>
      <c r="C154" s="1" t="str">
        <f>IFERROR(__xludf.DUMMYFUNCTION("split(A154, ""\"")"),"Matthew Tkachuk")</f>
        <v>Matthew Tkachuk</v>
      </c>
      <c r="D154" s="1" t="str">
        <f>IFERROR(__xludf.DUMMYFUNCTION("""COMPUTED_VALUE"""),"tkachma01")</f>
        <v>tkachma01</v>
      </c>
      <c r="E154" s="1" t="s">
        <v>28</v>
      </c>
      <c r="F154" s="1">
        <f t="shared" si="1"/>
        <v>328.8</v>
      </c>
      <c r="G154" s="1">
        <f t="shared" si="2"/>
        <v>4.84</v>
      </c>
      <c r="H154" s="1">
        <v>68.0</v>
      </c>
      <c r="I154" s="1">
        <v>24.0</v>
      </c>
      <c r="J154" s="1">
        <v>25.0</v>
      </c>
      <c r="K154" s="1">
        <v>49.0</v>
      </c>
      <c r="L154" s="1">
        <v>188.0</v>
      </c>
      <c r="M154" s="1">
        <v>80.0</v>
      </c>
      <c r="N154" s="1">
        <v>16.0</v>
      </c>
      <c r="O154" s="1">
        <v>10.0</v>
      </c>
      <c r="P154" s="1">
        <v>7.0</v>
      </c>
      <c r="Q154" s="1">
        <v>0.0</v>
      </c>
      <c r="R154" s="1">
        <v>0.0</v>
      </c>
      <c r="S154" s="1">
        <v>-1.0</v>
      </c>
      <c r="T154" s="1">
        <v>61.0</v>
      </c>
      <c r="U154" s="1">
        <v>2.0</v>
      </c>
    </row>
    <row r="155" ht="12.75" customHeight="1">
      <c r="A155" s="1" t="s">
        <v>193</v>
      </c>
      <c r="B155" s="1">
        <f t="shared" si="3"/>
        <v>141</v>
      </c>
      <c r="C155" s="1" t="str">
        <f>IFERROR(__xludf.DUMMYFUNCTION("split(A155, ""\"")"),"Colin Miller")</f>
        <v>Colin Miller</v>
      </c>
      <c r="D155" s="1" t="str">
        <f>IFERROR(__xludf.DUMMYFUNCTION("""COMPUTED_VALUE"""),"milleco02")</f>
        <v>milleco02</v>
      </c>
      <c r="E155" s="1" t="s">
        <v>66</v>
      </c>
      <c r="F155" s="1">
        <f t="shared" si="1"/>
        <v>328.65</v>
      </c>
      <c r="G155" s="1">
        <f t="shared" si="2"/>
        <v>4.01</v>
      </c>
      <c r="H155" s="1">
        <v>82.0</v>
      </c>
      <c r="I155" s="1">
        <v>10.0</v>
      </c>
      <c r="J155" s="1">
        <v>31.0</v>
      </c>
      <c r="K155" s="1">
        <v>41.0</v>
      </c>
      <c r="L155" s="1">
        <v>177.0</v>
      </c>
      <c r="M155" s="1">
        <v>165.0</v>
      </c>
      <c r="N155" s="1">
        <v>64.0</v>
      </c>
      <c r="O155" s="1">
        <v>5.0</v>
      </c>
      <c r="P155" s="1">
        <v>12.0</v>
      </c>
      <c r="Q155" s="1">
        <v>0.0</v>
      </c>
      <c r="R155" s="1">
        <v>1.0</v>
      </c>
      <c r="S155" s="1">
        <v>-4.0</v>
      </c>
      <c r="T155" s="1">
        <v>53.0</v>
      </c>
      <c r="U155" s="1">
        <v>2.0</v>
      </c>
    </row>
    <row r="156" ht="12.75" customHeight="1">
      <c r="A156" s="1" t="s">
        <v>171</v>
      </c>
      <c r="B156" s="1">
        <f t="shared" si="3"/>
        <v>142</v>
      </c>
      <c r="C156" s="1" t="str">
        <f>IFERROR(__xludf.DUMMYFUNCTION("split(A156, ""\"")"),"Kyle Palmieri")</f>
        <v>Kyle Palmieri</v>
      </c>
      <c r="D156" s="1" t="str">
        <f>IFERROR(__xludf.DUMMYFUNCTION("""COMPUTED_VALUE"""),"palmiky01")</f>
        <v>palmiky01</v>
      </c>
      <c r="E156" s="1" t="s">
        <v>36</v>
      </c>
      <c r="F156" s="1">
        <f t="shared" si="1"/>
        <v>327.5</v>
      </c>
      <c r="G156" s="1">
        <f t="shared" si="2"/>
        <v>5.28</v>
      </c>
      <c r="H156" s="1">
        <v>62.0</v>
      </c>
      <c r="I156" s="1">
        <v>24.0</v>
      </c>
      <c r="J156" s="1">
        <v>20.0</v>
      </c>
      <c r="K156" s="1">
        <v>44.0</v>
      </c>
      <c r="L156" s="1">
        <v>181.0</v>
      </c>
      <c r="M156" s="1">
        <v>94.0</v>
      </c>
      <c r="N156" s="1">
        <v>50.0</v>
      </c>
      <c r="O156" s="1">
        <v>11.0</v>
      </c>
      <c r="P156" s="1">
        <v>12.0</v>
      </c>
      <c r="Q156" s="1">
        <v>0.0</v>
      </c>
      <c r="R156" s="1">
        <v>0.0</v>
      </c>
      <c r="S156" s="1">
        <v>-1.0</v>
      </c>
      <c r="T156" s="1">
        <v>30.0</v>
      </c>
      <c r="U156" s="1">
        <v>5.0</v>
      </c>
    </row>
    <row r="157" ht="12.75" customHeight="1">
      <c r="A157" s="1" t="s">
        <v>96</v>
      </c>
      <c r="B157" s="1">
        <f t="shared" si="3"/>
        <v>143</v>
      </c>
      <c r="C157" s="1" t="str">
        <f>IFERROR(__xludf.DUMMYFUNCTION("split(A157, ""\"")"),"Semyon Varlamov")</f>
        <v>Semyon Varlamov</v>
      </c>
      <c r="D157" s="2" t="str">
        <f>IFERROR(__xludf.DUMMYFUNCTION("""COMPUTED_VALUE"""),"varlasi01")</f>
        <v>varlasi01</v>
      </c>
      <c r="E157" s="1" t="s">
        <v>5</v>
      </c>
      <c r="F157" s="1">
        <f t="shared" si="1"/>
        <v>326.1</v>
      </c>
      <c r="G157" s="1">
        <f t="shared" si="2"/>
        <v>6.39</v>
      </c>
      <c r="H157" s="1">
        <v>51.0</v>
      </c>
      <c r="V157" s="1">
        <v>47.0</v>
      </c>
      <c r="W157" s="1">
        <v>24.0</v>
      </c>
      <c r="X157" s="1">
        <v>16.0</v>
      </c>
      <c r="Y157" s="1">
        <v>128.0</v>
      </c>
      <c r="Z157" s="1">
        <v>1595.0</v>
      </c>
      <c r="AA157" s="1">
        <v>1467.0</v>
      </c>
      <c r="AB157" s="1">
        <v>2.0</v>
      </c>
    </row>
    <row r="158" ht="12.75" customHeight="1">
      <c r="A158" s="1" t="s">
        <v>198</v>
      </c>
      <c r="B158" s="1">
        <f t="shared" si="3"/>
        <v>144</v>
      </c>
      <c r="C158" s="1" t="str">
        <f>IFERROR(__xludf.DUMMYFUNCTION("split(A158, ""\"")"),"Aaron Ekblad")</f>
        <v>Aaron Ekblad</v>
      </c>
      <c r="D158" s="1" t="str">
        <f>IFERROR(__xludf.DUMMYFUNCTION("""COMPUTED_VALUE"""),"ekblaaa01")</f>
        <v>ekblaaa01</v>
      </c>
      <c r="E158" s="1" t="s">
        <v>66</v>
      </c>
      <c r="F158" s="1">
        <f t="shared" si="1"/>
        <v>326.05</v>
      </c>
      <c r="G158" s="1">
        <f t="shared" si="2"/>
        <v>3.98</v>
      </c>
      <c r="H158" s="1">
        <v>82.0</v>
      </c>
      <c r="I158" s="1">
        <v>16.0</v>
      </c>
      <c r="J158" s="1">
        <v>22.0</v>
      </c>
      <c r="K158" s="1">
        <v>38.0</v>
      </c>
      <c r="L158" s="1">
        <v>189.0</v>
      </c>
      <c r="M158" s="1">
        <v>69.0</v>
      </c>
      <c r="N158" s="1">
        <v>121.0</v>
      </c>
      <c r="O158" s="1">
        <v>5.0</v>
      </c>
      <c r="P158" s="1">
        <v>6.0</v>
      </c>
      <c r="Q158" s="1">
        <v>0.0</v>
      </c>
      <c r="R158" s="1">
        <v>0.0</v>
      </c>
      <c r="S158" s="1">
        <v>9.0</v>
      </c>
      <c r="T158" s="1">
        <v>71.0</v>
      </c>
      <c r="U158" s="1">
        <v>4.0</v>
      </c>
    </row>
    <row r="159" ht="12.75" customHeight="1">
      <c r="A159" s="1" t="s">
        <v>234</v>
      </c>
      <c r="B159" s="1">
        <f t="shared" si="3"/>
        <v>145</v>
      </c>
      <c r="C159" s="1" t="str">
        <f>IFERROR(__xludf.DUMMYFUNCTION("split(A159, ""\"")"),"Jonathan Drouin")</f>
        <v>Jonathan Drouin</v>
      </c>
      <c r="D159" s="1" t="str">
        <f>IFERROR(__xludf.DUMMYFUNCTION("""COMPUTED_VALUE"""),"drouijo01")</f>
        <v>drouijo01</v>
      </c>
      <c r="E159" s="1" t="s">
        <v>28</v>
      </c>
      <c r="F159" s="1">
        <f t="shared" si="1"/>
        <v>325.75</v>
      </c>
      <c r="G159" s="1">
        <f t="shared" si="2"/>
        <v>4.23</v>
      </c>
      <c r="H159" s="1">
        <v>77.0</v>
      </c>
      <c r="I159" s="1">
        <v>13.0</v>
      </c>
      <c r="J159" s="1">
        <v>33.0</v>
      </c>
      <c r="K159" s="1">
        <v>46.0</v>
      </c>
      <c r="L159" s="1">
        <v>164.0</v>
      </c>
      <c r="M159" s="1">
        <v>55.0</v>
      </c>
      <c r="N159" s="1">
        <v>27.0</v>
      </c>
      <c r="O159" s="1">
        <v>4.0</v>
      </c>
      <c r="P159" s="1">
        <v>18.0</v>
      </c>
      <c r="Q159" s="1">
        <v>0.0</v>
      </c>
      <c r="R159" s="1">
        <v>0.0</v>
      </c>
      <c r="S159" s="1">
        <v>-28.0</v>
      </c>
      <c r="T159" s="1">
        <v>30.0</v>
      </c>
      <c r="U159" s="1">
        <v>4.0</v>
      </c>
    </row>
    <row r="160" ht="12.75" customHeight="1">
      <c r="A160" s="1" t="s">
        <v>190</v>
      </c>
      <c r="B160" s="1">
        <f t="shared" si="3"/>
        <v>146</v>
      </c>
      <c r="C160" s="1" t="str">
        <f>IFERROR(__xludf.DUMMYFUNCTION("split(A160, ""\"")"),"Tyler Johnson")</f>
        <v>Tyler Johnson</v>
      </c>
      <c r="D160" s="1" t="str">
        <f>IFERROR(__xludf.DUMMYFUNCTION("""COMPUTED_VALUE"""),"johnsty01")</f>
        <v>johnsty01</v>
      </c>
      <c r="E160" s="1" t="s">
        <v>31</v>
      </c>
      <c r="F160" s="1">
        <f t="shared" si="1"/>
        <v>324.7</v>
      </c>
      <c r="G160" s="1">
        <f t="shared" si="2"/>
        <v>4.01</v>
      </c>
      <c r="H160" s="1">
        <v>81.0</v>
      </c>
      <c r="I160" s="1">
        <v>21.0</v>
      </c>
      <c r="J160" s="1">
        <v>29.0</v>
      </c>
      <c r="K160" s="1">
        <v>50.0</v>
      </c>
      <c r="L160" s="1">
        <v>186.0</v>
      </c>
      <c r="M160" s="1">
        <v>48.0</v>
      </c>
      <c r="N160" s="1">
        <v>47.0</v>
      </c>
      <c r="O160" s="1">
        <v>4.0</v>
      </c>
      <c r="P160" s="1">
        <v>9.0</v>
      </c>
      <c r="Q160" s="1">
        <v>2.0</v>
      </c>
      <c r="R160" s="1">
        <v>0.0</v>
      </c>
      <c r="S160" s="1">
        <v>3.0</v>
      </c>
      <c r="T160" s="1">
        <v>24.0</v>
      </c>
      <c r="U160" s="1">
        <v>3.0</v>
      </c>
    </row>
    <row r="161" ht="12.75" customHeight="1">
      <c r="A161" s="1" t="s">
        <v>188</v>
      </c>
      <c r="B161" s="1">
        <f t="shared" si="3"/>
        <v>147</v>
      </c>
      <c r="C161" s="1" t="str">
        <f>IFERROR(__xludf.DUMMYFUNCTION("split(A161, ""\"")"),"Thomas Vanek")</f>
        <v>Thomas Vanek</v>
      </c>
      <c r="D161" s="1" t="str">
        <f>IFERROR(__xludf.DUMMYFUNCTION("""COMPUTED_VALUE"""),"vanekth01")</f>
        <v>vanekth01</v>
      </c>
      <c r="E161" s="1" t="s">
        <v>28</v>
      </c>
      <c r="F161" s="1">
        <f t="shared" si="1"/>
        <v>323.3</v>
      </c>
      <c r="G161" s="1">
        <f t="shared" si="2"/>
        <v>4.04</v>
      </c>
      <c r="H161" s="1">
        <v>80.0</v>
      </c>
      <c r="I161" s="1">
        <v>24.0</v>
      </c>
      <c r="J161" s="1">
        <v>32.0</v>
      </c>
      <c r="K161" s="1">
        <v>56.0</v>
      </c>
      <c r="L161" s="1">
        <v>168.0</v>
      </c>
      <c r="M161" s="1">
        <v>36.0</v>
      </c>
      <c r="N161" s="1">
        <v>18.0</v>
      </c>
      <c r="O161" s="1">
        <v>4.0</v>
      </c>
      <c r="P161" s="1">
        <v>11.0</v>
      </c>
      <c r="Q161" s="1">
        <v>0.0</v>
      </c>
      <c r="R161" s="1">
        <v>0.0</v>
      </c>
      <c r="S161" s="1">
        <v>-3.0</v>
      </c>
      <c r="T161" s="1">
        <v>36.0</v>
      </c>
      <c r="U161" s="1">
        <v>1.0</v>
      </c>
    </row>
    <row r="162" ht="12.75" customHeight="1">
      <c r="A162" s="1" t="s">
        <v>172</v>
      </c>
      <c r="B162" s="1">
        <f t="shared" si="3"/>
        <v>148</v>
      </c>
      <c r="C162" s="1" t="str">
        <f>IFERROR(__xludf.DUMMYFUNCTION("split(A162, ""\"")"),"Pierre-Luc Dubois")</f>
        <v>Pierre-Luc Dubois</v>
      </c>
      <c r="D162" s="1" t="str">
        <f>IFERROR(__xludf.DUMMYFUNCTION("""COMPUTED_VALUE"""),"duboipi01")</f>
        <v>duboipi01</v>
      </c>
      <c r="E162" s="1" t="s">
        <v>28</v>
      </c>
      <c r="F162" s="1">
        <f t="shared" si="1"/>
        <v>321.95</v>
      </c>
      <c r="G162" s="1">
        <f t="shared" si="2"/>
        <v>3.93</v>
      </c>
      <c r="H162" s="1">
        <v>82.0</v>
      </c>
      <c r="I162" s="1">
        <v>20.0</v>
      </c>
      <c r="J162" s="1">
        <v>28.0</v>
      </c>
      <c r="K162" s="1">
        <v>48.0</v>
      </c>
      <c r="L162" s="1">
        <v>165.0</v>
      </c>
      <c r="M162" s="1">
        <v>127.0</v>
      </c>
      <c r="N162" s="1">
        <v>46.0</v>
      </c>
      <c r="O162" s="1">
        <v>6.0</v>
      </c>
      <c r="P162" s="1">
        <v>9.0</v>
      </c>
      <c r="Q162" s="1">
        <v>0.0</v>
      </c>
      <c r="R162" s="1">
        <v>0.0</v>
      </c>
      <c r="S162" s="1">
        <v>8.0</v>
      </c>
      <c r="T162" s="1">
        <v>49.0</v>
      </c>
      <c r="U162" s="1">
        <v>4.0</v>
      </c>
    </row>
    <row r="163" ht="12.75" customHeight="1">
      <c r="A163" s="1" t="s">
        <v>179</v>
      </c>
      <c r="B163" s="1">
        <f t="shared" si="3"/>
        <v>149</v>
      </c>
      <c r="C163" s="1" t="str">
        <f>IFERROR(__xludf.DUMMYFUNCTION("split(A163, ""\"")"),"Adam Henrique")</f>
        <v>Adam Henrique</v>
      </c>
      <c r="D163" s="1" t="str">
        <f>IFERROR(__xludf.DUMMYFUNCTION("""COMPUTED_VALUE"""),"henriad01")</f>
        <v>henriad01</v>
      </c>
      <c r="E163" s="1" t="s">
        <v>31</v>
      </c>
      <c r="F163" s="1">
        <f t="shared" si="1"/>
        <v>321.75</v>
      </c>
      <c r="G163" s="1">
        <f t="shared" si="2"/>
        <v>3.97</v>
      </c>
      <c r="H163" s="1">
        <v>81.0</v>
      </c>
      <c r="I163" s="1">
        <v>24.0</v>
      </c>
      <c r="J163" s="1">
        <v>26.0</v>
      </c>
      <c r="K163" s="1">
        <v>50.0</v>
      </c>
      <c r="L163" s="1">
        <v>151.0</v>
      </c>
      <c r="M163" s="1">
        <v>61.0</v>
      </c>
      <c r="N163" s="1">
        <v>61.0</v>
      </c>
      <c r="O163" s="1">
        <v>6.0</v>
      </c>
      <c r="P163" s="1">
        <v>7.0</v>
      </c>
      <c r="Q163" s="1">
        <v>1.0</v>
      </c>
      <c r="R163" s="1">
        <v>2.0</v>
      </c>
      <c r="S163" s="1">
        <v>11.0</v>
      </c>
      <c r="T163" s="1">
        <v>20.0</v>
      </c>
      <c r="U163" s="1">
        <v>8.0</v>
      </c>
    </row>
    <row r="164" ht="12.75" customHeight="1">
      <c r="A164" s="1" t="s">
        <v>228</v>
      </c>
      <c r="B164" s="1">
        <f t="shared" si="3"/>
        <v>150</v>
      </c>
      <c r="C164" s="1" t="str">
        <f>IFERROR(__xludf.DUMMYFUNCTION("split(A164, ""\"")"),"Tom Wilson")</f>
        <v>Tom Wilson</v>
      </c>
      <c r="D164" s="1" t="str">
        <f>IFERROR(__xludf.DUMMYFUNCTION("""COMPUTED_VALUE"""),"wilsoto01")</f>
        <v>wilsoto01</v>
      </c>
      <c r="E164" s="1" t="s">
        <v>36</v>
      </c>
      <c r="F164" s="1">
        <f t="shared" si="1"/>
        <v>321.6</v>
      </c>
      <c r="G164" s="1">
        <f t="shared" si="2"/>
        <v>4.12</v>
      </c>
      <c r="H164" s="1">
        <v>78.0</v>
      </c>
      <c r="I164" s="1">
        <v>14.0</v>
      </c>
      <c r="J164" s="1">
        <v>21.0</v>
      </c>
      <c r="K164" s="1">
        <v>35.0</v>
      </c>
      <c r="L164" s="1">
        <v>123.0</v>
      </c>
      <c r="M164" s="1">
        <v>250.0</v>
      </c>
      <c r="N164" s="1">
        <v>51.0</v>
      </c>
      <c r="O164" s="1">
        <v>0.0</v>
      </c>
      <c r="P164" s="1">
        <v>1.0</v>
      </c>
      <c r="Q164" s="1">
        <v>1.0</v>
      </c>
      <c r="R164" s="1">
        <v>0.0</v>
      </c>
      <c r="S164" s="1">
        <v>10.0</v>
      </c>
      <c r="T164" s="1">
        <v>187.0</v>
      </c>
      <c r="U164" s="1">
        <v>1.0</v>
      </c>
    </row>
    <row r="165" ht="12.75" customHeight="1">
      <c r="A165" s="1" t="s">
        <v>93</v>
      </c>
      <c r="B165" s="1">
        <f t="shared" si="3"/>
        <v>151</v>
      </c>
      <c r="C165" s="1" t="str">
        <f>IFERROR(__xludf.DUMMYFUNCTION("split(A165, ""\"")"),"Jacob Markstrom")</f>
        <v>Jacob Markstrom</v>
      </c>
      <c r="D165" s="2" t="str">
        <f>IFERROR(__xludf.DUMMYFUNCTION("""COMPUTED_VALUE"""),"marksja02")</f>
        <v>marksja02</v>
      </c>
      <c r="E165" s="1" t="s">
        <v>5</v>
      </c>
      <c r="F165" s="1">
        <f t="shared" si="1"/>
        <v>321.3</v>
      </c>
      <c r="G165" s="1">
        <f t="shared" si="2"/>
        <v>5.36</v>
      </c>
      <c r="H165" s="1">
        <v>60.0</v>
      </c>
      <c r="V165" s="1">
        <v>57.0</v>
      </c>
      <c r="W165" s="1">
        <v>23.0</v>
      </c>
      <c r="X165" s="1">
        <v>26.0</v>
      </c>
      <c r="Y165" s="1">
        <v>154.0</v>
      </c>
      <c r="Z165" s="1">
        <v>1745.0</v>
      </c>
      <c r="AA165" s="1">
        <v>1591.0</v>
      </c>
      <c r="AB165" s="1">
        <v>2.0</v>
      </c>
    </row>
    <row r="166" ht="12.75" customHeight="1">
      <c r="A166" s="1" t="s">
        <v>88</v>
      </c>
      <c r="B166" s="1">
        <f t="shared" si="3"/>
        <v>152</v>
      </c>
      <c r="C166" s="1" t="str">
        <f>IFERROR(__xludf.DUMMYFUNCTION("split(A166, ""\"")"),"Braden Holtby")</f>
        <v>Braden Holtby</v>
      </c>
      <c r="D166" s="2" t="str">
        <f>IFERROR(__xludf.DUMMYFUNCTION("""COMPUTED_VALUE"""),"holtbbr01")</f>
        <v>holtbbr01</v>
      </c>
      <c r="E166" s="1" t="s">
        <v>5</v>
      </c>
      <c r="F166" s="1">
        <f t="shared" si="1"/>
        <v>321</v>
      </c>
      <c r="G166" s="1">
        <f t="shared" si="2"/>
        <v>5.94</v>
      </c>
      <c r="H166" s="1">
        <v>54.0</v>
      </c>
      <c r="V166" s="1">
        <v>54.0</v>
      </c>
      <c r="W166" s="1">
        <v>34.0</v>
      </c>
      <c r="X166" s="1">
        <v>16.0</v>
      </c>
      <c r="Y166" s="1">
        <v>153.0</v>
      </c>
      <c r="Z166" s="1">
        <v>1648.0</v>
      </c>
      <c r="AA166" s="1">
        <v>1495.0</v>
      </c>
      <c r="AB166" s="1">
        <v>0.0</v>
      </c>
    </row>
    <row r="167" ht="12.75" customHeight="1">
      <c r="A167" s="1" t="s">
        <v>162</v>
      </c>
      <c r="B167" s="1">
        <f t="shared" si="3"/>
        <v>152</v>
      </c>
      <c r="C167" s="1" t="str">
        <f>IFERROR(__xludf.DUMMYFUNCTION("split(A167, ""\"")"),"Jake Muzzin")</f>
        <v>Jake Muzzin</v>
      </c>
      <c r="D167" s="1" t="str">
        <f>IFERROR(__xludf.DUMMYFUNCTION("""COMPUTED_VALUE"""),"muzzija01")</f>
        <v>muzzija01</v>
      </c>
      <c r="E167" s="1" t="s">
        <v>66</v>
      </c>
      <c r="F167" s="1">
        <f t="shared" si="1"/>
        <v>321</v>
      </c>
      <c r="G167" s="1">
        <f t="shared" si="2"/>
        <v>4.34</v>
      </c>
      <c r="H167" s="1">
        <v>74.0</v>
      </c>
      <c r="I167" s="1">
        <v>8.0</v>
      </c>
      <c r="J167" s="1">
        <v>34.0</v>
      </c>
      <c r="K167" s="1">
        <v>42.0</v>
      </c>
      <c r="L167" s="1">
        <v>154.0</v>
      </c>
      <c r="M167" s="1">
        <v>170.0</v>
      </c>
      <c r="N167" s="1">
        <v>123.0</v>
      </c>
      <c r="O167" s="1">
        <v>4.0</v>
      </c>
      <c r="P167" s="1">
        <v>10.0</v>
      </c>
      <c r="Q167" s="1">
        <v>0.0</v>
      </c>
      <c r="R167" s="1">
        <v>1.0</v>
      </c>
      <c r="S167" s="1">
        <v>10.0</v>
      </c>
      <c r="T167" s="1">
        <v>40.0</v>
      </c>
      <c r="U167" s="1">
        <v>1.0</v>
      </c>
    </row>
    <row r="168" ht="12.75" customHeight="1">
      <c r="A168" s="1" t="s">
        <v>209</v>
      </c>
      <c r="B168" s="1">
        <f t="shared" si="3"/>
        <v>154</v>
      </c>
      <c r="C168" s="1" t="str">
        <f>IFERROR(__xludf.DUMMYFUNCTION("split(A168, ""\"")"),"Derick Brassard")</f>
        <v>Derick Brassard</v>
      </c>
      <c r="D168" s="1" t="str">
        <f>IFERROR(__xludf.DUMMYFUNCTION("""COMPUTED_VALUE"""),"brassde01")</f>
        <v>brassde01</v>
      </c>
      <c r="E168" s="1" t="s">
        <v>31</v>
      </c>
      <c r="F168" s="1">
        <f t="shared" si="1"/>
        <v>320.7</v>
      </c>
      <c r="G168" s="1">
        <f t="shared" si="2"/>
        <v>4.45</v>
      </c>
      <c r="H168" s="1">
        <v>72.0</v>
      </c>
      <c r="I168" s="1">
        <v>21.0</v>
      </c>
      <c r="J168" s="1">
        <v>25.0</v>
      </c>
      <c r="K168" s="1">
        <v>46.0</v>
      </c>
      <c r="L168" s="1">
        <v>197.0</v>
      </c>
      <c r="M168" s="1">
        <v>96.0</v>
      </c>
      <c r="N168" s="1">
        <v>25.0</v>
      </c>
      <c r="O168" s="1">
        <v>5.0</v>
      </c>
      <c r="P168" s="1">
        <v>1.0</v>
      </c>
      <c r="Q168" s="1">
        <v>0.0</v>
      </c>
      <c r="R168" s="1">
        <v>0.0</v>
      </c>
      <c r="S168" s="1">
        <v>0.0</v>
      </c>
      <c r="T168" s="1">
        <v>34.0</v>
      </c>
      <c r="U168" s="1">
        <v>3.0</v>
      </c>
    </row>
    <row r="169" ht="12.75" customHeight="1">
      <c r="A169" s="1" t="s">
        <v>177</v>
      </c>
      <c r="B169" s="1">
        <f t="shared" si="3"/>
        <v>155</v>
      </c>
      <c r="C169" s="1" t="str">
        <f>IFERROR(__xludf.DUMMYFUNCTION("split(A169, ""\"")"),"Morgan Rielly")</f>
        <v>Morgan Rielly</v>
      </c>
      <c r="D169" s="1" t="str">
        <f>IFERROR(__xludf.DUMMYFUNCTION("""COMPUTED_VALUE"""),"riellmo01")</f>
        <v>riellmo01</v>
      </c>
      <c r="E169" s="1" t="s">
        <v>66</v>
      </c>
      <c r="F169" s="1">
        <f t="shared" si="1"/>
        <v>320.2</v>
      </c>
      <c r="G169" s="1">
        <f t="shared" si="2"/>
        <v>4.21</v>
      </c>
      <c r="H169" s="1">
        <v>76.0</v>
      </c>
      <c r="I169" s="1">
        <v>6.0</v>
      </c>
      <c r="J169" s="1">
        <v>46.0</v>
      </c>
      <c r="K169" s="1">
        <v>52.0</v>
      </c>
      <c r="L169" s="1">
        <v>182.0</v>
      </c>
      <c r="M169" s="1">
        <v>48.0</v>
      </c>
      <c r="N169" s="1">
        <v>84.0</v>
      </c>
      <c r="O169" s="1">
        <v>1.0</v>
      </c>
      <c r="P169" s="1">
        <v>24.0</v>
      </c>
      <c r="Q169" s="1">
        <v>0.0</v>
      </c>
      <c r="R169" s="1">
        <v>0.0</v>
      </c>
      <c r="S169" s="1">
        <v>-4.0</v>
      </c>
      <c r="T169" s="1">
        <v>14.0</v>
      </c>
      <c r="U169" s="1">
        <v>0.0</v>
      </c>
    </row>
    <row r="170" ht="12.75" customHeight="1">
      <c r="A170" s="1" t="s">
        <v>156</v>
      </c>
      <c r="B170" s="1">
        <f t="shared" si="3"/>
        <v>156</v>
      </c>
      <c r="C170" s="1" t="str">
        <f>IFERROR(__xludf.DUMMYFUNCTION("split(A170, ""\"")"),"Craig Smith")</f>
        <v>Craig Smith</v>
      </c>
      <c r="D170" s="1" t="str">
        <f>IFERROR(__xludf.DUMMYFUNCTION("""COMPUTED_VALUE"""),"smithcr01")</f>
        <v>smithcr01</v>
      </c>
      <c r="E170" s="1" t="s">
        <v>31</v>
      </c>
      <c r="F170" s="1">
        <f t="shared" si="1"/>
        <v>318.7</v>
      </c>
      <c r="G170" s="1">
        <f t="shared" si="2"/>
        <v>4.03</v>
      </c>
      <c r="H170" s="1">
        <v>79.0</v>
      </c>
      <c r="I170" s="1">
        <v>25.0</v>
      </c>
      <c r="J170" s="1">
        <v>26.0</v>
      </c>
      <c r="K170" s="1">
        <v>51.0</v>
      </c>
      <c r="L170" s="1">
        <v>229.0</v>
      </c>
      <c r="M170" s="1">
        <v>60.0</v>
      </c>
      <c r="N170" s="1">
        <v>35.0</v>
      </c>
      <c r="O170" s="1">
        <v>9.0</v>
      </c>
      <c r="P170" s="1">
        <v>5.0</v>
      </c>
      <c r="Q170" s="1">
        <v>0.0</v>
      </c>
      <c r="R170" s="1">
        <v>0.0</v>
      </c>
      <c r="S170" s="1">
        <v>20.0</v>
      </c>
      <c r="T170" s="1">
        <v>24.0</v>
      </c>
      <c r="U170" s="1">
        <v>2.0</v>
      </c>
    </row>
    <row r="171" ht="12.75" customHeight="1">
      <c r="A171" s="1" t="s">
        <v>217</v>
      </c>
      <c r="B171" s="1">
        <f t="shared" si="3"/>
        <v>157</v>
      </c>
      <c r="C171" s="1" t="str">
        <f>IFERROR(__xludf.DUMMYFUNCTION("split(A171, ""\"")"),"Corey Perry")</f>
        <v>Corey Perry</v>
      </c>
      <c r="D171" s="1" t="str">
        <f>IFERROR(__xludf.DUMMYFUNCTION("""COMPUTED_VALUE"""),"perryco01")</f>
        <v>perryco01</v>
      </c>
      <c r="E171" s="1" t="s">
        <v>36</v>
      </c>
      <c r="F171" s="1">
        <f t="shared" si="1"/>
        <v>318.55</v>
      </c>
      <c r="G171" s="1">
        <f t="shared" si="2"/>
        <v>4.49</v>
      </c>
      <c r="H171" s="1">
        <v>71.0</v>
      </c>
      <c r="I171" s="1">
        <v>17.0</v>
      </c>
      <c r="J171" s="1">
        <v>32.0</v>
      </c>
      <c r="K171" s="1">
        <v>49.0</v>
      </c>
      <c r="L171" s="1">
        <v>168.0</v>
      </c>
      <c r="M171" s="1">
        <v>59.0</v>
      </c>
      <c r="N171" s="1">
        <v>36.0</v>
      </c>
      <c r="O171" s="1">
        <v>4.0</v>
      </c>
      <c r="P171" s="1">
        <v>7.0</v>
      </c>
      <c r="Q171" s="1">
        <v>0.0</v>
      </c>
      <c r="R171" s="1">
        <v>0.0</v>
      </c>
      <c r="S171" s="1">
        <v>-4.0</v>
      </c>
      <c r="T171" s="1">
        <v>71.0</v>
      </c>
      <c r="U171" s="1">
        <v>1.0</v>
      </c>
    </row>
    <row r="172" ht="12.75" customHeight="1">
      <c r="A172" s="1" t="s">
        <v>194</v>
      </c>
      <c r="B172" s="1">
        <f t="shared" si="3"/>
        <v>158</v>
      </c>
      <c r="C172" s="1" t="str">
        <f>IFERROR(__xludf.DUMMYFUNCTION("split(A172, ""\"")"),"Travis Konecny")</f>
        <v>Travis Konecny</v>
      </c>
      <c r="D172" s="1" t="str">
        <f>IFERROR(__xludf.DUMMYFUNCTION("""COMPUTED_VALUE"""),"konectr01")</f>
        <v>konectr01</v>
      </c>
      <c r="E172" s="1" t="s">
        <v>31</v>
      </c>
      <c r="F172" s="1">
        <f t="shared" si="1"/>
        <v>316.55</v>
      </c>
      <c r="G172" s="1">
        <f t="shared" si="2"/>
        <v>3.91</v>
      </c>
      <c r="H172" s="1">
        <v>81.0</v>
      </c>
      <c r="I172" s="1">
        <v>24.0</v>
      </c>
      <c r="J172" s="1">
        <v>23.0</v>
      </c>
      <c r="K172" s="1">
        <v>47.0</v>
      </c>
      <c r="L172" s="1">
        <v>177.0</v>
      </c>
      <c r="M172" s="1">
        <v>97.0</v>
      </c>
      <c r="N172" s="1">
        <v>53.0</v>
      </c>
      <c r="O172" s="1">
        <v>1.0</v>
      </c>
      <c r="P172" s="1">
        <v>2.0</v>
      </c>
      <c r="Q172" s="1">
        <v>0.0</v>
      </c>
      <c r="R172" s="1">
        <v>0.0</v>
      </c>
      <c r="S172" s="1">
        <v>17.0</v>
      </c>
      <c r="T172" s="1">
        <v>46.0</v>
      </c>
      <c r="U172" s="1">
        <v>6.0</v>
      </c>
    </row>
    <row r="173" ht="12.75" customHeight="1">
      <c r="A173" s="1" t="s">
        <v>167</v>
      </c>
      <c r="B173" s="1">
        <f t="shared" si="3"/>
        <v>159</v>
      </c>
      <c r="C173" s="1" t="str">
        <f>IFERROR(__xludf.DUMMYFUNCTION("split(A173, ""\"")"),"Mark Stone")</f>
        <v>Mark Stone</v>
      </c>
      <c r="D173" s="1" t="str">
        <f>IFERROR(__xludf.DUMMYFUNCTION("""COMPUTED_VALUE"""),"stonema01")</f>
        <v>stonema01</v>
      </c>
      <c r="E173" s="1" t="s">
        <v>36</v>
      </c>
      <c r="F173" s="1">
        <f t="shared" si="1"/>
        <v>316.25</v>
      </c>
      <c r="G173" s="1">
        <f t="shared" si="2"/>
        <v>5.45</v>
      </c>
      <c r="H173" s="1">
        <v>58.0</v>
      </c>
      <c r="I173" s="1">
        <v>20.0</v>
      </c>
      <c r="J173" s="1">
        <v>42.0</v>
      </c>
      <c r="K173" s="1">
        <v>62.0</v>
      </c>
      <c r="L173" s="1">
        <v>132.0</v>
      </c>
      <c r="M173" s="1">
        <v>53.0</v>
      </c>
      <c r="N173" s="1">
        <v>39.0</v>
      </c>
      <c r="O173" s="1">
        <v>1.0</v>
      </c>
      <c r="P173" s="1">
        <v>10.0</v>
      </c>
      <c r="Q173" s="1">
        <v>1.0</v>
      </c>
      <c r="R173" s="1">
        <v>1.0</v>
      </c>
      <c r="S173" s="1">
        <v>9.0</v>
      </c>
      <c r="T173" s="1">
        <v>10.0</v>
      </c>
      <c r="U173" s="1">
        <v>3.0</v>
      </c>
    </row>
    <row r="174" ht="12.75" customHeight="1">
      <c r="A174" s="1" t="s">
        <v>214</v>
      </c>
      <c r="B174" s="1">
        <f t="shared" si="3"/>
        <v>159</v>
      </c>
      <c r="C174" s="1" t="str">
        <f>IFERROR(__xludf.DUMMYFUNCTION("split(A174, ""\"")"),"Alex Steen")</f>
        <v>Alex Steen</v>
      </c>
      <c r="D174" s="1" t="str">
        <f>IFERROR(__xludf.DUMMYFUNCTION("""COMPUTED_VALUE"""),"steenal01")</f>
        <v>steenal01</v>
      </c>
      <c r="E174" s="1" t="s">
        <v>31</v>
      </c>
      <c r="F174" s="1">
        <f t="shared" si="1"/>
        <v>316.25</v>
      </c>
      <c r="G174" s="1">
        <f t="shared" si="2"/>
        <v>4.16</v>
      </c>
      <c r="H174" s="1">
        <v>76.0</v>
      </c>
      <c r="I174" s="1">
        <v>15.0</v>
      </c>
      <c r="J174" s="1">
        <v>31.0</v>
      </c>
      <c r="K174" s="1">
        <v>46.0</v>
      </c>
      <c r="L174" s="1">
        <v>168.0</v>
      </c>
      <c r="M174" s="1">
        <v>53.0</v>
      </c>
      <c r="N174" s="1">
        <v>58.0</v>
      </c>
      <c r="O174" s="1">
        <v>4.0</v>
      </c>
      <c r="P174" s="1">
        <v>10.0</v>
      </c>
      <c r="Q174" s="1">
        <v>1.0</v>
      </c>
      <c r="R174" s="1">
        <v>0.0</v>
      </c>
      <c r="S174" s="1">
        <v>-11.0</v>
      </c>
      <c r="T174" s="1">
        <v>20.0</v>
      </c>
      <c r="U174" s="1">
        <v>2.0</v>
      </c>
    </row>
    <row r="175" ht="12.75" customHeight="1">
      <c r="A175" s="1" t="s">
        <v>210</v>
      </c>
      <c r="B175" s="1">
        <f t="shared" si="3"/>
        <v>161</v>
      </c>
      <c r="C175" s="1" t="str">
        <f>IFERROR(__xludf.DUMMYFUNCTION("split(A175, ""\"")"),"Boone Jenner")</f>
        <v>Boone Jenner</v>
      </c>
      <c r="D175" s="1" t="str">
        <f>IFERROR(__xludf.DUMMYFUNCTION("""COMPUTED_VALUE"""),"jennebo01")</f>
        <v>jennebo01</v>
      </c>
      <c r="E175" s="1" t="s">
        <v>31</v>
      </c>
      <c r="F175" s="1">
        <f t="shared" si="1"/>
        <v>315.95</v>
      </c>
      <c r="G175" s="1">
        <f t="shared" si="2"/>
        <v>4.21</v>
      </c>
      <c r="H175" s="1">
        <v>75.0</v>
      </c>
      <c r="I175" s="1">
        <v>13.0</v>
      </c>
      <c r="J175" s="1">
        <v>19.0</v>
      </c>
      <c r="K175" s="1">
        <v>32.0</v>
      </c>
      <c r="L175" s="1">
        <v>187.0</v>
      </c>
      <c r="M175" s="1">
        <v>205.0</v>
      </c>
      <c r="N175" s="1">
        <v>83.0</v>
      </c>
      <c r="O175" s="1">
        <v>2.0</v>
      </c>
      <c r="P175" s="1">
        <v>1.0</v>
      </c>
      <c r="Q175" s="1">
        <v>0.0</v>
      </c>
      <c r="R175" s="1">
        <v>0.0</v>
      </c>
      <c r="S175" s="1">
        <v>1.0</v>
      </c>
      <c r="T175" s="1">
        <v>39.0</v>
      </c>
      <c r="U175" s="1">
        <v>2.0</v>
      </c>
    </row>
    <row r="176" ht="12.75" customHeight="1">
      <c r="A176" s="1" t="s">
        <v>230</v>
      </c>
      <c r="B176" s="1">
        <f t="shared" si="3"/>
        <v>162</v>
      </c>
      <c r="C176" s="1" t="str">
        <f>IFERROR(__xludf.DUMMYFUNCTION("split(A176, ""\"")"),"Timo Meier")</f>
        <v>Timo Meier</v>
      </c>
      <c r="D176" s="1" t="str">
        <f>IFERROR(__xludf.DUMMYFUNCTION("""COMPUTED_VALUE"""),"meierti01")</f>
        <v>meierti01</v>
      </c>
      <c r="E176" s="1" t="s">
        <v>36</v>
      </c>
      <c r="F176" s="1">
        <f t="shared" si="1"/>
        <v>315.05</v>
      </c>
      <c r="G176" s="1">
        <f t="shared" si="2"/>
        <v>3.89</v>
      </c>
      <c r="H176" s="1">
        <v>81.0</v>
      </c>
      <c r="I176" s="1">
        <v>21.0</v>
      </c>
      <c r="J176" s="1">
        <v>15.0</v>
      </c>
      <c r="K176" s="1">
        <v>36.0</v>
      </c>
      <c r="L176" s="1">
        <v>210.0</v>
      </c>
      <c r="M176" s="1">
        <v>105.0</v>
      </c>
      <c r="N176" s="1">
        <v>48.0</v>
      </c>
      <c r="O176" s="1">
        <v>3.0</v>
      </c>
      <c r="P176" s="1">
        <v>1.0</v>
      </c>
      <c r="Q176" s="1">
        <v>0.0</v>
      </c>
      <c r="R176" s="1">
        <v>0.0</v>
      </c>
      <c r="S176" s="1">
        <v>2.0</v>
      </c>
      <c r="T176" s="1">
        <v>51.0</v>
      </c>
      <c r="U176" s="1">
        <v>4.0</v>
      </c>
    </row>
    <row r="177" ht="12.75" customHeight="1">
      <c r="A177" s="1" t="s">
        <v>121</v>
      </c>
      <c r="B177" s="1">
        <f t="shared" si="3"/>
        <v>163</v>
      </c>
      <c r="C177" s="1" t="str">
        <f>IFERROR(__xludf.DUMMYFUNCTION("split(A177, ""\"")"),"Antti Raanta")</f>
        <v>Antti Raanta</v>
      </c>
      <c r="D177" s="2" t="str">
        <f>IFERROR(__xludf.DUMMYFUNCTION("""COMPUTED_VALUE"""),"raantan01")</f>
        <v>raantan01</v>
      </c>
      <c r="E177" s="1" t="s">
        <v>5</v>
      </c>
      <c r="F177" s="1">
        <f t="shared" si="1"/>
        <v>313.8</v>
      </c>
      <c r="G177" s="1">
        <f t="shared" si="2"/>
        <v>6.68</v>
      </c>
      <c r="H177" s="1">
        <v>47.0</v>
      </c>
      <c r="V177" s="1">
        <v>46.0</v>
      </c>
      <c r="W177" s="1">
        <v>21.0</v>
      </c>
      <c r="X177" s="1">
        <v>17.0</v>
      </c>
      <c r="Y177" s="1">
        <v>97.0</v>
      </c>
      <c r="Z177" s="1">
        <v>1388.0</v>
      </c>
      <c r="AA177" s="1">
        <v>1291.0</v>
      </c>
      <c r="AB177" s="1">
        <v>3.0</v>
      </c>
    </row>
    <row r="178" ht="12.75" customHeight="1">
      <c r="A178" s="1" t="s">
        <v>168</v>
      </c>
      <c r="B178" s="1">
        <f t="shared" si="3"/>
        <v>163</v>
      </c>
      <c r="C178" s="1" t="str">
        <f>IFERROR(__xludf.DUMMYFUNCTION("split(A178, ""\"")"),"Jaden Schwartz")</f>
        <v>Jaden Schwartz</v>
      </c>
      <c r="D178" s="1" t="str">
        <f>IFERROR(__xludf.DUMMYFUNCTION("""COMPUTED_VALUE"""),"schwaja01")</f>
        <v>schwaja01</v>
      </c>
      <c r="E178" s="1" t="s">
        <v>31</v>
      </c>
      <c r="F178" s="1">
        <f t="shared" si="1"/>
        <v>313.8</v>
      </c>
      <c r="G178" s="1">
        <f t="shared" si="2"/>
        <v>5.06</v>
      </c>
      <c r="H178" s="1">
        <v>62.0</v>
      </c>
      <c r="I178" s="1">
        <v>24.0</v>
      </c>
      <c r="J178" s="1">
        <v>35.0</v>
      </c>
      <c r="K178" s="1">
        <v>59.0</v>
      </c>
      <c r="L178" s="1">
        <v>157.0</v>
      </c>
      <c r="M178" s="1">
        <v>52.0</v>
      </c>
      <c r="N178" s="1">
        <v>30.0</v>
      </c>
      <c r="O178" s="1">
        <v>6.0</v>
      </c>
      <c r="P178" s="1">
        <v>5.0</v>
      </c>
      <c r="Q178" s="1">
        <v>1.0</v>
      </c>
      <c r="R178" s="1">
        <v>0.0</v>
      </c>
      <c r="S178" s="1">
        <v>15.0</v>
      </c>
      <c r="T178" s="1">
        <v>26.0</v>
      </c>
      <c r="U178" s="1">
        <v>3.0</v>
      </c>
    </row>
    <row r="179" ht="12.75" customHeight="1">
      <c r="A179" s="1" t="s">
        <v>142</v>
      </c>
      <c r="B179" s="1">
        <f t="shared" si="3"/>
        <v>165</v>
      </c>
      <c r="C179" s="1" t="str">
        <f>IFERROR(__xludf.DUMMYFUNCTION("split(A179, ""\"")"),"Yanni Gourde")</f>
        <v>Yanni Gourde</v>
      </c>
      <c r="D179" s="1" t="str">
        <f>IFERROR(__xludf.DUMMYFUNCTION("""COMPUTED_VALUE"""),"gourdya01")</f>
        <v>gourdya01</v>
      </c>
      <c r="E179" s="1" t="s">
        <v>31</v>
      </c>
      <c r="F179" s="1">
        <f t="shared" si="1"/>
        <v>312.75</v>
      </c>
      <c r="G179" s="1">
        <f t="shared" si="2"/>
        <v>3.81</v>
      </c>
      <c r="H179" s="1">
        <v>82.0</v>
      </c>
      <c r="I179" s="1">
        <v>25.0</v>
      </c>
      <c r="J179" s="1">
        <v>39.0</v>
      </c>
      <c r="K179" s="1">
        <v>64.0</v>
      </c>
      <c r="L179" s="1">
        <v>136.0</v>
      </c>
      <c r="M179" s="1">
        <v>57.0</v>
      </c>
      <c r="N179" s="1">
        <v>42.0</v>
      </c>
      <c r="O179" s="1">
        <v>7.0</v>
      </c>
      <c r="P179" s="1">
        <v>6.0</v>
      </c>
      <c r="Q179" s="1">
        <v>1.0</v>
      </c>
      <c r="R179" s="1">
        <v>1.0</v>
      </c>
      <c r="S179" s="1">
        <v>34.0</v>
      </c>
      <c r="T179" s="1">
        <v>50.0</v>
      </c>
      <c r="U179" s="1">
        <v>5.0</v>
      </c>
    </row>
    <row r="180" ht="12.75" customHeight="1">
      <c r="A180" s="1" t="s">
        <v>260</v>
      </c>
      <c r="B180" s="1">
        <f t="shared" si="3"/>
        <v>166</v>
      </c>
      <c r="C180" s="1" t="str">
        <f>IFERROR(__xludf.DUMMYFUNCTION("split(A180, ""\"")"),"Rick Nash")</f>
        <v>Rick Nash</v>
      </c>
      <c r="D180" s="1" t="str">
        <f>IFERROR(__xludf.DUMMYFUNCTION("""COMPUTED_VALUE"""),"nashri01")</f>
        <v>nashri01</v>
      </c>
      <c r="E180" s="1" t="s">
        <v>28</v>
      </c>
      <c r="F180" s="1">
        <f t="shared" si="1"/>
        <v>312.65</v>
      </c>
      <c r="G180" s="1">
        <f t="shared" si="2"/>
        <v>4.4</v>
      </c>
      <c r="H180" s="1">
        <v>71.0</v>
      </c>
      <c r="I180" s="1">
        <v>21.0</v>
      </c>
      <c r="J180" s="1">
        <v>13.0</v>
      </c>
      <c r="K180" s="1">
        <v>34.0</v>
      </c>
      <c r="L180" s="1">
        <v>230.0</v>
      </c>
      <c r="M180" s="1">
        <v>51.0</v>
      </c>
      <c r="N180" s="1">
        <v>42.0</v>
      </c>
      <c r="O180" s="1">
        <v>5.0</v>
      </c>
      <c r="P180" s="1">
        <v>2.0</v>
      </c>
      <c r="Q180" s="1">
        <v>0.0</v>
      </c>
      <c r="R180" s="1">
        <v>0.0</v>
      </c>
      <c r="S180" s="1">
        <v>-12.0</v>
      </c>
      <c r="T180" s="1">
        <v>28.0</v>
      </c>
      <c r="U180" s="1">
        <v>2.0</v>
      </c>
    </row>
    <row r="181" ht="12.75" customHeight="1">
      <c r="A181" s="1" t="s">
        <v>102</v>
      </c>
      <c r="B181" s="1">
        <f t="shared" si="3"/>
        <v>167</v>
      </c>
      <c r="C181" s="1" t="str">
        <f>IFERROR(__xludf.DUMMYFUNCTION("split(A181, ""\"")"),"Jimmy Howard")</f>
        <v>Jimmy Howard</v>
      </c>
      <c r="D181" s="2" t="str">
        <f>IFERROR(__xludf.DUMMYFUNCTION("""COMPUTED_VALUE"""),"howarja02")</f>
        <v>howarja02</v>
      </c>
      <c r="E181" s="1" t="s">
        <v>5</v>
      </c>
      <c r="F181" s="1">
        <f t="shared" si="1"/>
        <v>312</v>
      </c>
      <c r="G181" s="1">
        <f t="shared" si="2"/>
        <v>5.2</v>
      </c>
      <c r="H181" s="1">
        <v>60.0</v>
      </c>
      <c r="V181" s="1">
        <v>57.0</v>
      </c>
      <c r="W181" s="1">
        <v>22.0</v>
      </c>
      <c r="X181" s="1">
        <v>27.0</v>
      </c>
      <c r="Y181" s="1">
        <v>160.0</v>
      </c>
      <c r="Z181" s="1">
        <v>1770.0</v>
      </c>
      <c r="AA181" s="1">
        <v>1610.0</v>
      </c>
      <c r="AB181" s="1">
        <v>1.0</v>
      </c>
    </row>
    <row r="182" ht="12.75" customHeight="1">
      <c r="A182" s="1" t="s">
        <v>241</v>
      </c>
      <c r="B182" s="1">
        <f t="shared" si="3"/>
        <v>168</v>
      </c>
      <c r="C182" s="1" t="str">
        <f>IFERROR(__xludf.DUMMYFUNCTION("split(A182, ""\"")"),"Milan Lucic")</f>
        <v>Milan Lucic</v>
      </c>
      <c r="D182" s="1" t="str">
        <f>IFERROR(__xludf.DUMMYFUNCTION("""COMPUTED_VALUE"""),"lucicmi01")</f>
        <v>lucicmi01</v>
      </c>
      <c r="E182" s="1" t="s">
        <v>28</v>
      </c>
      <c r="F182" s="1">
        <f t="shared" si="1"/>
        <v>310.5</v>
      </c>
      <c r="G182" s="1">
        <f t="shared" si="2"/>
        <v>3.79</v>
      </c>
      <c r="H182" s="1">
        <v>82.0</v>
      </c>
      <c r="I182" s="1">
        <v>10.0</v>
      </c>
      <c r="J182" s="1">
        <v>24.0</v>
      </c>
      <c r="K182" s="1">
        <v>34.0</v>
      </c>
      <c r="L182" s="1">
        <v>147.0</v>
      </c>
      <c r="M182" s="1">
        <v>254.0</v>
      </c>
      <c r="N182" s="1">
        <v>25.0</v>
      </c>
      <c r="O182" s="1">
        <v>3.0</v>
      </c>
      <c r="P182" s="1">
        <v>4.0</v>
      </c>
      <c r="Q182" s="1">
        <v>0.0</v>
      </c>
      <c r="R182" s="1">
        <v>0.0</v>
      </c>
      <c r="S182" s="1">
        <v>-12.0</v>
      </c>
      <c r="T182" s="1">
        <v>80.0</v>
      </c>
      <c r="U182" s="1">
        <v>1.0</v>
      </c>
    </row>
    <row r="183" ht="12.75" customHeight="1">
      <c r="A183" s="1" t="s">
        <v>195</v>
      </c>
      <c r="B183" s="1">
        <f t="shared" si="3"/>
        <v>169</v>
      </c>
      <c r="C183" s="1" t="str">
        <f>IFERROR(__xludf.DUMMYFUNCTION("split(A183, ""\"")"),"Henrik Zetterberg")</f>
        <v>Henrik Zetterberg</v>
      </c>
      <c r="D183" s="1" t="str">
        <f>IFERROR(__xludf.DUMMYFUNCTION("""COMPUTED_VALUE"""),"zettehe01")</f>
        <v>zettehe01</v>
      </c>
      <c r="E183" s="1" t="s">
        <v>28</v>
      </c>
      <c r="F183" s="1">
        <f t="shared" si="1"/>
        <v>310.45</v>
      </c>
      <c r="G183" s="1">
        <f t="shared" si="2"/>
        <v>3.79</v>
      </c>
      <c r="H183" s="1">
        <v>82.0</v>
      </c>
      <c r="I183" s="1">
        <v>11.0</v>
      </c>
      <c r="J183" s="1">
        <v>45.0</v>
      </c>
      <c r="K183" s="1">
        <v>56.0</v>
      </c>
      <c r="L183" s="1">
        <v>180.0</v>
      </c>
      <c r="M183" s="1">
        <v>49.0</v>
      </c>
      <c r="N183" s="1">
        <v>34.0</v>
      </c>
      <c r="O183" s="1">
        <v>1.0</v>
      </c>
      <c r="P183" s="1">
        <v>17.0</v>
      </c>
      <c r="Q183" s="1">
        <v>0.0</v>
      </c>
      <c r="R183" s="1">
        <v>0.0</v>
      </c>
      <c r="S183" s="1">
        <v>1.0</v>
      </c>
      <c r="T183" s="1">
        <v>14.0</v>
      </c>
      <c r="U183" s="1">
        <v>2.0</v>
      </c>
    </row>
    <row r="184" ht="12.75" customHeight="1">
      <c r="A184" s="1" t="s">
        <v>295</v>
      </c>
      <c r="B184" s="1">
        <f t="shared" si="3"/>
        <v>170</v>
      </c>
      <c r="C184" s="1" t="str">
        <f>IFERROR(__xludf.DUMMYFUNCTION("split(A184, ""\"")"),"Brandon Saad")</f>
        <v>Brandon Saad</v>
      </c>
      <c r="D184" s="1" t="str">
        <f>IFERROR(__xludf.DUMMYFUNCTION("""COMPUTED_VALUE"""),"saadbr01")</f>
        <v>saadbr01</v>
      </c>
      <c r="E184" s="1" t="s">
        <v>28</v>
      </c>
      <c r="F184" s="1">
        <f t="shared" si="1"/>
        <v>308.95</v>
      </c>
      <c r="G184" s="1">
        <f t="shared" si="2"/>
        <v>3.77</v>
      </c>
      <c r="H184" s="1">
        <v>82.0</v>
      </c>
      <c r="I184" s="1">
        <v>18.0</v>
      </c>
      <c r="J184" s="1">
        <v>17.0</v>
      </c>
      <c r="K184" s="1">
        <v>35.0</v>
      </c>
      <c r="L184" s="1">
        <v>237.0</v>
      </c>
      <c r="M184" s="1">
        <v>29.0</v>
      </c>
      <c r="N184" s="1">
        <v>32.0</v>
      </c>
      <c r="O184" s="1">
        <v>1.0</v>
      </c>
      <c r="P184" s="1">
        <v>0.0</v>
      </c>
      <c r="Q184" s="1">
        <v>0.0</v>
      </c>
      <c r="R184" s="1">
        <v>0.0</v>
      </c>
      <c r="S184" s="1">
        <v>-10.0</v>
      </c>
      <c r="T184" s="1">
        <v>14.0</v>
      </c>
      <c r="U184" s="1">
        <v>8.0</v>
      </c>
    </row>
    <row r="185" ht="12.75" customHeight="1">
      <c r="A185" s="1" t="s">
        <v>235</v>
      </c>
      <c r="B185" s="1">
        <f t="shared" si="3"/>
        <v>171</v>
      </c>
      <c r="C185" s="1" t="str">
        <f>IFERROR(__xludf.DUMMYFUNCTION("split(A185, ""\"")"),"Dion Phaneuf")</f>
        <v>Dion Phaneuf</v>
      </c>
      <c r="D185" s="1" t="str">
        <f>IFERROR(__xludf.DUMMYFUNCTION("""COMPUTED_VALUE"""),"phanedi01")</f>
        <v>phanedi01</v>
      </c>
      <c r="E185" s="1" t="s">
        <v>66</v>
      </c>
      <c r="F185" s="1">
        <f t="shared" si="1"/>
        <v>308.45</v>
      </c>
      <c r="G185" s="1">
        <f t="shared" si="2"/>
        <v>3.9</v>
      </c>
      <c r="H185" s="1">
        <v>79.0</v>
      </c>
      <c r="I185" s="1">
        <v>6.0</v>
      </c>
      <c r="J185" s="1">
        <v>20.0</v>
      </c>
      <c r="K185" s="1">
        <v>26.0</v>
      </c>
      <c r="L185" s="1">
        <v>134.0</v>
      </c>
      <c r="M185" s="1">
        <v>161.0</v>
      </c>
      <c r="N185" s="1">
        <v>154.0</v>
      </c>
      <c r="O185" s="1">
        <v>4.0</v>
      </c>
      <c r="P185" s="1">
        <v>7.0</v>
      </c>
      <c r="Q185" s="1">
        <v>0.0</v>
      </c>
      <c r="R185" s="1">
        <v>0.0</v>
      </c>
      <c r="S185" s="1">
        <v>-15.0</v>
      </c>
      <c r="T185" s="1">
        <v>49.0</v>
      </c>
      <c r="U185" s="1">
        <v>0.0</v>
      </c>
    </row>
    <row r="186" ht="12.75" customHeight="1">
      <c r="A186" s="1" t="s">
        <v>267</v>
      </c>
      <c r="B186" s="1">
        <f t="shared" si="3"/>
        <v>172</v>
      </c>
      <c r="C186" s="1" t="str">
        <f>IFERROR(__xludf.DUMMYFUNCTION("split(A186, ""\"")"),"Cody Ceci")</f>
        <v>Cody Ceci</v>
      </c>
      <c r="D186" s="1" t="str">
        <f>IFERROR(__xludf.DUMMYFUNCTION("""COMPUTED_VALUE"""),"cecico01")</f>
        <v>cecico01</v>
      </c>
      <c r="E186" s="1" t="s">
        <v>66</v>
      </c>
      <c r="F186" s="1">
        <f t="shared" si="1"/>
        <v>308.35</v>
      </c>
      <c r="G186" s="1">
        <f t="shared" si="2"/>
        <v>3.76</v>
      </c>
      <c r="H186" s="1">
        <v>82.0</v>
      </c>
      <c r="I186" s="1">
        <v>5.0</v>
      </c>
      <c r="J186" s="1">
        <v>14.0</v>
      </c>
      <c r="K186" s="1">
        <v>19.0</v>
      </c>
      <c r="L186" s="1">
        <v>143.0</v>
      </c>
      <c r="M186" s="1">
        <v>163.0</v>
      </c>
      <c r="N186" s="1">
        <v>171.0</v>
      </c>
      <c r="O186" s="1">
        <v>0.0</v>
      </c>
      <c r="P186" s="1">
        <v>5.0</v>
      </c>
      <c r="Q186" s="1">
        <v>0.0</v>
      </c>
      <c r="R186" s="1">
        <v>0.0</v>
      </c>
      <c r="S186" s="1">
        <v>-27.0</v>
      </c>
      <c r="T186" s="1">
        <v>12.0</v>
      </c>
      <c r="U186" s="1">
        <v>1.0</v>
      </c>
    </row>
    <row r="187" ht="12.75" customHeight="1">
      <c r="A187" s="1" t="s">
        <v>181</v>
      </c>
      <c r="B187" s="1">
        <f t="shared" si="3"/>
        <v>173</v>
      </c>
      <c r="C187" s="1" t="str">
        <f>IFERROR(__xludf.DUMMYFUNCTION("split(A187, ""\"")"),"William Nylander")</f>
        <v>William Nylander</v>
      </c>
      <c r="D187" s="1" t="str">
        <f>IFERROR(__xludf.DUMMYFUNCTION("""COMPUTED_VALUE"""),"nylanwi01")</f>
        <v>nylanwi01</v>
      </c>
      <c r="E187" s="1" t="s">
        <v>31</v>
      </c>
      <c r="F187" s="1">
        <f t="shared" si="1"/>
        <v>308.25</v>
      </c>
      <c r="G187" s="1">
        <f t="shared" si="2"/>
        <v>3.76</v>
      </c>
      <c r="H187" s="1">
        <v>82.0</v>
      </c>
      <c r="I187" s="1">
        <v>20.0</v>
      </c>
      <c r="J187" s="1">
        <v>41.0</v>
      </c>
      <c r="K187" s="1">
        <v>61.0</v>
      </c>
      <c r="L187" s="1">
        <v>184.0</v>
      </c>
      <c r="M187" s="1">
        <v>21.0</v>
      </c>
      <c r="N187" s="1">
        <v>18.0</v>
      </c>
      <c r="O187" s="1">
        <v>5.0</v>
      </c>
      <c r="P187" s="1">
        <v>7.0</v>
      </c>
      <c r="Q187" s="1">
        <v>0.0</v>
      </c>
      <c r="R187" s="1">
        <v>0.0</v>
      </c>
      <c r="S187" s="1">
        <v>20.0</v>
      </c>
      <c r="T187" s="1">
        <v>10.0</v>
      </c>
      <c r="U187" s="1">
        <v>8.0</v>
      </c>
    </row>
    <row r="188" ht="12.75" customHeight="1">
      <c r="A188" s="1" t="s">
        <v>120</v>
      </c>
      <c r="B188" s="1">
        <f t="shared" si="3"/>
        <v>174</v>
      </c>
      <c r="C188" s="1" t="str">
        <f>IFERROR(__xludf.DUMMYFUNCTION("split(A188, ""\"")"),"Ben Bishop")</f>
        <v>Ben Bishop</v>
      </c>
      <c r="D188" s="2" t="str">
        <f>IFERROR(__xludf.DUMMYFUNCTION("""COMPUTED_VALUE"""),"bishobe01")</f>
        <v>bishobe01</v>
      </c>
      <c r="E188" s="1" t="s">
        <v>5</v>
      </c>
      <c r="F188" s="1">
        <f t="shared" si="1"/>
        <v>308.1</v>
      </c>
      <c r="G188" s="1">
        <f t="shared" si="2"/>
        <v>5.81</v>
      </c>
      <c r="H188" s="1">
        <v>53.0</v>
      </c>
      <c r="V188" s="1">
        <v>51.0</v>
      </c>
      <c r="W188" s="1">
        <v>26.0</v>
      </c>
      <c r="X188" s="1">
        <v>17.0</v>
      </c>
      <c r="Y188" s="1">
        <v>120.0</v>
      </c>
      <c r="Z188" s="1">
        <v>1437.0</v>
      </c>
      <c r="AA188" s="1">
        <v>1317.0</v>
      </c>
      <c r="AB188" s="1">
        <v>5.0</v>
      </c>
    </row>
    <row r="189" ht="12.75" customHeight="1">
      <c r="A189" s="1" t="s">
        <v>202</v>
      </c>
      <c r="B189" s="1">
        <f t="shared" si="3"/>
        <v>175</v>
      </c>
      <c r="C189" s="1" t="str">
        <f>IFERROR(__xludf.DUMMYFUNCTION("split(A189, ""\"")"),"Nico Hischier")</f>
        <v>Nico Hischier</v>
      </c>
      <c r="D189" s="1" t="str">
        <f>IFERROR(__xludf.DUMMYFUNCTION("""COMPUTED_VALUE"""),"hischni01")</f>
        <v>hischni01</v>
      </c>
      <c r="E189" s="1" t="s">
        <v>31</v>
      </c>
      <c r="F189" s="1">
        <f t="shared" si="1"/>
        <v>306.3</v>
      </c>
      <c r="G189" s="1">
        <f t="shared" si="2"/>
        <v>3.74</v>
      </c>
      <c r="H189" s="1">
        <v>82.0</v>
      </c>
      <c r="I189" s="1">
        <v>20.0</v>
      </c>
      <c r="J189" s="1">
        <v>32.0</v>
      </c>
      <c r="K189" s="1">
        <v>52.0</v>
      </c>
      <c r="L189" s="1">
        <v>180.0</v>
      </c>
      <c r="M189" s="1">
        <v>56.0</v>
      </c>
      <c r="N189" s="1">
        <v>39.0</v>
      </c>
      <c r="O189" s="1">
        <v>1.0</v>
      </c>
      <c r="P189" s="1">
        <v>5.0</v>
      </c>
      <c r="Q189" s="1">
        <v>0.0</v>
      </c>
      <c r="R189" s="1">
        <v>0.0</v>
      </c>
      <c r="S189" s="1">
        <v>10.0</v>
      </c>
      <c r="T189" s="1">
        <v>26.0</v>
      </c>
      <c r="U189" s="1">
        <v>2.0</v>
      </c>
    </row>
    <row r="190" ht="12.75" customHeight="1">
      <c r="A190" s="1" t="s">
        <v>300</v>
      </c>
      <c r="B190" s="1">
        <f t="shared" si="3"/>
        <v>176</v>
      </c>
      <c r="C190" s="1" t="str">
        <f>IFERROR(__xludf.DUMMYFUNCTION("split(A190, ""\"")"),"Brady Skjei")</f>
        <v>Brady Skjei</v>
      </c>
      <c r="D190" s="1" t="str">
        <f>IFERROR(__xludf.DUMMYFUNCTION("""COMPUTED_VALUE"""),"skjeibr01")</f>
        <v>skjeibr01</v>
      </c>
      <c r="E190" s="1" t="s">
        <v>66</v>
      </c>
      <c r="F190" s="1">
        <f t="shared" si="1"/>
        <v>305.95</v>
      </c>
      <c r="G190" s="1">
        <f t="shared" si="2"/>
        <v>3.73</v>
      </c>
      <c r="H190" s="1">
        <v>82.0</v>
      </c>
      <c r="I190" s="1">
        <v>4.0</v>
      </c>
      <c r="J190" s="1">
        <v>21.0</v>
      </c>
      <c r="K190" s="1">
        <v>25.0</v>
      </c>
      <c r="L190" s="1">
        <v>153.0</v>
      </c>
      <c r="M190" s="1">
        <v>127.0</v>
      </c>
      <c r="N190" s="1">
        <v>119.0</v>
      </c>
      <c r="O190" s="1">
        <v>0.0</v>
      </c>
      <c r="P190" s="1">
        <v>6.0</v>
      </c>
      <c r="Q190" s="1">
        <v>1.0</v>
      </c>
      <c r="R190" s="1">
        <v>0.0</v>
      </c>
      <c r="S190" s="1">
        <v>-27.0</v>
      </c>
      <c r="T190" s="1">
        <v>39.0</v>
      </c>
      <c r="U190" s="1">
        <v>1.0</v>
      </c>
    </row>
    <row r="191" ht="12.75" customHeight="1">
      <c r="A191" s="1" t="s">
        <v>233</v>
      </c>
      <c r="B191" s="1">
        <f t="shared" si="3"/>
        <v>177</v>
      </c>
      <c r="C191" s="1" t="str">
        <f>IFERROR(__xludf.DUMMYFUNCTION("split(A191, ""\"")"),"Elias Lindholm")</f>
        <v>Elias Lindholm</v>
      </c>
      <c r="D191" s="1" t="str">
        <f>IFERROR(__xludf.DUMMYFUNCTION("""COMPUTED_VALUE"""),"lindhel01")</f>
        <v>lindhel01</v>
      </c>
      <c r="E191" s="1" t="s">
        <v>31</v>
      </c>
      <c r="F191" s="1">
        <f t="shared" si="1"/>
        <v>305.9</v>
      </c>
      <c r="G191" s="1">
        <f t="shared" si="2"/>
        <v>3.78</v>
      </c>
      <c r="H191" s="1">
        <v>81.0</v>
      </c>
      <c r="I191" s="1">
        <v>16.0</v>
      </c>
      <c r="J191" s="1">
        <v>28.0</v>
      </c>
      <c r="K191" s="1">
        <v>44.0</v>
      </c>
      <c r="L191" s="1">
        <v>153.0</v>
      </c>
      <c r="M191" s="1">
        <v>98.0</v>
      </c>
      <c r="N191" s="1">
        <v>41.0</v>
      </c>
      <c r="O191" s="1">
        <v>6.0</v>
      </c>
      <c r="P191" s="1">
        <v>3.0</v>
      </c>
      <c r="Q191" s="1">
        <v>0.0</v>
      </c>
      <c r="R191" s="1">
        <v>1.0</v>
      </c>
      <c r="S191" s="1">
        <v>-8.0</v>
      </c>
      <c r="T191" s="1">
        <v>18.0</v>
      </c>
      <c r="U191" s="1">
        <v>4.0</v>
      </c>
    </row>
    <row r="192" ht="12.75" customHeight="1">
      <c r="A192" s="1" t="s">
        <v>187</v>
      </c>
      <c r="B192" s="1">
        <f t="shared" si="3"/>
        <v>178</v>
      </c>
      <c r="C192" s="1" t="str">
        <f>IFERROR(__xludf.DUMMYFUNCTION("split(A192, ""\"")"),"Alex DeBrincat")</f>
        <v>Alex DeBrincat</v>
      </c>
      <c r="D192" s="1" t="str">
        <f>IFERROR(__xludf.DUMMYFUNCTION("""COMPUTED_VALUE"""),"debrial01")</f>
        <v>debrial01</v>
      </c>
      <c r="E192" s="1" t="s">
        <v>36</v>
      </c>
      <c r="F192" s="1">
        <f t="shared" si="1"/>
        <v>305.8</v>
      </c>
      <c r="G192" s="1">
        <f t="shared" si="2"/>
        <v>3.73</v>
      </c>
      <c r="H192" s="1">
        <v>82.0</v>
      </c>
      <c r="I192" s="1">
        <v>28.0</v>
      </c>
      <c r="J192" s="1">
        <v>24.0</v>
      </c>
      <c r="K192" s="1">
        <v>52.0</v>
      </c>
      <c r="L192" s="1">
        <v>181.0</v>
      </c>
      <c r="M192" s="1">
        <v>40.0</v>
      </c>
      <c r="N192" s="1">
        <v>25.0</v>
      </c>
      <c r="O192" s="1">
        <v>6.0</v>
      </c>
      <c r="P192" s="1">
        <v>6.0</v>
      </c>
      <c r="Q192" s="1">
        <v>0.0</v>
      </c>
      <c r="R192" s="1">
        <v>0.0</v>
      </c>
      <c r="S192" s="1">
        <v>6.0</v>
      </c>
      <c r="T192" s="1">
        <v>6.0</v>
      </c>
      <c r="U192" s="1">
        <v>1.0</v>
      </c>
    </row>
    <row r="193" ht="12.75" customHeight="1">
      <c r="A193" s="1" t="s">
        <v>231</v>
      </c>
      <c r="B193" s="1">
        <f t="shared" si="3"/>
        <v>179</v>
      </c>
      <c r="C193" s="1" t="str">
        <f>IFERROR(__xludf.DUMMYFUNCTION("split(A193, ""\"")"),"Gustav Nyquist")</f>
        <v>Gustav Nyquist</v>
      </c>
      <c r="D193" s="1" t="str">
        <f>IFERROR(__xludf.DUMMYFUNCTION("""COMPUTED_VALUE"""),"nyquigu01")</f>
        <v>nyquigu01</v>
      </c>
      <c r="E193" s="1" t="s">
        <v>36</v>
      </c>
      <c r="F193" s="1">
        <f t="shared" si="1"/>
        <v>305.25</v>
      </c>
      <c r="G193" s="1">
        <f t="shared" si="2"/>
        <v>3.72</v>
      </c>
      <c r="H193" s="1">
        <v>82.0</v>
      </c>
      <c r="I193" s="1">
        <v>21.0</v>
      </c>
      <c r="J193" s="1">
        <v>19.0</v>
      </c>
      <c r="K193" s="1">
        <v>40.0</v>
      </c>
      <c r="L193" s="1">
        <v>213.0</v>
      </c>
      <c r="M193" s="1">
        <v>65.0</v>
      </c>
      <c r="N193" s="1">
        <v>36.0</v>
      </c>
      <c r="O193" s="1">
        <v>3.0</v>
      </c>
      <c r="P193" s="1">
        <v>5.0</v>
      </c>
      <c r="Q193" s="1">
        <v>0.0</v>
      </c>
      <c r="R193" s="1">
        <v>0.0</v>
      </c>
      <c r="S193" s="1">
        <v>-2.0</v>
      </c>
      <c r="T193" s="1">
        <v>20.0</v>
      </c>
      <c r="U193" s="1">
        <v>2.0</v>
      </c>
    </row>
    <row r="194" ht="12.75" customHeight="1">
      <c r="A194" s="1" t="s">
        <v>213</v>
      </c>
      <c r="B194" s="1">
        <f t="shared" si="3"/>
        <v>180</v>
      </c>
      <c r="C194" s="1" t="str">
        <f>IFERROR(__xludf.DUMMYFUNCTION("split(A194, ""\"")"),"Paul Stastny")</f>
        <v>Paul Stastny</v>
      </c>
      <c r="D194" s="1" t="str">
        <f>IFERROR(__xludf.DUMMYFUNCTION("""COMPUTED_VALUE"""),"stastpa01")</f>
        <v>stastpa01</v>
      </c>
      <c r="E194" s="1" t="s">
        <v>31</v>
      </c>
      <c r="F194" s="1">
        <f t="shared" si="1"/>
        <v>305.15</v>
      </c>
      <c r="G194" s="1">
        <f t="shared" si="2"/>
        <v>3.72</v>
      </c>
      <c r="H194" s="1">
        <v>82.0</v>
      </c>
      <c r="I194" s="1">
        <v>16.0</v>
      </c>
      <c r="J194" s="1">
        <v>37.0</v>
      </c>
      <c r="K194" s="1">
        <v>53.0</v>
      </c>
      <c r="L194" s="1">
        <v>159.0</v>
      </c>
      <c r="M194" s="1">
        <v>43.0</v>
      </c>
      <c r="N194" s="1">
        <v>38.0</v>
      </c>
      <c r="O194" s="1">
        <v>3.0</v>
      </c>
      <c r="P194" s="1">
        <v>6.0</v>
      </c>
      <c r="Q194" s="1">
        <v>0.0</v>
      </c>
      <c r="R194" s="1">
        <v>1.0</v>
      </c>
      <c r="S194" s="1">
        <v>1.0</v>
      </c>
      <c r="T194" s="1">
        <v>18.0</v>
      </c>
      <c r="U194" s="1">
        <v>3.0</v>
      </c>
    </row>
    <row r="195" ht="12.75" customHeight="1">
      <c r="A195" s="1" t="s">
        <v>196</v>
      </c>
      <c r="B195" s="1">
        <f t="shared" si="3"/>
        <v>181</v>
      </c>
      <c r="C195" s="1" t="str">
        <f>IFERROR(__xludf.DUMMYFUNCTION("split(A195, ""\"")"),"Vladislav Namestnikov")</f>
        <v>Vladislav Namestnikov</v>
      </c>
      <c r="D195" s="1" t="str">
        <f>IFERROR(__xludf.DUMMYFUNCTION("""COMPUTED_VALUE"""),"namesvl01")</f>
        <v>namesvl01</v>
      </c>
      <c r="E195" s="1" t="s">
        <v>31</v>
      </c>
      <c r="F195" s="1">
        <f t="shared" si="1"/>
        <v>304.75</v>
      </c>
      <c r="G195" s="1">
        <f t="shared" si="2"/>
        <v>3.76</v>
      </c>
      <c r="H195" s="1">
        <v>81.0</v>
      </c>
      <c r="I195" s="1">
        <v>22.0</v>
      </c>
      <c r="J195" s="1">
        <v>26.0</v>
      </c>
      <c r="K195" s="1">
        <v>48.0</v>
      </c>
      <c r="L195" s="1">
        <v>155.0</v>
      </c>
      <c r="M195" s="1">
        <v>79.0</v>
      </c>
      <c r="N195" s="1">
        <v>44.0</v>
      </c>
      <c r="O195" s="1">
        <v>9.0</v>
      </c>
      <c r="P195" s="1">
        <v>7.0</v>
      </c>
      <c r="Q195" s="1">
        <v>0.0</v>
      </c>
      <c r="R195" s="1">
        <v>0.0</v>
      </c>
      <c r="S195" s="1">
        <v>6.0</v>
      </c>
      <c r="T195" s="1">
        <v>45.0</v>
      </c>
      <c r="U195" s="1">
        <v>2.0</v>
      </c>
    </row>
    <row r="196" ht="12.75" customHeight="1">
      <c r="A196" s="1" t="s">
        <v>199</v>
      </c>
      <c r="B196" s="1">
        <f t="shared" si="3"/>
        <v>182</v>
      </c>
      <c r="C196" s="1" t="str">
        <f>IFERROR(__xludf.DUMMYFUNCTION("split(A196, ""\"")"),"Ryan Johansen")</f>
        <v>Ryan Johansen</v>
      </c>
      <c r="D196" s="1" t="str">
        <f>IFERROR(__xludf.DUMMYFUNCTION("""COMPUTED_VALUE"""),"johanry01")</f>
        <v>johanry01</v>
      </c>
      <c r="E196" s="1" t="s">
        <v>31</v>
      </c>
      <c r="F196" s="1">
        <f t="shared" si="1"/>
        <v>304.15</v>
      </c>
      <c r="G196" s="1">
        <f t="shared" si="2"/>
        <v>3.85</v>
      </c>
      <c r="H196" s="1">
        <v>79.0</v>
      </c>
      <c r="I196" s="1">
        <v>15.0</v>
      </c>
      <c r="J196" s="1">
        <v>39.0</v>
      </c>
      <c r="K196" s="1">
        <v>54.0</v>
      </c>
      <c r="L196" s="1">
        <v>129.0</v>
      </c>
      <c r="M196" s="1">
        <v>87.0</v>
      </c>
      <c r="N196" s="1">
        <v>35.0</v>
      </c>
      <c r="O196" s="1">
        <v>1.0</v>
      </c>
      <c r="P196" s="1">
        <v>14.0</v>
      </c>
      <c r="Q196" s="1">
        <v>0.0</v>
      </c>
      <c r="R196" s="1">
        <v>2.0</v>
      </c>
      <c r="S196" s="1">
        <v>13.0</v>
      </c>
      <c r="T196" s="1">
        <v>78.0</v>
      </c>
      <c r="U196" s="1">
        <v>3.0</v>
      </c>
    </row>
    <row r="197" ht="12.75" customHeight="1">
      <c r="A197" s="1" t="s">
        <v>229</v>
      </c>
      <c r="B197" s="1">
        <f t="shared" si="3"/>
        <v>183</v>
      </c>
      <c r="C197" s="1" t="str">
        <f>IFERROR(__xludf.DUMMYFUNCTION("split(A197, ""\"")"),"Darnell Nurse")</f>
        <v>Darnell Nurse</v>
      </c>
      <c r="D197" s="1" t="str">
        <f>IFERROR(__xludf.DUMMYFUNCTION("""COMPUTED_VALUE"""),"nurseda01")</f>
        <v>nurseda01</v>
      </c>
      <c r="E197" s="1" t="s">
        <v>66</v>
      </c>
      <c r="F197" s="1">
        <f t="shared" si="1"/>
        <v>302.35</v>
      </c>
      <c r="G197" s="1">
        <f t="shared" si="2"/>
        <v>3.69</v>
      </c>
      <c r="H197" s="1">
        <v>82.0</v>
      </c>
      <c r="I197" s="1">
        <v>6.0</v>
      </c>
      <c r="J197" s="1">
        <v>20.0</v>
      </c>
      <c r="K197" s="1">
        <v>26.0</v>
      </c>
      <c r="L197" s="1">
        <v>194.0</v>
      </c>
      <c r="M197" s="1">
        <v>161.0</v>
      </c>
      <c r="N197" s="1">
        <v>153.0</v>
      </c>
      <c r="O197" s="1">
        <v>0.0</v>
      </c>
      <c r="P197" s="1">
        <v>0.0</v>
      </c>
      <c r="Q197" s="1">
        <v>0.0</v>
      </c>
      <c r="R197" s="1">
        <v>0.0</v>
      </c>
      <c r="S197" s="1">
        <v>15.0</v>
      </c>
      <c r="T197" s="1">
        <v>67.0</v>
      </c>
      <c r="U197" s="1">
        <v>2.0</v>
      </c>
    </row>
    <row r="198" ht="12.75" customHeight="1">
      <c r="A198" s="1" t="s">
        <v>191</v>
      </c>
      <c r="B198" s="1">
        <f t="shared" si="3"/>
        <v>184</v>
      </c>
      <c r="C198" s="1" t="str">
        <f>IFERROR(__xludf.DUMMYFUNCTION("split(A198, ""\"")"),"T.J. Oshie")</f>
        <v>T.J. Oshie</v>
      </c>
      <c r="D198" s="1" t="str">
        <f>IFERROR(__xludf.DUMMYFUNCTION("""COMPUTED_VALUE"""),"oshietj01")</f>
        <v>oshietj01</v>
      </c>
      <c r="E198" s="1" t="s">
        <v>42</v>
      </c>
      <c r="F198" s="1">
        <f t="shared" si="1"/>
        <v>301.8</v>
      </c>
      <c r="G198" s="1">
        <f t="shared" si="2"/>
        <v>4.08</v>
      </c>
      <c r="H198" s="1">
        <v>74.0</v>
      </c>
      <c r="I198" s="1">
        <v>18.0</v>
      </c>
      <c r="J198" s="1">
        <v>29.0</v>
      </c>
      <c r="K198" s="1">
        <v>47.0</v>
      </c>
      <c r="L198" s="1">
        <v>127.0</v>
      </c>
      <c r="M198" s="1">
        <v>124.0</v>
      </c>
      <c r="N198" s="1">
        <v>54.0</v>
      </c>
      <c r="O198" s="1">
        <v>9.0</v>
      </c>
      <c r="P198" s="1">
        <v>9.0</v>
      </c>
      <c r="Q198" s="1">
        <v>0.0</v>
      </c>
      <c r="R198" s="1">
        <v>0.0</v>
      </c>
      <c r="S198" s="1">
        <v>2.0</v>
      </c>
      <c r="T198" s="1">
        <v>31.0</v>
      </c>
      <c r="U198" s="1">
        <v>3.0</v>
      </c>
    </row>
    <row r="199" ht="12.75" customHeight="1">
      <c r="A199" s="1" t="s">
        <v>225</v>
      </c>
      <c r="B199" s="1">
        <f t="shared" si="3"/>
        <v>185</v>
      </c>
      <c r="C199" s="1" t="str">
        <f>IFERROR(__xludf.DUMMYFUNCTION("split(A199, ""\"")"),"Kevin Hayes")</f>
        <v>Kevin Hayes</v>
      </c>
      <c r="D199" s="1" t="str">
        <f>IFERROR(__xludf.DUMMYFUNCTION("""COMPUTED_VALUE"""),"hayeske01")</f>
        <v>hayeske01</v>
      </c>
      <c r="E199" s="1" t="s">
        <v>36</v>
      </c>
      <c r="F199" s="1">
        <f t="shared" si="1"/>
        <v>301.4</v>
      </c>
      <c r="G199" s="1">
        <f t="shared" si="2"/>
        <v>3.97</v>
      </c>
      <c r="H199" s="1">
        <v>76.0</v>
      </c>
      <c r="I199" s="1">
        <v>25.0</v>
      </c>
      <c r="J199" s="1">
        <v>19.0</v>
      </c>
      <c r="K199" s="1">
        <v>44.0</v>
      </c>
      <c r="L199" s="1">
        <v>172.0</v>
      </c>
      <c r="M199" s="1">
        <v>40.0</v>
      </c>
      <c r="N199" s="1">
        <v>36.0</v>
      </c>
      <c r="O199" s="1">
        <v>6.0</v>
      </c>
      <c r="P199" s="1">
        <v>2.0</v>
      </c>
      <c r="Q199" s="1">
        <v>2.0</v>
      </c>
      <c r="R199" s="1">
        <v>0.0</v>
      </c>
      <c r="S199" s="1">
        <v>1.0</v>
      </c>
      <c r="T199" s="1">
        <v>18.0</v>
      </c>
      <c r="U199" s="1">
        <v>4.0</v>
      </c>
    </row>
    <row r="200" ht="12.75" customHeight="1">
      <c r="A200" s="1" t="s">
        <v>204</v>
      </c>
      <c r="B200" s="1">
        <f t="shared" si="3"/>
        <v>186</v>
      </c>
      <c r="C200" s="1" t="str">
        <f>IFERROR(__xludf.DUMMYFUNCTION("split(A200, ""\"")"),"Cam Atkinson")</f>
        <v>Cam Atkinson</v>
      </c>
      <c r="D200" s="1" t="str">
        <f>IFERROR(__xludf.DUMMYFUNCTION("""COMPUTED_VALUE"""),"atkinca01")</f>
        <v>atkinca01</v>
      </c>
      <c r="E200" s="1" t="s">
        <v>36</v>
      </c>
      <c r="F200" s="1">
        <f t="shared" si="1"/>
        <v>300.7</v>
      </c>
      <c r="G200" s="1">
        <f t="shared" si="2"/>
        <v>4.63</v>
      </c>
      <c r="H200" s="1">
        <v>65.0</v>
      </c>
      <c r="I200" s="1">
        <v>24.0</v>
      </c>
      <c r="J200" s="1">
        <v>22.0</v>
      </c>
      <c r="K200" s="1">
        <v>46.0</v>
      </c>
      <c r="L200" s="1">
        <v>231.0</v>
      </c>
      <c r="M200" s="1">
        <v>32.0</v>
      </c>
      <c r="N200" s="1">
        <v>29.0</v>
      </c>
      <c r="O200" s="1">
        <v>3.0</v>
      </c>
      <c r="P200" s="1">
        <v>7.0</v>
      </c>
      <c r="Q200" s="1">
        <v>1.0</v>
      </c>
      <c r="R200" s="1">
        <v>0.0</v>
      </c>
      <c r="S200" s="1">
        <v>19.0</v>
      </c>
      <c r="T200" s="1">
        <v>14.0</v>
      </c>
      <c r="U200" s="1">
        <v>5.0</v>
      </c>
    </row>
    <row r="201" ht="12.75" customHeight="1">
      <c r="A201" s="1" t="s">
        <v>166</v>
      </c>
      <c r="B201" s="1">
        <f t="shared" si="3"/>
        <v>187</v>
      </c>
      <c r="C201" s="1" t="str">
        <f>IFERROR(__xludf.DUMMYFUNCTION("split(A201, ""\"")"),"Ryan Getzlaf")</f>
        <v>Ryan Getzlaf</v>
      </c>
      <c r="D201" s="1" t="str">
        <f>IFERROR(__xludf.DUMMYFUNCTION("""COMPUTED_VALUE"""),"getzlry01")</f>
        <v>getzlry01</v>
      </c>
      <c r="E201" s="1" t="s">
        <v>31</v>
      </c>
      <c r="F201" s="1">
        <f t="shared" si="1"/>
        <v>299.1</v>
      </c>
      <c r="G201" s="1">
        <f t="shared" si="2"/>
        <v>5.34</v>
      </c>
      <c r="H201" s="1">
        <v>56.0</v>
      </c>
      <c r="I201" s="1">
        <v>11.0</v>
      </c>
      <c r="J201" s="1">
        <v>50.0</v>
      </c>
      <c r="K201" s="1">
        <v>61.0</v>
      </c>
      <c r="L201" s="1">
        <v>117.0</v>
      </c>
      <c r="M201" s="1">
        <v>96.0</v>
      </c>
      <c r="N201" s="1">
        <v>57.0</v>
      </c>
      <c r="O201" s="1">
        <v>0.0</v>
      </c>
      <c r="P201" s="1">
        <v>13.0</v>
      </c>
      <c r="Q201" s="1">
        <v>1.0</v>
      </c>
      <c r="R201" s="1">
        <v>1.0</v>
      </c>
      <c r="S201" s="1">
        <v>20.0</v>
      </c>
      <c r="T201" s="1">
        <v>42.0</v>
      </c>
      <c r="U201" s="1">
        <v>0.0</v>
      </c>
    </row>
    <row r="202" ht="12.75" customHeight="1">
      <c r="A202" s="1" t="s">
        <v>164</v>
      </c>
      <c r="B202" s="1">
        <f t="shared" si="3"/>
        <v>188</v>
      </c>
      <c r="C202" s="1" t="str">
        <f>IFERROR(__xludf.DUMMYFUNCTION("split(A202, ""\"")"),"Mark Scheifele")</f>
        <v>Mark Scheifele</v>
      </c>
      <c r="D202" s="1" t="str">
        <f>IFERROR(__xludf.DUMMYFUNCTION("""COMPUTED_VALUE"""),"scheima01")</f>
        <v>scheima01</v>
      </c>
      <c r="E202" s="1" t="s">
        <v>31</v>
      </c>
      <c r="F202" s="1">
        <f t="shared" si="1"/>
        <v>298.65</v>
      </c>
      <c r="G202" s="1">
        <f t="shared" si="2"/>
        <v>4.98</v>
      </c>
      <c r="H202" s="1">
        <v>60.0</v>
      </c>
      <c r="I202" s="1">
        <v>23.0</v>
      </c>
      <c r="J202" s="1">
        <v>37.0</v>
      </c>
      <c r="K202" s="1">
        <v>60.0</v>
      </c>
      <c r="L202" s="1">
        <v>125.0</v>
      </c>
      <c r="M202" s="1">
        <v>57.0</v>
      </c>
      <c r="N202" s="1">
        <v>31.0</v>
      </c>
      <c r="O202" s="1">
        <v>8.0</v>
      </c>
      <c r="P202" s="1">
        <v>8.0</v>
      </c>
      <c r="Q202" s="1">
        <v>2.0</v>
      </c>
      <c r="R202" s="1">
        <v>1.0</v>
      </c>
      <c r="S202" s="1">
        <v>19.0</v>
      </c>
      <c r="T202" s="1">
        <v>18.0</v>
      </c>
      <c r="U202" s="1">
        <v>3.0</v>
      </c>
    </row>
    <row r="203" ht="12.75" customHeight="1">
      <c r="A203" s="1" t="s">
        <v>249</v>
      </c>
      <c r="B203" s="1">
        <f t="shared" si="3"/>
        <v>189</v>
      </c>
      <c r="C203" s="1" t="str">
        <f>IFERROR(__xludf.DUMMYFUNCTION("split(A203, ""\"")"),"Lars Eller")</f>
        <v>Lars Eller</v>
      </c>
      <c r="D203" s="1" t="str">
        <f>IFERROR(__xludf.DUMMYFUNCTION("""COMPUTED_VALUE"""),"ellerla01")</f>
        <v>ellerla01</v>
      </c>
      <c r="E203" s="1" t="s">
        <v>31</v>
      </c>
      <c r="F203" s="1">
        <f t="shared" si="1"/>
        <v>298.15</v>
      </c>
      <c r="G203" s="1">
        <f t="shared" si="2"/>
        <v>3.68</v>
      </c>
      <c r="H203" s="1">
        <v>81.0</v>
      </c>
      <c r="I203" s="1">
        <v>18.0</v>
      </c>
      <c r="J203" s="1">
        <v>20.0</v>
      </c>
      <c r="K203" s="1">
        <v>38.0</v>
      </c>
      <c r="L203" s="1">
        <v>161.0</v>
      </c>
      <c r="M203" s="1">
        <v>71.0</v>
      </c>
      <c r="N203" s="1">
        <v>69.0</v>
      </c>
      <c r="O203" s="1">
        <v>3.0</v>
      </c>
      <c r="P203" s="1">
        <v>3.0</v>
      </c>
      <c r="Q203" s="1">
        <v>0.0</v>
      </c>
      <c r="R203" s="1">
        <v>0.0</v>
      </c>
      <c r="S203" s="1">
        <v>-6.0</v>
      </c>
      <c r="T203" s="1">
        <v>38.0</v>
      </c>
      <c r="U203" s="1">
        <v>2.0</v>
      </c>
    </row>
    <row r="204" ht="12.75" customHeight="1">
      <c r="A204" s="1" t="s">
        <v>239</v>
      </c>
      <c r="B204" s="1">
        <f t="shared" si="3"/>
        <v>190</v>
      </c>
      <c r="C204" s="1" t="str">
        <f>IFERROR(__xludf.DUMMYFUNCTION("split(A204, ""\"")"),"Patrick Maroon")</f>
        <v>Patrick Maroon</v>
      </c>
      <c r="D204" s="1" t="str">
        <f>IFERROR(__xludf.DUMMYFUNCTION("""COMPUTED_VALUE"""),"maroopa01")</f>
        <v>maroopa01</v>
      </c>
      <c r="E204" s="1" t="s">
        <v>28</v>
      </c>
      <c r="F204" s="1">
        <f t="shared" si="1"/>
        <v>297.9</v>
      </c>
      <c r="G204" s="1">
        <f t="shared" si="2"/>
        <v>4.03</v>
      </c>
      <c r="H204" s="1">
        <v>74.0</v>
      </c>
      <c r="I204" s="1">
        <v>17.0</v>
      </c>
      <c r="J204" s="1">
        <v>26.0</v>
      </c>
      <c r="K204" s="1">
        <v>43.0</v>
      </c>
      <c r="L204" s="1">
        <v>141.0</v>
      </c>
      <c r="M204" s="1">
        <v>150.0</v>
      </c>
      <c r="N204" s="1">
        <v>14.0</v>
      </c>
      <c r="O204" s="1">
        <v>1.0</v>
      </c>
      <c r="P204" s="1">
        <v>6.0</v>
      </c>
      <c r="Q204" s="1">
        <v>0.0</v>
      </c>
      <c r="R204" s="1">
        <v>0.0</v>
      </c>
      <c r="S204" s="1">
        <v>1.0</v>
      </c>
      <c r="T204" s="1">
        <v>73.0</v>
      </c>
      <c r="U204" s="1">
        <v>4.0</v>
      </c>
    </row>
    <row r="205" ht="12.75" customHeight="1">
      <c r="A205" s="1" t="s">
        <v>219</v>
      </c>
      <c r="B205" s="1">
        <f t="shared" si="3"/>
        <v>191</v>
      </c>
      <c r="C205" s="1" t="str">
        <f>IFERROR(__xludf.DUMMYFUNCTION("split(A205, ""\"")"),"Zach Werenski")</f>
        <v>Zach Werenski</v>
      </c>
      <c r="D205" s="1" t="str">
        <f>IFERROR(__xludf.DUMMYFUNCTION("""COMPUTED_VALUE"""),"werenza01")</f>
        <v>werenza01</v>
      </c>
      <c r="E205" s="1" t="s">
        <v>66</v>
      </c>
      <c r="F205" s="1">
        <f t="shared" si="1"/>
        <v>297.8</v>
      </c>
      <c r="G205" s="1">
        <f t="shared" si="2"/>
        <v>3.87</v>
      </c>
      <c r="H205" s="1">
        <v>77.0</v>
      </c>
      <c r="I205" s="1">
        <v>16.0</v>
      </c>
      <c r="J205" s="1">
        <v>21.0</v>
      </c>
      <c r="K205" s="1">
        <v>37.0</v>
      </c>
      <c r="L205" s="1">
        <v>207.0</v>
      </c>
      <c r="M205" s="1">
        <v>58.0</v>
      </c>
      <c r="N205" s="1">
        <v>92.0</v>
      </c>
      <c r="O205" s="1">
        <v>3.0</v>
      </c>
      <c r="P205" s="1">
        <v>7.0</v>
      </c>
      <c r="Q205" s="1">
        <v>0.0</v>
      </c>
      <c r="R205" s="1">
        <v>0.0</v>
      </c>
      <c r="S205" s="1">
        <v>8.0</v>
      </c>
      <c r="T205" s="1">
        <v>16.0</v>
      </c>
      <c r="U205" s="1">
        <v>3.0</v>
      </c>
    </row>
    <row r="206" ht="12.75" customHeight="1">
      <c r="A206" s="1" t="s">
        <v>281</v>
      </c>
      <c r="B206" s="1">
        <f t="shared" si="3"/>
        <v>192</v>
      </c>
      <c r="C206" s="1" t="str">
        <f>IFERROR(__xludf.DUMMYFUNCTION("split(A206, ""\"")"),"Tomas Tatar")</f>
        <v>Tomas Tatar</v>
      </c>
      <c r="D206" s="1" t="str">
        <f>IFERROR(__xludf.DUMMYFUNCTION("""COMPUTED_VALUE"""),"tatarto01")</f>
        <v>tatarto01</v>
      </c>
      <c r="E206" s="1" t="s">
        <v>31</v>
      </c>
      <c r="F206" s="1">
        <f t="shared" si="1"/>
        <v>296.95</v>
      </c>
      <c r="G206" s="1">
        <f t="shared" si="2"/>
        <v>3.62</v>
      </c>
      <c r="H206" s="1">
        <v>82.0</v>
      </c>
      <c r="I206" s="1">
        <v>20.0</v>
      </c>
      <c r="J206" s="1">
        <v>14.0</v>
      </c>
      <c r="K206" s="1">
        <v>34.0</v>
      </c>
      <c r="L206" s="1">
        <v>174.0</v>
      </c>
      <c r="M206" s="1">
        <v>67.0</v>
      </c>
      <c r="N206" s="1">
        <v>29.0</v>
      </c>
      <c r="O206" s="1">
        <v>9.0</v>
      </c>
      <c r="P206" s="1">
        <v>4.0</v>
      </c>
      <c r="Q206" s="1">
        <v>0.0</v>
      </c>
      <c r="R206" s="1">
        <v>0.0</v>
      </c>
      <c r="S206" s="1">
        <v>-19.0</v>
      </c>
      <c r="T206" s="1">
        <v>34.0</v>
      </c>
      <c r="U206" s="1">
        <v>4.0</v>
      </c>
    </row>
    <row r="207" ht="12.75" customHeight="1">
      <c r="A207" s="1" t="s">
        <v>116</v>
      </c>
      <c r="B207" s="1">
        <f t="shared" si="3"/>
        <v>193</v>
      </c>
      <c r="C207" s="1" t="str">
        <f>IFERROR(__xludf.DUMMYFUNCTION("split(A207, ""\"")"),"Jaroslav Halak")</f>
        <v>Jaroslav Halak</v>
      </c>
      <c r="D207" s="2" t="str">
        <f>IFERROR(__xludf.DUMMYFUNCTION("""COMPUTED_VALUE"""),"halakja01")</f>
        <v>halakja01</v>
      </c>
      <c r="E207" s="1" t="s">
        <v>5</v>
      </c>
      <c r="F207" s="1">
        <f t="shared" si="1"/>
        <v>296.4</v>
      </c>
      <c r="G207" s="1">
        <f t="shared" si="2"/>
        <v>5.49</v>
      </c>
      <c r="H207" s="1">
        <v>54.0</v>
      </c>
      <c r="V207" s="1">
        <v>49.0</v>
      </c>
      <c r="W207" s="1">
        <v>20.0</v>
      </c>
      <c r="X207" s="1">
        <v>26.0</v>
      </c>
      <c r="Y207" s="1">
        <v>161.0</v>
      </c>
      <c r="Z207" s="1">
        <v>1744.0</v>
      </c>
      <c r="AA207" s="1">
        <v>1583.0</v>
      </c>
      <c r="AB207" s="1">
        <v>1.0</v>
      </c>
    </row>
    <row r="208" ht="12.75" customHeight="1">
      <c r="A208" s="1" t="s">
        <v>275</v>
      </c>
      <c r="B208" s="1">
        <f t="shared" si="3"/>
        <v>194</v>
      </c>
      <c r="C208" s="1" t="str">
        <f>IFERROR(__xludf.DUMMYFUNCTION("split(A208, ""\"")"),"Christian Dvorak")</f>
        <v>Christian Dvorak</v>
      </c>
      <c r="D208" s="1" t="str">
        <f>IFERROR(__xludf.DUMMYFUNCTION("""COMPUTED_VALUE"""),"dvorach01")</f>
        <v>dvorach01</v>
      </c>
      <c r="E208" s="1" t="s">
        <v>28</v>
      </c>
      <c r="F208" s="1">
        <f t="shared" si="1"/>
        <v>295.1</v>
      </c>
      <c r="G208" s="1">
        <f t="shared" si="2"/>
        <v>3.78</v>
      </c>
      <c r="H208" s="1">
        <v>78.0</v>
      </c>
      <c r="I208" s="1">
        <v>15.0</v>
      </c>
      <c r="J208" s="1">
        <v>22.0</v>
      </c>
      <c r="K208" s="1">
        <v>37.0</v>
      </c>
      <c r="L208" s="1">
        <v>151.0</v>
      </c>
      <c r="M208" s="1">
        <v>92.0</v>
      </c>
      <c r="N208" s="1">
        <v>48.0</v>
      </c>
      <c r="O208" s="1">
        <v>2.0</v>
      </c>
      <c r="P208" s="1">
        <v>5.0</v>
      </c>
      <c r="Q208" s="1">
        <v>0.0</v>
      </c>
      <c r="R208" s="1">
        <v>0.0</v>
      </c>
      <c r="S208" s="1">
        <v>-19.0</v>
      </c>
      <c r="T208" s="1">
        <v>22.0</v>
      </c>
      <c r="U208" s="1">
        <v>2.0</v>
      </c>
    </row>
    <row r="209" ht="12.75" customHeight="1">
      <c r="A209" s="1" t="s">
        <v>118</v>
      </c>
      <c r="B209" s="1">
        <f t="shared" si="3"/>
        <v>195</v>
      </c>
      <c r="C209" s="1" t="str">
        <f>IFERROR(__xludf.DUMMYFUNCTION("split(A209, ""\"")"),"Jake Allen")</f>
        <v>Jake Allen</v>
      </c>
      <c r="D209" s="2" t="str">
        <f>IFERROR(__xludf.DUMMYFUNCTION("""COMPUTED_VALUE"""),"allenja01")</f>
        <v>allenja01</v>
      </c>
      <c r="E209" s="1" t="s">
        <v>5</v>
      </c>
      <c r="F209" s="1">
        <f t="shared" si="1"/>
        <v>294.6</v>
      </c>
      <c r="G209" s="1">
        <f t="shared" si="2"/>
        <v>4.99</v>
      </c>
      <c r="H209" s="1">
        <v>59.0</v>
      </c>
      <c r="V209" s="1">
        <v>56.0</v>
      </c>
      <c r="W209" s="1">
        <v>27.0</v>
      </c>
      <c r="X209" s="1">
        <v>25.0</v>
      </c>
      <c r="Y209" s="1">
        <v>152.0</v>
      </c>
      <c r="Z209" s="1">
        <v>1614.0</v>
      </c>
      <c r="AA209" s="1">
        <v>1462.0</v>
      </c>
      <c r="AB209" s="1">
        <v>1.0</v>
      </c>
    </row>
    <row r="210" ht="12.75" customHeight="1">
      <c r="A210" s="1" t="s">
        <v>170</v>
      </c>
      <c r="B210" s="1">
        <f t="shared" si="3"/>
        <v>196</v>
      </c>
      <c r="C210" s="1" t="str">
        <f>IFERROR(__xludf.DUMMYFUNCTION("split(A210, ""\"")"),"Reilly Smith")</f>
        <v>Reilly Smith</v>
      </c>
      <c r="D210" s="1" t="str">
        <f>IFERROR(__xludf.DUMMYFUNCTION("""COMPUTED_VALUE"""),"smithre01")</f>
        <v>smithre01</v>
      </c>
      <c r="E210" s="1" t="s">
        <v>36</v>
      </c>
      <c r="F210" s="1">
        <f t="shared" si="1"/>
        <v>290.7</v>
      </c>
      <c r="G210" s="1">
        <f t="shared" si="2"/>
        <v>4.34</v>
      </c>
      <c r="H210" s="1">
        <v>67.0</v>
      </c>
      <c r="I210" s="1">
        <v>22.0</v>
      </c>
      <c r="J210" s="1">
        <v>38.0</v>
      </c>
      <c r="K210" s="1">
        <v>60.0</v>
      </c>
      <c r="L210" s="1">
        <v>162.0</v>
      </c>
      <c r="M210" s="1">
        <v>40.0</v>
      </c>
      <c r="N210" s="1">
        <v>24.0</v>
      </c>
      <c r="O210" s="1">
        <v>7.0</v>
      </c>
      <c r="P210" s="1">
        <v>7.0</v>
      </c>
      <c r="Q210" s="1">
        <v>1.0</v>
      </c>
      <c r="R210" s="1">
        <v>1.0</v>
      </c>
      <c r="S210" s="1">
        <v>31.0</v>
      </c>
      <c r="T210" s="1">
        <v>24.0</v>
      </c>
      <c r="U210" s="1">
        <v>4.0</v>
      </c>
    </row>
    <row r="211" ht="12.75" customHeight="1">
      <c r="A211" s="1" t="s">
        <v>308</v>
      </c>
      <c r="B211" s="1">
        <f t="shared" si="3"/>
        <v>197</v>
      </c>
      <c r="C211" s="1" t="str">
        <f>IFERROR(__xludf.DUMMYFUNCTION("split(A211, ""\"")"),"Noah Hanifin")</f>
        <v>Noah Hanifin</v>
      </c>
      <c r="D211" s="1" t="str">
        <f>IFERROR(__xludf.DUMMYFUNCTION("""COMPUTED_VALUE"""),"hanifno01")</f>
        <v>hanifno01</v>
      </c>
      <c r="E211" s="1" t="s">
        <v>66</v>
      </c>
      <c r="F211" s="1">
        <f t="shared" si="1"/>
        <v>290.55</v>
      </c>
      <c r="G211" s="1">
        <f t="shared" si="2"/>
        <v>3.68</v>
      </c>
      <c r="H211" s="1">
        <v>79.0</v>
      </c>
      <c r="I211" s="1">
        <v>10.0</v>
      </c>
      <c r="J211" s="1">
        <v>22.0</v>
      </c>
      <c r="K211" s="1">
        <v>32.0</v>
      </c>
      <c r="L211" s="1">
        <v>165.0</v>
      </c>
      <c r="M211" s="1">
        <v>81.0</v>
      </c>
      <c r="N211" s="1">
        <v>69.0</v>
      </c>
      <c r="O211" s="1">
        <v>1.0</v>
      </c>
      <c r="P211" s="1">
        <v>6.0</v>
      </c>
      <c r="Q211" s="1">
        <v>0.0</v>
      </c>
      <c r="R211" s="1">
        <v>0.0</v>
      </c>
      <c r="S211" s="1">
        <v>-20.0</v>
      </c>
      <c r="T211" s="1">
        <v>21.0</v>
      </c>
      <c r="U211" s="1">
        <v>3.0</v>
      </c>
    </row>
    <row r="212" ht="12.75" customHeight="1">
      <c r="A212" s="1" t="s">
        <v>270</v>
      </c>
      <c r="B212" s="1">
        <f t="shared" si="3"/>
        <v>198</v>
      </c>
      <c r="C212" s="1" t="str">
        <f>IFERROR(__xludf.DUMMYFUNCTION("split(A212, ""\"")"),"Erik Johnson")</f>
        <v>Erik Johnson</v>
      </c>
      <c r="D212" s="1" t="str">
        <f>IFERROR(__xludf.DUMMYFUNCTION("""COMPUTED_VALUE"""),"johnser01")</f>
        <v>johnser01</v>
      </c>
      <c r="E212" s="1" t="s">
        <v>66</v>
      </c>
      <c r="F212" s="1">
        <f t="shared" si="1"/>
        <v>290.4</v>
      </c>
      <c r="G212" s="1">
        <f t="shared" si="2"/>
        <v>4.68</v>
      </c>
      <c r="H212" s="1">
        <v>62.0</v>
      </c>
      <c r="I212" s="1">
        <v>9.0</v>
      </c>
      <c r="J212" s="1">
        <v>16.0</v>
      </c>
      <c r="K212" s="1">
        <v>25.0</v>
      </c>
      <c r="L212" s="1">
        <v>168.0</v>
      </c>
      <c r="M212" s="1">
        <v>114.0</v>
      </c>
      <c r="N212" s="1">
        <v>135.0</v>
      </c>
      <c r="O212" s="1">
        <v>0.0</v>
      </c>
      <c r="P212" s="1">
        <v>3.0</v>
      </c>
      <c r="Q212" s="1">
        <v>0.0</v>
      </c>
      <c r="R212" s="1">
        <v>1.0</v>
      </c>
      <c r="S212" s="1">
        <v>3.0</v>
      </c>
      <c r="T212" s="1">
        <v>58.0</v>
      </c>
      <c r="U212" s="1">
        <v>3.0</v>
      </c>
    </row>
    <row r="213" ht="12.75" customHeight="1">
      <c r="A213" s="1" t="s">
        <v>203</v>
      </c>
      <c r="B213" s="1">
        <f t="shared" si="3"/>
        <v>199</v>
      </c>
      <c r="C213" s="1" t="str">
        <f>IFERROR(__xludf.DUMMYFUNCTION("split(A213, ""\"")"),"Jake Gardiner")</f>
        <v>Jake Gardiner</v>
      </c>
      <c r="D213" s="1" t="str">
        <f>IFERROR(__xludf.DUMMYFUNCTION("""COMPUTED_VALUE"""),"gardija01")</f>
        <v>gardija01</v>
      </c>
      <c r="E213" s="1" t="s">
        <v>66</v>
      </c>
      <c r="F213" s="1">
        <f t="shared" si="1"/>
        <v>290.35</v>
      </c>
      <c r="G213" s="1">
        <f t="shared" si="2"/>
        <v>3.54</v>
      </c>
      <c r="H213" s="1">
        <v>82.0</v>
      </c>
      <c r="I213" s="1">
        <v>5.0</v>
      </c>
      <c r="J213" s="1">
        <v>47.0</v>
      </c>
      <c r="K213" s="1">
        <v>52.0</v>
      </c>
      <c r="L213" s="1">
        <v>133.0</v>
      </c>
      <c r="M213" s="1">
        <v>51.0</v>
      </c>
      <c r="N213" s="1">
        <v>103.0</v>
      </c>
      <c r="O213" s="1">
        <v>1.0</v>
      </c>
      <c r="P213" s="1">
        <v>14.0</v>
      </c>
      <c r="Q213" s="1">
        <v>0.0</v>
      </c>
      <c r="R213" s="1">
        <v>0.0</v>
      </c>
      <c r="S213" s="1">
        <v>9.0</v>
      </c>
      <c r="T213" s="1">
        <v>32.0</v>
      </c>
      <c r="U213" s="1">
        <v>0.0</v>
      </c>
    </row>
    <row r="214" ht="12.75" customHeight="1">
      <c r="A214" s="1" t="s">
        <v>242</v>
      </c>
      <c r="B214" s="1">
        <f t="shared" si="3"/>
        <v>200</v>
      </c>
      <c r="C214" s="1" t="str">
        <f>IFERROR(__xludf.DUMMYFUNCTION("split(A214, ""\"")"),"Marc-Edouard Vlasic")</f>
        <v>Marc-Edouard Vlasic</v>
      </c>
      <c r="D214" s="1" t="str">
        <f>IFERROR(__xludf.DUMMYFUNCTION("""COMPUTED_VALUE"""),"vlasima01")</f>
        <v>vlasima01</v>
      </c>
      <c r="E214" s="1" t="s">
        <v>66</v>
      </c>
      <c r="F214" s="1">
        <f t="shared" si="1"/>
        <v>290.2</v>
      </c>
      <c r="G214" s="1">
        <f t="shared" si="2"/>
        <v>3.58</v>
      </c>
      <c r="H214" s="1">
        <v>81.0</v>
      </c>
      <c r="I214" s="1">
        <v>11.0</v>
      </c>
      <c r="J214" s="1">
        <v>21.0</v>
      </c>
      <c r="K214" s="1">
        <v>32.0</v>
      </c>
      <c r="L214" s="1">
        <v>161.0</v>
      </c>
      <c r="M214" s="1">
        <v>26.0</v>
      </c>
      <c r="N214" s="1">
        <v>174.0</v>
      </c>
      <c r="O214" s="1">
        <v>1.0</v>
      </c>
      <c r="P214" s="1">
        <v>2.0</v>
      </c>
      <c r="Q214" s="1">
        <v>0.0</v>
      </c>
      <c r="R214" s="1">
        <v>1.0</v>
      </c>
      <c r="S214" s="1">
        <v>9.0</v>
      </c>
      <c r="T214" s="1">
        <v>34.0</v>
      </c>
      <c r="U214" s="1">
        <v>2.0</v>
      </c>
    </row>
    <row r="215" ht="12.75" customHeight="1">
      <c r="A215" s="1" t="s">
        <v>212</v>
      </c>
      <c r="B215" s="1">
        <f t="shared" si="3"/>
        <v>201</v>
      </c>
      <c r="C215" s="1" t="str">
        <f>IFERROR(__xludf.DUMMYFUNCTION("split(A215, ""\"")"),"Ryan Nugent-Hopkins")</f>
        <v>Ryan Nugent-Hopkins</v>
      </c>
      <c r="D215" s="1" t="str">
        <f>IFERROR(__xludf.DUMMYFUNCTION("""COMPUTED_VALUE"""),"nugenry01")</f>
        <v>nugenry01</v>
      </c>
      <c r="E215" s="1" t="s">
        <v>31</v>
      </c>
      <c r="F215" s="1">
        <f t="shared" si="1"/>
        <v>290</v>
      </c>
      <c r="G215" s="1">
        <f t="shared" si="2"/>
        <v>4.68</v>
      </c>
      <c r="H215" s="1">
        <v>62.0</v>
      </c>
      <c r="I215" s="1">
        <v>24.0</v>
      </c>
      <c r="J215" s="1">
        <v>24.0</v>
      </c>
      <c r="K215" s="1">
        <v>48.0</v>
      </c>
      <c r="L215" s="1">
        <v>151.0</v>
      </c>
      <c r="M215" s="1">
        <v>44.0</v>
      </c>
      <c r="N215" s="1">
        <v>39.0</v>
      </c>
      <c r="O215" s="1">
        <v>4.0</v>
      </c>
      <c r="P215" s="1">
        <v>5.0</v>
      </c>
      <c r="Q215" s="1">
        <v>2.0</v>
      </c>
      <c r="R215" s="1">
        <v>1.0</v>
      </c>
      <c r="S215" s="1">
        <v>10.0</v>
      </c>
      <c r="T215" s="1">
        <v>20.0</v>
      </c>
      <c r="U215" s="1">
        <v>2.0</v>
      </c>
    </row>
    <row r="216" ht="12.75" customHeight="1">
      <c r="A216" s="1" t="s">
        <v>276</v>
      </c>
      <c r="B216" s="1">
        <f t="shared" si="3"/>
        <v>201</v>
      </c>
      <c r="C216" s="1" t="str">
        <f>IFERROR(__xludf.DUMMYFUNCTION("split(A216, ""\"")"),"Ryan Dzingel")</f>
        <v>Ryan Dzingel</v>
      </c>
      <c r="D216" s="1" t="str">
        <f>IFERROR(__xludf.DUMMYFUNCTION("""COMPUTED_VALUE"""),"dzingry01")</f>
        <v>dzingry01</v>
      </c>
      <c r="E216" s="1" t="s">
        <v>31</v>
      </c>
      <c r="F216" s="1">
        <f t="shared" si="1"/>
        <v>290</v>
      </c>
      <c r="G216" s="1">
        <f t="shared" si="2"/>
        <v>3.67</v>
      </c>
      <c r="H216" s="1">
        <v>79.0</v>
      </c>
      <c r="I216" s="1">
        <v>23.0</v>
      </c>
      <c r="J216" s="1">
        <v>18.0</v>
      </c>
      <c r="K216" s="1">
        <v>41.0</v>
      </c>
      <c r="L216" s="1">
        <v>136.0</v>
      </c>
      <c r="M216" s="1">
        <v>60.0</v>
      </c>
      <c r="N216" s="1">
        <v>19.0</v>
      </c>
      <c r="O216" s="1">
        <v>4.0</v>
      </c>
      <c r="P216" s="1">
        <v>4.0</v>
      </c>
      <c r="Q216" s="1">
        <v>0.0</v>
      </c>
      <c r="R216" s="1">
        <v>0.0</v>
      </c>
      <c r="S216" s="1">
        <v>-17.0</v>
      </c>
      <c r="T216" s="1">
        <v>35.0</v>
      </c>
      <c r="U216" s="1">
        <v>2.0</v>
      </c>
    </row>
    <row r="217" ht="12.75" customHeight="1">
      <c r="A217" s="1" t="s">
        <v>254</v>
      </c>
      <c r="B217" s="1">
        <f t="shared" si="3"/>
        <v>203</v>
      </c>
      <c r="C217" s="1" t="str">
        <f>IFERROR(__xludf.DUMMYFUNCTION("split(A217, ""\"")"),"Michael Del Zotto")</f>
        <v>Michael Del Zotto</v>
      </c>
      <c r="D217" s="1" t="str">
        <f>IFERROR(__xludf.DUMMYFUNCTION("""COMPUTED_VALUE"""),"delzomi01")</f>
        <v>delzomi01</v>
      </c>
      <c r="E217" s="1" t="s">
        <v>66</v>
      </c>
      <c r="F217" s="1">
        <f t="shared" si="1"/>
        <v>289.9</v>
      </c>
      <c r="G217" s="1">
        <f t="shared" si="2"/>
        <v>3.54</v>
      </c>
      <c r="H217" s="1">
        <v>82.0</v>
      </c>
      <c r="I217" s="1">
        <v>6.0</v>
      </c>
      <c r="J217" s="1">
        <v>16.0</v>
      </c>
      <c r="K217" s="1">
        <v>22.0</v>
      </c>
      <c r="L217" s="1">
        <v>128.0</v>
      </c>
      <c r="M217" s="1">
        <v>244.0</v>
      </c>
      <c r="N217" s="1">
        <v>127.0</v>
      </c>
      <c r="O217" s="1">
        <v>0.0</v>
      </c>
      <c r="P217" s="1">
        <v>5.0</v>
      </c>
      <c r="Q217" s="1">
        <v>0.0</v>
      </c>
      <c r="R217" s="1">
        <v>0.0</v>
      </c>
      <c r="S217" s="1">
        <v>-8.0</v>
      </c>
      <c r="T217" s="1">
        <v>48.0</v>
      </c>
      <c r="U217" s="1">
        <v>0.0</v>
      </c>
    </row>
    <row r="218" ht="12.75" customHeight="1">
      <c r="A218" s="1" t="s">
        <v>236</v>
      </c>
      <c r="B218" s="1">
        <f t="shared" si="3"/>
        <v>204</v>
      </c>
      <c r="C218" s="1" t="str">
        <f>IFERROR(__xludf.DUMMYFUNCTION("split(A218, ""\"")"),"Jakob Silfverberg")</f>
        <v>Jakob Silfverberg</v>
      </c>
      <c r="D218" s="1" t="str">
        <f>IFERROR(__xludf.DUMMYFUNCTION("""COMPUTED_VALUE"""),"silfvja01")</f>
        <v>silfvja01</v>
      </c>
      <c r="E218" s="1" t="s">
        <v>28</v>
      </c>
      <c r="F218" s="1">
        <f t="shared" si="1"/>
        <v>288.9</v>
      </c>
      <c r="G218" s="1">
        <f t="shared" si="2"/>
        <v>3.75</v>
      </c>
      <c r="H218" s="1">
        <v>77.0</v>
      </c>
      <c r="I218" s="1">
        <v>17.0</v>
      </c>
      <c r="J218" s="1">
        <v>23.0</v>
      </c>
      <c r="K218" s="1">
        <v>40.0</v>
      </c>
      <c r="L218" s="1">
        <v>187.0</v>
      </c>
      <c r="M218" s="1">
        <v>52.0</v>
      </c>
      <c r="N218" s="1">
        <v>61.0</v>
      </c>
      <c r="O218" s="1">
        <v>2.0</v>
      </c>
      <c r="P218" s="1">
        <v>6.0</v>
      </c>
      <c r="Q218" s="1">
        <v>1.0</v>
      </c>
      <c r="R218" s="1">
        <v>1.0</v>
      </c>
      <c r="S218" s="1">
        <v>6.0</v>
      </c>
      <c r="T218" s="1">
        <v>18.0</v>
      </c>
      <c r="U218" s="1">
        <v>2.0</v>
      </c>
    </row>
    <row r="219" ht="12.75" customHeight="1">
      <c r="A219" s="1" t="s">
        <v>289</v>
      </c>
      <c r="B219" s="1">
        <f t="shared" si="3"/>
        <v>205</v>
      </c>
      <c r="C219" s="1" t="str">
        <f>IFERROR(__xludf.DUMMYFUNCTION("split(A219, ""\"")"),"Mike Matheson")</f>
        <v>Mike Matheson</v>
      </c>
      <c r="D219" s="1" t="str">
        <f>IFERROR(__xludf.DUMMYFUNCTION("""COMPUTED_VALUE"""),"mathemi01")</f>
        <v>mathemi01</v>
      </c>
      <c r="E219" s="1" t="s">
        <v>66</v>
      </c>
      <c r="F219" s="1">
        <f t="shared" si="1"/>
        <v>288.05</v>
      </c>
      <c r="G219" s="1">
        <f t="shared" si="2"/>
        <v>3.56</v>
      </c>
      <c r="H219" s="1">
        <v>81.0</v>
      </c>
      <c r="I219" s="1">
        <v>10.0</v>
      </c>
      <c r="J219" s="1">
        <v>17.0</v>
      </c>
      <c r="K219" s="1">
        <v>27.0</v>
      </c>
      <c r="L219" s="1">
        <v>167.0</v>
      </c>
      <c r="M219" s="1">
        <v>53.0</v>
      </c>
      <c r="N219" s="1">
        <v>137.0</v>
      </c>
      <c r="O219" s="1">
        <v>1.0</v>
      </c>
      <c r="P219" s="1">
        <v>3.0</v>
      </c>
      <c r="Q219" s="1">
        <v>0.0</v>
      </c>
      <c r="R219" s="1">
        <v>1.0</v>
      </c>
      <c r="S219" s="1">
        <v>-1.0</v>
      </c>
      <c r="T219" s="1">
        <v>61.0</v>
      </c>
      <c r="U219" s="1">
        <v>2.0</v>
      </c>
    </row>
    <row r="220" ht="12.75" customHeight="1">
      <c r="A220" s="1" t="s">
        <v>224</v>
      </c>
      <c r="B220" s="1">
        <f t="shared" si="3"/>
        <v>206</v>
      </c>
      <c r="C220" s="1" t="str">
        <f>IFERROR(__xludf.DUMMYFUNCTION("split(A220, ""\"")"),"Mikko Koivu")</f>
        <v>Mikko Koivu</v>
      </c>
      <c r="D220" s="1" t="str">
        <f>IFERROR(__xludf.DUMMYFUNCTION("""COMPUTED_VALUE"""),"koivumi01")</f>
        <v>koivumi01</v>
      </c>
      <c r="E220" s="1" t="s">
        <v>31</v>
      </c>
      <c r="F220" s="1">
        <f t="shared" si="1"/>
        <v>287.55</v>
      </c>
      <c r="G220" s="1">
        <f t="shared" si="2"/>
        <v>3.51</v>
      </c>
      <c r="H220" s="1">
        <v>82.0</v>
      </c>
      <c r="I220" s="1">
        <v>14.0</v>
      </c>
      <c r="J220" s="1">
        <v>31.0</v>
      </c>
      <c r="K220" s="1">
        <v>45.0</v>
      </c>
      <c r="L220" s="1">
        <v>170.0</v>
      </c>
      <c r="M220" s="1">
        <v>51.0</v>
      </c>
      <c r="N220" s="1">
        <v>53.0</v>
      </c>
      <c r="O220" s="1">
        <v>3.0</v>
      </c>
      <c r="P220" s="1">
        <v>11.0</v>
      </c>
      <c r="Q220" s="1">
        <v>0.0</v>
      </c>
      <c r="R220" s="1">
        <v>1.0</v>
      </c>
      <c r="S220" s="1">
        <v>9.0</v>
      </c>
      <c r="T220" s="1">
        <v>46.0</v>
      </c>
      <c r="U220" s="1">
        <v>2.0</v>
      </c>
    </row>
    <row r="221" ht="12.75" customHeight="1">
      <c r="A221" s="1" t="s">
        <v>299</v>
      </c>
      <c r="B221" s="1">
        <f t="shared" si="3"/>
        <v>206</v>
      </c>
      <c r="C221" s="1" t="str">
        <f>IFERROR(__xludf.DUMMYFUNCTION("split(A221, ""\"")"),"Jean-Gabriel Pageau")</f>
        <v>Jean-Gabriel Pageau</v>
      </c>
      <c r="D221" s="1" t="str">
        <f>IFERROR(__xludf.DUMMYFUNCTION("""COMPUTED_VALUE"""),"pageaje01")</f>
        <v>pageaje01</v>
      </c>
      <c r="E221" s="1" t="s">
        <v>31</v>
      </c>
      <c r="F221" s="1">
        <f t="shared" si="1"/>
        <v>287.55</v>
      </c>
      <c r="G221" s="1">
        <f t="shared" si="2"/>
        <v>3.69</v>
      </c>
      <c r="H221" s="1">
        <v>78.0</v>
      </c>
      <c r="I221" s="1">
        <v>14.0</v>
      </c>
      <c r="J221" s="1">
        <v>15.0</v>
      </c>
      <c r="K221" s="1">
        <v>29.0</v>
      </c>
      <c r="L221" s="1">
        <v>147.0</v>
      </c>
      <c r="M221" s="1">
        <v>131.0</v>
      </c>
      <c r="N221" s="1">
        <v>69.0</v>
      </c>
      <c r="O221" s="1">
        <v>1.0</v>
      </c>
      <c r="P221" s="1">
        <v>1.0</v>
      </c>
      <c r="Q221" s="1">
        <v>1.0</v>
      </c>
      <c r="R221" s="1">
        <v>0.0</v>
      </c>
      <c r="S221" s="1">
        <v>-14.0</v>
      </c>
      <c r="T221" s="1">
        <v>36.0</v>
      </c>
      <c r="U221" s="1">
        <v>2.0</v>
      </c>
    </row>
    <row r="222" ht="12.75" customHeight="1">
      <c r="A222" s="1" t="s">
        <v>259</v>
      </c>
      <c r="B222" s="1">
        <f t="shared" si="3"/>
        <v>208</v>
      </c>
      <c r="C222" s="1" t="str">
        <f>IFERROR(__xludf.DUMMYFUNCTION("split(A222, ""\"")"),"Olli Maatta")</f>
        <v>Olli Maatta</v>
      </c>
      <c r="D222" s="1" t="str">
        <f>IFERROR(__xludf.DUMMYFUNCTION("""COMPUTED_VALUE"""),"maattol01")</f>
        <v>maattol01</v>
      </c>
      <c r="E222" s="1" t="s">
        <v>66</v>
      </c>
      <c r="F222" s="1">
        <f t="shared" si="1"/>
        <v>285.65</v>
      </c>
      <c r="G222" s="1">
        <f t="shared" si="2"/>
        <v>3.48</v>
      </c>
      <c r="H222" s="1">
        <v>82.0</v>
      </c>
      <c r="I222" s="1">
        <v>7.0</v>
      </c>
      <c r="J222" s="1">
        <v>22.0</v>
      </c>
      <c r="K222" s="1">
        <v>29.0</v>
      </c>
      <c r="L222" s="1">
        <v>164.0</v>
      </c>
      <c r="M222" s="1">
        <v>131.0</v>
      </c>
      <c r="N222" s="1">
        <v>115.0</v>
      </c>
      <c r="O222" s="1">
        <v>0.0</v>
      </c>
      <c r="P222" s="1">
        <v>8.0</v>
      </c>
      <c r="Q222" s="1">
        <v>0.0</v>
      </c>
      <c r="R222" s="1">
        <v>0.0</v>
      </c>
      <c r="S222" s="1">
        <v>-1.0</v>
      </c>
      <c r="T222" s="1">
        <v>28.0</v>
      </c>
      <c r="U222" s="1">
        <v>3.0</v>
      </c>
    </row>
    <row r="223" ht="12.75" customHeight="1">
      <c r="A223" s="1" t="s">
        <v>248</v>
      </c>
      <c r="B223" s="1">
        <f t="shared" si="3"/>
        <v>209</v>
      </c>
      <c r="C223" s="1" t="str">
        <f>IFERROR(__xludf.DUMMYFUNCTION("split(A223, ""\"")"),"Ryan Pulock")</f>
        <v>Ryan Pulock</v>
      </c>
      <c r="D223" s="1" t="str">
        <f>IFERROR(__xludf.DUMMYFUNCTION("""COMPUTED_VALUE"""),"pulocry01")</f>
        <v>pulocry01</v>
      </c>
      <c r="E223" s="1" t="s">
        <v>66</v>
      </c>
      <c r="F223" s="1">
        <f t="shared" si="1"/>
        <v>284.45</v>
      </c>
      <c r="G223" s="1">
        <f t="shared" si="2"/>
        <v>4.18</v>
      </c>
      <c r="H223" s="1">
        <v>68.0</v>
      </c>
      <c r="I223" s="1">
        <v>10.0</v>
      </c>
      <c r="J223" s="1">
        <v>22.0</v>
      </c>
      <c r="K223" s="1">
        <v>32.0</v>
      </c>
      <c r="L223" s="1">
        <v>184.0</v>
      </c>
      <c r="M223" s="1">
        <v>113.0</v>
      </c>
      <c r="N223" s="1">
        <v>86.0</v>
      </c>
      <c r="O223" s="1">
        <v>5.0</v>
      </c>
      <c r="P223" s="1">
        <v>6.0</v>
      </c>
      <c r="Q223" s="1">
        <v>0.0</v>
      </c>
      <c r="R223" s="1">
        <v>0.0</v>
      </c>
      <c r="S223" s="1">
        <v>-4.0</v>
      </c>
      <c r="T223" s="1">
        <v>14.0</v>
      </c>
      <c r="U223" s="1">
        <v>0.0</v>
      </c>
    </row>
    <row r="224" ht="12.75" customHeight="1">
      <c r="A224" s="1" t="s">
        <v>215</v>
      </c>
      <c r="B224" s="1">
        <f t="shared" si="3"/>
        <v>210</v>
      </c>
      <c r="C224" s="1" t="str">
        <f>IFERROR(__xludf.DUMMYFUNCTION("split(A224, ""\"")"),"Micheal Ferland")</f>
        <v>Micheal Ferland</v>
      </c>
      <c r="D224" s="1" t="str">
        <f>IFERROR(__xludf.DUMMYFUNCTION("""COMPUTED_VALUE"""),"ferlami01")</f>
        <v>ferlami01</v>
      </c>
      <c r="E224" s="1" t="s">
        <v>28</v>
      </c>
      <c r="F224" s="1">
        <f t="shared" si="1"/>
        <v>283.95</v>
      </c>
      <c r="G224" s="1">
        <f t="shared" si="2"/>
        <v>3.69</v>
      </c>
      <c r="H224" s="1">
        <v>77.0</v>
      </c>
      <c r="I224" s="1">
        <v>21.0</v>
      </c>
      <c r="J224" s="1">
        <v>20.0</v>
      </c>
      <c r="K224" s="1">
        <v>41.0</v>
      </c>
      <c r="L224" s="1">
        <v>144.0</v>
      </c>
      <c r="M224" s="1">
        <v>171.0</v>
      </c>
      <c r="N224" s="1">
        <v>30.0</v>
      </c>
      <c r="O224" s="1">
        <v>6.0</v>
      </c>
      <c r="P224" s="1">
        <v>0.0</v>
      </c>
      <c r="Q224" s="1">
        <v>0.0</v>
      </c>
      <c r="R224" s="1">
        <v>0.0</v>
      </c>
      <c r="S224" s="1">
        <v>5.0</v>
      </c>
      <c r="T224" s="1">
        <v>24.0</v>
      </c>
      <c r="U224" s="1">
        <v>0.0</v>
      </c>
    </row>
    <row r="225" ht="12.75" customHeight="1">
      <c r="A225" s="1" t="s">
        <v>227</v>
      </c>
      <c r="B225" s="1">
        <f t="shared" si="3"/>
        <v>211</v>
      </c>
      <c r="C225" s="1" t="str">
        <f>IFERROR(__xludf.DUMMYFUNCTION("split(A225, ""\"")"),"Nick Schmaltz")</f>
        <v>Nick Schmaltz</v>
      </c>
      <c r="D225" s="1" t="str">
        <f>IFERROR(__xludf.DUMMYFUNCTION("""COMPUTED_VALUE"""),"schmani01")</f>
        <v>schmani01</v>
      </c>
      <c r="E225" s="1" t="s">
        <v>31</v>
      </c>
      <c r="F225" s="1">
        <f t="shared" si="1"/>
        <v>283.15</v>
      </c>
      <c r="G225" s="1">
        <f t="shared" si="2"/>
        <v>3.63</v>
      </c>
      <c r="H225" s="1">
        <v>78.0</v>
      </c>
      <c r="I225" s="1">
        <v>21.0</v>
      </c>
      <c r="J225" s="1">
        <v>31.0</v>
      </c>
      <c r="K225" s="1">
        <v>52.0</v>
      </c>
      <c r="L225" s="1">
        <v>118.0</v>
      </c>
      <c r="M225" s="1">
        <v>13.0</v>
      </c>
      <c r="N225" s="1">
        <v>39.0</v>
      </c>
      <c r="O225" s="1">
        <v>4.0</v>
      </c>
      <c r="P225" s="1">
        <v>9.0</v>
      </c>
      <c r="Q225" s="1">
        <v>0.0</v>
      </c>
      <c r="R225" s="1">
        <v>2.0</v>
      </c>
      <c r="S225" s="1">
        <v>1.0</v>
      </c>
      <c r="T225" s="1">
        <v>18.0</v>
      </c>
      <c r="U225" s="1">
        <v>2.0</v>
      </c>
    </row>
    <row r="226" ht="12.75" customHeight="1">
      <c r="A226" s="1" t="s">
        <v>274</v>
      </c>
      <c r="B226" s="1">
        <f t="shared" si="3"/>
        <v>212</v>
      </c>
      <c r="C226" s="1" t="str">
        <f>IFERROR(__xludf.DUMMYFUNCTION("split(A226, ""\"")"),"Justin Abdelkader")</f>
        <v>Justin Abdelkader</v>
      </c>
      <c r="D226" s="1" t="str">
        <f>IFERROR(__xludf.DUMMYFUNCTION("""COMPUTED_VALUE"""),"abdelju01")</f>
        <v>abdelju01</v>
      </c>
      <c r="E226" s="1" t="s">
        <v>28</v>
      </c>
      <c r="F226" s="1">
        <f t="shared" si="1"/>
        <v>282.9</v>
      </c>
      <c r="G226" s="1">
        <f t="shared" si="2"/>
        <v>3.77</v>
      </c>
      <c r="H226" s="1">
        <v>75.0</v>
      </c>
      <c r="I226" s="1">
        <v>13.0</v>
      </c>
      <c r="J226" s="1">
        <v>22.0</v>
      </c>
      <c r="K226" s="1">
        <v>35.0</v>
      </c>
      <c r="L226" s="1">
        <v>110.0</v>
      </c>
      <c r="M226" s="1">
        <v>174.0</v>
      </c>
      <c r="N226" s="1">
        <v>40.0</v>
      </c>
      <c r="O226" s="1">
        <v>4.0</v>
      </c>
      <c r="P226" s="1">
        <v>5.0</v>
      </c>
      <c r="Q226" s="1">
        <v>0.0</v>
      </c>
      <c r="R226" s="1">
        <v>0.0</v>
      </c>
      <c r="S226" s="1">
        <v>-11.0</v>
      </c>
      <c r="T226" s="1">
        <v>78.0</v>
      </c>
      <c r="U226" s="1">
        <v>0.0</v>
      </c>
    </row>
    <row r="227" ht="12.75" customHeight="1">
      <c r="A227" s="1" t="s">
        <v>293</v>
      </c>
      <c r="B227" s="1">
        <f t="shared" si="3"/>
        <v>213</v>
      </c>
      <c r="C227" s="1" t="str">
        <f>IFERROR(__xludf.DUMMYFUNCTION("split(A227, ""\"")"),"Max Domi")</f>
        <v>Max Domi</v>
      </c>
      <c r="D227" s="1" t="str">
        <f>IFERROR(__xludf.DUMMYFUNCTION("""COMPUTED_VALUE"""),"domima01")</f>
        <v>domima01</v>
      </c>
      <c r="E227" s="1" t="s">
        <v>28</v>
      </c>
      <c r="F227" s="1">
        <f t="shared" si="1"/>
        <v>282.15</v>
      </c>
      <c r="G227" s="1">
        <f t="shared" si="2"/>
        <v>3.44</v>
      </c>
      <c r="H227" s="1">
        <v>82.0</v>
      </c>
      <c r="I227" s="1">
        <v>9.0</v>
      </c>
      <c r="J227" s="1">
        <v>36.0</v>
      </c>
      <c r="K227" s="1">
        <v>45.0</v>
      </c>
      <c r="L227" s="1">
        <v>150.0</v>
      </c>
      <c r="M227" s="1">
        <v>49.0</v>
      </c>
      <c r="N227" s="1">
        <v>28.0</v>
      </c>
      <c r="O227" s="1">
        <v>1.0</v>
      </c>
      <c r="P227" s="1">
        <v>8.0</v>
      </c>
      <c r="Q227" s="1">
        <v>0.0</v>
      </c>
      <c r="R227" s="1">
        <v>0.0</v>
      </c>
      <c r="S227" s="1">
        <v>-7.0</v>
      </c>
      <c r="T227" s="1">
        <v>73.0</v>
      </c>
      <c r="U227" s="1">
        <v>0.0</v>
      </c>
    </row>
    <row r="228" ht="12.75" customHeight="1">
      <c r="A228" s="1" t="s">
        <v>128</v>
      </c>
      <c r="B228" s="1">
        <f t="shared" si="3"/>
        <v>214</v>
      </c>
      <c r="C228" s="1" t="str">
        <f>IFERROR(__xludf.DUMMYFUNCTION("split(A228, ""\"")"),"Craig Anderson")</f>
        <v>Craig Anderson</v>
      </c>
      <c r="D228" s="2" t="str">
        <f>IFERROR(__xludf.DUMMYFUNCTION("""COMPUTED_VALUE"""),"andercr01")</f>
        <v>andercr01</v>
      </c>
      <c r="E228" s="1" t="s">
        <v>5</v>
      </c>
      <c r="F228" s="1">
        <f t="shared" si="1"/>
        <v>281.4</v>
      </c>
      <c r="G228" s="1">
        <f t="shared" si="2"/>
        <v>4.85</v>
      </c>
      <c r="H228" s="1">
        <v>58.0</v>
      </c>
      <c r="V228" s="1">
        <v>55.0</v>
      </c>
      <c r="W228" s="1">
        <v>23.0</v>
      </c>
      <c r="X228" s="1">
        <v>25.0</v>
      </c>
      <c r="Y228" s="1">
        <v>180.0</v>
      </c>
      <c r="Z228" s="1">
        <v>1768.0</v>
      </c>
      <c r="AA228" s="1">
        <v>1588.0</v>
      </c>
      <c r="AB228" s="1">
        <v>2.0</v>
      </c>
    </row>
    <row r="229" ht="12.75" customHeight="1">
      <c r="A229" s="1" t="s">
        <v>256</v>
      </c>
      <c r="B229" s="1">
        <f t="shared" si="3"/>
        <v>215</v>
      </c>
      <c r="C229" s="1" t="str">
        <f>IFERROR(__xludf.DUMMYFUNCTION("split(A229, ""\"")"),"Nick Foligno")</f>
        <v>Nick Foligno</v>
      </c>
      <c r="D229" s="1" t="str">
        <f>IFERROR(__xludf.DUMMYFUNCTION("""COMPUTED_VALUE"""),"foligni01")</f>
        <v>foligni01</v>
      </c>
      <c r="E229" s="1" t="s">
        <v>28</v>
      </c>
      <c r="F229" s="1">
        <f t="shared" si="1"/>
        <v>281</v>
      </c>
      <c r="G229" s="1">
        <f t="shared" si="2"/>
        <v>3.9</v>
      </c>
      <c r="H229" s="1">
        <v>72.0</v>
      </c>
      <c r="I229" s="1">
        <v>15.0</v>
      </c>
      <c r="J229" s="1">
        <v>18.0</v>
      </c>
      <c r="K229" s="1">
        <v>33.0</v>
      </c>
      <c r="L229" s="1">
        <v>137.0</v>
      </c>
      <c r="M229" s="1">
        <v>182.0</v>
      </c>
      <c r="N229" s="1">
        <v>60.0</v>
      </c>
      <c r="O229" s="1">
        <v>2.0</v>
      </c>
      <c r="P229" s="1">
        <v>2.0</v>
      </c>
      <c r="Q229" s="1">
        <v>0.0</v>
      </c>
      <c r="R229" s="1">
        <v>0.0</v>
      </c>
      <c r="S229" s="1">
        <v>1.0</v>
      </c>
      <c r="T229" s="1">
        <v>50.0</v>
      </c>
      <c r="U229" s="1">
        <v>1.0</v>
      </c>
    </row>
    <row r="230" ht="12.75" customHeight="1">
      <c r="A230" s="1" t="s">
        <v>243</v>
      </c>
      <c r="B230" s="1">
        <f t="shared" si="3"/>
        <v>216</v>
      </c>
      <c r="C230" s="1" t="str">
        <f>IFERROR(__xludf.DUMMYFUNCTION("split(A230, ""\"")"),"Bo Horvat")</f>
        <v>Bo Horvat</v>
      </c>
      <c r="D230" s="1" t="str">
        <f>IFERROR(__xludf.DUMMYFUNCTION("""COMPUTED_VALUE"""),"horvabo01")</f>
        <v>horvabo01</v>
      </c>
      <c r="E230" s="1" t="s">
        <v>31</v>
      </c>
      <c r="F230" s="1">
        <f t="shared" si="1"/>
        <v>280.75</v>
      </c>
      <c r="G230" s="1">
        <f t="shared" si="2"/>
        <v>4.39</v>
      </c>
      <c r="H230" s="1">
        <v>64.0</v>
      </c>
      <c r="I230" s="1">
        <v>22.0</v>
      </c>
      <c r="J230" s="1">
        <v>22.0</v>
      </c>
      <c r="K230" s="1">
        <v>44.0</v>
      </c>
      <c r="L230" s="1">
        <v>158.0</v>
      </c>
      <c r="M230" s="1">
        <v>35.0</v>
      </c>
      <c r="N230" s="1">
        <v>29.0</v>
      </c>
      <c r="O230" s="1">
        <v>10.0</v>
      </c>
      <c r="P230" s="1">
        <v>3.0</v>
      </c>
      <c r="Q230" s="1">
        <v>1.0</v>
      </c>
      <c r="R230" s="1">
        <v>0.0</v>
      </c>
      <c r="S230" s="1">
        <v>-1.0</v>
      </c>
      <c r="T230" s="1">
        <v>10.0</v>
      </c>
      <c r="U230" s="1">
        <v>3.0</v>
      </c>
    </row>
    <row r="231" ht="12.75" customHeight="1">
      <c r="A231" s="1" t="s">
        <v>232</v>
      </c>
      <c r="B231" s="1">
        <f t="shared" si="3"/>
        <v>217</v>
      </c>
      <c r="C231" s="1" t="str">
        <f>IFERROR(__xludf.DUMMYFUNCTION("split(A231, ""\"")"),"Alec Martinez")</f>
        <v>Alec Martinez</v>
      </c>
      <c r="D231" s="1" t="str">
        <f>IFERROR(__xludf.DUMMYFUNCTION("""COMPUTED_VALUE"""),"martial01")</f>
        <v>martial01</v>
      </c>
      <c r="E231" s="1" t="s">
        <v>66</v>
      </c>
      <c r="F231" s="1">
        <f t="shared" si="1"/>
        <v>280.7</v>
      </c>
      <c r="G231" s="1">
        <f t="shared" si="2"/>
        <v>3.65</v>
      </c>
      <c r="H231" s="1">
        <v>77.0</v>
      </c>
      <c r="I231" s="1">
        <v>9.0</v>
      </c>
      <c r="J231" s="1">
        <v>16.0</v>
      </c>
      <c r="K231" s="1">
        <v>25.0</v>
      </c>
      <c r="L231" s="1">
        <v>111.0</v>
      </c>
      <c r="M231" s="1">
        <v>100.0</v>
      </c>
      <c r="N231" s="1">
        <v>206.0</v>
      </c>
      <c r="O231" s="1">
        <v>2.0</v>
      </c>
      <c r="P231" s="1">
        <v>9.0</v>
      </c>
      <c r="Q231" s="1">
        <v>0.0</v>
      </c>
      <c r="R231" s="1">
        <v>1.0</v>
      </c>
      <c r="S231" s="1">
        <v>3.0</v>
      </c>
      <c r="T231" s="1">
        <v>34.0</v>
      </c>
      <c r="U231" s="1">
        <v>0.0</v>
      </c>
    </row>
    <row r="232" ht="12.75" customHeight="1">
      <c r="A232" s="1" t="s">
        <v>323</v>
      </c>
      <c r="B232" s="1">
        <f t="shared" si="3"/>
        <v>218</v>
      </c>
      <c r="C232" s="1" t="str">
        <f>IFERROR(__xludf.DUMMYFUNCTION("split(A232, ""\"")"),"Oscar Klefbom")</f>
        <v>Oscar Klefbom</v>
      </c>
      <c r="D232" s="1" t="str">
        <f>IFERROR(__xludf.DUMMYFUNCTION("""COMPUTED_VALUE"""),"klefbos01")</f>
        <v>klefbos01</v>
      </c>
      <c r="E232" s="1" t="s">
        <v>66</v>
      </c>
      <c r="F232" s="1">
        <f t="shared" si="1"/>
        <v>280.65</v>
      </c>
      <c r="G232" s="1">
        <f t="shared" si="2"/>
        <v>4.25</v>
      </c>
      <c r="H232" s="1">
        <v>66.0</v>
      </c>
      <c r="I232" s="1">
        <v>5.0</v>
      </c>
      <c r="J232" s="1">
        <v>16.0</v>
      </c>
      <c r="K232" s="1">
        <v>21.0</v>
      </c>
      <c r="L232" s="1">
        <v>203.0</v>
      </c>
      <c r="M232" s="1">
        <v>49.0</v>
      </c>
      <c r="N232" s="1">
        <v>136.0</v>
      </c>
      <c r="O232" s="1">
        <v>1.0</v>
      </c>
      <c r="P232" s="1">
        <v>5.0</v>
      </c>
      <c r="Q232" s="1">
        <v>1.0</v>
      </c>
      <c r="R232" s="1">
        <v>0.0</v>
      </c>
      <c r="S232" s="1">
        <v>-12.0</v>
      </c>
      <c r="T232" s="1">
        <v>18.0</v>
      </c>
      <c r="U232" s="1">
        <v>1.0</v>
      </c>
    </row>
    <row r="233" ht="12.75" customHeight="1">
      <c r="A233" s="1" t="s">
        <v>211</v>
      </c>
      <c r="B233" s="1">
        <f t="shared" si="3"/>
        <v>219</v>
      </c>
      <c r="C233" s="1" t="str">
        <f>IFERROR(__xludf.DUMMYFUNCTION("split(A233, ""\"")"),"Kevin Fiala")</f>
        <v>Kevin Fiala</v>
      </c>
      <c r="D233" s="1" t="str">
        <f>IFERROR(__xludf.DUMMYFUNCTION("""COMPUTED_VALUE"""),"fialake01")</f>
        <v>fialake01</v>
      </c>
      <c r="E233" s="1" t="s">
        <v>28</v>
      </c>
      <c r="F233" s="1">
        <f t="shared" si="1"/>
        <v>279.8</v>
      </c>
      <c r="G233" s="1">
        <f t="shared" si="2"/>
        <v>3.5</v>
      </c>
      <c r="H233" s="1">
        <v>80.0</v>
      </c>
      <c r="I233" s="1">
        <v>23.0</v>
      </c>
      <c r="J233" s="1">
        <v>25.0</v>
      </c>
      <c r="K233" s="1">
        <v>48.0</v>
      </c>
      <c r="L233" s="1">
        <v>187.0</v>
      </c>
      <c r="M233" s="1">
        <v>34.0</v>
      </c>
      <c r="N233" s="1">
        <v>27.0</v>
      </c>
      <c r="O233" s="1">
        <v>4.0</v>
      </c>
      <c r="P233" s="1">
        <v>9.0</v>
      </c>
      <c r="Q233" s="1">
        <v>0.0</v>
      </c>
      <c r="R233" s="1">
        <v>0.0</v>
      </c>
      <c r="S233" s="1">
        <v>20.0</v>
      </c>
      <c r="T233" s="1">
        <v>26.0</v>
      </c>
      <c r="U233" s="1">
        <v>4.0</v>
      </c>
    </row>
    <row r="234" ht="12.75" customHeight="1">
      <c r="A234" s="1" t="s">
        <v>310</v>
      </c>
      <c r="B234" s="1">
        <f t="shared" si="3"/>
        <v>220</v>
      </c>
      <c r="C234" s="1" t="str">
        <f>IFERROR(__xludf.DUMMYFUNCTION("split(A234, ""\"")"),"Charles Hudon")</f>
        <v>Charles Hudon</v>
      </c>
      <c r="D234" s="1" t="str">
        <f>IFERROR(__xludf.DUMMYFUNCTION("""COMPUTED_VALUE"""),"hudonch01")</f>
        <v>hudonch01</v>
      </c>
      <c r="E234" s="1" t="s">
        <v>28</v>
      </c>
      <c r="F234" s="1">
        <f t="shared" si="1"/>
        <v>279.4</v>
      </c>
      <c r="G234" s="1">
        <f t="shared" si="2"/>
        <v>3.88</v>
      </c>
      <c r="H234" s="1">
        <v>72.0</v>
      </c>
      <c r="I234" s="1">
        <v>10.0</v>
      </c>
      <c r="J234" s="1">
        <v>20.0</v>
      </c>
      <c r="K234" s="1">
        <v>30.0</v>
      </c>
      <c r="L234" s="1">
        <v>179.0</v>
      </c>
      <c r="M234" s="1">
        <v>126.0</v>
      </c>
      <c r="N234" s="1">
        <v>38.0</v>
      </c>
      <c r="O234" s="1">
        <v>3.0</v>
      </c>
      <c r="P234" s="1">
        <v>5.0</v>
      </c>
      <c r="Q234" s="1">
        <v>0.0</v>
      </c>
      <c r="R234" s="1">
        <v>1.0</v>
      </c>
      <c r="S234" s="1">
        <v>-12.0</v>
      </c>
      <c r="T234" s="1">
        <v>38.0</v>
      </c>
      <c r="U234" s="1">
        <v>1.0</v>
      </c>
    </row>
    <row r="235" ht="12.75" customHeight="1">
      <c r="A235" s="1" t="s">
        <v>246</v>
      </c>
      <c r="B235" s="1">
        <f t="shared" si="3"/>
        <v>221</v>
      </c>
      <c r="C235" s="1" t="str">
        <f>IFERROR(__xludf.DUMMYFUNCTION("split(A235, ""\"")"),"Tanner Pearson")</f>
        <v>Tanner Pearson</v>
      </c>
      <c r="D235" s="1" t="str">
        <f>IFERROR(__xludf.DUMMYFUNCTION("""COMPUTED_VALUE"""),"pearsta01")</f>
        <v>pearsta01</v>
      </c>
      <c r="E235" s="1" t="s">
        <v>28</v>
      </c>
      <c r="F235" s="1">
        <f t="shared" si="1"/>
        <v>279.1</v>
      </c>
      <c r="G235" s="1">
        <f t="shared" si="2"/>
        <v>3.4</v>
      </c>
      <c r="H235" s="1">
        <v>82.0</v>
      </c>
      <c r="I235" s="1">
        <v>15.0</v>
      </c>
      <c r="J235" s="1">
        <v>25.0</v>
      </c>
      <c r="K235" s="1">
        <v>40.0</v>
      </c>
      <c r="L235" s="1">
        <v>180.0</v>
      </c>
      <c r="M235" s="1">
        <v>116.0</v>
      </c>
      <c r="N235" s="1">
        <v>36.0</v>
      </c>
      <c r="O235" s="1">
        <v>2.0</v>
      </c>
      <c r="P235" s="1">
        <v>3.0</v>
      </c>
      <c r="Q235" s="1">
        <v>0.0</v>
      </c>
      <c r="R235" s="1">
        <v>0.0</v>
      </c>
      <c r="S235" s="1">
        <v>11.0</v>
      </c>
      <c r="T235" s="1">
        <v>27.0</v>
      </c>
      <c r="U235" s="1">
        <v>4.0</v>
      </c>
    </row>
    <row r="236" ht="12.75" customHeight="1">
      <c r="A236" s="1" t="s">
        <v>264</v>
      </c>
      <c r="B236" s="1">
        <f t="shared" si="3"/>
        <v>222</v>
      </c>
      <c r="C236" s="1" t="str">
        <f>IFERROR(__xludf.DUMMYFUNCTION("split(A236, ""\"")"),"Brent Seabrook")</f>
        <v>Brent Seabrook</v>
      </c>
      <c r="D236" s="1" t="str">
        <f>IFERROR(__xludf.DUMMYFUNCTION("""COMPUTED_VALUE"""),"seabrbr01")</f>
        <v>seabrbr01</v>
      </c>
      <c r="E236" s="1" t="s">
        <v>66</v>
      </c>
      <c r="F236" s="1">
        <f t="shared" si="1"/>
        <v>278.65</v>
      </c>
      <c r="G236" s="1">
        <f t="shared" si="2"/>
        <v>3.44</v>
      </c>
      <c r="H236" s="1">
        <v>81.0</v>
      </c>
      <c r="I236" s="1">
        <v>7.0</v>
      </c>
      <c r="J236" s="1">
        <v>19.0</v>
      </c>
      <c r="K236" s="1">
        <v>26.0</v>
      </c>
      <c r="L236" s="1">
        <v>136.0</v>
      </c>
      <c r="M236" s="1">
        <v>85.0</v>
      </c>
      <c r="N236" s="1">
        <v>170.0</v>
      </c>
      <c r="O236" s="1">
        <v>2.0</v>
      </c>
      <c r="P236" s="1">
        <v>6.0</v>
      </c>
      <c r="Q236" s="1">
        <v>0.0</v>
      </c>
      <c r="R236" s="1">
        <v>0.0</v>
      </c>
      <c r="S236" s="1">
        <v>-3.0</v>
      </c>
      <c r="T236" s="1">
        <v>38.0</v>
      </c>
      <c r="U236" s="1">
        <v>0.0</v>
      </c>
    </row>
    <row r="237" ht="12.75" customHeight="1">
      <c r="A237" s="1" t="s">
        <v>237</v>
      </c>
      <c r="B237" s="1">
        <f t="shared" si="3"/>
        <v>223</v>
      </c>
      <c r="C237" s="1" t="str">
        <f>IFERROR(__xludf.DUMMYFUNCTION("split(A237, ""\"")"),"Tyler Myers")</f>
        <v>Tyler Myers</v>
      </c>
      <c r="D237" s="1" t="str">
        <f>IFERROR(__xludf.DUMMYFUNCTION("""COMPUTED_VALUE"""),"myersty01")</f>
        <v>myersty01</v>
      </c>
      <c r="E237" s="1" t="s">
        <v>66</v>
      </c>
      <c r="F237" s="1">
        <f t="shared" si="1"/>
        <v>278.4</v>
      </c>
      <c r="G237" s="1">
        <f t="shared" si="2"/>
        <v>3.4</v>
      </c>
      <c r="H237" s="1">
        <v>82.0</v>
      </c>
      <c r="I237" s="1">
        <v>6.0</v>
      </c>
      <c r="J237" s="1">
        <v>30.0</v>
      </c>
      <c r="K237" s="1">
        <v>36.0</v>
      </c>
      <c r="L237" s="1">
        <v>150.0</v>
      </c>
      <c r="M237" s="1">
        <v>68.0</v>
      </c>
      <c r="N237" s="1">
        <v>119.0</v>
      </c>
      <c r="O237" s="1">
        <v>3.0</v>
      </c>
      <c r="P237" s="1">
        <v>14.0</v>
      </c>
      <c r="Q237" s="1">
        <v>1.0</v>
      </c>
      <c r="R237" s="1">
        <v>0.0</v>
      </c>
      <c r="S237" s="1">
        <v>9.0</v>
      </c>
      <c r="T237" s="1">
        <v>48.0</v>
      </c>
      <c r="U237" s="1">
        <v>3.0</v>
      </c>
    </row>
    <row r="238" ht="12.75" customHeight="1">
      <c r="A238" s="1" t="s">
        <v>336</v>
      </c>
      <c r="B238" s="1">
        <f t="shared" si="3"/>
        <v>224</v>
      </c>
      <c r="C238" s="1" t="str">
        <f>IFERROR(__xludf.DUMMYFUNCTION("split(A238, ""\"")"),"Miles Wood")</f>
        <v>Miles Wood</v>
      </c>
      <c r="D238" s="1" t="str">
        <f>IFERROR(__xludf.DUMMYFUNCTION("""COMPUTED_VALUE"""),"woodmi01")</f>
        <v>woodmi01</v>
      </c>
      <c r="E238" s="1" t="s">
        <v>28</v>
      </c>
      <c r="F238" s="1">
        <f t="shared" si="1"/>
        <v>277.45</v>
      </c>
      <c r="G238" s="1">
        <f t="shared" si="2"/>
        <v>3.65</v>
      </c>
      <c r="H238" s="1">
        <v>76.0</v>
      </c>
      <c r="I238" s="1">
        <v>19.0</v>
      </c>
      <c r="J238" s="1">
        <v>13.0</v>
      </c>
      <c r="K238" s="1">
        <v>32.0</v>
      </c>
      <c r="L238" s="1">
        <v>170.0</v>
      </c>
      <c r="M238" s="1">
        <v>75.0</v>
      </c>
      <c r="N238" s="1">
        <v>22.0</v>
      </c>
      <c r="O238" s="1">
        <v>3.0</v>
      </c>
      <c r="P238" s="1">
        <v>0.0</v>
      </c>
      <c r="Q238" s="1">
        <v>0.0</v>
      </c>
      <c r="R238" s="1">
        <v>0.0</v>
      </c>
      <c r="S238" s="1">
        <v>-6.0</v>
      </c>
      <c r="T238" s="1">
        <v>84.0</v>
      </c>
      <c r="U238" s="1">
        <v>2.0</v>
      </c>
    </row>
    <row r="239" ht="12.75" customHeight="1">
      <c r="A239" s="1" t="s">
        <v>338</v>
      </c>
      <c r="B239" s="1">
        <f t="shared" si="3"/>
        <v>224</v>
      </c>
      <c r="C239" s="1" t="str">
        <f>IFERROR(__xludf.DUMMYFUNCTION("split(A239, ""\"")"),"Devin Shore")</f>
        <v>Devin Shore</v>
      </c>
      <c r="D239" s="1" t="str">
        <f>IFERROR(__xludf.DUMMYFUNCTION("""COMPUTED_VALUE"""),"shorede01")</f>
        <v>shorede01</v>
      </c>
      <c r="E239" s="1" t="s">
        <v>31</v>
      </c>
      <c r="F239" s="1">
        <f t="shared" si="1"/>
        <v>277.45</v>
      </c>
      <c r="G239" s="1">
        <f t="shared" si="2"/>
        <v>3.38</v>
      </c>
      <c r="H239" s="1">
        <v>82.0</v>
      </c>
      <c r="I239" s="1">
        <v>11.0</v>
      </c>
      <c r="J239" s="1">
        <v>21.0</v>
      </c>
      <c r="K239" s="1">
        <v>32.0</v>
      </c>
      <c r="L239" s="1">
        <v>123.0</v>
      </c>
      <c r="M239" s="1">
        <v>71.0</v>
      </c>
      <c r="N239" s="1">
        <v>57.0</v>
      </c>
      <c r="O239" s="1">
        <v>2.0</v>
      </c>
      <c r="P239" s="1">
        <v>9.0</v>
      </c>
      <c r="Q239" s="1">
        <v>1.0</v>
      </c>
      <c r="R239" s="1">
        <v>1.0</v>
      </c>
      <c r="S239" s="1">
        <v>-30.0</v>
      </c>
      <c r="T239" s="1">
        <v>14.0</v>
      </c>
      <c r="U239" s="1">
        <v>1.0</v>
      </c>
    </row>
    <row r="240" ht="12.75" customHeight="1">
      <c r="A240" s="1" t="s">
        <v>273</v>
      </c>
      <c r="B240" s="1">
        <f t="shared" si="3"/>
        <v>226</v>
      </c>
      <c r="C240" s="1" t="str">
        <f>IFERROR(__xludf.DUMMYFUNCTION("split(A240, ""\"")"),"Carl Soderberg")</f>
        <v>Carl Soderberg</v>
      </c>
      <c r="D240" s="1" t="str">
        <f>IFERROR(__xludf.DUMMYFUNCTION("""COMPUTED_VALUE"""),"soderca01")</f>
        <v>soderca01</v>
      </c>
      <c r="E240" s="1" t="s">
        <v>31</v>
      </c>
      <c r="F240" s="1">
        <f t="shared" si="1"/>
        <v>276.55</v>
      </c>
      <c r="G240" s="1">
        <f t="shared" si="2"/>
        <v>3.59</v>
      </c>
      <c r="H240" s="1">
        <v>77.0</v>
      </c>
      <c r="I240" s="1">
        <v>16.0</v>
      </c>
      <c r="J240" s="1">
        <v>21.0</v>
      </c>
      <c r="K240" s="1">
        <v>37.0</v>
      </c>
      <c r="L240" s="1">
        <v>150.0</v>
      </c>
      <c r="M240" s="1">
        <v>71.0</v>
      </c>
      <c r="N240" s="1">
        <v>64.0</v>
      </c>
      <c r="O240" s="1">
        <v>3.0</v>
      </c>
      <c r="P240" s="1">
        <v>2.0</v>
      </c>
      <c r="Q240" s="1">
        <v>0.0</v>
      </c>
      <c r="R240" s="1">
        <v>1.0</v>
      </c>
      <c r="S240" s="1">
        <v>0.0</v>
      </c>
      <c r="T240" s="1">
        <v>26.0</v>
      </c>
      <c r="U240" s="1">
        <v>3.0</v>
      </c>
    </row>
    <row r="241" ht="12.75" customHeight="1">
      <c r="A241" s="1" t="s">
        <v>261</v>
      </c>
      <c r="B241" s="1">
        <f t="shared" si="3"/>
        <v>227</v>
      </c>
      <c r="C241" s="1" t="str">
        <f>IFERROR(__xludf.DUMMYFUNCTION("split(A241, ""\"")"),"Alex Tuch")</f>
        <v>Alex Tuch</v>
      </c>
      <c r="D241" s="1" t="str">
        <f>IFERROR(__xludf.DUMMYFUNCTION("""COMPUTED_VALUE"""),"tuchal01")</f>
        <v>tuchal01</v>
      </c>
      <c r="E241" s="1" t="s">
        <v>36</v>
      </c>
      <c r="F241" s="1">
        <f t="shared" si="1"/>
        <v>276.35</v>
      </c>
      <c r="G241" s="1">
        <f t="shared" si="2"/>
        <v>3.54</v>
      </c>
      <c r="H241" s="1">
        <v>78.0</v>
      </c>
      <c r="I241" s="1">
        <v>15.0</v>
      </c>
      <c r="J241" s="1">
        <v>22.0</v>
      </c>
      <c r="K241" s="1">
        <v>37.0</v>
      </c>
      <c r="L241" s="1">
        <v>171.0</v>
      </c>
      <c r="M241" s="1">
        <v>99.0</v>
      </c>
      <c r="N241" s="1">
        <v>42.0</v>
      </c>
      <c r="O241" s="1">
        <v>4.0</v>
      </c>
      <c r="P241" s="1">
        <v>6.0</v>
      </c>
      <c r="Q241" s="1">
        <v>0.0</v>
      </c>
      <c r="R241" s="1">
        <v>0.0</v>
      </c>
      <c r="S241" s="1">
        <v>3.0</v>
      </c>
      <c r="T241" s="1">
        <v>27.0</v>
      </c>
      <c r="U241" s="1">
        <v>4.0</v>
      </c>
    </row>
    <row r="242" ht="12.75" customHeight="1">
      <c r="A242" s="1" t="s">
        <v>307</v>
      </c>
      <c r="B242" s="1">
        <f t="shared" si="3"/>
        <v>228</v>
      </c>
      <c r="C242" s="1" t="str">
        <f>IFERROR(__xludf.DUMMYFUNCTION("split(A242, ""\"")"),"Josh Anderson")</f>
        <v>Josh Anderson</v>
      </c>
      <c r="D242" s="1" t="str">
        <f>IFERROR(__xludf.DUMMYFUNCTION("""COMPUTED_VALUE"""),"anderjo05")</f>
        <v>anderjo05</v>
      </c>
      <c r="E242" s="1" t="s">
        <v>36</v>
      </c>
      <c r="F242" s="1">
        <f t="shared" si="1"/>
        <v>275.85</v>
      </c>
      <c r="G242" s="1">
        <f t="shared" si="2"/>
        <v>4.38</v>
      </c>
      <c r="H242" s="1">
        <v>63.0</v>
      </c>
      <c r="I242" s="1">
        <v>19.0</v>
      </c>
      <c r="J242" s="1">
        <v>11.0</v>
      </c>
      <c r="K242" s="1">
        <v>30.0</v>
      </c>
      <c r="L242" s="1">
        <v>188.0</v>
      </c>
      <c r="M242" s="1">
        <v>109.0</v>
      </c>
      <c r="N242" s="1">
        <v>24.0</v>
      </c>
      <c r="O242" s="1">
        <v>1.0</v>
      </c>
      <c r="P242" s="1">
        <v>3.0</v>
      </c>
      <c r="Q242" s="1">
        <v>0.0</v>
      </c>
      <c r="R242" s="1">
        <v>0.0</v>
      </c>
      <c r="S242" s="1">
        <v>-1.0</v>
      </c>
      <c r="T242" s="1">
        <v>42.0</v>
      </c>
      <c r="U242" s="1">
        <v>5.0</v>
      </c>
    </row>
    <row r="243" ht="12.75" customHeight="1">
      <c r="A243" s="1" t="s">
        <v>278</v>
      </c>
      <c r="B243" s="1">
        <f t="shared" si="3"/>
        <v>229</v>
      </c>
      <c r="C243" s="1" t="str">
        <f>IFERROR(__xludf.DUMMYFUNCTION("split(A243, ""\"")"),"Sami Vatanen")</f>
        <v>Sami Vatanen</v>
      </c>
      <c r="D243" s="1" t="str">
        <f>IFERROR(__xludf.DUMMYFUNCTION("""COMPUTED_VALUE"""),"vatansa01")</f>
        <v>vatansa01</v>
      </c>
      <c r="E243" s="1" t="s">
        <v>66</v>
      </c>
      <c r="F243" s="1">
        <f t="shared" si="1"/>
        <v>275.5</v>
      </c>
      <c r="G243" s="1">
        <f t="shared" si="2"/>
        <v>3.83</v>
      </c>
      <c r="H243" s="1">
        <v>72.0</v>
      </c>
      <c r="I243" s="1">
        <v>4.0</v>
      </c>
      <c r="J243" s="1">
        <v>28.0</v>
      </c>
      <c r="K243" s="1">
        <v>32.0</v>
      </c>
      <c r="L243" s="1">
        <v>145.0</v>
      </c>
      <c r="M243" s="1">
        <v>92.0</v>
      </c>
      <c r="N243" s="1">
        <v>105.0</v>
      </c>
      <c r="O243" s="1">
        <v>1.0</v>
      </c>
      <c r="P243" s="1">
        <v>12.0</v>
      </c>
      <c r="Q243" s="1">
        <v>0.0</v>
      </c>
      <c r="R243" s="1">
        <v>1.0</v>
      </c>
      <c r="S243" s="1">
        <v>-7.0</v>
      </c>
      <c r="T243" s="1">
        <v>40.0</v>
      </c>
      <c r="U243" s="1">
        <v>0.0</v>
      </c>
    </row>
    <row r="244" ht="12.75" customHeight="1">
      <c r="A244" s="1" t="s">
        <v>262</v>
      </c>
      <c r="B244" s="1">
        <f t="shared" si="3"/>
        <v>230</v>
      </c>
      <c r="C244" s="1" t="str">
        <f>IFERROR(__xludf.DUMMYFUNCTION("split(A244, ""\"")"),"Paul Byron")</f>
        <v>Paul Byron</v>
      </c>
      <c r="D244" s="1" t="str">
        <f>IFERROR(__xludf.DUMMYFUNCTION("""COMPUTED_VALUE"""),"byronpa01")</f>
        <v>byronpa01</v>
      </c>
      <c r="E244" s="1" t="s">
        <v>141</v>
      </c>
      <c r="F244" s="1">
        <f t="shared" si="1"/>
        <v>275.15</v>
      </c>
      <c r="G244" s="1">
        <f t="shared" si="2"/>
        <v>3.36</v>
      </c>
      <c r="H244" s="1">
        <v>82.0</v>
      </c>
      <c r="I244" s="1">
        <v>20.0</v>
      </c>
      <c r="J244" s="1">
        <v>15.0</v>
      </c>
      <c r="K244" s="1">
        <v>35.0</v>
      </c>
      <c r="L244" s="1">
        <v>115.0</v>
      </c>
      <c r="M244" s="1">
        <v>137.0</v>
      </c>
      <c r="N244" s="1">
        <v>55.0</v>
      </c>
      <c r="O244" s="1">
        <v>2.0</v>
      </c>
      <c r="P244" s="1">
        <v>2.0</v>
      </c>
      <c r="Q244" s="1">
        <v>1.0</v>
      </c>
      <c r="R244" s="1">
        <v>1.0</v>
      </c>
      <c r="S244" s="1">
        <v>-4.0</v>
      </c>
      <c r="T244" s="1">
        <v>23.0</v>
      </c>
      <c r="U244" s="1">
        <v>1.0</v>
      </c>
    </row>
    <row r="245" ht="12.75" customHeight="1">
      <c r="A245" s="1" t="s">
        <v>250</v>
      </c>
      <c r="B245" s="1">
        <f t="shared" si="3"/>
        <v>231</v>
      </c>
      <c r="C245" s="1" t="str">
        <f>IFERROR(__xludf.DUMMYFUNCTION("split(A245, ""\"")"),"Jared Spurgeon")</f>
        <v>Jared Spurgeon</v>
      </c>
      <c r="D245" s="1" t="str">
        <f>IFERROR(__xludf.DUMMYFUNCTION("""COMPUTED_VALUE"""),"spurgja01")</f>
        <v>spurgja01</v>
      </c>
      <c r="E245" s="1" t="s">
        <v>66</v>
      </c>
      <c r="F245" s="1">
        <f t="shared" si="1"/>
        <v>274.4</v>
      </c>
      <c r="G245" s="1">
        <f t="shared" si="2"/>
        <v>4.5</v>
      </c>
      <c r="H245" s="1">
        <v>61.0</v>
      </c>
      <c r="I245" s="1">
        <v>9.0</v>
      </c>
      <c r="J245" s="1">
        <v>28.0</v>
      </c>
      <c r="K245" s="1">
        <v>37.0</v>
      </c>
      <c r="L245" s="1">
        <v>110.0</v>
      </c>
      <c r="M245" s="1">
        <v>64.0</v>
      </c>
      <c r="N245" s="1">
        <v>127.0</v>
      </c>
      <c r="O245" s="1">
        <v>3.0</v>
      </c>
      <c r="P245" s="1">
        <v>10.0</v>
      </c>
      <c r="Q245" s="1">
        <v>0.0</v>
      </c>
      <c r="R245" s="1">
        <v>0.0</v>
      </c>
      <c r="S245" s="1">
        <v>-6.0</v>
      </c>
      <c r="T245" s="1">
        <v>8.0</v>
      </c>
      <c r="U245" s="1">
        <v>2.0</v>
      </c>
    </row>
    <row r="246" ht="12.75" customHeight="1">
      <c r="A246" s="1" t="s">
        <v>159</v>
      </c>
      <c r="B246" s="1">
        <f t="shared" si="3"/>
        <v>232</v>
      </c>
      <c r="C246" s="1" t="str">
        <f>IFERROR(__xludf.DUMMYFUNCTION("split(A246, ""\"")"),"James Reimer")</f>
        <v>James Reimer</v>
      </c>
      <c r="D246" s="2" t="str">
        <f>IFERROR(__xludf.DUMMYFUNCTION("""COMPUTED_VALUE"""),"reimeja01")</f>
        <v>reimeja01</v>
      </c>
      <c r="E246" s="1" t="s">
        <v>5</v>
      </c>
      <c r="F246" s="1">
        <f t="shared" si="1"/>
        <v>273.9</v>
      </c>
      <c r="G246" s="1">
        <f t="shared" si="2"/>
        <v>6.23</v>
      </c>
      <c r="H246" s="1">
        <v>44.0</v>
      </c>
      <c r="V246" s="1">
        <v>42.0</v>
      </c>
      <c r="W246" s="1">
        <v>22.0</v>
      </c>
      <c r="X246" s="1">
        <v>14.0</v>
      </c>
      <c r="Y246" s="1">
        <v>120.0</v>
      </c>
      <c r="Z246" s="1">
        <v>1373.0</v>
      </c>
      <c r="AA246" s="1">
        <v>1253.0</v>
      </c>
      <c r="AB246" s="1">
        <v>4.0</v>
      </c>
    </row>
    <row r="247" ht="12.75" customHeight="1">
      <c r="A247" s="1" t="s">
        <v>247</v>
      </c>
      <c r="B247" s="1">
        <f t="shared" si="3"/>
        <v>233</v>
      </c>
      <c r="C247" s="1" t="str">
        <f>IFERROR(__xludf.DUMMYFUNCTION("split(A247, ""\"")"),"Justin Braun")</f>
        <v>Justin Braun</v>
      </c>
      <c r="D247" s="1" t="str">
        <f>IFERROR(__xludf.DUMMYFUNCTION("""COMPUTED_VALUE"""),"braunju01")</f>
        <v>braunju01</v>
      </c>
      <c r="E247" s="1" t="s">
        <v>66</v>
      </c>
      <c r="F247" s="1">
        <f t="shared" si="1"/>
        <v>273.65</v>
      </c>
      <c r="G247" s="1">
        <f t="shared" si="2"/>
        <v>3.38</v>
      </c>
      <c r="H247" s="1">
        <v>81.0</v>
      </c>
      <c r="I247" s="1">
        <v>5.0</v>
      </c>
      <c r="J247" s="1">
        <v>28.0</v>
      </c>
      <c r="K247" s="1">
        <v>33.0</v>
      </c>
      <c r="L247" s="1">
        <v>115.0</v>
      </c>
      <c r="M247" s="1">
        <v>143.0</v>
      </c>
      <c r="N247" s="1">
        <v>152.0</v>
      </c>
      <c r="O247" s="1">
        <v>0.0</v>
      </c>
      <c r="P247" s="1">
        <v>0.0</v>
      </c>
      <c r="Q247" s="1">
        <v>0.0</v>
      </c>
      <c r="R247" s="1">
        <v>0.0</v>
      </c>
      <c r="S247" s="1">
        <v>7.0</v>
      </c>
      <c r="T247" s="1">
        <v>28.0</v>
      </c>
      <c r="U247" s="1">
        <v>0.0</v>
      </c>
    </row>
    <row r="248" ht="12.75" customHeight="1">
      <c r="A248" s="1" t="s">
        <v>315</v>
      </c>
      <c r="B248" s="1">
        <f t="shared" si="3"/>
        <v>234</v>
      </c>
      <c r="C248" s="1" t="str">
        <f>IFERROR(__xludf.DUMMYFUNCTION("split(A248, ""\"")"),"Christian Fischer")</f>
        <v>Christian Fischer</v>
      </c>
      <c r="D248" s="1" t="str">
        <f>IFERROR(__xludf.DUMMYFUNCTION("""COMPUTED_VALUE"""),"fischch01")</f>
        <v>fischch01</v>
      </c>
      <c r="E248" s="1" t="s">
        <v>36</v>
      </c>
      <c r="F248" s="1">
        <f t="shared" si="1"/>
        <v>272.95</v>
      </c>
      <c r="G248" s="1">
        <f t="shared" si="2"/>
        <v>3.46</v>
      </c>
      <c r="H248" s="1">
        <v>79.0</v>
      </c>
      <c r="I248" s="1">
        <v>15.0</v>
      </c>
      <c r="J248" s="1">
        <v>18.0</v>
      </c>
      <c r="K248" s="1">
        <v>33.0</v>
      </c>
      <c r="L248" s="1">
        <v>154.0</v>
      </c>
      <c r="M248" s="1">
        <v>109.0</v>
      </c>
      <c r="N248" s="1">
        <v>23.0</v>
      </c>
      <c r="O248" s="1">
        <v>5.0</v>
      </c>
      <c r="P248" s="1">
        <v>3.0</v>
      </c>
      <c r="Q248" s="1">
        <v>0.0</v>
      </c>
      <c r="R248" s="1">
        <v>0.0</v>
      </c>
      <c r="S248" s="1">
        <v>-17.0</v>
      </c>
      <c r="T248" s="1">
        <v>14.0</v>
      </c>
      <c r="U248" s="1">
        <v>3.0</v>
      </c>
    </row>
    <row r="249" ht="12.75" customHeight="1">
      <c r="A249" s="1" t="s">
        <v>360</v>
      </c>
      <c r="B249" s="1">
        <f t="shared" si="3"/>
        <v>235</v>
      </c>
      <c r="C249" s="1" t="str">
        <f>IFERROR(__xludf.DUMMYFUNCTION("split(A249, ""\"")"),"Sam Bennett")</f>
        <v>Sam Bennett</v>
      </c>
      <c r="D249" s="1" t="str">
        <f>IFERROR(__xludf.DUMMYFUNCTION("""COMPUTED_VALUE"""),"bennesa01")</f>
        <v>bennesa01</v>
      </c>
      <c r="E249" s="1" t="s">
        <v>31</v>
      </c>
      <c r="F249" s="1">
        <f t="shared" si="1"/>
        <v>271.7</v>
      </c>
      <c r="G249" s="1">
        <f t="shared" si="2"/>
        <v>3.31</v>
      </c>
      <c r="H249" s="1">
        <v>82.0</v>
      </c>
      <c r="I249" s="1">
        <v>11.0</v>
      </c>
      <c r="J249" s="1">
        <v>15.0</v>
      </c>
      <c r="K249" s="1">
        <v>26.0</v>
      </c>
      <c r="L249" s="1">
        <v>157.0</v>
      </c>
      <c r="M249" s="1">
        <v>140.0</v>
      </c>
      <c r="N249" s="1">
        <v>34.0</v>
      </c>
      <c r="O249" s="1">
        <v>1.0</v>
      </c>
      <c r="P249" s="1">
        <v>2.0</v>
      </c>
      <c r="Q249" s="1">
        <v>0.0</v>
      </c>
      <c r="R249" s="1">
        <v>0.0</v>
      </c>
      <c r="S249" s="1">
        <v>-18.0</v>
      </c>
      <c r="T249" s="1">
        <v>59.0</v>
      </c>
      <c r="U249" s="1">
        <v>1.0</v>
      </c>
    </row>
    <row r="250" ht="12.75" customHeight="1">
      <c r="A250" s="1" t="s">
        <v>150</v>
      </c>
      <c r="B250" s="1">
        <f t="shared" si="3"/>
        <v>236</v>
      </c>
      <c r="C250" s="1" t="str">
        <f>IFERROR(__xludf.DUMMYFUNCTION("split(A250, ""\"")"),"Matt Murray")</f>
        <v>Matt Murray</v>
      </c>
      <c r="D250" s="2" t="str">
        <f>IFERROR(__xludf.DUMMYFUNCTION("""COMPUTED_VALUE"""),"murrama02")</f>
        <v>murrama02</v>
      </c>
      <c r="E250" s="1" t="s">
        <v>5</v>
      </c>
      <c r="F250" s="1">
        <f t="shared" si="1"/>
        <v>271.5</v>
      </c>
      <c r="G250" s="1">
        <f t="shared" si="2"/>
        <v>5.54</v>
      </c>
      <c r="H250" s="1">
        <v>49.0</v>
      </c>
      <c r="V250" s="1">
        <v>45.0</v>
      </c>
      <c r="W250" s="1">
        <v>27.0</v>
      </c>
      <c r="X250" s="1">
        <v>16.0</v>
      </c>
      <c r="Y250" s="1">
        <v>133.0</v>
      </c>
      <c r="Z250" s="1">
        <v>1423.0</v>
      </c>
      <c r="AA250" s="1">
        <v>1290.0</v>
      </c>
      <c r="AB250" s="1">
        <v>1.0</v>
      </c>
    </row>
    <row r="251" ht="12.75" customHeight="1">
      <c r="A251" s="1" t="s">
        <v>279</v>
      </c>
      <c r="B251" s="1">
        <f t="shared" si="3"/>
        <v>237</v>
      </c>
      <c r="C251" s="1" t="str">
        <f>IFERROR(__xludf.DUMMYFUNCTION("split(A251, ""\"")"),"Jaccob Slavin")</f>
        <v>Jaccob Slavin</v>
      </c>
      <c r="D251" s="1" t="str">
        <f>IFERROR(__xludf.DUMMYFUNCTION("""COMPUTED_VALUE"""),"slavija01")</f>
        <v>slavija01</v>
      </c>
      <c r="E251" s="1" t="s">
        <v>66</v>
      </c>
      <c r="F251" s="1">
        <f t="shared" si="1"/>
        <v>271.25</v>
      </c>
      <c r="G251" s="1">
        <f t="shared" si="2"/>
        <v>3.31</v>
      </c>
      <c r="H251" s="1">
        <v>82.0</v>
      </c>
      <c r="I251" s="1">
        <v>8.0</v>
      </c>
      <c r="J251" s="1">
        <v>22.0</v>
      </c>
      <c r="K251" s="1">
        <v>30.0</v>
      </c>
      <c r="L251" s="1">
        <v>154.0</v>
      </c>
      <c r="M251" s="1">
        <v>47.0</v>
      </c>
      <c r="N251" s="1">
        <v>154.0</v>
      </c>
      <c r="O251" s="1">
        <v>1.0</v>
      </c>
      <c r="P251" s="1">
        <v>1.0</v>
      </c>
      <c r="Q251" s="1">
        <v>0.0</v>
      </c>
      <c r="R251" s="1">
        <v>0.0</v>
      </c>
      <c r="S251" s="1">
        <v>1.0</v>
      </c>
      <c r="T251" s="1">
        <v>10.0</v>
      </c>
      <c r="U251" s="1">
        <v>1.0</v>
      </c>
    </row>
    <row r="252" ht="12.75" customHeight="1">
      <c r="A252" s="1" t="s">
        <v>263</v>
      </c>
      <c r="B252" s="1">
        <f t="shared" si="3"/>
        <v>238</v>
      </c>
      <c r="C252" s="1" t="str">
        <f>IFERROR(__xludf.DUMMYFUNCTION("split(A252, ""\"")"),"Michael Grabner")</f>
        <v>Michael Grabner</v>
      </c>
      <c r="D252" s="1" t="str">
        <f>IFERROR(__xludf.DUMMYFUNCTION("""COMPUTED_VALUE"""),"grabnmi01")</f>
        <v>grabnmi01</v>
      </c>
      <c r="E252" s="1" t="s">
        <v>36</v>
      </c>
      <c r="F252" s="1">
        <f t="shared" si="1"/>
        <v>270.8</v>
      </c>
      <c r="G252" s="1">
        <f t="shared" si="2"/>
        <v>3.39</v>
      </c>
      <c r="H252" s="1">
        <v>80.0</v>
      </c>
      <c r="I252" s="1">
        <v>27.0</v>
      </c>
      <c r="J252" s="1">
        <v>9.0</v>
      </c>
      <c r="K252" s="1">
        <v>36.0</v>
      </c>
      <c r="L252" s="1">
        <v>167.0</v>
      </c>
      <c r="M252" s="1">
        <v>68.0</v>
      </c>
      <c r="N252" s="1">
        <v>37.0</v>
      </c>
      <c r="O252" s="1">
        <v>0.0</v>
      </c>
      <c r="P252" s="1">
        <v>1.0</v>
      </c>
      <c r="Q252" s="1">
        <v>2.0</v>
      </c>
      <c r="R252" s="1">
        <v>1.0</v>
      </c>
      <c r="S252" s="1">
        <v>11.0</v>
      </c>
      <c r="T252" s="1">
        <v>16.0</v>
      </c>
      <c r="U252" s="1">
        <v>3.0</v>
      </c>
    </row>
    <row r="253" ht="12.75" customHeight="1">
      <c r="A253" s="1" t="s">
        <v>284</v>
      </c>
      <c r="B253" s="1">
        <f t="shared" si="3"/>
        <v>239</v>
      </c>
      <c r="C253" s="1" t="str">
        <f>IFERROR(__xludf.DUMMYFUNCTION("split(A253, ""\"")"),"Blake Coleman")</f>
        <v>Blake Coleman</v>
      </c>
      <c r="D253" s="1" t="str">
        <f>IFERROR(__xludf.DUMMYFUNCTION("""COMPUTED_VALUE"""),"colembl01")</f>
        <v>colembl01</v>
      </c>
      <c r="E253" s="1" t="s">
        <v>31</v>
      </c>
      <c r="F253" s="1">
        <f t="shared" si="1"/>
        <v>267.5</v>
      </c>
      <c r="G253" s="1">
        <f t="shared" si="2"/>
        <v>3.39</v>
      </c>
      <c r="H253" s="1">
        <v>79.0</v>
      </c>
      <c r="I253" s="1">
        <v>13.0</v>
      </c>
      <c r="J253" s="1">
        <v>12.0</v>
      </c>
      <c r="K253" s="1">
        <v>25.0</v>
      </c>
      <c r="L253" s="1">
        <v>146.0</v>
      </c>
      <c r="M253" s="1">
        <v>216.0</v>
      </c>
      <c r="N253" s="1">
        <v>57.0</v>
      </c>
      <c r="O253" s="1">
        <v>0.0</v>
      </c>
      <c r="P253" s="1">
        <v>0.0</v>
      </c>
      <c r="Q253" s="1">
        <v>3.0</v>
      </c>
      <c r="R253" s="1">
        <v>0.0</v>
      </c>
      <c r="S253" s="1">
        <v>7.0</v>
      </c>
      <c r="T253" s="1">
        <v>50.0</v>
      </c>
      <c r="U253" s="1">
        <v>2.0</v>
      </c>
    </row>
    <row r="254" ht="12.75" customHeight="1">
      <c r="A254" s="1" t="s">
        <v>335</v>
      </c>
      <c r="B254" s="1">
        <f t="shared" si="3"/>
        <v>240</v>
      </c>
      <c r="C254" s="1" t="str">
        <f>IFERROR(__xludf.DUMMYFUNCTION("split(A254, ""\"")"),"Jason Pominville")</f>
        <v>Jason Pominville</v>
      </c>
      <c r="D254" s="1" t="str">
        <f>IFERROR(__xludf.DUMMYFUNCTION("""COMPUTED_VALUE"""),"pominja01")</f>
        <v>pominja01</v>
      </c>
      <c r="E254" s="1" t="s">
        <v>36</v>
      </c>
      <c r="F254" s="1">
        <f t="shared" si="1"/>
        <v>267.15</v>
      </c>
      <c r="G254" s="1">
        <f t="shared" si="2"/>
        <v>3.26</v>
      </c>
      <c r="H254" s="1">
        <v>82.0</v>
      </c>
      <c r="I254" s="1">
        <v>16.0</v>
      </c>
      <c r="J254" s="1">
        <v>18.0</v>
      </c>
      <c r="K254" s="1">
        <v>34.0</v>
      </c>
      <c r="L254" s="1">
        <v>168.0</v>
      </c>
      <c r="M254" s="1">
        <v>39.0</v>
      </c>
      <c r="N254" s="1">
        <v>35.0</v>
      </c>
      <c r="O254" s="1">
        <v>5.0</v>
      </c>
      <c r="P254" s="1">
        <v>2.0</v>
      </c>
      <c r="Q254" s="1">
        <v>0.0</v>
      </c>
      <c r="R254" s="1">
        <v>0.0</v>
      </c>
      <c r="S254" s="1">
        <v>-17.0</v>
      </c>
      <c r="T254" s="1">
        <v>8.0</v>
      </c>
      <c r="U254" s="1">
        <v>1.0</v>
      </c>
    </row>
    <row r="255" ht="12.75" customHeight="1">
      <c r="A255" s="1" t="s">
        <v>255</v>
      </c>
      <c r="B255" s="1">
        <f t="shared" si="3"/>
        <v>241</v>
      </c>
      <c r="C255" s="1" t="str">
        <f>IFERROR(__xludf.DUMMYFUNCTION("split(A255, ""\"")"),"Mathieu Perreault")</f>
        <v>Mathieu Perreault</v>
      </c>
      <c r="D255" s="1" t="str">
        <f>IFERROR(__xludf.DUMMYFUNCTION("""COMPUTED_VALUE"""),"perrema01")</f>
        <v>perrema01</v>
      </c>
      <c r="E255" s="1" t="s">
        <v>31</v>
      </c>
      <c r="F255" s="1">
        <f t="shared" si="1"/>
        <v>266.9</v>
      </c>
      <c r="G255" s="1">
        <f t="shared" si="2"/>
        <v>3.81</v>
      </c>
      <c r="H255" s="1">
        <v>70.0</v>
      </c>
      <c r="I255" s="1">
        <v>17.0</v>
      </c>
      <c r="J255" s="1">
        <v>22.0</v>
      </c>
      <c r="K255" s="1">
        <v>39.0</v>
      </c>
      <c r="L255" s="1">
        <v>139.0</v>
      </c>
      <c r="M255" s="1">
        <v>120.0</v>
      </c>
      <c r="N255" s="1">
        <v>25.0</v>
      </c>
      <c r="O255" s="1">
        <v>6.0</v>
      </c>
      <c r="P255" s="1">
        <v>8.0</v>
      </c>
      <c r="Q255" s="1">
        <v>0.0</v>
      </c>
      <c r="R255" s="1">
        <v>1.0</v>
      </c>
      <c r="S255" s="1">
        <v>4.0</v>
      </c>
      <c r="T255" s="1">
        <v>38.0</v>
      </c>
      <c r="U255" s="1">
        <v>2.0</v>
      </c>
    </row>
    <row r="256" ht="12.75" customHeight="1">
      <c r="A256" s="1" t="s">
        <v>290</v>
      </c>
      <c r="B256" s="1">
        <f t="shared" si="3"/>
        <v>241</v>
      </c>
      <c r="C256" s="1" t="str">
        <f>IFERROR(__xludf.DUMMYFUNCTION("split(A256, ""\"")"),"Nikita Zadorov")</f>
        <v>Nikita Zadorov</v>
      </c>
      <c r="D256" s="1" t="str">
        <f>IFERROR(__xludf.DUMMYFUNCTION("""COMPUTED_VALUE"""),"zadorni01")</f>
        <v>zadorni01</v>
      </c>
      <c r="E256" s="1" t="s">
        <v>66</v>
      </c>
      <c r="F256" s="1">
        <f t="shared" si="1"/>
        <v>266.9</v>
      </c>
      <c r="G256" s="1">
        <f t="shared" si="2"/>
        <v>3.47</v>
      </c>
      <c r="H256" s="1">
        <v>77.0</v>
      </c>
      <c r="I256" s="1">
        <v>7.0</v>
      </c>
      <c r="J256" s="1">
        <v>13.0</v>
      </c>
      <c r="K256" s="1">
        <v>20.0</v>
      </c>
      <c r="L256" s="1">
        <v>94.0</v>
      </c>
      <c r="M256" s="1">
        <v>278.0</v>
      </c>
      <c r="N256" s="1">
        <v>106.0</v>
      </c>
      <c r="O256" s="1">
        <v>0.0</v>
      </c>
      <c r="P256" s="1">
        <v>1.0</v>
      </c>
      <c r="Q256" s="1">
        <v>0.0</v>
      </c>
      <c r="R256" s="1">
        <v>0.0</v>
      </c>
      <c r="S256" s="1">
        <v>4.0</v>
      </c>
      <c r="T256" s="1">
        <v>103.0</v>
      </c>
      <c r="U256" s="1">
        <v>1.0</v>
      </c>
    </row>
    <row r="257" ht="12.75" customHeight="1">
      <c r="A257" s="1" t="s">
        <v>265</v>
      </c>
      <c r="B257" s="1">
        <f t="shared" si="3"/>
        <v>243</v>
      </c>
      <c r="C257" s="1" t="str">
        <f>IFERROR(__xludf.DUMMYFUNCTION("split(A257, ""\"")"),"Pavel Buchnevich")</f>
        <v>Pavel Buchnevich</v>
      </c>
      <c r="D257" s="1" t="str">
        <f>IFERROR(__xludf.DUMMYFUNCTION("""COMPUTED_VALUE"""),"buchnpa01")</f>
        <v>buchnpa01</v>
      </c>
      <c r="E257" s="1" t="s">
        <v>28</v>
      </c>
      <c r="F257" s="1">
        <f t="shared" si="1"/>
        <v>266.75</v>
      </c>
      <c r="G257" s="1">
        <f t="shared" si="2"/>
        <v>3.6</v>
      </c>
      <c r="H257" s="1">
        <v>74.0</v>
      </c>
      <c r="I257" s="1">
        <v>14.0</v>
      </c>
      <c r="J257" s="1">
        <v>29.0</v>
      </c>
      <c r="K257" s="1">
        <v>43.0</v>
      </c>
      <c r="L257" s="1">
        <v>136.0</v>
      </c>
      <c r="M257" s="1">
        <v>51.0</v>
      </c>
      <c r="N257" s="1">
        <v>35.0</v>
      </c>
      <c r="O257" s="1">
        <v>5.0</v>
      </c>
      <c r="P257" s="1">
        <v>12.0</v>
      </c>
      <c r="Q257" s="1">
        <v>0.0</v>
      </c>
      <c r="R257" s="1">
        <v>0.0</v>
      </c>
      <c r="S257" s="1">
        <v>-3.0</v>
      </c>
      <c r="T257" s="1">
        <v>20.0</v>
      </c>
      <c r="U257" s="1">
        <v>4.0</v>
      </c>
    </row>
    <row r="258" ht="12.75" customHeight="1">
      <c r="A258" s="1" t="s">
        <v>334</v>
      </c>
      <c r="B258" s="1">
        <f t="shared" si="3"/>
        <v>243</v>
      </c>
      <c r="C258" s="1" t="str">
        <f>IFERROR(__xludf.DUMMYFUNCTION("split(A258, ""\"")"),"Vladimir Sobotka")</f>
        <v>Vladimir Sobotka</v>
      </c>
      <c r="D258" s="1" t="str">
        <f>IFERROR(__xludf.DUMMYFUNCTION("""COMPUTED_VALUE"""),"sobotvl01")</f>
        <v>sobotvl01</v>
      </c>
      <c r="E258" s="1" t="s">
        <v>31</v>
      </c>
      <c r="F258" s="1">
        <f t="shared" si="1"/>
        <v>266.75</v>
      </c>
      <c r="G258" s="1">
        <f t="shared" si="2"/>
        <v>3.29</v>
      </c>
      <c r="H258" s="1">
        <v>81.0</v>
      </c>
      <c r="I258" s="1">
        <v>11.0</v>
      </c>
      <c r="J258" s="1">
        <v>20.0</v>
      </c>
      <c r="K258" s="1">
        <v>31.0</v>
      </c>
      <c r="L258" s="1">
        <v>136.0</v>
      </c>
      <c r="M258" s="1">
        <v>127.0</v>
      </c>
      <c r="N258" s="1">
        <v>45.0</v>
      </c>
      <c r="O258" s="1">
        <v>0.0</v>
      </c>
      <c r="P258" s="1">
        <v>3.0</v>
      </c>
      <c r="Q258" s="1">
        <v>1.0</v>
      </c>
      <c r="R258" s="1">
        <v>0.0</v>
      </c>
      <c r="S258" s="1">
        <v>-6.0</v>
      </c>
      <c r="T258" s="1">
        <v>50.0</v>
      </c>
      <c r="U258" s="1">
        <v>4.0</v>
      </c>
    </row>
    <row r="259" ht="12.75" customHeight="1">
      <c r="A259" s="1" t="s">
        <v>348</v>
      </c>
      <c r="B259" s="1">
        <f t="shared" si="3"/>
        <v>245</v>
      </c>
      <c r="C259" s="1" t="str">
        <f>IFERROR(__xludf.DUMMYFUNCTION("split(A259, ""\"")"),"Austin Watson")</f>
        <v>Austin Watson</v>
      </c>
      <c r="D259" s="1" t="str">
        <f>IFERROR(__xludf.DUMMYFUNCTION("""COMPUTED_VALUE"""),"watsoau01")</f>
        <v>watsoau01</v>
      </c>
      <c r="E259" s="1" t="s">
        <v>28</v>
      </c>
      <c r="F259" s="1">
        <f t="shared" si="1"/>
        <v>266.65</v>
      </c>
      <c r="G259" s="1">
        <f t="shared" si="2"/>
        <v>3.51</v>
      </c>
      <c r="H259" s="1">
        <v>76.0</v>
      </c>
      <c r="I259" s="1">
        <v>14.0</v>
      </c>
      <c r="J259" s="1">
        <v>5.0</v>
      </c>
      <c r="K259" s="1">
        <v>19.0</v>
      </c>
      <c r="L259" s="1">
        <v>96.0</v>
      </c>
      <c r="M259" s="1">
        <v>187.0</v>
      </c>
      <c r="N259" s="1">
        <v>78.0</v>
      </c>
      <c r="O259" s="1">
        <v>0.0</v>
      </c>
      <c r="P259" s="1">
        <v>0.0</v>
      </c>
      <c r="Q259" s="1">
        <v>4.0</v>
      </c>
      <c r="R259" s="1">
        <v>1.0</v>
      </c>
      <c r="S259" s="1">
        <v>2.0</v>
      </c>
      <c r="T259" s="1">
        <v>123.0</v>
      </c>
      <c r="U259" s="1">
        <v>3.0</v>
      </c>
    </row>
    <row r="260" ht="12.75" customHeight="1">
      <c r="A260" s="1" t="s">
        <v>306</v>
      </c>
      <c r="B260" s="1">
        <f t="shared" si="3"/>
        <v>246</v>
      </c>
      <c r="C260" s="1" t="str">
        <f>IFERROR(__xludf.DUMMYFUNCTION("split(A260, ""\"")"),"Brock Nelson")</f>
        <v>Brock Nelson</v>
      </c>
      <c r="D260" s="1" t="str">
        <f>IFERROR(__xludf.DUMMYFUNCTION("""COMPUTED_VALUE"""),"nelsobr01")</f>
        <v>nelsobr01</v>
      </c>
      <c r="E260" s="1" t="s">
        <v>31</v>
      </c>
      <c r="F260" s="1">
        <f t="shared" si="1"/>
        <v>265.9</v>
      </c>
      <c r="G260" s="1">
        <f t="shared" si="2"/>
        <v>3.24</v>
      </c>
      <c r="H260" s="1">
        <v>82.0</v>
      </c>
      <c r="I260" s="1">
        <v>19.0</v>
      </c>
      <c r="J260" s="1">
        <v>16.0</v>
      </c>
      <c r="K260" s="1">
        <v>35.0</v>
      </c>
      <c r="L260" s="1">
        <v>138.0</v>
      </c>
      <c r="M260" s="1">
        <v>50.0</v>
      </c>
      <c r="N260" s="1">
        <v>52.0</v>
      </c>
      <c r="O260" s="1">
        <v>4.0</v>
      </c>
      <c r="P260" s="1">
        <v>4.0</v>
      </c>
      <c r="Q260" s="1">
        <v>0.0</v>
      </c>
      <c r="R260" s="1">
        <v>0.0</v>
      </c>
      <c r="S260" s="1">
        <v>-4.0</v>
      </c>
      <c r="T260" s="1">
        <v>43.0</v>
      </c>
      <c r="U260" s="1">
        <v>3.0</v>
      </c>
    </row>
    <row r="261" ht="12.75" customHeight="1">
      <c r="A261" s="1" t="s">
        <v>313</v>
      </c>
      <c r="B261" s="1">
        <f t="shared" si="3"/>
        <v>246</v>
      </c>
      <c r="C261" s="1" t="str">
        <f>IFERROR(__xludf.DUMMYFUNCTION("split(A261, ""\"")"),"Mike Green")</f>
        <v>Mike Green</v>
      </c>
      <c r="D261" s="1" t="str">
        <f>IFERROR(__xludf.DUMMYFUNCTION("""COMPUTED_VALUE"""),"greenmi03")</f>
        <v>greenmi03</v>
      </c>
      <c r="E261" s="1" t="s">
        <v>66</v>
      </c>
      <c r="F261" s="1">
        <f t="shared" si="1"/>
        <v>265.9</v>
      </c>
      <c r="G261" s="1">
        <f t="shared" si="2"/>
        <v>4.03</v>
      </c>
      <c r="H261" s="1">
        <v>66.0</v>
      </c>
      <c r="I261" s="1">
        <v>8.0</v>
      </c>
      <c r="J261" s="1">
        <v>25.0</v>
      </c>
      <c r="K261" s="1">
        <v>33.0</v>
      </c>
      <c r="L261" s="1">
        <v>132.0</v>
      </c>
      <c r="M261" s="1">
        <v>78.0</v>
      </c>
      <c r="N261" s="1">
        <v>74.0</v>
      </c>
      <c r="O261" s="1">
        <v>1.0</v>
      </c>
      <c r="P261" s="1">
        <v>12.0</v>
      </c>
      <c r="Q261" s="1">
        <v>0.0</v>
      </c>
      <c r="R261" s="1">
        <v>0.0</v>
      </c>
      <c r="S261" s="1">
        <v>-14.0</v>
      </c>
      <c r="T261" s="1">
        <v>38.0</v>
      </c>
      <c r="U261" s="1">
        <v>0.0</v>
      </c>
    </row>
    <row r="262" ht="12.75" customHeight="1">
      <c r="A262" s="1" t="s">
        <v>324</v>
      </c>
      <c r="B262" s="1">
        <f t="shared" si="3"/>
        <v>248</v>
      </c>
      <c r="C262" s="1" t="str">
        <f>IFERROR(__xludf.DUMMYFUNCTION("split(A262, ""\"")"),"Brock McGinn")</f>
        <v>Brock McGinn</v>
      </c>
      <c r="D262" s="1" t="str">
        <f>IFERROR(__xludf.DUMMYFUNCTION("""COMPUTED_VALUE"""),"mcginbr01")</f>
        <v>mcginbr01</v>
      </c>
      <c r="E262" s="1" t="s">
        <v>28</v>
      </c>
      <c r="F262" s="1">
        <f t="shared" si="1"/>
        <v>265.85</v>
      </c>
      <c r="G262" s="1">
        <f t="shared" si="2"/>
        <v>3.32</v>
      </c>
      <c r="H262" s="1">
        <v>80.0</v>
      </c>
      <c r="I262" s="1">
        <v>16.0</v>
      </c>
      <c r="J262" s="1">
        <v>14.0</v>
      </c>
      <c r="K262" s="1">
        <v>30.0</v>
      </c>
      <c r="L262" s="1">
        <v>159.0</v>
      </c>
      <c r="M262" s="1">
        <v>137.0</v>
      </c>
      <c r="N262" s="1">
        <v>17.0</v>
      </c>
      <c r="O262" s="1">
        <v>2.0</v>
      </c>
      <c r="P262" s="1">
        <v>1.0</v>
      </c>
      <c r="Q262" s="1">
        <v>1.0</v>
      </c>
      <c r="R262" s="1">
        <v>0.0</v>
      </c>
      <c r="S262" s="1">
        <v>-12.0</v>
      </c>
      <c r="T262" s="1">
        <v>22.0</v>
      </c>
      <c r="U262" s="1">
        <v>1.0</v>
      </c>
    </row>
    <row r="263" ht="12.75" customHeight="1">
      <c r="A263" s="1" t="s">
        <v>296</v>
      </c>
      <c r="B263" s="1">
        <f t="shared" si="3"/>
        <v>249</v>
      </c>
      <c r="C263" s="1" t="str">
        <f>IFERROR(__xludf.DUMMYFUNCTION("split(A263, ""\"")"),"David Backes")</f>
        <v>David Backes</v>
      </c>
      <c r="D263" s="1" t="str">
        <f>IFERROR(__xludf.DUMMYFUNCTION("""COMPUTED_VALUE"""),"backeda01")</f>
        <v>backeda01</v>
      </c>
      <c r="E263" s="1" t="s">
        <v>31</v>
      </c>
      <c r="F263" s="1">
        <f t="shared" si="1"/>
        <v>264.65</v>
      </c>
      <c r="G263" s="1">
        <f t="shared" si="2"/>
        <v>4.64</v>
      </c>
      <c r="H263" s="1">
        <v>57.0</v>
      </c>
      <c r="I263" s="1">
        <v>14.0</v>
      </c>
      <c r="J263" s="1">
        <v>19.0</v>
      </c>
      <c r="K263" s="1">
        <v>33.0</v>
      </c>
      <c r="L263" s="1">
        <v>160.0</v>
      </c>
      <c r="M263" s="1">
        <v>137.0</v>
      </c>
      <c r="N263" s="1">
        <v>25.0</v>
      </c>
      <c r="O263" s="1">
        <v>2.0</v>
      </c>
      <c r="P263" s="1">
        <v>4.0</v>
      </c>
      <c r="Q263" s="1">
        <v>0.0</v>
      </c>
      <c r="R263" s="1">
        <v>1.0</v>
      </c>
      <c r="S263" s="1">
        <v>2.0</v>
      </c>
      <c r="T263" s="1">
        <v>53.0</v>
      </c>
      <c r="U263" s="1">
        <v>1.0</v>
      </c>
    </row>
    <row r="264" ht="12.75" customHeight="1">
      <c r="A264" s="1" t="s">
        <v>352</v>
      </c>
      <c r="B264" s="1">
        <f t="shared" si="3"/>
        <v>250</v>
      </c>
      <c r="C264" s="1" t="str">
        <f>IFERROR(__xludf.DUMMYFUNCTION("split(A264, ""\"")"),"Mattias Janmark")</f>
        <v>Mattias Janmark</v>
      </c>
      <c r="D264" s="1" t="str">
        <f>IFERROR(__xludf.DUMMYFUNCTION("""COMPUTED_VALUE"""),"janmama02")</f>
        <v>janmama02</v>
      </c>
      <c r="E264" s="1" t="s">
        <v>31</v>
      </c>
      <c r="F264" s="1">
        <f t="shared" si="1"/>
        <v>263.45</v>
      </c>
      <c r="G264" s="1">
        <f t="shared" si="2"/>
        <v>3.25</v>
      </c>
      <c r="H264" s="1">
        <v>81.0</v>
      </c>
      <c r="I264" s="1">
        <v>19.0</v>
      </c>
      <c r="J264" s="1">
        <v>15.0</v>
      </c>
      <c r="K264" s="1">
        <v>34.0</v>
      </c>
      <c r="L264" s="1">
        <v>136.0</v>
      </c>
      <c r="M264" s="1">
        <v>15.0</v>
      </c>
      <c r="N264" s="1">
        <v>41.0</v>
      </c>
      <c r="O264" s="1">
        <v>4.0</v>
      </c>
      <c r="P264" s="1">
        <v>1.0</v>
      </c>
      <c r="Q264" s="1">
        <v>2.0</v>
      </c>
      <c r="R264" s="1">
        <v>0.0</v>
      </c>
      <c r="S264" s="1">
        <v>-13.0</v>
      </c>
      <c r="T264" s="1">
        <v>24.0</v>
      </c>
      <c r="U264" s="1">
        <v>4.0</v>
      </c>
    </row>
    <row r="265" ht="12.75" customHeight="1">
      <c r="A265" s="1" t="s">
        <v>253</v>
      </c>
      <c r="B265" s="1">
        <f t="shared" si="3"/>
        <v>251</v>
      </c>
      <c r="C265" s="1" t="str">
        <f>IFERROR(__xludf.DUMMYFUNCTION("split(A265, ""\"")"),"Mikhail Sergachev")</f>
        <v>Mikhail Sergachev</v>
      </c>
      <c r="D265" s="1" t="str">
        <f>IFERROR(__xludf.DUMMYFUNCTION("""COMPUTED_VALUE"""),"sergami01")</f>
        <v>sergami01</v>
      </c>
      <c r="E265" s="1" t="s">
        <v>66</v>
      </c>
      <c r="F265" s="1">
        <f t="shared" si="1"/>
        <v>263.4</v>
      </c>
      <c r="G265" s="1">
        <f t="shared" si="2"/>
        <v>3.33</v>
      </c>
      <c r="H265" s="1">
        <v>79.0</v>
      </c>
      <c r="I265" s="1">
        <v>9.0</v>
      </c>
      <c r="J265" s="1">
        <v>31.0</v>
      </c>
      <c r="K265" s="1">
        <v>40.0</v>
      </c>
      <c r="L265" s="1">
        <v>141.0</v>
      </c>
      <c r="M265" s="1">
        <v>90.0</v>
      </c>
      <c r="N265" s="1">
        <v>64.0</v>
      </c>
      <c r="O265" s="1">
        <v>3.0</v>
      </c>
      <c r="P265" s="1">
        <v>13.0</v>
      </c>
      <c r="Q265" s="1">
        <v>0.0</v>
      </c>
      <c r="R265" s="1">
        <v>0.0</v>
      </c>
      <c r="S265" s="1">
        <v>11.0</v>
      </c>
      <c r="T265" s="1">
        <v>38.0</v>
      </c>
      <c r="U265" s="1">
        <v>5.0</v>
      </c>
    </row>
    <row r="266" ht="12.75" customHeight="1">
      <c r="A266" s="1" t="s">
        <v>331</v>
      </c>
      <c r="B266" s="1">
        <f t="shared" si="3"/>
        <v>251</v>
      </c>
      <c r="C266" s="1" t="str">
        <f>IFERROR(__xludf.DUMMYFUNCTION("split(A266, ""\"")"),"Derek Ryan")</f>
        <v>Derek Ryan</v>
      </c>
      <c r="D266" s="1" t="str">
        <f>IFERROR(__xludf.DUMMYFUNCTION("""COMPUTED_VALUE"""),"ryande01")</f>
        <v>ryande01</v>
      </c>
      <c r="E266" s="1" t="s">
        <v>31</v>
      </c>
      <c r="F266" s="1">
        <f t="shared" si="1"/>
        <v>263.4</v>
      </c>
      <c r="G266" s="1">
        <f t="shared" si="2"/>
        <v>3.29</v>
      </c>
      <c r="H266" s="1">
        <v>80.0</v>
      </c>
      <c r="I266" s="1">
        <v>15.0</v>
      </c>
      <c r="J266" s="1">
        <v>23.0</v>
      </c>
      <c r="K266" s="1">
        <v>38.0</v>
      </c>
      <c r="L266" s="1">
        <v>135.0</v>
      </c>
      <c r="M266" s="1">
        <v>52.0</v>
      </c>
      <c r="N266" s="1">
        <v>27.0</v>
      </c>
      <c r="O266" s="1">
        <v>3.0</v>
      </c>
      <c r="P266" s="1">
        <v>4.0</v>
      </c>
      <c r="Q266" s="1">
        <v>0.0</v>
      </c>
      <c r="R266" s="1">
        <v>0.0</v>
      </c>
      <c r="S266" s="1">
        <v>-15.0</v>
      </c>
      <c r="T266" s="1">
        <v>28.0</v>
      </c>
      <c r="U266" s="1">
        <v>1.0</v>
      </c>
    </row>
    <row r="267" ht="12.75" customHeight="1">
      <c r="A267" s="1" t="s">
        <v>291</v>
      </c>
      <c r="B267" s="1">
        <f t="shared" si="3"/>
        <v>253</v>
      </c>
      <c r="C267" s="1" t="str">
        <f>IFERROR(__xludf.DUMMYFUNCTION("split(A267, ""\"")"),"Kris Russell")</f>
        <v>Kris Russell</v>
      </c>
      <c r="D267" s="1" t="str">
        <f>IFERROR(__xludf.DUMMYFUNCTION("""COMPUTED_VALUE"""),"russekr01")</f>
        <v>russekr01</v>
      </c>
      <c r="E267" s="1" t="s">
        <v>66</v>
      </c>
      <c r="F267" s="1">
        <f t="shared" si="1"/>
        <v>262.65</v>
      </c>
      <c r="G267" s="1">
        <f t="shared" si="2"/>
        <v>3.37</v>
      </c>
      <c r="H267" s="1">
        <v>78.0</v>
      </c>
      <c r="I267" s="1">
        <v>4.0</v>
      </c>
      <c r="J267" s="1">
        <v>17.0</v>
      </c>
      <c r="K267" s="1">
        <v>21.0</v>
      </c>
      <c r="L267" s="1">
        <v>90.0</v>
      </c>
      <c r="M267" s="1">
        <v>97.0</v>
      </c>
      <c r="N267" s="1">
        <v>223.0</v>
      </c>
      <c r="O267" s="1">
        <v>0.0</v>
      </c>
      <c r="P267" s="1">
        <v>2.0</v>
      </c>
      <c r="Q267" s="1">
        <v>0.0</v>
      </c>
      <c r="R267" s="1">
        <v>0.0</v>
      </c>
      <c r="S267" s="1">
        <v>-7.0</v>
      </c>
      <c r="T267" s="1">
        <v>8.0</v>
      </c>
      <c r="U267" s="1">
        <v>0.0</v>
      </c>
    </row>
    <row r="268" ht="12.75" customHeight="1">
      <c r="A268" s="1" t="s">
        <v>174</v>
      </c>
      <c r="B268" s="1">
        <f t="shared" si="3"/>
        <v>254</v>
      </c>
      <c r="C268" s="1" t="str">
        <f>IFERROR(__xludf.DUMMYFUNCTION("split(A268, ""\"")"),"Robin Lehner")</f>
        <v>Robin Lehner</v>
      </c>
      <c r="D268" s="2" t="str">
        <f>IFERROR(__xludf.DUMMYFUNCTION("""COMPUTED_VALUE"""),"lehnero01")</f>
        <v>lehnero01</v>
      </c>
      <c r="E268" s="1" t="s">
        <v>5</v>
      </c>
      <c r="F268" s="1">
        <f t="shared" si="1"/>
        <v>261.6</v>
      </c>
      <c r="G268" s="1">
        <f t="shared" si="2"/>
        <v>4.94</v>
      </c>
      <c r="H268" s="1">
        <v>53.0</v>
      </c>
      <c r="V268" s="1">
        <v>50.0</v>
      </c>
      <c r="W268" s="1">
        <v>14.0</v>
      </c>
      <c r="X268" s="1">
        <v>26.0</v>
      </c>
      <c r="Y268" s="1">
        <v>143.0</v>
      </c>
      <c r="Z268" s="1">
        <v>1560.0</v>
      </c>
      <c r="AA268" s="1">
        <v>1417.0</v>
      </c>
      <c r="AB268" s="1">
        <v>3.0</v>
      </c>
    </row>
    <row r="269" ht="12.75" customHeight="1">
      <c r="A269" s="1" t="s">
        <v>257</v>
      </c>
      <c r="B269" s="1">
        <f t="shared" si="3"/>
        <v>255</v>
      </c>
      <c r="C269" s="1" t="str">
        <f>IFERROR(__xludf.DUMMYFUNCTION("split(A269, ""\"")"),"Zach Hyman")</f>
        <v>Zach Hyman</v>
      </c>
      <c r="D269" s="1" t="str">
        <f>IFERROR(__xludf.DUMMYFUNCTION("""COMPUTED_VALUE"""),"hymanza01")</f>
        <v>hymanza01</v>
      </c>
      <c r="E269" s="1" t="s">
        <v>31</v>
      </c>
      <c r="F269" s="1">
        <f t="shared" si="1"/>
        <v>261.35</v>
      </c>
      <c r="G269" s="1">
        <f t="shared" si="2"/>
        <v>3.19</v>
      </c>
      <c r="H269" s="1">
        <v>82.0</v>
      </c>
      <c r="I269" s="1">
        <v>15.0</v>
      </c>
      <c r="J269" s="1">
        <v>25.0</v>
      </c>
      <c r="K269" s="1">
        <v>40.0</v>
      </c>
      <c r="L269" s="1">
        <v>148.0</v>
      </c>
      <c r="M269" s="1">
        <v>117.0</v>
      </c>
      <c r="N269" s="1">
        <v>55.0</v>
      </c>
      <c r="O269" s="1">
        <v>0.0</v>
      </c>
      <c r="P269" s="1">
        <v>0.0</v>
      </c>
      <c r="Q269" s="1">
        <v>1.0</v>
      </c>
      <c r="R269" s="1">
        <v>1.0</v>
      </c>
      <c r="S269" s="1">
        <v>22.0</v>
      </c>
      <c r="T269" s="1">
        <v>37.0</v>
      </c>
      <c r="U269" s="1">
        <v>2.0</v>
      </c>
    </row>
    <row r="270" ht="12.75" customHeight="1">
      <c r="A270" s="1" t="s">
        <v>258</v>
      </c>
      <c r="B270" s="1">
        <f t="shared" si="3"/>
        <v>256</v>
      </c>
      <c r="C270" s="1" t="str">
        <f>IFERROR(__xludf.DUMMYFUNCTION("split(A270, ""\"")"),"Danton Heinen")</f>
        <v>Danton Heinen</v>
      </c>
      <c r="D270" s="1" t="str">
        <f>IFERROR(__xludf.DUMMYFUNCTION("""COMPUTED_VALUE"""),"heineda01")</f>
        <v>heineda01</v>
      </c>
      <c r="E270" s="1" t="s">
        <v>141</v>
      </c>
      <c r="F270" s="1">
        <f t="shared" si="1"/>
        <v>261.05</v>
      </c>
      <c r="G270" s="1">
        <f t="shared" si="2"/>
        <v>3.39</v>
      </c>
      <c r="H270" s="1">
        <v>77.0</v>
      </c>
      <c r="I270" s="1">
        <v>16.0</v>
      </c>
      <c r="J270" s="1">
        <v>31.0</v>
      </c>
      <c r="K270" s="1">
        <v>47.0</v>
      </c>
      <c r="L270" s="1">
        <v>135.0</v>
      </c>
      <c r="M270" s="1">
        <v>45.0</v>
      </c>
      <c r="N270" s="1">
        <v>33.0</v>
      </c>
      <c r="O270" s="1">
        <v>2.0</v>
      </c>
      <c r="P270" s="1">
        <v>10.0</v>
      </c>
      <c r="Q270" s="1">
        <v>1.0</v>
      </c>
      <c r="R270" s="1">
        <v>0.0</v>
      </c>
      <c r="S270" s="1">
        <v>10.0</v>
      </c>
      <c r="T270" s="1">
        <v>16.0</v>
      </c>
      <c r="U270" s="1">
        <v>4.0</v>
      </c>
    </row>
    <row r="271" ht="12.75" customHeight="1">
      <c r="A271" s="1" t="s">
        <v>367</v>
      </c>
      <c r="B271" s="1">
        <f t="shared" si="3"/>
        <v>257</v>
      </c>
      <c r="C271" s="1" t="str">
        <f>IFERROR(__xludf.DUMMYFUNCTION("split(A271, ""\"")"),"Marco Scandella")</f>
        <v>Marco Scandella</v>
      </c>
      <c r="D271" s="1" t="str">
        <f>IFERROR(__xludf.DUMMYFUNCTION("""COMPUTED_VALUE"""),"scandma01")</f>
        <v>scandma01</v>
      </c>
      <c r="E271" s="1" t="s">
        <v>66</v>
      </c>
      <c r="F271" s="1">
        <f t="shared" si="1"/>
        <v>260.85</v>
      </c>
      <c r="G271" s="1">
        <f t="shared" si="2"/>
        <v>3.18</v>
      </c>
      <c r="H271" s="1">
        <v>82.0</v>
      </c>
      <c r="I271" s="1">
        <v>5.0</v>
      </c>
      <c r="J271" s="1">
        <v>17.0</v>
      </c>
      <c r="K271" s="1">
        <v>22.0</v>
      </c>
      <c r="L271" s="1">
        <v>138.0</v>
      </c>
      <c r="M271" s="1">
        <v>91.0</v>
      </c>
      <c r="N271" s="1">
        <v>114.0</v>
      </c>
      <c r="O271" s="1">
        <v>0.0</v>
      </c>
      <c r="P271" s="1">
        <v>4.0</v>
      </c>
      <c r="Q271" s="1">
        <v>0.0</v>
      </c>
      <c r="R271" s="1">
        <v>1.0</v>
      </c>
      <c r="S271" s="1">
        <v>-15.0</v>
      </c>
      <c r="T271" s="1">
        <v>37.0</v>
      </c>
      <c r="U271" s="1">
        <v>1.0</v>
      </c>
    </row>
    <row r="272" ht="12.75" customHeight="1">
      <c r="A272" s="1" t="s">
        <v>312</v>
      </c>
      <c r="B272" s="1">
        <f t="shared" si="3"/>
        <v>258</v>
      </c>
      <c r="C272" s="1" t="str">
        <f>IFERROR(__xludf.DUMMYFUNCTION("split(A272, ""\"")"),"Blake Comeau")</f>
        <v>Blake Comeau</v>
      </c>
      <c r="D272" s="1" t="str">
        <f>IFERROR(__xludf.DUMMYFUNCTION("""COMPUTED_VALUE"""),"comeabl01")</f>
        <v>comeabl01</v>
      </c>
      <c r="E272" s="1" t="s">
        <v>36</v>
      </c>
      <c r="F272" s="1">
        <f t="shared" si="1"/>
        <v>260.75</v>
      </c>
      <c r="G272" s="1">
        <f t="shared" si="2"/>
        <v>3.3</v>
      </c>
      <c r="H272" s="1">
        <v>79.0</v>
      </c>
      <c r="I272" s="1">
        <v>13.0</v>
      </c>
      <c r="J272" s="1">
        <v>21.0</v>
      </c>
      <c r="K272" s="1">
        <v>34.0</v>
      </c>
      <c r="L272" s="1">
        <v>123.0</v>
      </c>
      <c r="M272" s="1">
        <v>145.0</v>
      </c>
      <c r="N272" s="1">
        <v>38.0</v>
      </c>
      <c r="O272" s="1">
        <v>0.0</v>
      </c>
      <c r="P272" s="1">
        <v>0.0</v>
      </c>
      <c r="Q272" s="1">
        <v>3.0</v>
      </c>
      <c r="R272" s="1">
        <v>0.0</v>
      </c>
      <c r="S272" s="1">
        <v>5.0</v>
      </c>
      <c r="T272" s="1">
        <v>50.0</v>
      </c>
      <c r="U272" s="1">
        <v>3.0</v>
      </c>
    </row>
    <row r="273" ht="12.75" customHeight="1">
      <c r="A273" s="1" t="s">
        <v>201</v>
      </c>
      <c r="B273" s="1">
        <f t="shared" si="3"/>
        <v>259</v>
      </c>
      <c r="C273" s="1" t="str">
        <f>IFERROR(__xludf.DUMMYFUNCTION("split(A273, ""\"")"),"Roberto Luongo")</f>
        <v>Roberto Luongo</v>
      </c>
      <c r="D273" s="2" t="str">
        <f>IFERROR(__xludf.DUMMYFUNCTION("""COMPUTED_VALUE"""),"luongro01")</f>
        <v>luongro01</v>
      </c>
      <c r="E273" s="1" t="s">
        <v>5</v>
      </c>
      <c r="F273" s="1">
        <f t="shared" si="1"/>
        <v>260.1</v>
      </c>
      <c r="G273" s="1">
        <f t="shared" si="2"/>
        <v>7.43</v>
      </c>
      <c r="H273" s="1">
        <v>35.0</v>
      </c>
      <c r="V273" s="1">
        <v>33.0</v>
      </c>
      <c r="W273" s="1">
        <v>18.0</v>
      </c>
      <c r="X273" s="1">
        <v>11.0</v>
      </c>
      <c r="Y273" s="1">
        <v>81.0</v>
      </c>
      <c r="Z273" s="1">
        <v>1143.0</v>
      </c>
      <c r="AA273" s="1">
        <v>1062.0</v>
      </c>
      <c r="AB273" s="1">
        <v>3.0</v>
      </c>
    </row>
    <row r="274" ht="12.75" customHeight="1">
      <c r="A274" s="1" t="s">
        <v>268</v>
      </c>
      <c r="B274" s="1">
        <f t="shared" si="3"/>
        <v>260</v>
      </c>
      <c r="C274" s="1" t="str">
        <f>IFERROR(__xludf.DUMMYFUNCTION("split(A274, ""\"")"),"Brandon Montour")</f>
        <v>Brandon Montour</v>
      </c>
      <c r="D274" s="1" t="str">
        <f>IFERROR(__xludf.DUMMYFUNCTION("""COMPUTED_VALUE"""),"montobr01")</f>
        <v>montobr01</v>
      </c>
      <c r="E274" s="1" t="s">
        <v>66</v>
      </c>
      <c r="F274" s="1">
        <f t="shared" si="1"/>
        <v>259.6</v>
      </c>
      <c r="G274" s="1">
        <f t="shared" si="2"/>
        <v>3.25</v>
      </c>
      <c r="H274" s="1">
        <v>80.0</v>
      </c>
      <c r="I274" s="1">
        <v>9.0</v>
      </c>
      <c r="J274" s="1">
        <v>23.0</v>
      </c>
      <c r="K274" s="1">
        <v>32.0</v>
      </c>
      <c r="L274" s="1">
        <v>160.0</v>
      </c>
      <c r="M274" s="1">
        <v>96.0</v>
      </c>
      <c r="N274" s="1">
        <v>83.0</v>
      </c>
      <c r="O274" s="1">
        <v>5.0</v>
      </c>
      <c r="P274" s="1">
        <v>7.0</v>
      </c>
      <c r="Q274" s="1">
        <v>1.0</v>
      </c>
      <c r="R274" s="1">
        <v>1.0</v>
      </c>
      <c r="S274" s="1">
        <v>16.0</v>
      </c>
      <c r="T274" s="1">
        <v>42.0</v>
      </c>
      <c r="U274" s="1">
        <v>5.0</v>
      </c>
    </row>
    <row r="275" ht="12.75" customHeight="1">
      <c r="A275" s="1" t="s">
        <v>370</v>
      </c>
      <c r="B275" s="1">
        <f t="shared" si="3"/>
        <v>261</v>
      </c>
      <c r="C275" s="1" t="str">
        <f>IFERROR(__xludf.DUMMYFUNCTION("split(A275, ""\"")"),"Andreas Athanasiou")</f>
        <v>Andreas Athanasiou</v>
      </c>
      <c r="D275" s="1" t="str">
        <f>IFERROR(__xludf.DUMMYFUNCTION("""COMPUTED_VALUE"""),"athanan01")</f>
        <v>athanan01</v>
      </c>
      <c r="E275" s="1" t="s">
        <v>31</v>
      </c>
      <c r="F275" s="1">
        <f t="shared" si="1"/>
        <v>259.3</v>
      </c>
      <c r="G275" s="1">
        <f t="shared" si="2"/>
        <v>3.65</v>
      </c>
      <c r="H275" s="1">
        <v>71.0</v>
      </c>
      <c r="I275" s="1">
        <v>16.0</v>
      </c>
      <c r="J275" s="1">
        <v>17.0</v>
      </c>
      <c r="K275" s="1">
        <v>33.0</v>
      </c>
      <c r="L275" s="1">
        <v>170.0</v>
      </c>
      <c r="M275" s="1">
        <v>24.0</v>
      </c>
      <c r="N275" s="1">
        <v>28.0</v>
      </c>
      <c r="O275" s="1">
        <v>1.0</v>
      </c>
      <c r="P275" s="1">
        <v>2.0</v>
      </c>
      <c r="Q275" s="1">
        <v>0.0</v>
      </c>
      <c r="R275" s="1">
        <v>0.0</v>
      </c>
      <c r="S275" s="1">
        <v>-15.0</v>
      </c>
      <c r="T275" s="1">
        <v>16.0</v>
      </c>
      <c r="U275" s="1">
        <v>2.0</v>
      </c>
    </row>
    <row r="276" ht="12.75" customHeight="1">
      <c r="A276" s="1" t="s">
        <v>411</v>
      </c>
      <c r="B276" s="1">
        <f t="shared" si="3"/>
        <v>262</v>
      </c>
      <c r="C276" s="1" t="str">
        <f>IFERROR(__xludf.DUMMYFUNCTION("split(A276, ""\"")"),"J.T. Compher")</f>
        <v>J.T. Compher</v>
      </c>
      <c r="D276" s="1" t="str">
        <f>IFERROR(__xludf.DUMMYFUNCTION("""COMPUTED_VALUE"""),"comphj.01")</f>
        <v>comphj.01</v>
      </c>
      <c r="E276" s="1" t="s">
        <v>28</v>
      </c>
      <c r="F276" s="1">
        <f t="shared" si="1"/>
        <v>259.25</v>
      </c>
      <c r="G276" s="1">
        <f t="shared" si="2"/>
        <v>3.76</v>
      </c>
      <c r="H276" s="1">
        <v>69.0</v>
      </c>
      <c r="I276" s="1">
        <v>13.0</v>
      </c>
      <c r="J276" s="1">
        <v>10.0</v>
      </c>
      <c r="K276" s="1">
        <v>23.0</v>
      </c>
      <c r="L276" s="1">
        <v>131.0</v>
      </c>
      <c r="M276" s="1">
        <v>45.0</v>
      </c>
      <c r="N276" s="1">
        <v>65.0</v>
      </c>
      <c r="O276" s="1">
        <v>4.0</v>
      </c>
      <c r="P276" s="1">
        <v>3.0</v>
      </c>
      <c r="Q276" s="1">
        <v>2.0</v>
      </c>
      <c r="R276" s="1">
        <v>0.0</v>
      </c>
      <c r="S276" s="1">
        <v>-29.0</v>
      </c>
      <c r="T276" s="1">
        <v>20.0</v>
      </c>
      <c r="U276" s="1">
        <v>3.0</v>
      </c>
    </row>
    <row r="277" ht="12.75" customHeight="1">
      <c r="A277" s="1" t="s">
        <v>371</v>
      </c>
      <c r="B277" s="1">
        <f t="shared" si="3"/>
        <v>263</v>
      </c>
      <c r="C277" s="1" t="str">
        <f>IFERROR(__xludf.DUMMYFUNCTION("split(A277, ""\"")"),"Sam Gagner")</f>
        <v>Sam Gagner</v>
      </c>
      <c r="D277" s="1" t="str">
        <f>IFERROR(__xludf.DUMMYFUNCTION("""COMPUTED_VALUE"""),"gagnesa01")</f>
        <v>gagnesa01</v>
      </c>
      <c r="E277" s="1" t="s">
        <v>31</v>
      </c>
      <c r="F277" s="1">
        <f t="shared" si="1"/>
        <v>259</v>
      </c>
      <c r="G277" s="1">
        <f t="shared" si="2"/>
        <v>3.5</v>
      </c>
      <c r="H277" s="1">
        <v>74.0</v>
      </c>
      <c r="I277" s="1">
        <v>10.0</v>
      </c>
      <c r="J277" s="1">
        <v>21.0</v>
      </c>
      <c r="K277" s="1">
        <v>31.0</v>
      </c>
      <c r="L277" s="1">
        <v>164.0</v>
      </c>
      <c r="M277" s="1">
        <v>54.0</v>
      </c>
      <c r="N277" s="1">
        <v>28.0</v>
      </c>
      <c r="O277" s="1">
        <v>3.0</v>
      </c>
      <c r="P277" s="1">
        <v>8.0</v>
      </c>
      <c r="Q277" s="1">
        <v>0.0</v>
      </c>
      <c r="R277" s="1">
        <v>0.0</v>
      </c>
      <c r="S277" s="1">
        <v>-18.0</v>
      </c>
      <c r="T277" s="1">
        <v>35.0</v>
      </c>
      <c r="U277" s="1">
        <v>2.0</v>
      </c>
    </row>
    <row r="278" ht="12.75" customHeight="1">
      <c r="A278" s="1" t="s">
        <v>358</v>
      </c>
      <c r="B278" s="1">
        <f t="shared" si="3"/>
        <v>264</v>
      </c>
      <c r="C278" s="1" t="str">
        <f>IFERROR(__xludf.DUMMYFUNCTION("split(A278, ""\"")"),"Artem Anisimov")</f>
        <v>Artem Anisimov</v>
      </c>
      <c r="D278" s="1" t="str">
        <f>IFERROR(__xludf.DUMMYFUNCTION("""COMPUTED_VALUE"""),"anisiar01")</f>
        <v>anisiar01</v>
      </c>
      <c r="E278" s="1" t="s">
        <v>31</v>
      </c>
      <c r="F278" s="1">
        <f t="shared" si="1"/>
        <v>258.85</v>
      </c>
      <c r="G278" s="1">
        <f t="shared" si="2"/>
        <v>3.6</v>
      </c>
      <c r="H278" s="1">
        <v>72.0</v>
      </c>
      <c r="I278" s="1">
        <v>20.0</v>
      </c>
      <c r="J278" s="1">
        <v>11.0</v>
      </c>
      <c r="K278" s="1">
        <v>31.0</v>
      </c>
      <c r="L278" s="1">
        <v>130.0</v>
      </c>
      <c r="M278" s="1">
        <v>15.0</v>
      </c>
      <c r="N278" s="1">
        <v>40.0</v>
      </c>
      <c r="O278" s="1">
        <v>11.0</v>
      </c>
      <c r="P278" s="1">
        <v>1.0</v>
      </c>
      <c r="Q278" s="1">
        <v>1.0</v>
      </c>
      <c r="R278" s="1">
        <v>0.0</v>
      </c>
      <c r="S278" s="1">
        <v>-17.0</v>
      </c>
      <c r="T278" s="1">
        <v>22.0</v>
      </c>
      <c r="U278" s="1">
        <v>6.0</v>
      </c>
    </row>
    <row r="279" ht="12.75" customHeight="1">
      <c r="A279" s="1" t="s">
        <v>314</v>
      </c>
      <c r="B279" s="1">
        <f t="shared" si="3"/>
        <v>265</v>
      </c>
      <c r="C279" s="1" t="str">
        <f>IFERROR(__xludf.DUMMYFUNCTION("split(A279, ""\"")"),"Kevin Labanc")</f>
        <v>Kevin Labanc</v>
      </c>
      <c r="D279" s="1" t="str">
        <f>IFERROR(__xludf.DUMMYFUNCTION("""COMPUTED_VALUE"""),"labanke01")</f>
        <v>labanke01</v>
      </c>
      <c r="E279" s="1" t="s">
        <v>36</v>
      </c>
      <c r="F279" s="1">
        <f t="shared" si="1"/>
        <v>258.35</v>
      </c>
      <c r="G279" s="1">
        <f t="shared" si="2"/>
        <v>3.36</v>
      </c>
      <c r="H279" s="1">
        <v>77.0</v>
      </c>
      <c r="I279" s="1">
        <v>11.0</v>
      </c>
      <c r="J279" s="1">
        <v>29.0</v>
      </c>
      <c r="K279" s="1">
        <v>40.0</v>
      </c>
      <c r="L279" s="1">
        <v>156.0</v>
      </c>
      <c r="M279" s="1">
        <v>31.0</v>
      </c>
      <c r="N279" s="1">
        <v>23.0</v>
      </c>
      <c r="O279" s="1">
        <v>4.0</v>
      </c>
      <c r="P279" s="1">
        <v>13.0</v>
      </c>
      <c r="Q279" s="1">
        <v>0.0</v>
      </c>
      <c r="R279" s="1">
        <v>0.0</v>
      </c>
      <c r="S279" s="1">
        <v>-6.0</v>
      </c>
      <c r="T279" s="1">
        <v>32.0</v>
      </c>
      <c r="U279" s="1">
        <v>3.0</v>
      </c>
    </row>
    <row r="280" ht="12.75" customHeight="1">
      <c r="A280" s="1" t="s">
        <v>285</v>
      </c>
      <c r="B280" s="1">
        <f t="shared" si="3"/>
        <v>266</v>
      </c>
      <c r="C280" s="1" t="str">
        <f>IFERROR(__xludf.DUMMYFUNCTION("split(A280, ""\"")"),"Chris Kreider")</f>
        <v>Chris Kreider</v>
      </c>
      <c r="D280" s="1" t="str">
        <f>IFERROR(__xludf.DUMMYFUNCTION("""COMPUTED_VALUE"""),"kreidch01")</f>
        <v>kreidch01</v>
      </c>
      <c r="E280" s="1" t="s">
        <v>31</v>
      </c>
      <c r="F280" s="1">
        <f t="shared" si="1"/>
        <v>257.45</v>
      </c>
      <c r="G280" s="1">
        <f t="shared" si="2"/>
        <v>4.44</v>
      </c>
      <c r="H280" s="1">
        <v>58.0</v>
      </c>
      <c r="I280" s="1">
        <v>16.0</v>
      </c>
      <c r="J280" s="1">
        <v>21.0</v>
      </c>
      <c r="K280" s="1">
        <v>37.0</v>
      </c>
      <c r="L280" s="1">
        <v>137.0</v>
      </c>
      <c r="M280" s="1">
        <v>103.0</v>
      </c>
      <c r="N280" s="1">
        <v>24.0</v>
      </c>
      <c r="O280" s="1">
        <v>7.0</v>
      </c>
      <c r="P280" s="1">
        <v>5.0</v>
      </c>
      <c r="Q280" s="1">
        <v>0.0</v>
      </c>
      <c r="R280" s="1">
        <v>0.0</v>
      </c>
      <c r="S280" s="1">
        <v>-2.0</v>
      </c>
      <c r="T280" s="1">
        <v>44.0</v>
      </c>
      <c r="U280" s="1">
        <v>0.0</v>
      </c>
    </row>
    <row r="281" ht="12.75" customHeight="1">
      <c r="A281" s="1" t="s">
        <v>238</v>
      </c>
      <c r="B281" s="1">
        <f t="shared" si="3"/>
        <v>267</v>
      </c>
      <c r="C281" s="1" t="str">
        <f>IFERROR(__xludf.DUMMYFUNCTION("split(A281, ""\"")"),"Alex Killorn")</f>
        <v>Alex Killorn</v>
      </c>
      <c r="D281" s="1" t="str">
        <f>IFERROR(__xludf.DUMMYFUNCTION("""COMPUTED_VALUE"""),"killoal01")</f>
        <v>killoal01</v>
      </c>
      <c r="E281" s="1" t="s">
        <v>141</v>
      </c>
      <c r="F281" s="1">
        <f t="shared" si="1"/>
        <v>257</v>
      </c>
      <c r="G281" s="1">
        <f t="shared" si="2"/>
        <v>3.13</v>
      </c>
      <c r="H281" s="1">
        <v>82.0</v>
      </c>
      <c r="I281" s="1">
        <v>15.0</v>
      </c>
      <c r="J281" s="1">
        <v>32.0</v>
      </c>
      <c r="K281" s="1">
        <v>47.0</v>
      </c>
      <c r="L281" s="1">
        <v>156.0</v>
      </c>
      <c r="M281" s="1">
        <v>82.0</v>
      </c>
      <c r="N281" s="1">
        <v>25.0</v>
      </c>
      <c r="O281" s="1">
        <v>2.0</v>
      </c>
      <c r="P281" s="1">
        <v>7.0</v>
      </c>
      <c r="Q281" s="1">
        <v>0.0</v>
      </c>
      <c r="R281" s="1">
        <v>0.0</v>
      </c>
      <c r="S281" s="1">
        <v>22.0</v>
      </c>
      <c r="T281" s="1">
        <v>45.0</v>
      </c>
      <c r="U281" s="1">
        <v>1.0</v>
      </c>
    </row>
    <row r="282" ht="12.75" customHeight="1">
      <c r="A282" s="1" t="s">
        <v>376</v>
      </c>
      <c r="B282" s="1">
        <f t="shared" si="3"/>
        <v>268</v>
      </c>
      <c r="C282" s="1" t="str">
        <f>IFERROR(__xludf.DUMMYFUNCTION("split(A282, ""\"")"),"Jimmy Vesey")</f>
        <v>Jimmy Vesey</v>
      </c>
      <c r="D282" s="1" t="str">
        <f>IFERROR(__xludf.DUMMYFUNCTION("""COMPUTED_VALUE"""),"veseyji02")</f>
        <v>veseyji02</v>
      </c>
      <c r="E282" s="1" t="s">
        <v>28</v>
      </c>
      <c r="F282" s="1">
        <f t="shared" si="1"/>
        <v>256.25</v>
      </c>
      <c r="G282" s="1">
        <f t="shared" si="2"/>
        <v>3.24</v>
      </c>
      <c r="H282" s="1">
        <v>79.0</v>
      </c>
      <c r="I282" s="1">
        <v>17.0</v>
      </c>
      <c r="J282" s="1">
        <v>11.0</v>
      </c>
      <c r="K282" s="1">
        <v>28.0</v>
      </c>
      <c r="L282" s="1">
        <v>136.0</v>
      </c>
      <c r="M282" s="1">
        <v>83.0</v>
      </c>
      <c r="N282" s="1">
        <v>34.0</v>
      </c>
      <c r="O282" s="1">
        <v>1.0</v>
      </c>
      <c r="P282" s="1">
        <v>2.0</v>
      </c>
      <c r="Q282" s="1">
        <v>0.0</v>
      </c>
      <c r="R282" s="1">
        <v>0.0</v>
      </c>
      <c r="S282" s="1">
        <v>-18.0</v>
      </c>
      <c r="T282" s="1">
        <v>20.0</v>
      </c>
      <c r="U282" s="1">
        <v>4.0</v>
      </c>
    </row>
    <row r="283" ht="12.75" customHeight="1">
      <c r="A283" s="1" t="s">
        <v>283</v>
      </c>
      <c r="B283" s="1">
        <f t="shared" si="3"/>
        <v>269</v>
      </c>
      <c r="C283" s="1" t="str">
        <f>IFERROR(__xludf.DUMMYFUNCTION("split(A283, ""\"")"),"Oliver Bjorkstrand")</f>
        <v>Oliver Bjorkstrand</v>
      </c>
      <c r="D283" s="1" t="str">
        <f>IFERROR(__xludf.DUMMYFUNCTION("""COMPUTED_VALUE"""),"bjorkol01")</f>
        <v>bjorkol01</v>
      </c>
      <c r="E283" s="1" t="s">
        <v>36</v>
      </c>
      <c r="F283" s="1">
        <f t="shared" si="1"/>
        <v>256.2</v>
      </c>
      <c r="G283" s="1">
        <f t="shared" si="2"/>
        <v>3.12</v>
      </c>
      <c r="H283" s="1">
        <v>82.0</v>
      </c>
      <c r="I283" s="1">
        <v>11.0</v>
      </c>
      <c r="J283" s="1">
        <v>29.0</v>
      </c>
      <c r="K283" s="1">
        <v>40.0</v>
      </c>
      <c r="L283" s="1">
        <v>163.0</v>
      </c>
      <c r="M283" s="1">
        <v>64.0</v>
      </c>
      <c r="N283" s="1">
        <v>43.0</v>
      </c>
      <c r="O283" s="1">
        <v>3.0</v>
      </c>
      <c r="P283" s="1">
        <v>6.0</v>
      </c>
      <c r="Q283" s="1">
        <v>0.0</v>
      </c>
      <c r="R283" s="1">
        <v>0.0</v>
      </c>
      <c r="S283" s="1">
        <v>4.0</v>
      </c>
      <c r="T283" s="1">
        <v>9.0</v>
      </c>
      <c r="U283" s="1">
        <v>2.0</v>
      </c>
    </row>
    <row r="284" ht="12.75" customHeight="1">
      <c r="A284" s="1" t="s">
        <v>266</v>
      </c>
      <c r="B284" s="1">
        <f t="shared" si="3"/>
        <v>270</v>
      </c>
      <c r="C284" s="1" t="str">
        <f>IFERROR(__xludf.DUMMYFUNCTION("split(A284, ""\"")"),"Dmitry Orlov")</f>
        <v>Dmitry Orlov</v>
      </c>
      <c r="D284" s="1" t="str">
        <f>IFERROR(__xludf.DUMMYFUNCTION("""COMPUTED_VALUE"""),"orlovdm01")</f>
        <v>orlovdm01</v>
      </c>
      <c r="E284" s="1" t="s">
        <v>66</v>
      </c>
      <c r="F284" s="1">
        <f t="shared" si="1"/>
        <v>256.1</v>
      </c>
      <c r="G284" s="1">
        <f t="shared" si="2"/>
        <v>3.12</v>
      </c>
      <c r="H284" s="1">
        <v>82.0</v>
      </c>
      <c r="I284" s="1">
        <v>10.0</v>
      </c>
      <c r="J284" s="1">
        <v>21.0</v>
      </c>
      <c r="K284" s="1">
        <v>31.0</v>
      </c>
      <c r="L284" s="1">
        <v>125.0</v>
      </c>
      <c r="M284" s="1">
        <v>128.0</v>
      </c>
      <c r="N284" s="1">
        <v>116.0</v>
      </c>
      <c r="O284" s="1">
        <v>0.0</v>
      </c>
      <c r="P284" s="1">
        <v>4.0</v>
      </c>
      <c r="Q284" s="1">
        <v>0.0</v>
      </c>
      <c r="R284" s="1">
        <v>0.0</v>
      </c>
      <c r="S284" s="1">
        <v>10.0</v>
      </c>
      <c r="T284" s="1">
        <v>22.0</v>
      </c>
      <c r="U284" s="1">
        <v>2.0</v>
      </c>
    </row>
    <row r="285" ht="12.75" customHeight="1">
      <c r="A285" s="1" t="s">
        <v>277</v>
      </c>
      <c r="B285" s="1">
        <f t="shared" si="3"/>
        <v>271</v>
      </c>
      <c r="C285" s="1" t="str">
        <f>IFERROR(__xludf.DUMMYFUNCTION("split(A285, ""\"")"),"Bryan Little")</f>
        <v>Bryan Little</v>
      </c>
      <c r="D285" s="1" t="str">
        <f>IFERROR(__xludf.DUMMYFUNCTION("""COMPUTED_VALUE"""),"littlbr01")</f>
        <v>littlbr01</v>
      </c>
      <c r="E285" s="1" t="s">
        <v>36</v>
      </c>
      <c r="F285" s="1">
        <f t="shared" si="1"/>
        <v>255.9</v>
      </c>
      <c r="G285" s="1">
        <f t="shared" si="2"/>
        <v>3.12</v>
      </c>
      <c r="H285" s="1">
        <v>82.0</v>
      </c>
      <c r="I285" s="1">
        <v>16.0</v>
      </c>
      <c r="J285" s="1">
        <v>27.0</v>
      </c>
      <c r="K285" s="1">
        <v>43.0</v>
      </c>
      <c r="L285" s="1">
        <v>129.0</v>
      </c>
      <c r="M285" s="1">
        <v>50.0</v>
      </c>
      <c r="N285" s="1">
        <v>33.0</v>
      </c>
      <c r="O285" s="1">
        <v>2.0</v>
      </c>
      <c r="P285" s="1">
        <v>10.0</v>
      </c>
      <c r="Q285" s="1">
        <v>0.0</v>
      </c>
      <c r="R285" s="1">
        <v>0.0</v>
      </c>
      <c r="S285" s="1">
        <v>2.0</v>
      </c>
      <c r="T285" s="1">
        <v>28.0</v>
      </c>
      <c r="U285" s="1">
        <v>2.0</v>
      </c>
    </row>
    <row r="286" ht="12.75" customHeight="1">
      <c r="A286" s="1" t="s">
        <v>184</v>
      </c>
      <c r="B286" s="1">
        <f t="shared" si="3"/>
        <v>272</v>
      </c>
      <c r="C286" s="1" t="str">
        <f>IFERROR(__xludf.DUMMYFUNCTION("split(A286, ""\"")"),"Keith Kinkaid")</f>
        <v>Keith Kinkaid</v>
      </c>
      <c r="D286" s="2" t="str">
        <f>IFERROR(__xludf.DUMMYFUNCTION("""COMPUTED_VALUE"""),"kinkake01")</f>
        <v>kinkake01</v>
      </c>
      <c r="E286" s="1" t="s">
        <v>5</v>
      </c>
      <c r="F286" s="1">
        <f t="shared" si="1"/>
        <v>254.4</v>
      </c>
      <c r="G286" s="1">
        <f t="shared" si="2"/>
        <v>6.2</v>
      </c>
      <c r="H286" s="1">
        <v>41.0</v>
      </c>
      <c r="V286" s="1">
        <v>38.0</v>
      </c>
      <c r="W286" s="1">
        <v>26.0</v>
      </c>
      <c r="X286" s="1">
        <v>10.0</v>
      </c>
      <c r="Y286" s="1">
        <v>106.0</v>
      </c>
      <c r="Z286" s="1">
        <v>1214.0</v>
      </c>
      <c r="AA286" s="1">
        <v>1108.0</v>
      </c>
      <c r="AB286" s="1">
        <v>1.0</v>
      </c>
    </row>
    <row r="287" ht="12.75" customHeight="1">
      <c r="A287" s="1" t="s">
        <v>364</v>
      </c>
      <c r="B287" s="1">
        <f t="shared" si="3"/>
        <v>273</v>
      </c>
      <c r="C287" s="1" t="str">
        <f>IFERROR(__xludf.DUMMYFUNCTION("split(A287, ""\"")"),"Radko Gudas")</f>
        <v>Radko Gudas</v>
      </c>
      <c r="D287" s="1" t="str">
        <f>IFERROR(__xludf.DUMMYFUNCTION("""COMPUTED_VALUE"""),"gudasra01")</f>
        <v>gudasra01</v>
      </c>
      <c r="E287" s="1" t="s">
        <v>66</v>
      </c>
      <c r="F287" s="1">
        <f t="shared" si="1"/>
        <v>253.9</v>
      </c>
      <c r="G287" s="1">
        <f t="shared" si="2"/>
        <v>3.63</v>
      </c>
      <c r="H287" s="1">
        <v>70.0</v>
      </c>
      <c r="I287" s="1">
        <v>2.0</v>
      </c>
      <c r="J287" s="1">
        <v>14.0</v>
      </c>
      <c r="K287" s="1">
        <v>16.0</v>
      </c>
      <c r="L287" s="1">
        <v>142.0</v>
      </c>
      <c r="M287" s="1">
        <v>170.0</v>
      </c>
      <c r="N287" s="1">
        <v>123.0</v>
      </c>
      <c r="O287" s="1">
        <v>0.0</v>
      </c>
      <c r="P287" s="1">
        <v>0.0</v>
      </c>
      <c r="Q287" s="1">
        <v>0.0</v>
      </c>
      <c r="R287" s="1">
        <v>1.0</v>
      </c>
      <c r="S287" s="1">
        <v>0.0</v>
      </c>
      <c r="T287" s="1">
        <v>83.0</v>
      </c>
      <c r="U287" s="1">
        <v>0.0</v>
      </c>
    </row>
    <row r="288" ht="12.75" customHeight="1">
      <c r="A288" s="1" t="s">
        <v>327</v>
      </c>
      <c r="B288" s="1">
        <f t="shared" si="3"/>
        <v>274</v>
      </c>
      <c r="C288" s="1" t="str">
        <f>IFERROR(__xludf.DUMMYFUNCTION("split(A288, ""\"")"),"Darren Helm")</f>
        <v>Darren Helm</v>
      </c>
      <c r="D288" s="1" t="str">
        <f>IFERROR(__xludf.DUMMYFUNCTION("""COMPUTED_VALUE"""),"helmda01")</f>
        <v>helmda01</v>
      </c>
      <c r="E288" s="1" t="s">
        <v>141</v>
      </c>
      <c r="F288" s="1">
        <f t="shared" si="1"/>
        <v>252.95</v>
      </c>
      <c r="G288" s="1">
        <f t="shared" si="2"/>
        <v>3.37</v>
      </c>
      <c r="H288" s="1">
        <v>75.0</v>
      </c>
      <c r="I288" s="1">
        <v>13.0</v>
      </c>
      <c r="J288" s="1">
        <v>18.0</v>
      </c>
      <c r="K288" s="1">
        <v>31.0</v>
      </c>
      <c r="L288" s="1">
        <v>141.0</v>
      </c>
      <c r="M288" s="1">
        <v>131.0</v>
      </c>
      <c r="N288" s="1">
        <v>36.0</v>
      </c>
      <c r="O288" s="1">
        <v>0.0</v>
      </c>
      <c r="P288" s="1">
        <v>0.0</v>
      </c>
      <c r="Q288" s="1">
        <v>2.0</v>
      </c>
      <c r="R288" s="1">
        <v>2.0</v>
      </c>
      <c r="S288" s="1">
        <v>3.0</v>
      </c>
      <c r="T288" s="1">
        <v>39.0</v>
      </c>
      <c r="U288" s="1">
        <v>0.0</v>
      </c>
    </row>
    <row r="289" ht="12.75" customHeight="1">
      <c r="A289" s="1" t="s">
        <v>309</v>
      </c>
      <c r="B289" s="1">
        <f t="shared" si="3"/>
        <v>275</v>
      </c>
      <c r="C289" s="1" t="str">
        <f>IFERROR(__xludf.DUMMYFUNCTION("split(A289, ""\"")"),"Chris Tierney")</f>
        <v>Chris Tierney</v>
      </c>
      <c r="D289" s="1" t="str">
        <f>IFERROR(__xludf.DUMMYFUNCTION("""COMPUTED_VALUE"""),"tiernch01")</f>
        <v>tiernch01</v>
      </c>
      <c r="E289" s="1" t="s">
        <v>31</v>
      </c>
      <c r="F289" s="1">
        <f t="shared" si="1"/>
        <v>251.9</v>
      </c>
      <c r="G289" s="1">
        <f t="shared" si="2"/>
        <v>3.07</v>
      </c>
      <c r="H289" s="1">
        <v>82.0</v>
      </c>
      <c r="I289" s="1">
        <v>17.0</v>
      </c>
      <c r="J289" s="1">
        <v>23.0</v>
      </c>
      <c r="K289" s="1">
        <v>40.0</v>
      </c>
      <c r="L289" s="1">
        <v>118.0</v>
      </c>
      <c r="M289" s="1">
        <v>26.0</v>
      </c>
      <c r="N289" s="1">
        <v>45.0</v>
      </c>
      <c r="O289" s="1">
        <v>3.0</v>
      </c>
      <c r="P289" s="1">
        <v>4.0</v>
      </c>
      <c r="Q289" s="1">
        <v>2.0</v>
      </c>
      <c r="R289" s="1">
        <v>2.0</v>
      </c>
      <c r="S289" s="1">
        <v>0.0</v>
      </c>
      <c r="T289" s="1">
        <v>8.0</v>
      </c>
      <c r="U289" s="1">
        <v>2.0</v>
      </c>
    </row>
    <row r="290" ht="12.75" customHeight="1">
      <c r="A290" s="1" t="s">
        <v>221</v>
      </c>
      <c r="B290" s="1">
        <f t="shared" si="3"/>
        <v>276</v>
      </c>
      <c r="C290" s="1" t="str">
        <f>IFERROR(__xludf.DUMMYFUNCTION("split(A290, ""\"")"),"Kyle Turris")</f>
        <v>Kyle Turris</v>
      </c>
      <c r="D290" s="1" t="str">
        <f>IFERROR(__xludf.DUMMYFUNCTION("""COMPUTED_VALUE"""),"turriky01")</f>
        <v>turriky01</v>
      </c>
      <c r="E290" s="1" t="s">
        <v>31</v>
      </c>
      <c r="F290" s="1">
        <f t="shared" si="1"/>
        <v>251.55</v>
      </c>
      <c r="G290" s="1">
        <f t="shared" si="2"/>
        <v>3.31</v>
      </c>
      <c r="H290" s="1">
        <v>76.0</v>
      </c>
      <c r="I290" s="1">
        <v>16.0</v>
      </c>
      <c r="J290" s="1">
        <v>35.0</v>
      </c>
      <c r="K290" s="1">
        <v>51.0</v>
      </c>
      <c r="L290" s="1">
        <v>145.0</v>
      </c>
      <c r="M290" s="1">
        <v>21.0</v>
      </c>
      <c r="N290" s="1">
        <v>35.0</v>
      </c>
      <c r="O290" s="1">
        <v>7.0</v>
      </c>
      <c r="P290" s="1">
        <v>14.0</v>
      </c>
      <c r="Q290" s="1">
        <v>0.0</v>
      </c>
      <c r="R290" s="1">
        <v>0.0</v>
      </c>
      <c r="S290" s="1">
        <v>19.0</v>
      </c>
      <c r="T290" s="1">
        <v>26.0</v>
      </c>
      <c r="U290" s="1">
        <v>0.0</v>
      </c>
    </row>
    <row r="291" ht="12.75" customHeight="1">
      <c r="A291" s="1" t="s">
        <v>271</v>
      </c>
      <c r="B291" s="1">
        <f t="shared" si="3"/>
        <v>277</v>
      </c>
      <c r="C291" s="1" t="str">
        <f>IFERROR(__xludf.DUMMYFUNCTION("split(A291, ""\"")"),"Jake Debrusk")</f>
        <v>Jake Debrusk</v>
      </c>
      <c r="D291" s="1" t="str">
        <f>IFERROR(__xludf.DUMMYFUNCTION("""COMPUTED_VALUE"""),"debruja01")</f>
        <v>debruja01</v>
      </c>
      <c r="E291" s="1" t="s">
        <v>28</v>
      </c>
      <c r="F291" s="1">
        <f t="shared" si="1"/>
        <v>251.2</v>
      </c>
      <c r="G291" s="1">
        <f t="shared" si="2"/>
        <v>3.59</v>
      </c>
      <c r="H291" s="1">
        <v>70.0</v>
      </c>
      <c r="I291" s="1">
        <v>16.0</v>
      </c>
      <c r="J291" s="1">
        <v>27.0</v>
      </c>
      <c r="K291" s="1">
        <v>43.0</v>
      </c>
      <c r="L291" s="1">
        <v>143.0</v>
      </c>
      <c r="M291" s="1">
        <v>70.0</v>
      </c>
      <c r="N291" s="1">
        <v>26.0</v>
      </c>
      <c r="O291" s="1">
        <v>2.0</v>
      </c>
      <c r="P291" s="1">
        <v>7.0</v>
      </c>
      <c r="Q291" s="1">
        <v>0.0</v>
      </c>
      <c r="R291" s="1">
        <v>0.0</v>
      </c>
      <c r="S291" s="1">
        <v>13.0</v>
      </c>
      <c r="T291" s="1">
        <v>19.0</v>
      </c>
      <c r="U291" s="1">
        <v>5.0</v>
      </c>
    </row>
    <row r="292" ht="12.75" customHeight="1">
      <c r="A292" s="1" t="s">
        <v>317</v>
      </c>
      <c r="B292" s="1">
        <f t="shared" si="3"/>
        <v>278</v>
      </c>
      <c r="C292" s="1" t="str">
        <f>IFERROR(__xludf.DUMMYFUNCTION("split(A292, ""\"")"),"Frans Nielsen")</f>
        <v>Frans Nielsen</v>
      </c>
      <c r="D292" s="1" t="str">
        <f>IFERROR(__xludf.DUMMYFUNCTION("""COMPUTED_VALUE"""),"nielsfr01")</f>
        <v>nielsfr01</v>
      </c>
      <c r="E292" s="1" t="s">
        <v>31</v>
      </c>
      <c r="F292" s="1">
        <f t="shared" si="1"/>
        <v>250.95</v>
      </c>
      <c r="G292" s="1">
        <f t="shared" si="2"/>
        <v>3.18</v>
      </c>
      <c r="H292" s="1">
        <v>79.0</v>
      </c>
      <c r="I292" s="1">
        <v>16.0</v>
      </c>
      <c r="J292" s="1">
        <v>17.0</v>
      </c>
      <c r="K292" s="1">
        <v>33.0</v>
      </c>
      <c r="L292" s="1">
        <v>134.0</v>
      </c>
      <c r="M292" s="1">
        <v>49.0</v>
      </c>
      <c r="N292" s="1">
        <v>62.0</v>
      </c>
      <c r="O292" s="1">
        <v>4.0</v>
      </c>
      <c r="P292" s="1">
        <v>3.0</v>
      </c>
      <c r="Q292" s="1">
        <v>2.0</v>
      </c>
      <c r="R292" s="1">
        <v>1.0</v>
      </c>
      <c r="S292" s="1">
        <v>1.0</v>
      </c>
      <c r="T292" s="1">
        <v>14.0</v>
      </c>
      <c r="U292" s="1">
        <v>3.0</v>
      </c>
    </row>
    <row r="293" ht="12.75" customHeight="1">
      <c r="A293" s="1" t="s">
        <v>288</v>
      </c>
      <c r="B293" s="1">
        <f t="shared" si="3"/>
        <v>279</v>
      </c>
      <c r="C293" s="1" t="str">
        <f>IFERROR(__xludf.DUMMYFUNCTION("split(A293, ""\"")"),"Tyler Bozak")</f>
        <v>Tyler Bozak</v>
      </c>
      <c r="D293" s="1" t="str">
        <f>IFERROR(__xludf.DUMMYFUNCTION("""COMPUTED_VALUE"""),"bozakty01")</f>
        <v>bozakty01</v>
      </c>
      <c r="E293" s="1" t="s">
        <v>31</v>
      </c>
      <c r="F293" s="1">
        <f t="shared" si="1"/>
        <v>250.65</v>
      </c>
      <c r="G293" s="1">
        <f t="shared" si="2"/>
        <v>3.09</v>
      </c>
      <c r="H293" s="1">
        <v>81.0</v>
      </c>
      <c r="I293" s="1">
        <v>11.0</v>
      </c>
      <c r="J293" s="1">
        <v>32.0</v>
      </c>
      <c r="K293" s="1">
        <v>43.0</v>
      </c>
      <c r="L293" s="1">
        <v>154.0</v>
      </c>
      <c r="M293" s="1">
        <v>43.0</v>
      </c>
      <c r="N293" s="1">
        <v>28.0</v>
      </c>
      <c r="O293" s="1">
        <v>3.0</v>
      </c>
      <c r="P293" s="1">
        <v>10.0</v>
      </c>
      <c r="Q293" s="1">
        <v>0.0</v>
      </c>
      <c r="R293" s="1">
        <v>0.0</v>
      </c>
      <c r="S293" s="1">
        <v>6.0</v>
      </c>
      <c r="T293" s="1">
        <v>28.0</v>
      </c>
      <c r="U293" s="1">
        <v>2.0</v>
      </c>
    </row>
    <row r="294" ht="12.75" customHeight="1">
      <c r="A294" s="1" t="s">
        <v>272</v>
      </c>
      <c r="B294" s="1">
        <f t="shared" si="3"/>
        <v>280</v>
      </c>
      <c r="C294" s="1" t="str">
        <f>IFERROR(__xludf.DUMMYFUNCTION("split(A294, ""\"")"),"Josh Morrissey")</f>
        <v>Josh Morrissey</v>
      </c>
      <c r="D294" s="1" t="str">
        <f>IFERROR(__xludf.DUMMYFUNCTION("""COMPUTED_VALUE"""),"morrijo04")</f>
        <v>morrijo04</v>
      </c>
      <c r="E294" s="1" t="s">
        <v>66</v>
      </c>
      <c r="F294" s="1">
        <f t="shared" si="1"/>
        <v>249.85</v>
      </c>
      <c r="G294" s="1">
        <f t="shared" si="2"/>
        <v>3.08</v>
      </c>
      <c r="H294" s="1">
        <v>81.0</v>
      </c>
      <c r="I294" s="1">
        <v>7.0</v>
      </c>
      <c r="J294" s="1">
        <v>19.0</v>
      </c>
      <c r="K294" s="1">
        <v>26.0</v>
      </c>
      <c r="L294" s="1">
        <v>102.0</v>
      </c>
      <c r="M294" s="1">
        <v>139.0</v>
      </c>
      <c r="N294" s="1">
        <v>168.0</v>
      </c>
      <c r="O294" s="1">
        <v>0.0</v>
      </c>
      <c r="P294" s="1">
        <v>1.0</v>
      </c>
      <c r="Q294" s="1">
        <v>0.0</v>
      </c>
      <c r="R294" s="1">
        <v>0.0</v>
      </c>
      <c r="S294" s="1">
        <v>15.0</v>
      </c>
      <c r="T294" s="1">
        <v>47.0</v>
      </c>
      <c r="U294" s="1">
        <v>0.0</v>
      </c>
    </row>
    <row r="295" ht="12.75" customHeight="1">
      <c r="A295" s="1" t="s">
        <v>301</v>
      </c>
      <c r="B295" s="1">
        <f t="shared" si="3"/>
        <v>281</v>
      </c>
      <c r="C295" s="1" t="str">
        <f>IFERROR(__xludf.DUMMYFUNCTION("split(A295, ""\"")"),"Stephen Johns")</f>
        <v>Stephen Johns</v>
      </c>
      <c r="D295" s="1" t="str">
        <f>IFERROR(__xludf.DUMMYFUNCTION("""COMPUTED_VALUE"""),"johnsst03")</f>
        <v>johnsst03</v>
      </c>
      <c r="E295" s="1" t="s">
        <v>66</v>
      </c>
      <c r="F295" s="1">
        <f t="shared" si="1"/>
        <v>249.55</v>
      </c>
      <c r="G295" s="1">
        <f t="shared" si="2"/>
        <v>3.33</v>
      </c>
      <c r="H295" s="1">
        <v>75.0</v>
      </c>
      <c r="I295" s="1">
        <v>8.0</v>
      </c>
      <c r="J295" s="1">
        <v>7.0</v>
      </c>
      <c r="K295" s="1">
        <v>15.0</v>
      </c>
      <c r="L295" s="1">
        <v>121.0</v>
      </c>
      <c r="M295" s="1">
        <v>201.0</v>
      </c>
      <c r="N295" s="1">
        <v>155.0</v>
      </c>
      <c r="O295" s="1">
        <v>0.0</v>
      </c>
      <c r="P295" s="1">
        <v>0.0</v>
      </c>
      <c r="Q295" s="1">
        <v>0.0</v>
      </c>
      <c r="R295" s="1">
        <v>1.0</v>
      </c>
      <c r="S295" s="1">
        <v>10.0</v>
      </c>
      <c r="T295" s="1">
        <v>41.0</v>
      </c>
      <c r="U295" s="1">
        <v>2.0</v>
      </c>
    </row>
    <row r="296" ht="12.75" customHeight="1">
      <c r="A296" s="1" t="s">
        <v>240</v>
      </c>
      <c r="B296" s="1">
        <f t="shared" si="3"/>
        <v>282</v>
      </c>
      <c r="C296" s="1" t="str">
        <f>IFERROR(__xludf.DUMMYFUNCTION("split(A296, ""\"")"),"Josh Manson")</f>
        <v>Josh Manson</v>
      </c>
      <c r="D296" s="1" t="str">
        <f>IFERROR(__xludf.DUMMYFUNCTION("""COMPUTED_VALUE"""),"mansojo01")</f>
        <v>mansojo01</v>
      </c>
      <c r="E296" s="1" t="s">
        <v>66</v>
      </c>
      <c r="F296" s="1">
        <f t="shared" si="1"/>
        <v>249.1</v>
      </c>
      <c r="G296" s="1">
        <f t="shared" si="2"/>
        <v>3.11</v>
      </c>
      <c r="H296" s="1">
        <v>80.0</v>
      </c>
      <c r="I296" s="1">
        <v>7.0</v>
      </c>
      <c r="J296" s="1">
        <v>30.0</v>
      </c>
      <c r="K296" s="1">
        <v>37.0</v>
      </c>
      <c r="L296" s="1">
        <v>117.0</v>
      </c>
      <c r="M296" s="1">
        <v>180.0</v>
      </c>
      <c r="N296" s="1">
        <v>99.0</v>
      </c>
      <c r="O296" s="1">
        <v>0.0</v>
      </c>
      <c r="P296" s="1">
        <v>0.0</v>
      </c>
      <c r="Q296" s="1">
        <v>0.0</v>
      </c>
      <c r="R296" s="1">
        <v>1.0</v>
      </c>
      <c r="S296" s="1">
        <v>34.0</v>
      </c>
      <c r="T296" s="1">
        <v>62.0</v>
      </c>
      <c r="U296" s="1">
        <v>2.0</v>
      </c>
    </row>
    <row r="297" ht="12.75" customHeight="1">
      <c r="A297" s="1" t="s">
        <v>345</v>
      </c>
      <c r="B297" s="1">
        <f t="shared" si="3"/>
        <v>283</v>
      </c>
      <c r="C297" s="1" t="str">
        <f>IFERROR(__xludf.DUMMYFUNCTION("split(A297, ""\"")"),"Brenden Dillon")</f>
        <v>Brenden Dillon</v>
      </c>
      <c r="D297" s="1" t="str">
        <f>IFERROR(__xludf.DUMMYFUNCTION("""COMPUTED_VALUE"""),"dillobr01")</f>
        <v>dillobr01</v>
      </c>
      <c r="E297" s="1" t="s">
        <v>66</v>
      </c>
      <c r="F297" s="1">
        <f t="shared" si="1"/>
        <v>248.75</v>
      </c>
      <c r="G297" s="1">
        <f t="shared" si="2"/>
        <v>3.07</v>
      </c>
      <c r="H297" s="1">
        <v>81.0</v>
      </c>
      <c r="I297" s="1">
        <v>5.0</v>
      </c>
      <c r="J297" s="1">
        <v>17.0</v>
      </c>
      <c r="K297" s="1">
        <v>22.0</v>
      </c>
      <c r="L297" s="1">
        <v>88.0</v>
      </c>
      <c r="M297" s="1">
        <v>197.0</v>
      </c>
      <c r="N297" s="1">
        <v>107.0</v>
      </c>
      <c r="O297" s="1">
        <v>0.0</v>
      </c>
      <c r="P297" s="1">
        <v>0.0</v>
      </c>
      <c r="Q297" s="1">
        <v>0.0</v>
      </c>
      <c r="R297" s="1">
        <v>0.0</v>
      </c>
      <c r="S297" s="1">
        <v>-7.0</v>
      </c>
      <c r="T297" s="1">
        <v>60.0</v>
      </c>
      <c r="U297" s="1">
        <v>0.0</v>
      </c>
    </row>
    <row r="298" ht="12.75" customHeight="1">
      <c r="A298" s="1" t="s">
        <v>287</v>
      </c>
      <c r="B298" s="1">
        <f t="shared" si="3"/>
        <v>284</v>
      </c>
      <c r="C298" s="1" t="str">
        <f>IFERROR(__xludf.DUMMYFUNCTION("split(A298, ""\"")"),"Richard Panik")</f>
        <v>Richard Panik</v>
      </c>
      <c r="D298" s="1" t="str">
        <f>IFERROR(__xludf.DUMMYFUNCTION("""COMPUTED_VALUE"""),"panikri01")</f>
        <v>panikri01</v>
      </c>
      <c r="E298" s="1" t="s">
        <v>36</v>
      </c>
      <c r="F298" s="1">
        <f t="shared" si="1"/>
        <v>247.65</v>
      </c>
      <c r="G298" s="1">
        <f t="shared" si="2"/>
        <v>3.44</v>
      </c>
      <c r="H298" s="1">
        <v>72.0</v>
      </c>
      <c r="I298" s="1">
        <v>14.0</v>
      </c>
      <c r="J298" s="1">
        <v>21.0</v>
      </c>
      <c r="K298" s="1">
        <v>35.0</v>
      </c>
      <c r="L298" s="1">
        <v>136.0</v>
      </c>
      <c r="M298" s="1">
        <v>137.0</v>
      </c>
      <c r="N298" s="1">
        <v>37.0</v>
      </c>
      <c r="O298" s="1">
        <v>4.0</v>
      </c>
      <c r="P298" s="1">
        <v>2.0</v>
      </c>
      <c r="Q298" s="1">
        <v>0.0</v>
      </c>
      <c r="R298" s="1">
        <v>0.0</v>
      </c>
      <c r="S298" s="1">
        <v>7.0</v>
      </c>
      <c r="T298" s="1">
        <v>38.0</v>
      </c>
      <c r="U298" s="1">
        <v>0.0</v>
      </c>
    </row>
    <row r="299" ht="12.75" customHeight="1">
      <c r="A299" s="1" t="s">
        <v>436</v>
      </c>
      <c r="B299" s="1">
        <f t="shared" si="3"/>
        <v>285</v>
      </c>
      <c r="C299" s="1" t="str">
        <f>IFERROR(__xludf.DUMMYFUNCTION("split(A299, ""\"")"),"Michael Frolik")</f>
        <v>Michael Frolik</v>
      </c>
      <c r="D299" s="1" t="str">
        <f>IFERROR(__xludf.DUMMYFUNCTION("""COMPUTED_VALUE"""),"frolimi01")</f>
        <v>frolimi01</v>
      </c>
      <c r="E299" s="1" t="s">
        <v>28</v>
      </c>
      <c r="F299" s="1">
        <f t="shared" si="1"/>
        <v>247.3</v>
      </c>
      <c r="G299" s="1">
        <f t="shared" si="2"/>
        <v>3.53</v>
      </c>
      <c r="H299" s="1">
        <v>70.0</v>
      </c>
      <c r="I299" s="1">
        <v>10.0</v>
      </c>
      <c r="J299" s="1">
        <v>15.0</v>
      </c>
      <c r="K299" s="1">
        <v>25.0</v>
      </c>
      <c r="L299" s="1">
        <v>167.0</v>
      </c>
      <c r="M299" s="1">
        <v>48.0</v>
      </c>
      <c r="N299" s="1">
        <v>35.0</v>
      </c>
      <c r="O299" s="1">
        <v>0.0</v>
      </c>
      <c r="P299" s="1">
        <v>0.0</v>
      </c>
      <c r="Q299" s="1">
        <v>2.0</v>
      </c>
      <c r="R299" s="1">
        <v>0.0</v>
      </c>
      <c r="S299" s="1">
        <v>-19.0</v>
      </c>
      <c r="T299" s="1">
        <v>26.0</v>
      </c>
      <c r="U299" s="1">
        <v>1.0</v>
      </c>
    </row>
    <row r="300" ht="12.75" customHeight="1">
      <c r="A300" s="1" t="s">
        <v>330</v>
      </c>
      <c r="B300" s="1">
        <f t="shared" si="3"/>
        <v>286</v>
      </c>
      <c r="C300" s="1" t="str">
        <f>IFERROR(__xludf.DUMMYFUNCTION("split(A300, ""\"")"),"Nick Ritchie")</f>
        <v>Nick Ritchie</v>
      </c>
      <c r="D300" s="1" t="str">
        <f>IFERROR(__xludf.DUMMYFUNCTION("""COMPUTED_VALUE"""),"ritchni01")</f>
        <v>ritchni01</v>
      </c>
      <c r="E300" s="1" t="s">
        <v>28</v>
      </c>
      <c r="F300" s="1">
        <f t="shared" si="1"/>
        <v>246.85</v>
      </c>
      <c r="G300" s="1">
        <f t="shared" si="2"/>
        <v>3.25</v>
      </c>
      <c r="H300" s="1">
        <v>76.0</v>
      </c>
      <c r="I300" s="1">
        <v>10.0</v>
      </c>
      <c r="J300" s="1">
        <v>17.0</v>
      </c>
      <c r="K300" s="1">
        <v>27.0</v>
      </c>
      <c r="L300" s="1">
        <v>122.0</v>
      </c>
      <c r="M300" s="1">
        <v>221.0</v>
      </c>
      <c r="N300" s="1">
        <v>27.0</v>
      </c>
      <c r="O300" s="1">
        <v>1.0</v>
      </c>
      <c r="P300" s="1">
        <v>2.0</v>
      </c>
      <c r="Q300" s="1">
        <v>0.0</v>
      </c>
      <c r="R300" s="1">
        <v>0.0</v>
      </c>
      <c r="S300" s="1">
        <v>3.0</v>
      </c>
      <c r="T300" s="1">
        <v>72.0</v>
      </c>
      <c r="U300" s="1">
        <v>2.0</v>
      </c>
    </row>
    <row r="301" ht="12.75" customHeight="1">
      <c r="A301" s="1" t="s">
        <v>357</v>
      </c>
      <c r="B301" s="1">
        <f t="shared" si="3"/>
        <v>287</v>
      </c>
      <c r="C301" s="1" t="str">
        <f>IFERROR(__xludf.DUMMYFUNCTION("split(A301, ""\"")"),"Joel Edmundson")</f>
        <v>Joel Edmundson</v>
      </c>
      <c r="D301" s="1" t="str">
        <f>IFERROR(__xludf.DUMMYFUNCTION("""COMPUTED_VALUE"""),"edmunjo01")</f>
        <v>edmunjo01</v>
      </c>
      <c r="E301" s="1" t="s">
        <v>66</v>
      </c>
      <c r="F301" s="1">
        <f t="shared" si="1"/>
        <v>246.1</v>
      </c>
      <c r="G301" s="1">
        <f t="shared" si="2"/>
        <v>3.57</v>
      </c>
      <c r="H301" s="1">
        <v>69.0</v>
      </c>
      <c r="I301" s="1">
        <v>7.0</v>
      </c>
      <c r="J301" s="1">
        <v>10.0</v>
      </c>
      <c r="K301" s="1">
        <v>17.0</v>
      </c>
      <c r="L301" s="1">
        <v>124.0</v>
      </c>
      <c r="M301" s="1">
        <v>116.0</v>
      </c>
      <c r="N301" s="1">
        <v>150.0</v>
      </c>
      <c r="O301" s="1">
        <v>0.0</v>
      </c>
      <c r="P301" s="1">
        <v>0.0</v>
      </c>
      <c r="Q301" s="1">
        <v>0.0</v>
      </c>
      <c r="R301" s="1">
        <v>0.0</v>
      </c>
      <c r="S301" s="1">
        <v>-1.0</v>
      </c>
      <c r="T301" s="1">
        <v>57.0</v>
      </c>
      <c r="U301" s="1">
        <v>0.0</v>
      </c>
    </row>
    <row r="302" ht="12.75" customHeight="1">
      <c r="A302" s="1" t="s">
        <v>347</v>
      </c>
      <c r="B302" s="1">
        <f t="shared" si="3"/>
        <v>288</v>
      </c>
      <c r="C302" s="1" t="str">
        <f>IFERROR(__xludf.DUMMYFUNCTION("split(A302, ""\"")"),"Bobby Ryan")</f>
        <v>Bobby Ryan</v>
      </c>
      <c r="D302" s="1" t="str">
        <f>IFERROR(__xludf.DUMMYFUNCTION("""COMPUTED_VALUE"""),"ryanbo01")</f>
        <v>ryanbo01</v>
      </c>
      <c r="E302" s="1" t="s">
        <v>28</v>
      </c>
      <c r="F302" s="1">
        <f t="shared" si="1"/>
        <v>245.95</v>
      </c>
      <c r="G302" s="1">
        <f t="shared" si="2"/>
        <v>3.97</v>
      </c>
      <c r="H302" s="1">
        <v>62.0</v>
      </c>
      <c r="I302" s="1">
        <v>11.0</v>
      </c>
      <c r="J302" s="1">
        <v>22.0</v>
      </c>
      <c r="K302" s="1">
        <v>33.0</v>
      </c>
      <c r="L302" s="1">
        <v>112.0</v>
      </c>
      <c r="M302" s="1">
        <v>97.0</v>
      </c>
      <c r="N302" s="1">
        <v>52.0</v>
      </c>
      <c r="O302" s="1">
        <v>1.0</v>
      </c>
      <c r="P302" s="1">
        <v>3.0</v>
      </c>
      <c r="Q302" s="1">
        <v>0.0</v>
      </c>
      <c r="R302" s="1">
        <v>0.0</v>
      </c>
      <c r="S302" s="1">
        <v>-12.0</v>
      </c>
      <c r="T302" s="1">
        <v>14.0</v>
      </c>
      <c r="U302" s="1">
        <v>1.0</v>
      </c>
    </row>
    <row r="303" ht="12.75" customHeight="1">
      <c r="A303" s="1" t="s">
        <v>361</v>
      </c>
      <c r="B303" s="1">
        <f t="shared" si="3"/>
        <v>289</v>
      </c>
      <c r="C303" s="1" t="str">
        <f>IFERROR(__xludf.DUMMYFUNCTION("split(A303, ""\"")"),"T.J. Brodie")</f>
        <v>T.J. Brodie</v>
      </c>
      <c r="D303" s="1" t="str">
        <f>IFERROR(__xludf.DUMMYFUNCTION("""COMPUTED_VALUE"""),"broditj01")</f>
        <v>broditj01</v>
      </c>
      <c r="E303" s="1" t="s">
        <v>66</v>
      </c>
      <c r="F303" s="1">
        <f t="shared" si="1"/>
        <v>245.9</v>
      </c>
      <c r="G303" s="1">
        <f t="shared" si="2"/>
        <v>3.37</v>
      </c>
      <c r="H303" s="1">
        <v>73.0</v>
      </c>
      <c r="I303" s="1">
        <v>4.0</v>
      </c>
      <c r="J303" s="1">
        <v>28.0</v>
      </c>
      <c r="K303" s="1">
        <v>32.0</v>
      </c>
      <c r="L303" s="1">
        <v>118.0</v>
      </c>
      <c r="M303" s="1">
        <v>24.0</v>
      </c>
      <c r="N303" s="1">
        <v>99.0</v>
      </c>
      <c r="O303" s="1">
        <v>1.0</v>
      </c>
      <c r="P303" s="1">
        <v>10.0</v>
      </c>
      <c r="Q303" s="1">
        <v>0.0</v>
      </c>
      <c r="R303" s="1">
        <v>0.0</v>
      </c>
      <c r="S303" s="1">
        <v>-16.0</v>
      </c>
      <c r="T303" s="1">
        <v>18.0</v>
      </c>
      <c r="U303" s="1">
        <v>0.0</v>
      </c>
    </row>
    <row r="304" ht="12.75" customHeight="1">
      <c r="A304" s="1" t="s">
        <v>297</v>
      </c>
      <c r="B304" s="1">
        <f t="shared" si="3"/>
        <v>290</v>
      </c>
      <c r="C304" s="1" t="str">
        <f>IFERROR(__xludf.DUMMYFUNCTION("split(A304, ""\"")"),"Anthony Beauvillier")</f>
        <v>Anthony Beauvillier</v>
      </c>
      <c r="D304" s="1" t="str">
        <f>IFERROR(__xludf.DUMMYFUNCTION("""COMPUTED_VALUE"""),"beauvan01")</f>
        <v>beauvan01</v>
      </c>
      <c r="E304" s="1" t="s">
        <v>28</v>
      </c>
      <c r="F304" s="1">
        <f t="shared" si="1"/>
        <v>245.8</v>
      </c>
      <c r="G304" s="1">
        <f t="shared" si="2"/>
        <v>3.46</v>
      </c>
      <c r="H304" s="1">
        <v>71.0</v>
      </c>
      <c r="I304" s="1">
        <v>21.0</v>
      </c>
      <c r="J304" s="1">
        <v>15.0</v>
      </c>
      <c r="K304" s="1">
        <v>36.0</v>
      </c>
      <c r="L304" s="1">
        <v>132.0</v>
      </c>
      <c r="M304" s="1">
        <v>80.0</v>
      </c>
      <c r="N304" s="1">
        <v>29.0</v>
      </c>
      <c r="O304" s="1">
        <v>3.0</v>
      </c>
      <c r="P304" s="1">
        <v>5.0</v>
      </c>
      <c r="Q304" s="1">
        <v>0.0</v>
      </c>
      <c r="R304" s="1">
        <v>0.0</v>
      </c>
      <c r="S304" s="1">
        <v>2.0</v>
      </c>
      <c r="T304" s="1">
        <v>16.0</v>
      </c>
      <c r="U304" s="1">
        <v>2.0</v>
      </c>
    </row>
    <row r="305" ht="12.75" customHeight="1">
      <c r="A305" s="1" t="s">
        <v>304</v>
      </c>
      <c r="B305" s="1">
        <f t="shared" si="3"/>
        <v>291</v>
      </c>
      <c r="C305" s="1" t="str">
        <f>IFERROR(__xludf.DUMMYFUNCTION("split(A305, ""\"")"),"Bryan Rust")</f>
        <v>Bryan Rust</v>
      </c>
      <c r="D305" s="1" t="str">
        <f>IFERROR(__xludf.DUMMYFUNCTION("""COMPUTED_VALUE"""),"rustbr01")</f>
        <v>rustbr01</v>
      </c>
      <c r="E305" s="1" t="s">
        <v>36</v>
      </c>
      <c r="F305" s="1">
        <f t="shared" si="1"/>
        <v>245.55</v>
      </c>
      <c r="G305" s="1">
        <f t="shared" si="2"/>
        <v>3.56</v>
      </c>
      <c r="H305" s="1">
        <v>69.0</v>
      </c>
      <c r="I305" s="1">
        <v>13.0</v>
      </c>
      <c r="J305" s="1">
        <v>25.0</v>
      </c>
      <c r="K305" s="1">
        <v>38.0</v>
      </c>
      <c r="L305" s="1">
        <v>123.0</v>
      </c>
      <c r="M305" s="1">
        <v>97.0</v>
      </c>
      <c r="N305" s="1">
        <v>40.0</v>
      </c>
      <c r="O305" s="1">
        <v>2.0</v>
      </c>
      <c r="P305" s="1">
        <v>2.0</v>
      </c>
      <c r="Q305" s="1">
        <v>2.0</v>
      </c>
      <c r="R305" s="1">
        <v>1.0</v>
      </c>
      <c r="S305" s="1">
        <v>11.0</v>
      </c>
      <c r="T305" s="1">
        <v>26.0</v>
      </c>
      <c r="U305" s="1">
        <v>3.0</v>
      </c>
    </row>
    <row r="306" ht="12.75" customHeight="1">
      <c r="A306" s="1" t="s">
        <v>362</v>
      </c>
      <c r="B306" s="1">
        <f t="shared" si="3"/>
        <v>292</v>
      </c>
      <c r="C306" s="1" t="str">
        <f>IFERROR(__xludf.DUMMYFUNCTION("split(A306, ""\"")"),"Ryan Hartman")</f>
        <v>Ryan Hartman</v>
      </c>
      <c r="D306" s="1" t="str">
        <f>IFERROR(__xludf.DUMMYFUNCTION("""COMPUTED_VALUE"""),"hartmry01")</f>
        <v>hartmry01</v>
      </c>
      <c r="E306" s="1" t="s">
        <v>36</v>
      </c>
      <c r="F306" s="1">
        <f t="shared" si="1"/>
        <v>245.35</v>
      </c>
      <c r="G306" s="1">
        <f t="shared" si="2"/>
        <v>3.15</v>
      </c>
      <c r="H306" s="1">
        <v>78.0</v>
      </c>
      <c r="I306" s="1">
        <v>11.0</v>
      </c>
      <c r="J306" s="1">
        <v>20.0</v>
      </c>
      <c r="K306" s="1">
        <v>31.0</v>
      </c>
      <c r="L306" s="1">
        <v>129.0</v>
      </c>
      <c r="M306" s="1">
        <v>113.0</v>
      </c>
      <c r="N306" s="1">
        <v>38.0</v>
      </c>
      <c r="O306" s="1">
        <v>1.0</v>
      </c>
      <c r="P306" s="1">
        <v>1.0</v>
      </c>
      <c r="Q306" s="1">
        <v>0.0</v>
      </c>
      <c r="R306" s="1">
        <v>0.0</v>
      </c>
      <c r="S306" s="1">
        <v>1.0</v>
      </c>
      <c r="T306" s="1">
        <v>72.0</v>
      </c>
      <c r="U306" s="1">
        <v>2.0</v>
      </c>
    </row>
    <row r="307" ht="12.75" customHeight="1">
      <c r="A307" s="1" t="s">
        <v>320</v>
      </c>
      <c r="B307" s="1">
        <f t="shared" si="3"/>
        <v>293</v>
      </c>
      <c r="C307" s="1" t="str">
        <f>IFERROR(__xludf.DUMMYFUNCTION("split(A307, ""\"")"),"Andrew Cogliano")</f>
        <v>Andrew Cogliano</v>
      </c>
      <c r="D307" s="1" t="str">
        <f>IFERROR(__xludf.DUMMYFUNCTION("""COMPUTED_VALUE"""),"coglian01")</f>
        <v>coglian01</v>
      </c>
      <c r="E307" s="1" t="s">
        <v>321</v>
      </c>
      <c r="F307" s="1">
        <f t="shared" si="1"/>
        <v>245.3</v>
      </c>
      <c r="G307" s="1">
        <f t="shared" si="2"/>
        <v>3.07</v>
      </c>
      <c r="H307" s="1">
        <v>80.0</v>
      </c>
      <c r="I307" s="1">
        <v>12.0</v>
      </c>
      <c r="J307" s="1">
        <v>23.0</v>
      </c>
      <c r="K307" s="1">
        <v>35.0</v>
      </c>
      <c r="L307" s="1">
        <v>175.0</v>
      </c>
      <c r="M307" s="1">
        <v>80.0</v>
      </c>
      <c r="N307" s="1">
        <v>31.0</v>
      </c>
      <c r="O307" s="1">
        <v>0.0</v>
      </c>
      <c r="P307" s="1">
        <v>0.0</v>
      </c>
      <c r="Q307" s="1">
        <v>3.0</v>
      </c>
      <c r="R307" s="1">
        <v>1.0</v>
      </c>
      <c r="S307" s="1">
        <v>18.0</v>
      </c>
      <c r="T307" s="1">
        <v>41.0</v>
      </c>
      <c r="U307" s="1">
        <v>1.0</v>
      </c>
    </row>
    <row r="308" ht="12.75" customHeight="1">
      <c r="A308" s="1" t="s">
        <v>384</v>
      </c>
      <c r="B308" s="1">
        <f t="shared" si="3"/>
        <v>294</v>
      </c>
      <c r="C308" s="1" t="str">
        <f>IFERROR(__xludf.DUMMYFUNCTION("split(A308, ""\"")"),"Johnny Boychuk")</f>
        <v>Johnny Boychuk</v>
      </c>
      <c r="D308" s="1" t="str">
        <f>IFERROR(__xludf.DUMMYFUNCTION("""COMPUTED_VALUE"""),"boychjo01")</f>
        <v>boychjo01</v>
      </c>
      <c r="E308" s="1" t="s">
        <v>66</v>
      </c>
      <c r="F308" s="1">
        <f t="shared" si="1"/>
        <v>245</v>
      </c>
      <c r="G308" s="1">
        <f t="shared" si="2"/>
        <v>4.22</v>
      </c>
      <c r="H308" s="1">
        <v>58.0</v>
      </c>
      <c r="I308" s="1">
        <v>6.0</v>
      </c>
      <c r="J308" s="1">
        <v>12.0</v>
      </c>
      <c r="K308" s="1">
        <v>18.0</v>
      </c>
      <c r="L308" s="1">
        <v>141.0</v>
      </c>
      <c r="M308" s="1">
        <v>114.0</v>
      </c>
      <c r="N308" s="1">
        <v>112.0</v>
      </c>
      <c r="O308" s="1">
        <v>2.0</v>
      </c>
      <c r="P308" s="1">
        <v>0.0</v>
      </c>
      <c r="Q308" s="1">
        <v>0.0</v>
      </c>
      <c r="R308" s="1">
        <v>0.0</v>
      </c>
      <c r="S308" s="1">
        <v>-8.0</v>
      </c>
      <c r="T308" s="1">
        <v>30.0</v>
      </c>
      <c r="U308" s="1">
        <v>3.0</v>
      </c>
    </row>
    <row r="309" ht="12.75" customHeight="1">
      <c r="A309" s="1" t="s">
        <v>340</v>
      </c>
      <c r="B309" s="1">
        <f t="shared" si="3"/>
        <v>295</v>
      </c>
      <c r="C309" s="1" t="str">
        <f>IFERROR(__xludf.DUMMYFUNCTION("split(A309, ""\"")"),"Carl Hagelin")</f>
        <v>Carl Hagelin</v>
      </c>
      <c r="D309" s="1" t="str">
        <f>IFERROR(__xludf.DUMMYFUNCTION("""COMPUTED_VALUE"""),"hagelca01")</f>
        <v>hagelca01</v>
      </c>
      <c r="E309" s="1" t="s">
        <v>28</v>
      </c>
      <c r="F309" s="1">
        <f t="shared" si="1"/>
        <v>244.9</v>
      </c>
      <c r="G309" s="1">
        <f t="shared" si="2"/>
        <v>3.02</v>
      </c>
      <c r="H309" s="1">
        <v>81.0</v>
      </c>
      <c r="I309" s="1">
        <v>10.0</v>
      </c>
      <c r="J309" s="1">
        <v>21.0</v>
      </c>
      <c r="K309" s="1">
        <v>31.0</v>
      </c>
      <c r="L309" s="1">
        <v>169.0</v>
      </c>
      <c r="M309" s="1">
        <v>112.0</v>
      </c>
      <c r="N309" s="1">
        <v>36.0</v>
      </c>
      <c r="O309" s="1">
        <v>0.0</v>
      </c>
      <c r="P309" s="1">
        <v>0.0</v>
      </c>
      <c r="Q309" s="1">
        <v>1.0</v>
      </c>
      <c r="R309" s="1">
        <v>1.0</v>
      </c>
      <c r="S309" s="1">
        <v>8.0</v>
      </c>
      <c r="T309" s="1">
        <v>28.0</v>
      </c>
      <c r="U309" s="1">
        <v>2.0</v>
      </c>
    </row>
    <row r="310" ht="12.75" customHeight="1">
      <c r="A310" s="1" t="s">
        <v>286</v>
      </c>
      <c r="B310" s="1">
        <f t="shared" si="3"/>
        <v>295</v>
      </c>
      <c r="C310" s="1" t="str">
        <f>IFERROR(__xludf.DUMMYFUNCTION("split(A310, ""\"")"),"Alexander Kerfoot")</f>
        <v>Alexander Kerfoot</v>
      </c>
      <c r="D310" s="1" t="str">
        <f>IFERROR(__xludf.DUMMYFUNCTION("""COMPUTED_VALUE"""),"kerfoal01")</f>
        <v>kerfoal01</v>
      </c>
      <c r="E310" s="1" t="s">
        <v>31</v>
      </c>
      <c r="F310" s="1">
        <f t="shared" si="1"/>
        <v>244.9</v>
      </c>
      <c r="G310" s="1">
        <f t="shared" si="2"/>
        <v>3.1</v>
      </c>
      <c r="H310" s="1">
        <v>79.0</v>
      </c>
      <c r="I310" s="1">
        <v>19.0</v>
      </c>
      <c r="J310" s="1">
        <v>24.0</v>
      </c>
      <c r="K310" s="1">
        <v>43.0</v>
      </c>
      <c r="L310" s="1">
        <v>81.0</v>
      </c>
      <c r="M310" s="1">
        <v>42.0</v>
      </c>
      <c r="N310" s="1">
        <v>35.0</v>
      </c>
      <c r="O310" s="1">
        <v>5.0</v>
      </c>
      <c r="P310" s="1">
        <v>12.0</v>
      </c>
      <c r="Q310" s="1">
        <v>0.0</v>
      </c>
      <c r="R310" s="1">
        <v>0.0</v>
      </c>
      <c r="S310" s="1">
        <v>-7.0</v>
      </c>
      <c r="T310" s="1">
        <v>28.0</v>
      </c>
      <c r="U310" s="1">
        <v>0.0</v>
      </c>
    </row>
    <row r="311" ht="12.75" customHeight="1">
      <c r="A311" s="1" t="s">
        <v>349</v>
      </c>
      <c r="B311" s="1">
        <f t="shared" si="3"/>
        <v>297</v>
      </c>
      <c r="C311" s="1" t="str">
        <f>IFERROR(__xludf.DUMMYFUNCTION("split(A311, ""\"")"),"Henrik Sedin")</f>
        <v>Henrik Sedin</v>
      </c>
      <c r="D311" s="1" t="str">
        <f>IFERROR(__xludf.DUMMYFUNCTION("""COMPUTED_VALUE"""),"sedinhe01")</f>
        <v>sedinhe01</v>
      </c>
      <c r="E311" s="1" t="s">
        <v>31</v>
      </c>
      <c r="F311" s="1">
        <f t="shared" si="1"/>
        <v>244</v>
      </c>
      <c r="G311" s="1">
        <f t="shared" si="2"/>
        <v>2.98</v>
      </c>
      <c r="H311" s="1">
        <v>82.0</v>
      </c>
      <c r="I311" s="1">
        <v>3.0</v>
      </c>
      <c r="J311" s="1">
        <v>47.0</v>
      </c>
      <c r="K311" s="1">
        <v>50.0</v>
      </c>
      <c r="L311" s="1">
        <v>67.0</v>
      </c>
      <c r="M311" s="1">
        <v>18.0</v>
      </c>
      <c r="N311" s="1">
        <v>19.0</v>
      </c>
      <c r="O311" s="1">
        <v>0.0</v>
      </c>
      <c r="P311" s="1">
        <v>17.0</v>
      </c>
      <c r="Q311" s="1">
        <v>0.0</v>
      </c>
      <c r="R311" s="1">
        <v>0.0</v>
      </c>
      <c r="S311" s="1">
        <v>-22.0</v>
      </c>
      <c r="T311" s="1">
        <v>30.0</v>
      </c>
      <c r="U311" s="1">
        <v>0.0</v>
      </c>
    </row>
    <row r="312" ht="12.75" customHeight="1">
      <c r="A312" s="1" t="s">
        <v>346</v>
      </c>
      <c r="B312" s="1">
        <f t="shared" si="3"/>
        <v>298</v>
      </c>
      <c r="C312" s="1" t="str">
        <f>IFERROR(__xludf.DUMMYFUNCTION("split(A312, ""\"")"),"David Savard")</f>
        <v>David Savard</v>
      </c>
      <c r="D312" s="1" t="str">
        <f>IFERROR(__xludf.DUMMYFUNCTION("""COMPUTED_VALUE"""),"savarda01")</f>
        <v>savarda01</v>
      </c>
      <c r="E312" s="1" t="s">
        <v>66</v>
      </c>
      <c r="F312" s="1">
        <f t="shared" si="1"/>
        <v>243.6</v>
      </c>
      <c r="G312" s="1">
        <f t="shared" si="2"/>
        <v>3.01</v>
      </c>
      <c r="H312" s="1">
        <v>81.0</v>
      </c>
      <c r="I312" s="1">
        <v>4.0</v>
      </c>
      <c r="J312" s="1">
        <v>12.0</v>
      </c>
      <c r="K312" s="1">
        <v>16.0</v>
      </c>
      <c r="L312" s="1">
        <v>145.0</v>
      </c>
      <c r="M312" s="1">
        <v>144.0</v>
      </c>
      <c r="N312" s="1">
        <v>143.0</v>
      </c>
      <c r="O312" s="1">
        <v>0.0</v>
      </c>
      <c r="P312" s="1">
        <v>0.0</v>
      </c>
      <c r="Q312" s="1">
        <v>0.0</v>
      </c>
      <c r="R312" s="1">
        <v>1.0</v>
      </c>
      <c r="S312" s="1">
        <v>2.0</v>
      </c>
      <c r="T312" s="1">
        <v>32.0</v>
      </c>
      <c r="U312" s="1">
        <v>0.0</v>
      </c>
    </row>
    <row r="313" ht="12.75" customHeight="1">
      <c r="A313" s="1" t="s">
        <v>251</v>
      </c>
      <c r="B313" s="1">
        <f t="shared" si="3"/>
        <v>299</v>
      </c>
      <c r="C313" s="1" t="str">
        <f>IFERROR(__xludf.DUMMYFUNCTION("split(A313, ""\"")"),"Mattias Ekholm")</f>
        <v>Mattias Ekholm</v>
      </c>
      <c r="D313" s="1" t="str">
        <f>IFERROR(__xludf.DUMMYFUNCTION("""COMPUTED_VALUE"""),"ekholma01")</f>
        <v>ekholma01</v>
      </c>
      <c r="E313" s="1" t="s">
        <v>66</v>
      </c>
      <c r="F313" s="1">
        <f t="shared" si="1"/>
        <v>243.05</v>
      </c>
      <c r="G313" s="1">
        <f t="shared" si="2"/>
        <v>3</v>
      </c>
      <c r="H313" s="1">
        <v>81.0</v>
      </c>
      <c r="I313" s="1">
        <v>10.0</v>
      </c>
      <c r="J313" s="1">
        <v>24.0</v>
      </c>
      <c r="K313" s="1">
        <v>34.0</v>
      </c>
      <c r="L313" s="1">
        <v>135.0</v>
      </c>
      <c r="M313" s="1">
        <v>75.0</v>
      </c>
      <c r="N313" s="1">
        <v>117.0</v>
      </c>
      <c r="O313" s="1">
        <v>5.0</v>
      </c>
      <c r="P313" s="1">
        <v>8.0</v>
      </c>
      <c r="Q313" s="1">
        <v>1.0</v>
      </c>
      <c r="R313" s="1">
        <v>0.0</v>
      </c>
      <c r="S313" s="1">
        <v>25.0</v>
      </c>
      <c r="T313" s="1">
        <v>46.0</v>
      </c>
      <c r="U313" s="1">
        <v>1.0</v>
      </c>
    </row>
    <row r="314" ht="12.75" customHeight="1">
      <c r="A314" s="1" t="s">
        <v>311</v>
      </c>
      <c r="B314" s="1">
        <f t="shared" si="3"/>
        <v>300</v>
      </c>
      <c r="C314" s="1" t="str">
        <f>IFERROR(__xludf.DUMMYFUNCTION("split(A314, ""\"")"),"Zdeno Chara")</f>
        <v>Zdeno Chara</v>
      </c>
      <c r="D314" s="1" t="str">
        <f>IFERROR(__xludf.DUMMYFUNCTION("""COMPUTED_VALUE"""),"charazd01")</f>
        <v>charazd01</v>
      </c>
      <c r="E314" s="1" t="s">
        <v>66</v>
      </c>
      <c r="F314" s="1">
        <f t="shared" si="1"/>
        <v>242.75</v>
      </c>
      <c r="G314" s="1">
        <f t="shared" si="2"/>
        <v>3.33</v>
      </c>
      <c r="H314" s="1">
        <v>73.0</v>
      </c>
      <c r="I314" s="1">
        <v>7.0</v>
      </c>
      <c r="J314" s="1">
        <v>17.0</v>
      </c>
      <c r="K314" s="1">
        <v>24.0</v>
      </c>
      <c r="L314" s="1">
        <v>144.0</v>
      </c>
      <c r="M314" s="1">
        <v>141.0</v>
      </c>
      <c r="N314" s="1">
        <v>118.0</v>
      </c>
      <c r="O314" s="1">
        <v>0.0</v>
      </c>
      <c r="P314" s="1">
        <v>0.0</v>
      </c>
      <c r="Q314" s="1">
        <v>0.0</v>
      </c>
      <c r="R314" s="1">
        <v>1.0</v>
      </c>
      <c r="S314" s="1">
        <v>22.0</v>
      </c>
      <c r="T314" s="1">
        <v>60.0</v>
      </c>
      <c r="U314" s="1">
        <v>3.0</v>
      </c>
    </row>
    <row r="315" ht="12.75" customHeight="1">
      <c r="A315" s="1" t="s">
        <v>377</v>
      </c>
      <c r="B315" s="1">
        <f t="shared" si="3"/>
        <v>301</v>
      </c>
      <c r="C315" s="1" t="str">
        <f>IFERROR(__xludf.DUMMYFUNCTION("split(A315, ""\"")"),"Tim Schaller")</f>
        <v>Tim Schaller</v>
      </c>
      <c r="D315" s="1" t="str">
        <f>IFERROR(__xludf.DUMMYFUNCTION("""COMPUTED_VALUE"""),"schalti01")</f>
        <v>schalti01</v>
      </c>
      <c r="E315" s="1" t="s">
        <v>28</v>
      </c>
      <c r="F315" s="1">
        <f t="shared" si="1"/>
        <v>242.1</v>
      </c>
      <c r="G315" s="1">
        <f t="shared" si="2"/>
        <v>2.95</v>
      </c>
      <c r="H315" s="1">
        <v>82.0</v>
      </c>
      <c r="I315" s="1">
        <v>12.0</v>
      </c>
      <c r="J315" s="1">
        <v>10.0</v>
      </c>
      <c r="K315" s="1">
        <v>22.0</v>
      </c>
      <c r="L315" s="1">
        <v>133.0</v>
      </c>
      <c r="M315" s="1">
        <v>132.0</v>
      </c>
      <c r="N315" s="1">
        <v>59.0</v>
      </c>
      <c r="O315" s="1">
        <v>0.0</v>
      </c>
      <c r="P315" s="1">
        <v>0.0</v>
      </c>
      <c r="Q315" s="1">
        <v>3.0</v>
      </c>
      <c r="R315" s="1">
        <v>0.0</v>
      </c>
      <c r="S315" s="1">
        <v>-5.0</v>
      </c>
      <c r="T315" s="1">
        <v>42.0</v>
      </c>
      <c r="U315" s="1">
        <v>0.0</v>
      </c>
    </row>
    <row r="316" ht="12.75" customHeight="1">
      <c r="A316" s="1" t="s">
        <v>282</v>
      </c>
      <c r="B316" s="1">
        <f t="shared" si="3"/>
        <v>302</v>
      </c>
      <c r="C316" s="1" t="str">
        <f>IFERROR(__xludf.DUMMYFUNCTION("split(A316, ""\"")"),"Hampus Lindholm")</f>
        <v>Hampus Lindholm</v>
      </c>
      <c r="D316" s="1" t="str">
        <f>IFERROR(__xludf.DUMMYFUNCTION("""COMPUTED_VALUE"""),"lindhha01")</f>
        <v>lindhha01</v>
      </c>
      <c r="E316" s="1" t="s">
        <v>66</v>
      </c>
      <c r="F316" s="1">
        <f t="shared" si="1"/>
        <v>241.95</v>
      </c>
      <c r="G316" s="1">
        <f t="shared" si="2"/>
        <v>3.51</v>
      </c>
      <c r="H316" s="1">
        <v>69.0</v>
      </c>
      <c r="I316" s="1">
        <v>13.0</v>
      </c>
      <c r="J316" s="1">
        <v>18.0</v>
      </c>
      <c r="K316" s="1">
        <v>31.0</v>
      </c>
      <c r="L316" s="1">
        <v>131.0</v>
      </c>
      <c r="M316" s="1">
        <v>93.0</v>
      </c>
      <c r="N316" s="1">
        <v>97.0</v>
      </c>
      <c r="O316" s="1">
        <v>3.0</v>
      </c>
      <c r="P316" s="1">
        <v>5.0</v>
      </c>
      <c r="Q316" s="1">
        <v>0.0</v>
      </c>
      <c r="R316" s="1">
        <v>0.0</v>
      </c>
      <c r="S316" s="1">
        <v>16.0</v>
      </c>
      <c r="T316" s="1">
        <v>34.0</v>
      </c>
      <c r="U316" s="1">
        <v>3.0</v>
      </c>
    </row>
    <row r="317" ht="12.75" customHeight="1">
      <c r="A317" s="1" t="s">
        <v>412</v>
      </c>
      <c r="B317" s="1">
        <f t="shared" si="3"/>
        <v>302</v>
      </c>
      <c r="C317" s="1" t="str">
        <f>IFERROR(__xludf.DUMMYFUNCTION("split(A317, ""\"")"),"Derrick Pouliot")</f>
        <v>Derrick Pouliot</v>
      </c>
      <c r="D317" s="1" t="str">
        <f>IFERROR(__xludf.DUMMYFUNCTION("""COMPUTED_VALUE"""),"poulide01")</f>
        <v>poulide01</v>
      </c>
      <c r="E317" s="1" t="s">
        <v>66</v>
      </c>
      <c r="F317" s="1">
        <f t="shared" si="1"/>
        <v>241.95</v>
      </c>
      <c r="G317" s="1">
        <f t="shared" si="2"/>
        <v>3.41</v>
      </c>
      <c r="H317" s="1">
        <v>71.0</v>
      </c>
      <c r="I317" s="1">
        <v>3.0</v>
      </c>
      <c r="J317" s="1">
        <v>19.0</v>
      </c>
      <c r="K317" s="1">
        <v>22.0</v>
      </c>
      <c r="L317" s="1">
        <v>78.0</v>
      </c>
      <c r="M317" s="1">
        <v>79.0</v>
      </c>
      <c r="N317" s="1">
        <v>118.0</v>
      </c>
      <c r="O317" s="1">
        <v>1.0</v>
      </c>
      <c r="P317" s="1">
        <v>8.0</v>
      </c>
      <c r="Q317" s="1">
        <v>0.0</v>
      </c>
      <c r="R317" s="1">
        <v>1.0</v>
      </c>
      <c r="S317" s="1">
        <v>-22.0</v>
      </c>
      <c r="T317" s="1">
        <v>39.0</v>
      </c>
      <c r="U317" s="1">
        <v>3.0</v>
      </c>
    </row>
    <row r="318" ht="12.75" customHeight="1">
      <c r="A318" s="1" t="s">
        <v>355</v>
      </c>
      <c r="B318" s="1">
        <f t="shared" si="3"/>
        <v>304</v>
      </c>
      <c r="C318" s="1" t="str">
        <f>IFERROR(__xludf.DUMMYFUNCTION("split(A318, ""\"")"),"Jesper Fast")</f>
        <v>Jesper Fast</v>
      </c>
      <c r="D318" s="1" t="str">
        <f>IFERROR(__xludf.DUMMYFUNCTION("""COMPUTED_VALUE"""),"fastje01")</f>
        <v>fastje01</v>
      </c>
      <c r="E318" s="1" t="s">
        <v>36</v>
      </c>
      <c r="F318" s="1">
        <f t="shared" si="1"/>
        <v>241.8</v>
      </c>
      <c r="G318" s="1">
        <f t="shared" si="2"/>
        <v>3.41</v>
      </c>
      <c r="H318" s="1">
        <v>71.0</v>
      </c>
      <c r="I318" s="1">
        <v>13.0</v>
      </c>
      <c r="J318" s="1">
        <v>20.0</v>
      </c>
      <c r="K318" s="1">
        <v>33.0</v>
      </c>
      <c r="L318" s="1">
        <v>80.0</v>
      </c>
      <c r="M318" s="1">
        <v>130.0</v>
      </c>
      <c r="N318" s="1">
        <v>44.0</v>
      </c>
      <c r="O318" s="1">
        <v>0.0</v>
      </c>
      <c r="P318" s="1">
        <v>0.0</v>
      </c>
      <c r="Q318" s="1">
        <v>0.0</v>
      </c>
      <c r="R318" s="1">
        <v>2.0</v>
      </c>
      <c r="S318" s="1">
        <v>-10.0</v>
      </c>
      <c r="T318" s="1">
        <v>26.0</v>
      </c>
      <c r="U318" s="1">
        <v>0.0</v>
      </c>
    </row>
    <row r="319" ht="12.75" customHeight="1">
      <c r="A319" s="1" t="s">
        <v>372</v>
      </c>
      <c r="B319" s="1">
        <f t="shared" si="3"/>
        <v>305</v>
      </c>
      <c r="C319" s="1" t="str">
        <f>IFERROR(__xludf.DUMMYFUNCTION("split(A319, ""\"")"),"Trevor Lewis")</f>
        <v>Trevor Lewis</v>
      </c>
      <c r="D319" s="1" t="str">
        <f>IFERROR(__xludf.DUMMYFUNCTION("""COMPUTED_VALUE"""),"lewistr01")</f>
        <v>lewistr01</v>
      </c>
      <c r="E319" s="1" t="s">
        <v>31</v>
      </c>
      <c r="F319" s="1">
        <f t="shared" si="1"/>
        <v>241.75</v>
      </c>
      <c r="G319" s="1">
        <f t="shared" si="2"/>
        <v>3.56</v>
      </c>
      <c r="H319" s="1">
        <v>68.0</v>
      </c>
      <c r="I319" s="1">
        <v>14.0</v>
      </c>
      <c r="J319" s="1">
        <v>12.0</v>
      </c>
      <c r="K319" s="1">
        <v>26.0</v>
      </c>
      <c r="L319" s="1">
        <v>134.0</v>
      </c>
      <c r="M319" s="1">
        <v>125.0</v>
      </c>
      <c r="N319" s="1">
        <v>32.0</v>
      </c>
      <c r="O319" s="1">
        <v>1.0</v>
      </c>
      <c r="P319" s="1">
        <v>2.0</v>
      </c>
      <c r="Q319" s="1">
        <v>2.0</v>
      </c>
      <c r="R319" s="1">
        <v>0.0</v>
      </c>
      <c r="S319" s="1">
        <v>-6.0</v>
      </c>
      <c r="T319" s="1">
        <v>25.0</v>
      </c>
      <c r="U319" s="1">
        <v>3.0</v>
      </c>
    </row>
    <row r="320" ht="12.75" customHeight="1">
      <c r="A320" s="1" t="s">
        <v>269</v>
      </c>
      <c r="B320" s="1">
        <f t="shared" si="3"/>
        <v>306</v>
      </c>
      <c r="C320" s="1" t="str">
        <f>IFERROR(__xludf.DUMMYFUNCTION("split(A320, ""\"")"),"Riley Nash")</f>
        <v>Riley Nash</v>
      </c>
      <c r="D320" s="1" t="str">
        <f>IFERROR(__xludf.DUMMYFUNCTION("""COMPUTED_VALUE"""),"nashri02")</f>
        <v>nashri02</v>
      </c>
      <c r="E320" s="1" t="s">
        <v>31</v>
      </c>
      <c r="F320" s="1">
        <f t="shared" si="1"/>
        <v>240.4</v>
      </c>
      <c r="G320" s="1">
        <f t="shared" si="2"/>
        <v>3.16</v>
      </c>
      <c r="H320" s="1">
        <v>76.0</v>
      </c>
      <c r="I320" s="1">
        <v>15.0</v>
      </c>
      <c r="J320" s="1">
        <v>26.0</v>
      </c>
      <c r="K320" s="1">
        <v>41.0</v>
      </c>
      <c r="L320" s="1">
        <v>113.0</v>
      </c>
      <c r="M320" s="1">
        <v>86.0</v>
      </c>
      <c r="N320" s="1">
        <v>67.0</v>
      </c>
      <c r="O320" s="1">
        <v>2.0</v>
      </c>
      <c r="P320" s="1">
        <v>1.0</v>
      </c>
      <c r="Q320" s="1">
        <v>0.0</v>
      </c>
      <c r="R320" s="1">
        <v>0.0</v>
      </c>
      <c r="S320" s="1">
        <v>16.0</v>
      </c>
      <c r="T320" s="1">
        <v>18.0</v>
      </c>
      <c r="U320" s="1">
        <v>1.0</v>
      </c>
    </row>
    <row r="321" ht="12.75" customHeight="1">
      <c r="A321" s="1" t="s">
        <v>328</v>
      </c>
      <c r="B321" s="1">
        <f t="shared" si="3"/>
        <v>307</v>
      </c>
      <c r="C321" s="1" t="str">
        <f>IFERROR(__xludf.DUMMYFUNCTION("split(A321, ""\"")"),"Cam Fowler")</f>
        <v>Cam Fowler</v>
      </c>
      <c r="D321" s="1" t="str">
        <f>IFERROR(__xludf.DUMMYFUNCTION("""COMPUTED_VALUE"""),"fowleca01")</f>
        <v>fowleca01</v>
      </c>
      <c r="E321" s="1" t="s">
        <v>66</v>
      </c>
      <c r="F321" s="1">
        <f t="shared" si="1"/>
        <v>240.15</v>
      </c>
      <c r="G321" s="1">
        <f t="shared" si="2"/>
        <v>3.58</v>
      </c>
      <c r="H321" s="1">
        <v>67.0</v>
      </c>
      <c r="I321" s="1">
        <v>8.0</v>
      </c>
      <c r="J321" s="1">
        <v>24.0</v>
      </c>
      <c r="K321" s="1">
        <v>32.0</v>
      </c>
      <c r="L321" s="1">
        <v>122.0</v>
      </c>
      <c r="M321" s="1">
        <v>21.0</v>
      </c>
      <c r="N321" s="1">
        <v>108.0</v>
      </c>
      <c r="O321" s="1">
        <v>1.0</v>
      </c>
      <c r="P321" s="1">
        <v>9.0</v>
      </c>
      <c r="Q321" s="1">
        <v>1.0</v>
      </c>
      <c r="R321" s="1">
        <v>1.0</v>
      </c>
      <c r="S321" s="1">
        <v>3.0</v>
      </c>
      <c r="T321" s="1">
        <v>28.0</v>
      </c>
      <c r="U321" s="1">
        <v>1.0</v>
      </c>
    </row>
    <row r="322" ht="12.75" customHeight="1">
      <c r="A322" s="1" t="s">
        <v>353</v>
      </c>
      <c r="B322" s="1">
        <f t="shared" si="3"/>
        <v>308</v>
      </c>
      <c r="C322" s="1" t="str">
        <f>IFERROR(__xludf.DUMMYFUNCTION("split(A322, ""\"")"),"Colton Sissons")</f>
        <v>Colton Sissons</v>
      </c>
      <c r="D322" s="1" t="str">
        <f>IFERROR(__xludf.DUMMYFUNCTION("""COMPUTED_VALUE"""),"sissoco01")</f>
        <v>sissoco01</v>
      </c>
      <c r="E322" s="1" t="s">
        <v>31</v>
      </c>
      <c r="F322" s="1">
        <f t="shared" si="1"/>
        <v>239.6</v>
      </c>
      <c r="G322" s="1">
        <f t="shared" si="2"/>
        <v>2.96</v>
      </c>
      <c r="H322" s="1">
        <v>81.0</v>
      </c>
      <c r="I322" s="1">
        <v>9.0</v>
      </c>
      <c r="J322" s="1">
        <v>18.0</v>
      </c>
      <c r="K322" s="1">
        <v>27.0</v>
      </c>
      <c r="L322" s="1">
        <v>120.0</v>
      </c>
      <c r="M322" s="1">
        <v>136.0</v>
      </c>
      <c r="N322" s="1">
        <v>49.0</v>
      </c>
      <c r="O322" s="1">
        <v>1.0</v>
      </c>
      <c r="P322" s="1">
        <v>6.0</v>
      </c>
      <c r="Q322" s="1">
        <v>0.0</v>
      </c>
      <c r="R322" s="1">
        <v>3.0</v>
      </c>
      <c r="S322" s="1">
        <v>2.0</v>
      </c>
      <c r="T322" s="1">
        <v>42.0</v>
      </c>
      <c r="U322" s="1">
        <v>4.0</v>
      </c>
    </row>
    <row r="323" ht="12.75" customHeight="1">
      <c r="A323" s="1" t="s">
        <v>380</v>
      </c>
      <c r="B323" s="1">
        <f t="shared" si="3"/>
        <v>309</v>
      </c>
      <c r="C323" s="1" t="str">
        <f>IFERROR(__xludf.DUMMYFUNCTION("split(A323, ""\"")"),"Ryan Strome")</f>
        <v>Ryan Strome</v>
      </c>
      <c r="D323" s="1" t="str">
        <f>IFERROR(__xludf.DUMMYFUNCTION("""COMPUTED_VALUE"""),"stromry01")</f>
        <v>stromry01</v>
      </c>
      <c r="E323" s="1" t="s">
        <v>31</v>
      </c>
      <c r="F323" s="1">
        <f t="shared" si="1"/>
        <v>239.15</v>
      </c>
      <c r="G323" s="1">
        <f t="shared" si="2"/>
        <v>2.92</v>
      </c>
      <c r="H323" s="1">
        <v>82.0</v>
      </c>
      <c r="I323" s="1">
        <v>13.0</v>
      </c>
      <c r="J323" s="1">
        <v>21.0</v>
      </c>
      <c r="K323" s="1">
        <v>34.0</v>
      </c>
      <c r="L323" s="1">
        <v>147.0</v>
      </c>
      <c r="M323" s="1">
        <v>43.0</v>
      </c>
      <c r="N323" s="1">
        <v>17.0</v>
      </c>
      <c r="O323" s="1">
        <v>2.0</v>
      </c>
      <c r="P323" s="1">
        <v>4.0</v>
      </c>
      <c r="Q323" s="1">
        <v>0.0</v>
      </c>
      <c r="R323" s="1">
        <v>1.0</v>
      </c>
      <c r="S323" s="1">
        <v>-4.0</v>
      </c>
      <c r="T323" s="1">
        <v>33.0</v>
      </c>
      <c r="U323" s="1">
        <v>3.0</v>
      </c>
    </row>
    <row r="324" ht="12.75" customHeight="1">
      <c r="A324" s="1" t="s">
        <v>206</v>
      </c>
      <c r="B324" s="1">
        <f t="shared" si="3"/>
        <v>310</v>
      </c>
      <c r="C324" s="1" t="str">
        <f>IFERROR(__xludf.DUMMYFUNCTION("split(A324, ""\"")"),"Brian Elliott")</f>
        <v>Brian Elliott</v>
      </c>
      <c r="D324" s="2" t="str">
        <f>IFERROR(__xludf.DUMMYFUNCTION("""COMPUTED_VALUE"""),"elliobr01")</f>
        <v>elliobr01</v>
      </c>
      <c r="E324" s="1" t="s">
        <v>5</v>
      </c>
      <c r="F324" s="1">
        <f t="shared" si="1"/>
        <v>238.8</v>
      </c>
      <c r="G324" s="1">
        <f t="shared" si="2"/>
        <v>5.55</v>
      </c>
      <c r="H324" s="1">
        <v>43.0</v>
      </c>
      <c r="V324" s="1">
        <v>42.0</v>
      </c>
      <c r="W324" s="1">
        <v>23.0</v>
      </c>
      <c r="X324" s="1">
        <v>11.0</v>
      </c>
      <c r="Y324" s="1">
        <v>112.0</v>
      </c>
      <c r="Z324" s="1">
        <v>1228.0</v>
      </c>
      <c r="AA324" s="1">
        <v>1116.0</v>
      </c>
      <c r="AB324" s="1">
        <v>1.0</v>
      </c>
    </row>
    <row r="325" ht="12.75" customHeight="1">
      <c r="A325" s="1" t="s">
        <v>292</v>
      </c>
      <c r="B325" s="1">
        <f t="shared" si="3"/>
        <v>311</v>
      </c>
      <c r="C325" s="1" t="str">
        <f>IFERROR(__xludf.DUMMYFUNCTION("split(A325, ""\"")"),"Ryan McDonagh")</f>
        <v>Ryan McDonagh</v>
      </c>
      <c r="D325" s="1" t="str">
        <f>IFERROR(__xludf.DUMMYFUNCTION("""COMPUTED_VALUE"""),"mcdonry01")</f>
        <v>mcdonry01</v>
      </c>
      <c r="E325" s="1" t="s">
        <v>66</v>
      </c>
      <c r="F325" s="1">
        <f t="shared" si="1"/>
        <v>238.75</v>
      </c>
      <c r="G325" s="1">
        <f t="shared" si="2"/>
        <v>3.79</v>
      </c>
      <c r="H325" s="1">
        <v>63.0</v>
      </c>
      <c r="I325" s="1">
        <v>4.0</v>
      </c>
      <c r="J325" s="1">
        <v>25.0</v>
      </c>
      <c r="K325" s="1">
        <v>29.0</v>
      </c>
      <c r="L325" s="1">
        <v>99.0</v>
      </c>
      <c r="M325" s="1">
        <v>71.0</v>
      </c>
      <c r="N325" s="1">
        <v>163.0</v>
      </c>
      <c r="O325" s="1">
        <v>1.0</v>
      </c>
      <c r="P325" s="1">
        <v>8.0</v>
      </c>
      <c r="Q325" s="1">
        <v>0.0</v>
      </c>
      <c r="R325" s="1">
        <v>1.0</v>
      </c>
      <c r="S325" s="1">
        <v>8.0</v>
      </c>
      <c r="T325" s="1">
        <v>20.0</v>
      </c>
      <c r="U325" s="1">
        <v>0.0</v>
      </c>
    </row>
    <row r="326" ht="12.75" customHeight="1">
      <c r="A326" s="1" t="s">
        <v>368</v>
      </c>
      <c r="B326" s="1">
        <f t="shared" si="3"/>
        <v>312</v>
      </c>
      <c r="C326" s="1" t="str">
        <f>IFERROR(__xludf.DUMMYFUNCTION("split(A326, ""\"")"),"John Moore")</f>
        <v>John Moore</v>
      </c>
      <c r="D326" s="1" t="str">
        <f>IFERROR(__xludf.DUMMYFUNCTION("""COMPUTED_VALUE"""),"moorejo01")</f>
        <v>moorejo01</v>
      </c>
      <c r="E326" s="1" t="s">
        <v>66</v>
      </c>
      <c r="F326" s="1">
        <f t="shared" si="1"/>
        <v>237.85</v>
      </c>
      <c r="G326" s="1">
        <f t="shared" si="2"/>
        <v>2.94</v>
      </c>
      <c r="H326" s="1">
        <v>81.0</v>
      </c>
      <c r="I326" s="1">
        <v>7.0</v>
      </c>
      <c r="J326" s="1">
        <v>11.0</v>
      </c>
      <c r="K326" s="1">
        <v>18.0</v>
      </c>
      <c r="L326" s="1">
        <v>141.0</v>
      </c>
      <c r="M326" s="1">
        <v>135.0</v>
      </c>
      <c r="N326" s="1">
        <v>105.0</v>
      </c>
      <c r="O326" s="1">
        <v>0.0</v>
      </c>
      <c r="P326" s="1">
        <v>2.0</v>
      </c>
      <c r="Q326" s="1">
        <v>1.0</v>
      </c>
      <c r="R326" s="1">
        <v>0.0</v>
      </c>
      <c r="S326" s="1">
        <v>3.0</v>
      </c>
      <c r="T326" s="1">
        <v>47.0</v>
      </c>
      <c r="U326" s="1">
        <v>2.0</v>
      </c>
    </row>
    <row r="327" ht="12.75" customHeight="1">
      <c r="A327" s="1" t="s">
        <v>280</v>
      </c>
      <c r="B327" s="1">
        <f t="shared" si="3"/>
        <v>313</v>
      </c>
      <c r="C327" s="1" t="str">
        <f>IFERROR(__xludf.DUMMYFUNCTION("split(A327, ""\"")"),"David Krejci")</f>
        <v>David Krejci</v>
      </c>
      <c r="D327" s="1" t="str">
        <f>IFERROR(__xludf.DUMMYFUNCTION("""COMPUTED_VALUE"""),"krejcda01")</f>
        <v>krejcda01</v>
      </c>
      <c r="E327" s="1" t="s">
        <v>31</v>
      </c>
      <c r="F327" s="1">
        <f t="shared" si="1"/>
        <v>236.65</v>
      </c>
      <c r="G327" s="1">
        <f t="shared" si="2"/>
        <v>3.7</v>
      </c>
      <c r="H327" s="1">
        <v>64.0</v>
      </c>
      <c r="I327" s="1">
        <v>17.0</v>
      </c>
      <c r="J327" s="1">
        <v>27.0</v>
      </c>
      <c r="K327" s="1">
        <v>44.0</v>
      </c>
      <c r="L327" s="1">
        <v>119.0</v>
      </c>
      <c r="M327" s="1">
        <v>31.0</v>
      </c>
      <c r="N327" s="1">
        <v>35.0</v>
      </c>
      <c r="O327" s="1">
        <v>7.0</v>
      </c>
      <c r="P327" s="1">
        <v>6.0</v>
      </c>
      <c r="Q327" s="1">
        <v>0.0</v>
      </c>
      <c r="R327" s="1">
        <v>0.0</v>
      </c>
      <c r="S327" s="1">
        <v>10.0</v>
      </c>
      <c r="T327" s="1">
        <v>18.0</v>
      </c>
      <c r="U327" s="1">
        <v>2.0</v>
      </c>
    </row>
    <row r="328" ht="12.75" customHeight="1">
      <c r="A328" s="1" t="s">
        <v>378</v>
      </c>
      <c r="B328" s="1">
        <f t="shared" si="3"/>
        <v>314</v>
      </c>
      <c r="C328" s="1" t="str">
        <f>IFERROR(__xludf.DUMMYFUNCTION("split(A328, ""\"")"),"Jesper Bratt")</f>
        <v>Jesper Bratt</v>
      </c>
      <c r="D328" s="1" t="str">
        <f>IFERROR(__xludf.DUMMYFUNCTION("""COMPUTED_VALUE"""),"brattje01")</f>
        <v>brattje01</v>
      </c>
      <c r="E328" s="1" t="s">
        <v>19</v>
      </c>
      <c r="F328" s="1">
        <f t="shared" si="1"/>
        <v>235.9</v>
      </c>
      <c r="G328" s="1">
        <f t="shared" si="2"/>
        <v>3.19</v>
      </c>
      <c r="H328" s="1">
        <v>74.0</v>
      </c>
      <c r="I328" s="1">
        <v>13.0</v>
      </c>
      <c r="J328" s="1">
        <v>22.0</v>
      </c>
      <c r="K328" s="1">
        <v>35.0</v>
      </c>
      <c r="L328" s="1">
        <v>100.0</v>
      </c>
      <c r="M328" s="1">
        <v>44.0</v>
      </c>
      <c r="N328" s="1">
        <v>22.0</v>
      </c>
      <c r="O328" s="1">
        <v>4.0</v>
      </c>
      <c r="P328" s="1">
        <v>8.0</v>
      </c>
      <c r="Q328" s="1">
        <v>1.0</v>
      </c>
      <c r="R328" s="1">
        <v>1.0</v>
      </c>
      <c r="S328" s="1">
        <v>-16.0</v>
      </c>
      <c r="T328" s="1">
        <v>18.0</v>
      </c>
      <c r="U328" s="1">
        <v>2.0</v>
      </c>
    </row>
    <row r="329" ht="12.75" customHeight="1">
      <c r="A329" s="1" t="s">
        <v>326</v>
      </c>
      <c r="B329" s="1">
        <f t="shared" si="3"/>
        <v>315</v>
      </c>
      <c r="C329" s="1" t="str">
        <f>IFERROR(__xludf.DUMMYFUNCTION("split(A329, ""\"")"),"Deryk Engelland")</f>
        <v>Deryk Engelland</v>
      </c>
      <c r="D329" s="1" t="str">
        <f>IFERROR(__xludf.DUMMYFUNCTION("""COMPUTED_VALUE"""),"engelde01")</f>
        <v>engelde01</v>
      </c>
      <c r="E329" s="1" t="s">
        <v>66</v>
      </c>
      <c r="F329" s="1">
        <f t="shared" si="1"/>
        <v>235.2</v>
      </c>
      <c r="G329" s="1">
        <f t="shared" si="2"/>
        <v>2.98</v>
      </c>
      <c r="H329" s="1">
        <v>79.0</v>
      </c>
      <c r="I329" s="1">
        <v>5.0</v>
      </c>
      <c r="J329" s="1">
        <v>18.0</v>
      </c>
      <c r="K329" s="1">
        <v>23.0</v>
      </c>
      <c r="L329" s="1">
        <v>108.0</v>
      </c>
      <c r="M329" s="1">
        <v>126.0</v>
      </c>
      <c r="N329" s="1">
        <v>150.0</v>
      </c>
      <c r="O329" s="1">
        <v>0.0</v>
      </c>
      <c r="P329" s="1">
        <v>0.0</v>
      </c>
      <c r="Q329" s="1">
        <v>0.0</v>
      </c>
      <c r="R329" s="1">
        <v>0.0</v>
      </c>
      <c r="S329" s="1">
        <v>6.0</v>
      </c>
      <c r="T329" s="1">
        <v>24.0</v>
      </c>
      <c r="U329" s="1">
        <v>0.0</v>
      </c>
    </row>
    <row r="330" ht="12.75" customHeight="1">
      <c r="A330" s="1" t="s">
        <v>319</v>
      </c>
      <c r="B330" s="1">
        <f t="shared" si="3"/>
        <v>316</v>
      </c>
      <c r="C330" s="1" t="str">
        <f>IFERROR(__xludf.DUMMYFUNCTION("split(A330, ""\"")"),"Charlie Coyle")</f>
        <v>Charlie Coyle</v>
      </c>
      <c r="D330" s="1" t="str">
        <f>IFERROR(__xludf.DUMMYFUNCTION("""COMPUTED_VALUE"""),"coylech01")</f>
        <v>coylech01</v>
      </c>
      <c r="E330" s="1" t="s">
        <v>42</v>
      </c>
      <c r="F330" s="1">
        <f t="shared" si="1"/>
        <v>234.9</v>
      </c>
      <c r="G330" s="1">
        <f t="shared" si="2"/>
        <v>3.56</v>
      </c>
      <c r="H330" s="1">
        <v>66.0</v>
      </c>
      <c r="I330" s="1">
        <v>11.0</v>
      </c>
      <c r="J330" s="1">
        <v>26.0</v>
      </c>
      <c r="K330" s="1">
        <v>37.0</v>
      </c>
      <c r="L330" s="1">
        <v>117.0</v>
      </c>
      <c r="M330" s="1">
        <v>76.0</v>
      </c>
      <c r="N330" s="1">
        <v>63.0</v>
      </c>
      <c r="O330" s="1">
        <v>0.0</v>
      </c>
      <c r="P330" s="1">
        <v>3.0</v>
      </c>
      <c r="Q330" s="1">
        <v>1.0</v>
      </c>
      <c r="R330" s="1">
        <v>0.0</v>
      </c>
      <c r="S330" s="1">
        <v>8.0</v>
      </c>
      <c r="T330" s="1">
        <v>18.0</v>
      </c>
      <c r="U330" s="1">
        <v>1.0</v>
      </c>
    </row>
    <row r="331" ht="12.75" customHeight="1">
      <c r="A331" s="1" t="s">
        <v>375</v>
      </c>
      <c r="B331" s="1">
        <f t="shared" si="3"/>
        <v>317</v>
      </c>
      <c r="C331" s="1" t="str">
        <f>IFERROR(__xludf.DUMMYFUNCTION("split(A331, ""\"")"),"Patrik Berglund")</f>
        <v>Patrik Berglund</v>
      </c>
      <c r="D331" s="1" t="str">
        <f>IFERROR(__xludf.DUMMYFUNCTION("""COMPUTED_VALUE"""),"berglpa01")</f>
        <v>berglpa01</v>
      </c>
      <c r="E331" s="1" t="s">
        <v>31</v>
      </c>
      <c r="F331" s="1">
        <f t="shared" si="1"/>
        <v>232.75</v>
      </c>
      <c r="G331" s="1">
        <f t="shared" si="2"/>
        <v>4.08</v>
      </c>
      <c r="H331" s="1">
        <v>57.0</v>
      </c>
      <c r="I331" s="1">
        <v>17.0</v>
      </c>
      <c r="J331" s="1">
        <v>9.0</v>
      </c>
      <c r="K331" s="1">
        <v>26.0</v>
      </c>
      <c r="L331" s="1">
        <v>112.0</v>
      </c>
      <c r="M331" s="1">
        <v>111.0</v>
      </c>
      <c r="N331" s="1">
        <v>36.0</v>
      </c>
      <c r="O331" s="1">
        <v>3.0</v>
      </c>
      <c r="P331" s="1">
        <v>3.0</v>
      </c>
      <c r="Q331" s="1">
        <v>1.0</v>
      </c>
      <c r="R331" s="1">
        <v>0.0</v>
      </c>
      <c r="S331" s="1">
        <v>-5.0</v>
      </c>
      <c r="T331" s="1">
        <v>30.0</v>
      </c>
      <c r="U331" s="1">
        <v>4.0</v>
      </c>
    </row>
    <row r="332" ht="12.75" customHeight="1">
      <c r="A332" s="1" t="s">
        <v>520</v>
      </c>
      <c r="B332" s="1">
        <f t="shared" si="3"/>
        <v>318</v>
      </c>
      <c r="C332" s="1" t="str">
        <f>IFERROR(__xludf.DUMMYFUNCTION("split(A332, ""\"")"),"Zack Smith")</f>
        <v>Zack Smith</v>
      </c>
      <c r="D332" s="1" t="str">
        <f>IFERROR(__xludf.DUMMYFUNCTION("""COMPUTED_VALUE"""),"smithza01")</f>
        <v>smithza01</v>
      </c>
      <c r="E332" s="1" t="s">
        <v>31</v>
      </c>
      <c r="F332" s="1">
        <f t="shared" si="1"/>
        <v>232.7</v>
      </c>
      <c r="G332" s="1">
        <f t="shared" si="2"/>
        <v>3.42</v>
      </c>
      <c r="H332" s="1">
        <v>68.0</v>
      </c>
      <c r="I332" s="1">
        <v>5.0</v>
      </c>
      <c r="J332" s="1">
        <v>14.0</v>
      </c>
      <c r="K332" s="1">
        <v>19.0</v>
      </c>
      <c r="L332" s="1">
        <v>124.0</v>
      </c>
      <c r="M332" s="1">
        <v>90.0</v>
      </c>
      <c r="N332" s="1">
        <v>29.0</v>
      </c>
      <c r="O332" s="1">
        <v>0.0</v>
      </c>
      <c r="P332" s="1">
        <v>3.0</v>
      </c>
      <c r="Q332" s="1">
        <v>0.0</v>
      </c>
      <c r="R332" s="1">
        <v>1.0</v>
      </c>
      <c r="S332" s="1">
        <v>-32.0</v>
      </c>
      <c r="T332" s="1">
        <v>54.0</v>
      </c>
      <c r="U332" s="1">
        <v>1.0</v>
      </c>
    </row>
    <row r="333" ht="12.75" customHeight="1">
      <c r="A333" s="1" t="s">
        <v>400</v>
      </c>
      <c r="B333" s="1">
        <f t="shared" si="3"/>
        <v>319</v>
      </c>
      <c r="C333" s="1" t="str">
        <f>IFERROR(__xludf.DUMMYFUNCTION("split(A333, ""\"")"),"Damon Severson")</f>
        <v>Damon Severson</v>
      </c>
      <c r="D333" s="1" t="str">
        <f>IFERROR(__xludf.DUMMYFUNCTION("""COMPUTED_VALUE"""),"severda01")</f>
        <v>severda01</v>
      </c>
      <c r="E333" s="1" t="s">
        <v>66</v>
      </c>
      <c r="F333" s="1">
        <f t="shared" si="1"/>
        <v>232.35</v>
      </c>
      <c r="G333" s="1">
        <f t="shared" si="2"/>
        <v>3.06</v>
      </c>
      <c r="H333" s="1">
        <v>76.0</v>
      </c>
      <c r="I333" s="1">
        <v>9.0</v>
      </c>
      <c r="J333" s="1">
        <v>15.0</v>
      </c>
      <c r="K333" s="1">
        <v>24.0</v>
      </c>
      <c r="L333" s="1">
        <v>121.0</v>
      </c>
      <c r="M333" s="1">
        <v>107.0</v>
      </c>
      <c r="N333" s="1">
        <v>62.0</v>
      </c>
      <c r="O333" s="1">
        <v>0.0</v>
      </c>
      <c r="P333" s="1">
        <v>4.0</v>
      </c>
      <c r="Q333" s="1">
        <v>0.0</v>
      </c>
      <c r="R333" s="1">
        <v>0.0</v>
      </c>
      <c r="S333" s="1">
        <v>-8.0</v>
      </c>
      <c r="T333" s="1">
        <v>42.0</v>
      </c>
      <c r="U333" s="1">
        <v>2.0</v>
      </c>
    </row>
    <row r="334" ht="12.75" customHeight="1">
      <c r="A334" s="1" t="s">
        <v>403</v>
      </c>
      <c r="B334" s="1">
        <f t="shared" si="3"/>
        <v>319</v>
      </c>
      <c r="C334" s="1" t="str">
        <f>IFERROR(__xludf.DUMMYFUNCTION("split(A334, ""\"")"),"Luke Glendening")</f>
        <v>Luke Glendening</v>
      </c>
      <c r="D334" s="1" t="str">
        <f>IFERROR(__xludf.DUMMYFUNCTION("""COMPUTED_VALUE"""),"glendlu01")</f>
        <v>glendlu01</v>
      </c>
      <c r="E334" s="1" t="s">
        <v>31</v>
      </c>
      <c r="F334" s="1">
        <f t="shared" si="1"/>
        <v>232.35</v>
      </c>
      <c r="G334" s="1">
        <f t="shared" si="2"/>
        <v>3.37</v>
      </c>
      <c r="H334" s="1">
        <v>69.0</v>
      </c>
      <c r="I334" s="1">
        <v>11.0</v>
      </c>
      <c r="J334" s="1">
        <v>8.0</v>
      </c>
      <c r="K334" s="1">
        <v>19.0</v>
      </c>
      <c r="L334" s="1">
        <v>88.0</v>
      </c>
      <c r="M334" s="1">
        <v>137.0</v>
      </c>
      <c r="N334" s="1">
        <v>83.0</v>
      </c>
      <c r="O334" s="1">
        <v>1.0</v>
      </c>
      <c r="P334" s="1">
        <v>0.0</v>
      </c>
      <c r="Q334" s="1">
        <v>2.0</v>
      </c>
      <c r="R334" s="1">
        <v>1.0</v>
      </c>
      <c r="S334" s="1">
        <v>-14.0</v>
      </c>
      <c r="T334" s="1">
        <v>17.0</v>
      </c>
      <c r="U334" s="1">
        <v>2.0</v>
      </c>
    </row>
    <row r="335" ht="12.75" customHeight="1">
      <c r="A335" s="1" t="s">
        <v>343</v>
      </c>
      <c r="B335" s="1">
        <f t="shared" si="3"/>
        <v>321</v>
      </c>
      <c r="C335" s="1" t="str">
        <f>IFERROR(__xludf.DUMMYFUNCTION("split(A335, ""\"")"),"Brendan Perlini")</f>
        <v>Brendan Perlini</v>
      </c>
      <c r="D335" s="1" t="str">
        <f>IFERROR(__xludf.DUMMYFUNCTION("""COMPUTED_VALUE"""),"perlibr01")</f>
        <v>perlibr01</v>
      </c>
      <c r="E335" s="1" t="s">
        <v>28</v>
      </c>
      <c r="F335" s="1">
        <f t="shared" si="1"/>
        <v>231.15</v>
      </c>
      <c r="G335" s="1">
        <f t="shared" si="2"/>
        <v>3.12</v>
      </c>
      <c r="H335" s="1">
        <v>74.0</v>
      </c>
      <c r="I335" s="1">
        <v>17.0</v>
      </c>
      <c r="J335" s="1">
        <v>13.0</v>
      </c>
      <c r="K335" s="1">
        <v>30.0</v>
      </c>
      <c r="L335" s="1">
        <v>129.0</v>
      </c>
      <c r="M335" s="1">
        <v>83.0</v>
      </c>
      <c r="N335" s="1">
        <v>34.0</v>
      </c>
      <c r="O335" s="1">
        <v>5.0</v>
      </c>
      <c r="P335" s="1">
        <v>6.0</v>
      </c>
      <c r="Q335" s="1">
        <v>0.0</v>
      </c>
      <c r="R335" s="1">
        <v>0.0</v>
      </c>
      <c r="S335" s="1">
        <v>-2.0</v>
      </c>
      <c r="T335" s="1">
        <v>28.0</v>
      </c>
      <c r="U335" s="1">
        <v>1.0</v>
      </c>
    </row>
    <row r="336" ht="12.75" customHeight="1">
      <c r="A336" s="1" t="s">
        <v>396</v>
      </c>
      <c r="B336" s="1">
        <f t="shared" si="3"/>
        <v>322</v>
      </c>
      <c r="C336" s="1" t="str">
        <f>IFERROR(__xludf.DUMMYFUNCTION("split(A336, ""\"")"),"Cal Clutterbuck")</f>
        <v>Cal Clutterbuck</v>
      </c>
      <c r="D336" s="1" t="str">
        <f>IFERROR(__xludf.DUMMYFUNCTION("""COMPUTED_VALUE"""),"cluttca01")</f>
        <v>cluttca01</v>
      </c>
      <c r="E336" s="1" t="s">
        <v>36</v>
      </c>
      <c r="F336" s="1">
        <f t="shared" si="1"/>
        <v>230.9</v>
      </c>
      <c r="G336" s="1">
        <f t="shared" si="2"/>
        <v>3.04</v>
      </c>
      <c r="H336" s="1">
        <v>76.0</v>
      </c>
      <c r="I336" s="1">
        <v>8.0</v>
      </c>
      <c r="J336" s="1">
        <v>10.0</v>
      </c>
      <c r="K336" s="1">
        <v>18.0</v>
      </c>
      <c r="L336" s="1">
        <v>101.0</v>
      </c>
      <c r="M336" s="1">
        <v>226.0</v>
      </c>
      <c r="N336" s="1">
        <v>53.0</v>
      </c>
      <c r="O336" s="1">
        <v>0.0</v>
      </c>
      <c r="P336" s="1">
        <v>0.0</v>
      </c>
      <c r="Q336" s="1">
        <v>1.0</v>
      </c>
      <c r="R336" s="1">
        <v>0.0</v>
      </c>
      <c r="S336" s="1">
        <v>-7.0</v>
      </c>
      <c r="T336" s="1">
        <v>53.0</v>
      </c>
      <c r="U336" s="1">
        <v>1.0</v>
      </c>
    </row>
    <row r="337" ht="12.75" customHeight="1">
      <c r="A337" s="1" t="s">
        <v>365</v>
      </c>
      <c r="B337" s="1">
        <f t="shared" si="3"/>
        <v>323</v>
      </c>
      <c r="C337" s="1" t="str">
        <f>IFERROR(__xludf.DUMMYFUNCTION("split(A337, ""\"")"),"Niklas Kronwall")</f>
        <v>Niklas Kronwall</v>
      </c>
      <c r="D337" s="1" t="str">
        <f>IFERROR(__xludf.DUMMYFUNCTION("""COMPUTED_VALUE"""),"kronwni01")</f>
        <v>kronwni01</v>
      </c>
      <c r="E337" s="1" t="s">
        <v>66</v>
      </c>
      <c r="F337" s="1">
        <f t="shared" si="1"/>
        <v>230.8</v>
      </c>
      <c r="G337" s="1">
        <f t="shared" si="2"/>
        <v>2.92</v>
      </c>
      <c r="H337" s="1">
        <v>79.0</v>
      </c>
      <c r="I337" s="1">
        <v>4.0</v>
      </c>
      <c r="J337" s="1">
        <v>23.0</v>
      </c>
      <c r="K337" s="1">
        <v>27.0</v>
      </c>
      <c r="L337" s="1">
        <v>76.0</v>
      </c>
      <c r="M337" s="1">
        <v>82.0</v>
      </c>
      <c r="N337" s="1">
        <v>107.0</v>
      </c>
      <c r="O337" s="1">
        <v>2.0</v>
      </c>
      <c r="P337" s="1">
        <v>13.0</v>
      </c>
      <c r="Q337" s="1">
        <v>0.0</v>
      </c>
      <c r="R337" s="1">
        <v>0.0</v>
      </c>
      <c r="S337" s="1">
        <v>-14.0</v>
      </c>
      <c r="T337" s="1">
        <v>36.0</v>
      </c>
      <c r="U337" s="1">
        <v>0.0</v>
      </c>
    </row>
    <row r="338" ht="12.75" customHeight="1">
      <c r="A338" s="1" t="s">
        <v>208</v>
      </c>
      <c r="B338" s="1">
        <f t="shared" si="3"/>
        <v>324</v>
      </c>
      <c r="C338" s="1" t="str">
        <f>IFERROR(__xludf.DUMMYFUNCTION("split(A338, ""\"")"),"Carey Price")</f>
        <v>Carey Price</v>
      </c>
      <c r="D338" s="2" t="str">
        <f>IFERROR(__xludf.DUMMYFUNCTION("""COMPUTED_VALUE"""),"priceca01")</f>
        <v>priceca01</v>
      </c>
      <c r="E338" s="1" t="s">
        <v>5</v>
      </c>
      <c r="F338" s="1">
        <f t="shared" si="1"/>
        <v>230.7</v>
      </c>
      <c r="G338" s="1">
        <f t="shared" si="2"/>
        <v>4.71</v>
      </c>
      <c r="H338" s="1">
        <v>49.0</v>
      </c>
      <c r="V338" s="1">
        <v>48.0</v>
      </c>
      <c r="W338" s="1">
        <v>16.0</v>
      </c>
      <c r="X338" s="1">
        <v>26.0</v>
      </c>
      <c r="Y338" s="1">
        <v>148.0</v>
      </c>
      <c r="Z338" s="1">
        <v>1487.0</v>
      </c>
      <c r="AA338" s="1">
        <v>1339.0</v>
      </c>
      <c r="AB338" s="1">
        <v>1.0</v>
      </c>
    </row>
    <row r="339" ht="12.75" customHeight="1">
      <c r="A339" s="1" t="s">
        <v>337</v>
      </c>
      <c r="B339" s="1">
        <f t="shared" si="3"/>
        <v>325</v>
      </c>
      <c r="C339" s="1" t="str">
        <f>IFERROR(__xludf.DUMMYFUNCTION("split(A339, ""\"")"),"Adrian Kempe")</f>
        <v>Adrian Kempe</v>
      </c>
      <c r="D339" s="1" t="str">
        <f>IFERROR(__xludf.DUMMYFUNCTION("""COMPUTED_VALUE"""),"kempead01")</f>
        <v>kempead01</v>
      </c>
      <c r="E339" s="1" t="s">
        <v>28</v>
      </c>
      <c r="F339" s="1">
        <f t="shared" si="1"/>
        <v>230.45</v>
      </c>
      <c r="G339" s="1">
        <f t="shared" si="2"/>
        <v>2.85</v>
      </c>
      <c r="H339" s="1">
        <v>81.0</v>
      </c>
      <c r="I339" s="1">
        <v>16.0</v>
      </c>
      <c r="J339" s="1">
        <v>21.0</v>
      </c>
      <c r="K339" s="1">
        <v>37.0</v>
      </c>
      <c r="L339" s="1">
        <v>119.0</v>
      </c>
      <c r="M339" s="1">
        <v>91.0</v>
      </c>
      <c r="N339" s="1">
        <v>18.0</v>
      </c>
      <c r="O339" s="1">
        <v>1.0</v>
      </c>
      <c r="P339" s="1">
        <v>4.0</v>
      </c>
      <c r="Q339" s="1">
        <v>0.0</v>
      </c>
      <c r="R339" s="1">
        <v>0.0</v>
      </c>
      <c r="S339" s="1">
        <v>11.0</v>
      </c>
      <c r="T339" s="1">
        <v>49.0</v>
      </c>
      <c r="U339" s="1">
        <v>3.0</v>
      </c>
    </row>
    <row r="340" ht="12.75" customHeight="1">
      <c r="A340" s="1" t="s">
        <v>222</v>
      </c>
      <c r="B340" s="1">
        <f t="shared" si="3"/>
        <v>326</v>
      </c>
      <c r="C340" s="1" t="str">
        <f>IFERROR(__xludf.DUMMYFUNCTION("split(A340, ""\"")"),"Cam Ward")</f>
        <v>Cam Ward</v>
      </c>
      <c r="D340" s="2" t="str">
        <f>IFERROR(__xludf.DUMMYFUNCTION("""COMPUTED_VALUE"""),"wardca01")</f>
        <v>wardca01</v>
      </c>
      <c r="E340" s="1" t="s">
        <v>5</v>
      </c>
      <c r="F340" s="1">
        <f t="shared" si="1"/>
        <v>229.5</v>
      </c>
      <c r="G340" s="1">
        <f t="shared" si="2"/>
        <v>5.34</v>
      </c>
      <c r="H340" s="1">
        <v>43.0</v>
      </c>
      <c r="V340" s="1">
        <v>42.0</v>
      </c>
      <c r="W340" s="1">
        <v>23.0</v>
      </c>
      <c r="X340" s="1">
        <v>14.0</v>
      </c>
      <c r="Y340" s="1">
        <v>112.0</v>
      </c>
      <c r="Z340" s="1">
        <v>1187.0</v>
      </c>
      <c r="AA340" s="1">
        <v>1075.0</v>
      </c>
      <c r="AB340" s="1">
        <v>2.0</v>
      </c>
    </row>
    <row r="341" ht="12.75" customHeight="1">
      <c r="A341" s="1" t="s">
        <v>397</v>
      </c>
      <c r="B341" s="1">
        <f t="shared" si="3"/>
        <v>327</v>
      </c>
      <c r="C341" s="1" t="str">
        <f>IFERROR(__xludf.DUMMYFUNCTION("split(A341, ""\"")"),"Brooks Orpik")</f>
        <v>Brooks Orpik</v>
      </c>
      <c r="D341" s="1" t="str">
        <f>IFERROR(__xludf.DUMMYFUNCTION("""COMPUTED_VALUE"""),"orpikbr01")</f>
        <v>orpikbr01</v>
      </c>
      <c r="E341" s="1" t="s">
        <v>66</v>
      </c>
      <c r="F341" s="1">
        <f t="shared" si="1"/>
        <v>229.4</v>
      </c>
      <c r="G341" s="1">
        <f t="shared" si="2"/>
        <v>2.83</v>
      </c>
      <c r="H341" s="1">
        <v>81.0</v>
      </c>
      <c r="I341" s="1">
        <v>0.0</v>
      </c>
      <c r="J341" s="1">
        <v>10.0</v>
      </c>
      <c r="K341" s="1">
        <v>10.0</v>
      </c>
      <c r="L341" s="1">
        <v>54.0</v>
      </c>
      <c r="M341" s="1">
        <v>218.0</v>
      </c>
      <c r="N341" s="1">
        <v>168.0</v>
      </c>
      <c r="O341" s="1">
        <v>0.0</v>
      </c>
      <c r="P341" s="1">
        <v>0.0</v>
      </c>
      <c r="Q341" s="1">
        <v>0.0</v>
      </c>
      <c r="R341" s="1">
        <v>0.0</v>
      </c>
      <c r="S341" s="1">
        <v>-9.0</v>
      </c>
      <c r="T341" s="1">
        <v>68.0</v>
      </c>
      <c r="U341" s="1">
        <v>0.0</v>
      </c>
    </row>
    <row r="342" ht="12.75" customHeight="1">
      <c r="A342" s="1" t="s">
        <v>351</v>
      </c>
      <c r="B342" s="1">
        <f t="shared" si="3"/>
        <v>328</v>
      </c>
      <c r="C342" s="1" t="str">
        <f>IFERROR(__xludf.DUMMYFUNCTION("split(A342, ""\"")"),"Tyler Pitlick")</f>
        <v>Tyler Pitlick</v>
      </c>
      <c r="D342" s="1" t="str">
        <f>IFERROR(__xludf.DUMMYFUNCTION("""COMPUTED_VALUE"""),"pitlity01")</f>
        <v>pitlity01</v>
      </c>
      <c r="E342" s="1" t="s">
        <v>31</v>
      </c>
      <c r="F342" s="1">
        <f t="shared" si="1"/>
        <v>229.2</v>
      </c>
      <c r="G342" s="1">
        <f t="shared" si="2"/>
        <v>2.87</v>
      </c>
      <c r="H342" s="1">
        <v>80.0</v>
      </c>
      <c r="I342" s="1">
        <v>14.0</v>
      </c>
      <c r="J342" s="1">
        <v>13.0</v>
      </c>
      <c r="K342" s="1">
        <v>27.0</v>
      </c>
      <c r="L342" s="1">
        <v>129.0</v>
      </c>
      <c r="M342" s="1">
        <v>122.0</v>
      </c>
      <c r="N342" s="1">
        <v>57.0</v>
      </c>
      <c r="O342" s="1">
        <v>0.0</v>
      </c>
      <c r="P342" s="1">
        <v>0.0</v>
      </c>
      <c r="Q342" s="1">
        <v>0.0</v>
      </c>
      <c r="R342" s="1">
        <v>1.0</v>
      </c>
      <c r="S342" s="1">
        <v>9.0</v>
      </c>
      <c r="T342" s="1">
        <v>34.0</v>
      </c>
      <c r="U342" s="1">
        <v>2.0</v>
      </c>
    </row>
    <row r="343" ht="12.75" customHeight="1">
      <c r="A343" s="1" t="s">
        <v>316</v>
      </c>
      <c r="B343" s="1">
        <f t="shared" si="3"/>
        <v>329</v>
      </c>
      <c r="C343" s="1" t="str">
        <f>IFERROR(__xludf.DUMMYFUNCTION("split(A343, ""\"")"),"Radek Faksa")</f>
        <v>Radek Faksa</v>
      </c>
      <c r="D343" s="1" t="str">
        <f>IFERROR(__xludf.DUMMYFUNCTION("""COMPUTED_VALUE"""),"faksara01")</f>
        <v>faksara01</v>
      </c>
      <c r="E343" s="1" t="s">
        <v>31</v>
      </c>
      <c r="F343" s="1">
        <f t="shared" si="1"/>
        <v>228.05</v>
      </c>
      <c r="G343" s="1">
        <f t="shared" si="2"/>
        <v>2.89</v>
      </c>
      <c r="H343" s="1">
        <v>79.0</v>
      </c>
      <c r="I343" s="1">
        <v>17.0</v>
      </c>
      <c r="J343" s="1">
        <v>16.0</v>
      </c>
      <c r="K343" s="1">
        <v>33.0</v>
      </c>
      <c r="L343" s="1">
        <v>118.0</v>
      </c>
      <c r="M343" s="1">
        <v>101.0</v>
      </c>
      <c r="N343" s="1">
        <v>56.0</v>
      </c>
      <c r="O343" s="1">
        <v>0.0</v>
      </c>
      <c r="P343" s="1">
        <v>0.0</v>
      </c>
      <c r="Q343" s="1">
        <v>2.0</v>
      </c>
      <c r="R343" s="1">
        <v>0.0</v>
      </c>
      <c r="S343" s="1">
        <v>21.0</v>
      </c>
      <c r="T343" s="1">
        <v>36.0</v>
      </c>
      <c r="U343" s="1">
        <v>3.0</v>
      </c>
    </row>
    <row r="344" ht="12.75" customHeight="1">
      <c r="A344" s="1" t="s">
        <v>359</v>
      </c>
      <c r="B344" s="1">
        <f t="shared" si="3"/>
        <v>330</v>
      </c>
      <c r="C344" s="1" t="str">
        <f>IFERROR(__xludf.DUMMYFUNCTION("split(A344, ""\"")"),"Mikkel Boedker")</f>
        <v>Mikkel Boedker</v>
      </c>
      <c r="D344" s="1" t="str">
        <f>IFERROR(__xludf.DUMMYFUNCTION("""COMPUTED_VALUE"""),"boedkmi01")</f>
        <v>boedkmi01</v>
      </c>
      <c r="E344" s="1" t="s">
        <v>36</v>
      </c>
      <c r="F344" s="1">
        <f t="shared" si="1"/>
        <v>226.85</v>
      </c>
      <c r="G344" s="1">
        <f t="shared" si="2"/>
        <v>3.07</v>
      </c>
      <c r="H344" s="1">
        <v>74.0</v>
      </c>
      <c r="I344" s="1">
        <v>15.0</v>
      </c>
      <c r="J344" s="1">
        <v>22.0</v>
      </c>
      <c r="K344" s="1">
        <v>37.0</v>
      </c>
      <c r="L344" s="1">
        <v>119.0</v>
      </c>
      <c r="M344" s="1">
        <v>41.0</v>
      </c>
      <c r="N344" s="1">
        <v>24.0</v>
      </c>
      <c r="O344" s="1">
        <v>4.0</v>
      </c>
      <c r="P344" s="1">
        <v>4.0</v>
      </c>
      <c r="Q344" s="1">
        <v>0.0</v>
      </c>
      <c r="R344" s="1">
        <v>0.0</v>
      </c>
      <c r="S344" s="1">
        <v>0.0</v>
      </c>
      <c r="T344" s="1">
        <v>12.0</v>
      </c>
      <c r="U344" s="1">
        <v>4.0</v>
      </c>
    </row>
    <row r="345" ht="12.75" customHeight="1">
      <c r="A345" s="1" t="s">
        <v>424</v>
      </c>
      <c r="B345" s="1">
        <f t="shared" si="3"/>
        <v>331</v>
      </c>
      <c r="C345" s="1" t="str">
        <f>IFERROR(__xludf.DUMMYFUNCTION("split(A345, ""\"")"),"Mark Jankowski")</f>
        <v>Mark Jankowski</v>
      </c>
      <c r="D345" s="1" t="str">
        <f>IFERROR(__xludf.DUMMYFUNCTION("""COMPUTED_VALUE"""),"jankoma01")</f>
        <v>jankoma01</v>
      </c>
      <c r="E345" s="1" t="s">
        <v>31</v>
      </c>
      <c r="F345" s="1">
        <f t="shared" si="1"/>
        <v>226.15</v>
      </c>
      <c r="G345" s="1">
        <f t="shared" si="2"/>
        <v>3.14</v>
      </c>
      <c r="H345" s="1">
        <v>72.0</v>
      </c>
      <c r="I345" s="1">
        <v>17.0</v>
      </c>
      <c r="J345" s="1">
        <v>8.0</v>
      </c>
      <c r="K345" s="1">
        <v>25.0</v>
      </c>
      <c r="L345" s="1">
        <v>118.0</v>
      </c>
      <c r="M345" s="1">
        <v>35.0</v>
      </c>
      <c r="N345" s="1">
        <v>51.0</v>
      </c>
      <c r="O345" s="1">
        <v>2.0</v>
      </c>
      <c r="P345" s="1">
        <v>1.0</v>
      </c>
      <c r="Q345" s="1">
        <v>2.0</v>
      </c>
      <c r="R345" s="1">
        <v>0.0</v>
      </c>
      <c r="S345" s="1">
        <v>-7.0</v>
      </c>
      <c r="T345" s="1">
        <v>33.0</v>
      </c>
      <c r="U345" s="1">
        <v>3.0</v>
      </c>
    </row>
    <row r="346" ht="12.75" customHeight="1">
      <c r="A346" s="1" t="s">
        <v>433</v>
      </c>
      <c r="B346" s="1">
        <f t="shared" si="3"/>
        <v>332</v>
      </c>
      <c r="C346" s="1" t="str">
        <f>IFERROR(__xludf.DUMMYFUNCTION("split(A346, ""\"")"),"Jake Virtanen")</f>
        <v>Jake Virtanen</v>
      </c>
      <c r="D346" s="1" t="str">
        <f>IFERROR(__xludf.DUMMYFUNCTION("""COMPUTED_VALUE"""),"virtaja01")</f>
        <v>virtaja01</v>
      </c>
      <c r="E346" s="1" t="s">
        <v>36</v>
      </c>
      <c r="F346" s="1">
        <f t="shared" si="1"/>
        <v>225.8</v>
      </c>
      <c r="G346" s="1">
        <f t="shared" si="2"/>
        <v>3.01</v>
      </c>
      <c r="H346" s="1">
        <v>75.0</v>
      </c>
      <c r="I346" s="1">
        <v>10.0</v>
      </c>
      <c r="J346" s="1">
        <v>10.0</v>
      </c>
      <c r="K346" s="1">
        <v>20.0</v>
      </c>
      <c r="L346" s="1">
        <v>130.0</v>
      </c>
      <c r="M346" s="1">
        <v>156.0</v>
      </c>
      <c r="N346" s="1">
        <v>29.0</v>
      </c>
      <c r="O346" s="1">
        <v>0.0</v>
      </c>
      <c r="P346" s="1">
        <v>0.0</v>
      </c>
      <c r="Q346" s="1">
        <v>0.0</v>
      </c>
      <c r="R346" s="1">
        <v>0.0</v>
      </c>
      <c r="S346" s="1">
        <v>-11.0</v>
      </c>
      <c r="T346" s="1">
        <v>46.0</v>
      </c>
      <c r="U346" s="1">
        <v>1.0</v>
      </c>
    </row>
    <row r="347" ht="12.75" customHeight="1">
      <c r="A347" s="1" t="s">
        <v>388</v>
      </c>
      <c r="B347" s="1">
        <f t="shared" si="3"/>
        <v>333</v>
      </c>
      <c r="C347" s="1" t="str">
        <f>IFERROR(__xludf.DUMMYFUNCTION("split(A347, ""\"")"),"Colton Sceviour")</f>
        <v>Colton Sceviour</v>
      </c>
      <c r="D347" s="1" t="str">
        <f>IFERROR(__xludf.DUMMYFUNCTION("""COMPUTED_VALUE"""),"scevico01")</f>
        <v>scevico01</v>
      </c>
      <c r="E347" s="1" t="s">
        <v>42</v>
      </c>
      <c r="F347" s="1">
        <f t="shared" si="1"/>
        <v>225.7</v>
      </c>
      <c r="G347" s="1">
        <f t="shared" si="2"/>
        <v>2.97</v>
      </c>
      <c r="H347" s="1">
        <v>76.0</v>
      </c>
      <c r="I347" s="1">
        <v>11.0</v>
      </c>
      <c r="J347" s="1">
        <v>13.0</v>
      </c>
      <c r="K347" s="1">
        <v>24.0</v>
      </c>
      <c r="L347" s="1">
        <v>141.0</v>
      </c>
      <c r="M347" s="1">
        <v>84.0</v>
      </c>
      <c r="N347" s="1">
        <v>69.0</v>
      </c>
      <c r="O347" s="1">
        <v>0.0</v>
      </c>
      <c r="P347" s="1">
        <v>0.0</v>
      </c>
      <c r="Q347" s="1">
        <v>1.0</v>
      </c>
      <c r="R347" s="1">
        <v>2.0</v>
      </c>
      <c r="S347" s="1">
        <v>6.0</v>
      </c>
      <c r="T347" s="1">
        <v>24.0</v>
      </c>
      <c r="U347" s="1">
        <v>2.0</v>
      </c>
    </row>
    <row r="348" ht="12.75" customHeight="1">
      <c r="A348" s="1" t="s">
        <v>394</v>
      </c>
      <c r="B348" s="1">
        <f t="shared" si="3"/>
        <v>334</v>
      </c>
      <c r="C348" s="1" t="str">
        <f>IFERROR(__xludf.DUMMYFUNCTION("split(A348, ""\"")"),"Chris Wagner")</f>
        <v>Chris Wagner</v>
      </c>
      <c r="D348" s="1" t="str">
        <f>IFERROR(__xludf.DUMMYFUNCTION("""COMPUTED_VALUE"""),"wagnech01")</f>
        <v>wagnech01</v>
      </c>
      <c r="E348" s="1" t="s">
        <v>31</v>
      </c>
      <c r="F348" s="1">
        <f t="shared" si="1"/>
        <v>224.85</v>
      </c>
      <c r="G348" s="1">
        <f t="shared" si="2"/>
        <v>2.85</v>
      </c>
      <c r="H348" s="1">
        <v>79.0</v>
      </c>
      <c r="I348" s="1">
        <v>7.0</v>
      </c>
      <c r="J348" s="1">
        <v>9.0</v>
      </c>
      <c r="K348" s="1">
        <v>16.0</v>
      </c>
      <c r="L348" s="1">
        <v>93.0</v>
      </c>
      <c r="M348" s="1">
        <v>253.0</v>
      </c>
      <c r="N348" s="1">
        <v>49.0</v>
      </c>
      <c r="O348" s="1">
        <v>1.0</v>
      </c>
      <c r="P348" s="1">
        <v>2.0</v>
      </c>
      <c r="Q348" s="1">
        <v>2.0</v>
      </c>
      <c r="R348" s="1">
        <v>0.0</v>
      </c>
      <c r="S348" s="1">
        <v>-10.0</v>
      </c>
      <c r="T348" s="1">
        <v>37.0</v>
      </c>
      <c r="U348" s="1">
        <v>0.0</v>
      </c>
    </row>
    <row r="349" ht="12.75" customHeight="1">
      <c r="A349" s="1" t="s">
        <v>409</v>
      </c>
      <c r="B349" s="1">
        <f t="shared" si="3"/>
        <v>335</v>
      </c>
      <c r="C349" s="1" t="str">
        <f>IFERROR(__xludf.DUMMYFUNCTION("split(A349, ""\"")"),"Andy Greene")</f>
        <v>Andy Greene</v>
      </c>
      <c r="D349" s="1" t="str">
        <f>IFERROR(__xludf.DUMMYFUNCTION("""COMPUTED_VALUE"""),"greenan01")</f>
        <v>greenan01</v>
      </c>
      <c r="E349" s="1" t="s">
        <v>66</v>
      </c>
      <c r="F349" s="1">
        <f t="shared" si="1"/>
        <v>224.8</v>
      </c>
      <c r="G349" s="1">
        <f t="shared" si="2"/>
        <v>2.78</v>
      </c>
      <c r="H349" s="1">
        <v>81.0</v>
      </c>
      <c r="I349" s="1">
        <v>3.0</v>
      </c>
      <c r="J349" s="1">
        <v>10.0</v>
      </c>
      <c r="K349" s="1">
        <v>13.0</v>
      </c>
      <c r="L349" s="1">
        <v>93.0</v>
      </c>
      <c r="M349" s="1">
        <v>84.0</v>
      </c>
      <c r="N349" s="1">
        <v>188.0</v>
      </c>
      <c r="O349" s="1">
        <v>0.0</v>
      </c>
      <c r="P349" s="1">
        <v>0.0</v>
      </c>
      <c r="Q349" s="1">
        <v>0.0</v>
      </c>
      <c r="R349" s="1">
        <v>0.0</v>
      </c>
      <c r="S349" s="1">
        <v>-9.0</v>
      </c>
      <c r="T349" s="1">
        <v>21.0</v>
      </c>
      <c r="U349" s="1">
        <v>0.0</v>
      </c>
    </row>
    <row r="350" ht="12.75" customHeight="1">
      <c r="A350" s="1" t="s">
        <v>333</v>
      </c>
      <c r="B350" s="1">
        <f t="shared" si="3"/>
        <v>336</v>
      </c>
      <c r="C350" s="1" t="str">
        <f>IFERROR(__xludf.DUMMYFUNCTION("split(A350, ""\"")"),"Ondrej Kase")</f>
        <v>Ondrej Kase</v>
      </c>
      <c r="D350" s="1" t="str">
        <f>IFERROR(__xludf.DUMMYFUNCTION("""COMPUTED_VALUE"""),"kaseon01")</f>
        <v>kaseon01</v>
      </c>
      <c r="E350" s="1" t="s">
        <v>36</v>
      </c>
      <c r="F350" s="1">
        <f t="shared" si="1"/>
        <v>224.2</v>
      </c>
      <c r="G350" s="1">
        <f t="shared" si="2"/>
        <v>3.4</v>
      </c>
      <c r="H350" s="1">
        <v>66.0</v>
      </c>
      <c r="I350" s="1">
        <v>20.0</v>
      </c>
      <c r="J350" s="1">
        <v>18.0</v>
      </c>
      <c r="K350" s="1">
        <v>38.0</v>
      </c>
      <c r="L350" s="1">
        <v>146.0</v>
      </c>
      <c r="M350" s="1">
        <v>28.0</v>
      </c>
      <c r="N350" s="1">
        <v>26.0</v>
      </c>
      <c r="O350" s="1">
        <v>1.0</v>
      </c>
      <c r="P350" s="1">
        <v>2.0</v>
      </c>
      <c r="Q350" s="1">
        <v>0.0</v>
      </c>
      <c r="R350" s="1">
        <v>0.0</v>
      </c>
      <c r="S350" s="1">
        <v>18.0</v>
      </c>
      <c r="T350" s="1">
        <v>14.0</v>
      </c>
      <c r="U350" s="1">
        <v>5.0</v>
      </c>
    </row>
    <row r="351" ht="12.75" customHeight="1">
      <c r="A351" s="1" t="s">
        <v>413</v>
      </c>
      <c r="B351" s="1">
        <f t="shared" si="3"/>
        <v>337</v>
      </c>
      <c r="C351" s="1" t="str">
        <f>IFERROR(__xludf.DUMMYFUNCTION("split(A351, ""\"")"),"Brian Boyle")</f>
        <v>Brian Boyle</v>
      </c>
      <c r="D351" s="1" t="str">
        <f>IFERROR(__xludf.DUMMYFUNCTION("""COMPUTED_VALUE"""),"boylebr01")</f>
        <v>boylebr01</v>
      </c>
      <c r="E351" s="1" t="s">
        <v>31</v>
      </c>
      <c r="F351" s="1">
        <f t="shared" si="1"/>
        <v>224</v>
      </c>
      <c r="G351" s="1">
        <f t="shared" si="2"/>
        <v>3.25</v>
      </c>
      <c r="H351" s="1">
        <v>69.0</v>
      </c>
      <c r="I351" s="1">
        <v>13.0</v>
      </c>
      <c r="J351" s="1">
        <v>10.0</v>
      </c>
      <c r="K351" s="1">
        <v>23.0</v>
      </c>
      <c r="L351" s="1">
        <v>120.0</v>
      </c>
      <c r="M351" s="1">
        <v>126.0</v>
      </c>
      <c r="N351" s="1">
        <v>26.0</v>
      </c>
      <c r="O351" s="1">
        <v>5.0</v>
      </c>
      <c r="P351" s="1">
        <v>2.0</v>
      </c>
      <c r="Q351" s="1">
        <v>0.0</v>
      </c>
      <c r="R351" s="1">
        <v>0.0</v>
      </c>
      <c r="S351" s="1">
        <v>-9.0</v>
      </c>
      <c r="T351" s="1">
        <v>45.0</v>
      </c>
      <c r="U351" s="1">
        <v>2.0</v>
      </c>
    </row>
    <row r="352" ht="12.75" customHeight="1">
      <c r="A352" s="1" t="s">
        <v>449</v>
      </c>
      <c r="B352" s="1">
        <f t="shared" si="3"/>
        <v>338</v>
      </c>
      <c r="C352" s="1" t="str">
        <f>IFERROR(__xludf.DUMMYFUNCTION("split(A352, ""\"")"),"Artturi Lehkonen")</f>
        <v>Artturi Lehkonen</v>
      </c>
      <c r="D352" s="1" t="str">
        <f>IFERROR(__xludf.DUMMYFUNCTION("""COMPUTED_VALUE"""),"lehkoar01")</f>
        <v>lehkoar01</v>
      </c>
      <c r="E352" s="1" t="s">
        <v>28</v>
      </c>
      <c r="F352" s="1">
        <f t="shared" si="1"/>
        <v>223.75</v>
      </c>
      <c r="G352" s="1">
        <f t="shared" si="2"/>
        <v>3.39</v>
      </c>
      <c r="H352" s="1">
        <v>66.0</v>
      </c>
      <c r="I352" s="1">
        <v>12.0</v>
      </c>
      <c r="J352" s="1">
        <v>9.0</v>
      </c>
      <c r="K352" s="1">
        <v>21.0</v>
      </c>
      <c r="L352" s="1">
        <v>164.0</v>
      </c>
      <c r="M352" s="1">
        <v>71.0</v>
      </c>
      <c r="N352" s="1">
        <v>23.0</v>
      </c>
      <c r="O352" s="1">
        <v>3.0</v>
      </c>
      <c r="P352" s="1">
        <v>1.0</v>
      </c>
      <c r="Q352" s="1">
        <v>1.0</v>
      </c>
      <c r="R352" s="1">
        <v>0.0</v>
      </c>
      <c r="S352" s="1">
        <v>-11.0</v>
      </c>
      <c r="T352" s="1">
        <v>20.0</v>
      </c>
      <c r="U352" s="1">
        <v>3.0</v>
      </c>
    </row>
    <row r="353" ht="12.75" customHeight="1">
      <c r="A353" s="1" t="s">
        <v>305</v>
      </c>
      <c r="B353" s="1">
        <f t="shared" si="3"/>
        <v>339</v>
      </c>
      <c r="C353" s="1" t="str">
        <f>IFERROR(__xludf.DUMMYFUNCTION("split(A353, ""\"")"),"Esa Lindell")</f>
        <v>Esa Lindell</v>
      </c>
      <c r="D353" s="1" t="str">
        <f>IFERROR(__xludf.DUMMYFUNCTION("""COMPUTED_VALUE"""),"lindees01")</f>
        <v>lindees01</v>
      </c>
      <c r="E353" s="1" t="s">
        <v>66</v>
      </c>
      <c r="F353" s="1">
        <f t="shared" si="1"/>
        <v>223.2</v>
      </c>
      <c r="G353" s="1">
        <f t="shared" si="2"/>
        <v>2.79</v>
      </c>
      <c r="H353" s="1">
        <v>80.0</v>
      </c>
      <c r="I353" s="1">
        <v>7.0</v>
      </c>
      <c r="J353" s="1">
        <v>20.0</v>
      </c>
      <c r="K353" s="1">
        <v>27.0</v>
      </c>
      <c r="L353" s="1">
        <v>137.0</v>
      </c>
      <c r="M353" s="1">
        <v>92.0</v>
      </c>
      <c r="N353" s="1">
        <v>123.0</v>
      </c>
      <c r="O353" s="1">
        <v>2.0</v>
      </c>
      <c r="P353" s="1">
        <v>6.0</v>
      </c>
      <c r="Q353" s="1">
        <v>0.0</v>
      </c>
      <c r="R353" s="1">
        <v>0.0</v>
      </c>
      <c r="S353" s="1">
        <v>19.0</v>
      </c>
      <c r="T353" s="1">
        <v>24.0</v>
      </c>
      <c r="U353" s="1">
        <v>0.0</v>
      </c>
    </row>
    <row r="354" ht="12.75" customHeight="1">
      <c r="A354" s="1" t="s">
        <v>382</v>
      </c>
      <c r="B354" s="1">
        <f t="shared" si="3"/>
        <v>339</v>
      </c>
      <c r="C354" s="1" t="str">
        <f>IFERROR(__xludf.DUMMYFUNCTION("split(A354, ""\"")"),"Jacob Trouba")</f>
        <v>Jacob Trouba</v>
      </c>
      <c r="D354" s="1" t="str">
        <f>IFERROR(__xludf.DUMMYFUNCTION("""COMPUTED_VALUE"""),"troubja01")</f>
        <v>troubja01</v>
      </c>
      <c r="E354" s="1" t="s">
        <v>66</v>
      </c>
      <c r="F354" s="1">
        <f t="shared" si="1"/>
        <v>223.2</v>
      </c>
      <c r="G354" s="1">
        <f t="shared" si="2"/>
        <v>4.06</v>
      </c>
      <c r="H354" s="1">
        <v>55.0</v>
      </c>
      <c r="I354" s="1">
        <v>3.0</v>
      </c>
      <c r="J354" s="1">
        <v>21.0</v>
      </c>
      <c r="K354" s="1">
        <v>24.0</v>
      </c>
      <c r="L354" s="1">
        <v>144.0</v>
      </c>
      <c r="M354" s="1">
        <v>84.0</v>
      </c>
      <c r="N354" s="1">
        <v>100.0</v>
      </c>
      <c r="O354" s="1">
        <v>0.0</v>
      </c>
      <c r="P354" s="1">
        <v>3.0</v>
      </c>
      <c r="Q354" s="1">
        <v>0.0</v>
      </c>
      <c r="R354" s="1">
        <v>1.0</v>
      </c>
      <c r="S354" s="1">
        <v>9.0</v>
      </c>
      <c r="T354" s="1">
        <v>34.0</v>
      </c>
      <c r="U354" s="1">
        <v>2.0</v>
      </c>
    </row>
    <row r="355" ht="12.75" customHeight="1">
      <c r="A355" s="1" t="s">
        <v>379</v>
      </c>
      <c r="B355" s="1">
        <f t="shared" si="3"/>
        <v>341</v>
      </c>
      <c r="C355" s="1" t="str">
        <f>IFERROR(__xludf.DUMMYFUNCTION("split(A355, ""\"")"),"Jamie McGinn")</f>
        <v>Jamie McGinn</v>
      </c>
      <c r="D355" s="1" t="str">
        <f>IFERROR(__xludf.DUMMYFUNCTION("""COMPUTED_VALUE"""),"mcginja01")</f>
        <v>mcginja01</v>
      </c>
      <c r="E355" s="1" t="s">
        <v>28</v>
      </c>
      <c r="F355" s="1">
        <f t="shared" si="1"/>
        <v>222.9</v>
      </c>
      <c r="G355" s="1">
        <f t="shared" si="2"/>
        <v>2.93</v>
      </c>
      <c r="H355" s="1">
        <v>76.0</v>
      </c>
      <c r="I355" s="1">
        <v>13.0</v>
      </c>
      <c r="J355" s="1">
        <v>16.0</v>
      </c>
      <c r="K355" s="1">
        <v>29.0</v>
      </c>
      <c r="L355" s="1">
        <v>116.0</v>
      </c>
      <c r="M355" s="1">
        <v>120.0</v>
      </c>
      <c r="N355" s="1">
        <v>22.0</v>
      </c>
      <c r="O355" s="1">
        <v>4.0</v>
      </c>
      <c r="P355" s="1">
        <v>2.0</v>
      </c>
      <c r="Q355" s="1">
        <v>0.0</v>
      </c>
      <c r="R355" s="1">
        <v>0.0</v>
      </c>
      <c r="S355" s="1">
        <v>-5.0</v>
      </c>
      <c r="T355" s="1">
        <v>33.0</v>
      </c>
      <c r="U355" s="1">
        <v>0.0</v>
      </c>
    </row>
    <row r="356" ht="12.75" customHeight="1">
      <c r="A356" s="1" t="s">
        <v>303</v>
      </c>
      <c r="B356" s="1">
        <f t="shared" si="3"/>
        <v>342</v>
      </c>
      <c r="C356" s="1" t="str">
        <f>IFERROR(__xludf.DUMMYFUNCTION("split(A356, ""\"")"),"Will Butcher")</f>
        <v>Will Butcher</v>
      </c>
      <c r="D356" s="1" t="str">
        <f>IFERROR(__xludf.DUMMYFUNCTION("""COMPUTED_VALUE"""),"butchwi01")</f>
        <v>butchwi01</v>
      </c>
      <c r="E356" s="1" t="s">
        <v>66</v>
      </c>
      <c r="F356" s="1">
        <f t="shared" si="1"/>
        <v>222.65</v>
      </c>
      <c r="G356" s="1">
        <f t="shared" si="2"/>
        <v>2.75</v>
      </c>
      <c r="H356" s="1">
        <v>81.0</v>
      </c>
      <c r="I356" s="1">
        <v>5.0</v>
      </c>
      <c r="J356" s="1">
        <v>39.0</v>
      </c>
      <c r="K356" s="1">
        <v>44.0</v>
      </c>
      <c r="L356" s="1">
        <v>88.0</v>
      </c>
      <c r="M356" s="1">
        <v>21.0</v>
      </c>
      <c r="N356" s="1">
        <v>62.0</v>
      </c>
      <c r="O356" s="1">
        <v>3.0</v>
      </c>
      <c r="P356" s="1">
        <v>20.0</v>
      </c>
      <c r="Q356" s="1">
        <v>0.0</v>
      </c>
      <c r="R356" s="1">
        <v>0.0</v>
      </c>
      <c r="S356" s="1">
        <v>1.0</v>
      </c>
      <c r="T356" s="1">
        <v>8.0</v>
      </c>
      <c r="U356" s="1">
        <v>1.0</v>
      </c>
    </row>
    <row r="357" ht="12.75" customHeight="1">
      <c r="A357" s="1" t="s">
        <v>410</v>
      </c>
      <c r="B357" s="1">
        <f t="shared" si="3"/>
        <v>343</v>
      </c>
      <c r="C357" s="1" t="str">
        <f>IFERROR(__xludf.DUMMYFUNCTION("split(A357, ""\"")"),"Brian Dumoulin")</f>
        <v>Brian Dumoulin</v>
      </c>
      <c r="D357" s="1" t="str">
        <f>IFERROR(__xludf.DUMMYFUNCTION("""COMPUTED_VALUE"""),"dumoubr01")</f>
        <v>dumoubr01</v>
      </c>
      <c r="E357" s="1" t="s">
        <v>66</v>
      </c>
      <c r="F357" s="1">
        <f t="shared" si="1"/>
        <v>222.25</v>
      </c>
      <c r="G357" s="1">
        <f t="shared" si="2"/>
        <v>2.78</v>
      </c>
      <c r="H357" s="1">
        <v>80.0</v>
      </c>
      <c r="I357" s="1">
        <v>5.0</v>
      </c>
      <c r="J357" s="1">
        <v>13.0</v>
      </c>
      <c r="K357" s="1">
        <v>18.0</v>
      </c>
      <c r="L357" s="1">
        <v>102.0</v>
      </c>
      <c r="M357" s="1">
        <v>101.0</v>
      </c>
      <c r="N357" s="1">
        <v>132.0</v>
      </c>
      <c r="O357" s="1">
        <v>0.0</v>
      </c>
      <c r="P357" s="1">
        <v>0.0</v>
      </c>
      <c r="Q357" s="1">
        <v>0.0</v>
      </c>
      <c r="R357" s="1">
        <v>0.0</v>
      </c>
      <c r="S357" s="1">
        <v>-5.0</v>
      </c>
      <c r="T357" s="1">
        <v>30.0</v>
      </c>
      <c r="U357" s="1">
        <v>1.0</v>
      </c>
    </row>
    <row r="358" ht="12.75" customHeight="1">
      <c r="A358" s="1" t="s">
        <v>363</v>
      </c>
      <c r="B358" s="1">
        <f t="shared" si="3"/>
        <v>344</v>
      </c>
      <c r="C358" s="1" t="str">
        <f>IFERROR(__xludf.DUMMYFUNCTION("split(A358, ""\"")"),"Kyle Brodziak")</f>
        <v>Kyle Brodziak</v>
      </c>
      <c r="D358" s="1" t="str">
        <f>IFERROR(__xludf.DUMMYFUNCTION("""COMPUTED_VALUE"""),"brodzky01")</f>
        <v>brodzky01</v>
      </c>
      <c r="E358" s="1" t="s">
        <v>31</v>
      </c>
      <c r="F358" s="1">
        <f t="shared" si="1"/>
        <v>222.15</v>
      </c>
      <c r="G358" s="1">
        <f t="shared" si="2"/>
        <v>2.74</v>
      </c>
      <c r="H358" s="1">
        <v>81.0</v>
      </c>
      <c r="I358" s="1">
        <v>10.0</v>
      </c>
      <c r="J358" s="1">
        <v>23.0</v>
      </c>
      <c r="K358" s="1">
        <v>33.0</v>
      </c>
      <c r="L358" s="1">
        <v>113.0</v>
      </c>
      <c r="M358" s="1">
        <v>83.0</v>
      </c>
      <c r="N358" s="1">
        <v>55.0</v>
      </c>
      <c r="O358" s="1">
        <v>0.0</v>
      </c>
      <c r="P358" s="1">
        <v>0.0</v>
      </c>
      <c r="Q358" s="1">
        <v>1.0</v>
      </c>
      <c r="R358" s="1">
        <v>2.0</v>
      </c>
      <c r="S358" s="1">
        <v>13.0</v>
      </c>
      <c r="T358" s="1">
        <v>33.0</v>
      </c>
      <c r="U358" s="1">
        <v>2.0</v>
      </c>
    </row>
    <row r="359" ht="12.75" customHeight="1">
      <c r="A359" s="1" t="s">
        <v>381</v>
      </c>
      <c r="B359" s="1">
        <f t="shared" si="3"/>
        <v>345</v>
      </c>
      <c r="C359" s="1" t="str">
        <f>IFERROR(__xludf.DUMMYFUNCTION("split(A359, ""\"")"),"Joel Armia")</f>
        <v>Joel Armia</v>
      </c>
      <c r="D359" s="1" t="str">
        <f>IFERROR(__xludf.DUMMYFUNCTION("""COMPUTED_VALUE"""),"armiajo01")</f>
        <v>armiajo01</v>
      </c>
      <c r="E359" s="1" t="s">
        <v>36</v>
      </c>
      <c r="F359" s="1">
        <f t="shared" si="1"/>
        <v>222.1</v>
      </c>
      <c r="G359" s="1">
        <f t="shared" si="2"/>
        <v>2.81</v>
      </c>
      <c r="H359" s="1">
        <v>79.0</v>
      </c>
      <c r="I359" s="1">
        <v>12.0</v>
      </c>
      <c r="J359" s="1">
        <v>17.0</v>
      </c>
      <c r="K359" s="1">
        <v>29.0</v>
      </c>
      <c r="L359" s="1">
        <v>128.0</v>
      </c>
      <c r="M359" s="1">
        <v>86.0</v>
      </c>
      <c r="N359" s="1">
        <v>39.0</v>
      </c>
      <c r="O359" s="1">
        <v>0.0</v>
      </c>
      <c r="P359" s="1">
        <v>4.0</v>
      </c>
      <c r="Q359" s="1">
        <v>1.0</v>
      </c>
      <c r="R359" s="1">
        <v>1.0</v>
      </c>
      <c r="S359" s="1">
        <v>3.0</v>
      </c>
      <c r="T359" s="1">
        <v>22.0</v>
      </c>
      <c r="U359" s="1">
        <v>2.0</v>
      </c>
    </row>
    <row r="360" ht="12.75" customHeight="1">
      <c r="A360" s="1" t="s">
        <v>428</v>
      </c>
      <c r="B360" s="1">
        <f t="shared" si="3"/>
        <v>346</v>
      </c>
      <c r="C360" s="1" t="str">
        <f>IFERROR(__xludf.DUMMYFUNCTION("split(A360, ""\"")"),"Drake Caggiula")</f>
        <v>Drake Caggiula</v>
      </c>
      <c r="D360" s="1" t="str">
        <f>IFERROR(__xludf.DUMMYFUNCTION("""COMPUTED_VALUE"""),"caggidr01")</f>
        <v>caggidr01</v>
      </c>
      <c r="E360" s="1" t="s">
        <v>28</v>
      </c>
      <c r="F360" s="1">
        <f t="shared" si="1"/>
        <v>220.35</v>
      </c>
      <c r="G360" s="1">
        <f t="shared" si="2"/>
        <v>3.29</v>
      </c>
      <c r="H360" s="1">
        <v>67.0</v>
      </c>
      <c r="I360" s="1">
        <v>13.0</v>
      </c>
      <c r="J360" s="1">
        <v>7.0</v>
      </c>
      <c r="K360" s="1">
        <v>20.0</v>
      </c>
      <c r="L360" s="1">
        <v>104.0</v>
      </c>
      <c r="M360" s="1">
        <v>147.0</v>
      </c>
      <c r="N360" s="1">
        <v>33.0</v>
      </c>
      <c r="O360" s="1">
        <v>3.0</v>
      </c>
      <c r="P360" s="1">
        <v>0.0</v>
      </c>
      <c r="Q360" s="1">
        <v>1.0</v>
      </c>
      <c r="R360" s="1">
        <v>0.0</v>
      </c>
      <c r="S360" s="1">
        <v>-13.0</v>
      </c>
      <c r="T360" s="1">
        <v>37.0</v>
      </c>
      <c r="U360" s="1">
        <v>1.0</v>
      </c>
    </row>
    <row r="361" ht="12.75" customHeight="1">
      <c r="A361" s="1" t="s">
        <v>391</v>
      </c>
      <c r="B361" s="1">
        <f t="shared" si="3"/>
        <v>347</v>
      </c>
      <c r="C361" s="1" t="str">
        <f>IFERROR(__xludf.DUMMYFUNCTION("split(A361, ""\"")"),"Matt Benning")</f>
        <v>Matt Benning</v>
      </c>
      <c r="D361" s="1" t="str">
        <f>IFERROR(__xludf.DUMMYFUNCTION("""COMPUTED_VALUE"""),"bennima01")</f>
        <v>bennima01</v>
      </c>
      <c r="E361" s="1" t="s">
        <v>66</v>
      </c>
      <c r="F361" s="1">
        <f t="shared" si="1"/>
        <v>219.95</v>
      </c>
      <c r="G361" s="1">
        <f t="shared" si="2"/>
        <v>3.01</v>
      </c>
      <c r="H361" s="1">
        <v>73.0</v>
      </c>
      <c r="I361" s="1">
        <v>6.0</v>
      </c>
      <c r="J361" s="1">
        <v>15.0</v>
      </c>
      <c r="K361" s="1">
        <v>21.0</v>
      </c>
      <c r="L361" s="1">
        <v>111.0</v>
      </c>
      <c r="M361" s="1">
        <v>149.0</v>
      </c>
      <c r="N361" s="1">
        <v>82.0</v>
      </c>
      <c r="O361" s="1">
        <v>0.0</v>
      </c>
      <c r="P361" s="1">
        <v>2.0</v>
      </c>
      <c r="Q361" s="1">
        <v>0.0</v>
      </c>
      <c r="R361" s="1">
        <v>1.0</v>
      </c>
      <c r="S361" s="1">
        <v>5.0</v>
      </c>
      <c r="T361" s="1">
        <v>49.0</v>
      </c>
      <c r="U361" s="1">
        <v>2.0</v>
      </c>
    </row>
    <row r="362" ht="12.75" customHeight="1">
      <c r="A362" s="1" t="s">
        <v>252</v>
      </c>
      <c r="B362" s="1">
        <f t="shared" si="3"/>
        <v>348</v>
      </c>
      <c r="C362" s="1" t="str">
        <f>IFERROR(__xludf.DUMMYFUNCTION("split(A362, ""\"")"),"Jonathan Bernier")</f>
        <v>Jonathan Bernier</v>
      </c>
      <c r="D362" s="2" t="str">
        <f>IFERROR(__xludf.DUMMYFUNCTION("""COMPUTED_VALUE"""),"bernijo01")</f>
        <v>bernijo01</v>
      </c>
      <c r="E362" s="1" t="s">
        <v>5</v>
      </c>
      <c r="F362" s="1">
        <f t="shared" si="1"/>
        <v>219.6</v>
      </c>
      <c r="G362" s="1">
        <f t="shared" si="2"/>
        <v>5.94</v>
      </c>
      <c r="H362" s="1">
        <v>37.0</v>
      </c>
      <c r="V362" s="1">
        <v>34.0</v>
      </c>
      <c r="W362" s="1">
        <v>19.0</v>
      </c>
      <c r="X362" s="1">
        <v>13.0</v>
      </c>
      <c r="Y362" s="1">
        <v>95.0</v>
      </c>
      <c r="Z362" s="1">
        <v>1092.0</v>
      </c>
      <c r="AA362" s="1">
        <v>997.0</v>
      </c>
      <c r="AB362" s="1">
        <v>2.0</v>
      </c>
    </row>
    <row r="363" ht="12.75" customHeight="1">
      <c r="A363" s="1" t="s">
        <v>298</v>
      </c>
      <c r="B363" s="1">
        <f t="shared" si="3"/>
        <v>349</v>
      </c>
      <c r="C363" s="1" t="str">
        <f>IFERROR(__xludf.DUMMYFUNCTION("split(A363, ""\"")"),"Brayden McNabb")</f>
        <v>Brayden McNabb</v>
      </c>
      <c r="D363" s="1" t="str">
        <f>IFERROR(__xludf.DUMMYFUNCTION("""COMPUTED_VALUE"""),"mcnabbr01")</f>
        <v>mcnabbr01</v>
      </c>
      <c r="E363" s="1" t="s">
        <v>66</v>
      </c>
      <c r="F363" s="1">
        <f t="shared" si="1"/>
        <v>219.35</v>
      </c>
      <c r="G363" s="1">
        <f t="shared" si="2"/>
        <v>2.89</v>
      </c>
      <c r="H363" s="1">
        <v>76.0</v>
      </c>
      <c r="I363" s="1">
        <v>5.0</v>
      </c>
      <c r="J363" s="1">
        <v>10.0</v>
      </c>
      <c r="K363" s="1">
        <v>15.0</v>
      </c>
      <c r="L363" s="1">
        <v>88.0</v>
      </c>
      <c r="M363" s="1">
        <v>225.0</v>
      </c>
      <c r="N363" s="1">
        <v>176.0</v>
      </c>
      <c r="O363" s="1">
        <v>0.0</v>
      </c>
      <c r="P363" s="1">
        <v>0.0</v>
      </c>
      <c r="Q363" s="1">
        <v>0.0</v>
      </c>
      <c r="R363" s="1">
        <v>0.0</v>
      </c>
      <c r="S363" s="1">
        <v>26.0</v>
      </c>
      <c r="T363" s="1">
        <v>52.0</v>
      </c>
      <c r="U363" s="1">
        <v>1.0</v>
      </c>
    </row>
    <row r="364" ht="12.75" customHeight="1">
      <c r="A364" s="1" t="s">
        <v>447</v>
      </c>
      <c r="B364" s="1">
        <f t="shared" si="3"/>
        <v>350</v>
      </c>
      <c r="C364" s="1" t="str">
        <f>IFERROR(__xludf.DUMMYFUNCTION("split(A364, ""\"")"),"Tom Pyatt")</f>
        <v>Tom Pyatt</v>
      </c>
      <c r="D364" s="1" t="str">
        <f>IFERROR(__xludf.DUMMYFUNCTION("""COMPUTED_VALUE"""),"pyattto01")</f>
        <v>pyattto01</v>
      </c>
      <c r="E364" s="1" t="s">
        <v>31</v>
      </c>
      <c r="F364" s="1">
        <f t="shared" si="1"/>
        <v>219.25</v>
      </c>
      <c r="G364" s="1">
        <f t="shared" si="2"/>
        <v>2.71</v>
      </c>
      <c r="H364" s="1">
        <v>81.0</v>
      </c>
      <c r="I364" s="1">
        <v>7.0</v>
      </c>
      <c r="J364" s="1">
        <v>15.0</v>
      </c>
      <c r="K364" s="1">
        <v>22.0</v>
      </c>
      <c r="L364" s="1">
        <v>103.0</v>
      </c>
      <c r="M364" s="1">
        <v>55.0</v>
      </c>
      <c r="N364" s="1">
        <v>93.0</v>
      </c>
      <c r="O364" s="1">
        <v>0.0</v>
      </c>
      <c r="P364" s="1">
        <v>0.0</v>
      </c>
      <c r="Q364" s="1">
        <v>1.0</v>
      </c>
      <c r="R364" s="1">
        <v>1.0</v>
      </c>
      <c r="S364" s="1">
        <v>-12.0</v>
      </c>
      <c r="T364" s="1">
        <v>10.0</v>
      </c>
      <c r="U364" s="1">
        <v>2.0</v>
      </c>
    </row>
    <row r="365" ht="12.75" customHeight="1">
      <c r="A365" s="1" t="s">
        <v>398</v>
      </c>
      <c r="B365" s="1">
        <f t="shared" si="3"/>
        <v>351</v>
      </c>
      <c r="C365" s="1" t="str">
        <f>IFERROR(__xludf.DUMMYFUNCTION("split(A365, ""\"")"),"Conor Sheary")</f>
        <v>Conor Sheary</v>
      </c>
      <c r="D365" s="1" t="str">
        <f>IFERROR(__xludf.DUMMYFUNCTION("""COMPUTED_VALUE"""),"shearco01")</f>
        <v>shearco01</v>
      </c>
      <c r="E365" s="1" t="s">
        <v>28</v>
      </c>
      <c r="F365" s="1">
        <f t="shared" si="1"/>
        <v>218.75</v>
      </c>
      <c r="G365" s="1">
        <f t="shared" si="2"/>
        <v>2.77</v>
      </c>
      <c r="H365" s="1">
        <v>79.0</v>
      </c>
      <c r="I365" s="1">
        <v>18.0</v>
      </c>
      <c r="J365" s="1">
        <v>12.0</v>
      </c>
      <c r="K365" s="1">
        <v>30.0</v>
      </c>
      <c r="L365" s="1">
        <v>142.0</v>
      </c>
      <c r="M365" s="1">
        <v>29.0</v>
      </c>
      <c r="N365" s="1">
        <v>31.0</v>
      </c>
      <c r="O365" s="1">
        <v>2.0</v>
      </c>
      <c r="P365" s="1">
        <v>1.0</v>
      </c>
      <c r="Q365" s="1">
        <v>0.0</v>
      </c>
      <c r="R365" s="1">
        <v>0.0</v>
      </c>
      <c r="S365" s="1">
        <v>2.0</v>
      </c>
      <c r="T365" s="1">
        <v>10.0</v>
      </c>
      <c r="U365" s="1">
        <v>4.0</v>
      </c>
    </row>
    <row r="366" ht="12.75" customHeight="1">
      <c r="A366" s="1" t="s">
        <v>342</v>
      </c>
      <c r="B366" s="1">
        <f t="shared" si="3"/>
        <v>352</v>
      </c>
      <c r="C366" s="1" t="str">
        <f>IFERROR(__xludf.DUMMYFUNCTION("split(A366, ""\"")"),"Ryan Spooner")</f>
        <v>Ryan Spooner</v>
      </c>
      <c r="D366" s="1" t="str">
        <f>IFERROR(__xludf.DUMMYFUNCTION("""COMPUTED_VALUE"""),"spoonry01")</f>
        <v>spoonry01</v>
      </c>
      <c r="E366" s="1" t="s">
        <v>31</v>
      </c>
      <c r="F366" s="1">
        <f t="shared" si="1"/>
        <v>218.7</v>
      </c>
      <c r="G366" s="1">
        <f t="shared" si="2"/>
        <v>3.71</v>
      </c>
      <c r="H366" s="1">
        <v>59.0</v>
      </c>
      <c r="I366" s="1">
        <v>13.0</v>
      </c>
      <c r="J366" s="1">
        <v>28.0</v>
      </c>
      <c r="K366" s="1">
        <v>41.0</v>
      </c>
      <c r="L366" s="1">
        <v>107.0</v>
      </c>
      <c r="M366" s="1">
        <v>66.0</v>
      </c>
      <c r="N366" s="1">
        <v>16.0</v>
      </c>
      <c r="O366" s="1">
        <v>1.0</v>
      </c>
      <c r="P366" s="1">
        <v>6.0</v>
      </c>
      <c r="Q366" s="1">
        <v>0.0</v>
      </c>
      <c r="R366" s="1">
        <v>0.0</v>
      </c>
      <c r="S366" s="1">
        <v>6.0</v>
      </c>
      <c r="T366" s="1">
        <v>4.0</v>
      </c>
      <c r="U366" s="1">
        <v>3.0</v>
      </c>
    </row>
    <row r="367" ht="12.75" customHeight="1">
      <c r="A367" s="1" t="s">
        <v>530</v>
      </c>
      <c r="B367" s="1">
        <f t="shared" si="3"/>
        <v>353</v>
      </c>
      <c r="C367" s="1" t="str">
        <f>IFERROR(__xludf.DUMMYFUNCTION("split(A367, ""\"")"),"Johan Larsson")</f>
        <v>Johan Larsson</v>
      </c>
      <c r="D367" s="1" t="str">
        <f>IFERROR(__xludf.DUMMYFUNCTION("""COMPUTED_VALUE"""),"larssjo02")</f>
        <v>larssjo02</v>
      </c>
      <c r="E367" s="1" t="s">
        <v>321</v>
      </c>
      <c r="F367" s="1">
        <f t="shared" si="1"/>
        <v>218.45</v>
      </c>
      <c r="G367" s="1">
        <f t="shared" si="2"/>
        <v>2.73</v>
      </c>
      <c r="H367" s="1">
        <v>80.0</v>
      </c>
      <c r="I367" s="1">
        <v>4.0</v>
      </c>
      <c r="J367" s="1">
        <v>13.0</v>
      </c>
      <c r="K367" s="1">
        <v>17.0</v>
      </c>
      <c r="L367" s="1">
        <v>86.0</v>
      </c>
      <c r="M367" s="1">
        <v>117.0</v>
      </c>
      <c r="N367" s="1">
        <v>47.0</v>
      </c>
      <c r="O367" s="1">
        <v>0.0</v>
      </c>
      <c r="P367" s="1">
        <v>0.0</v>
      </c>
      <c r="Q367" s="1">
        <v>1.0</v>
      </c>
      <c r="R367" s="1">
        <v>1.0</v>
      </c>
      <c r="S367" s="1">
        <v>-30.0</v>
      </c>
      <c r="T367" s="1">
        <v>49.0</v>
      </c>
      <c r="U367" s="1">
        <v>0.0</v>
      </c>
    </row>
    <row r="368" ht="12.75" customHeight="1">
      <c r="A368" s="1" t="s">
        <v>344</v>
      </c>
      <c r="B368" s="1">
        <f t="shared" si="3"/>
        <v>354</v>
      </c>
      <c r="C368" s="1" t="str">
        <f>IFERROR(__xludf.DUMMYFUNCTION("split(A368, ""\"")"),"Adam Larsson")</f>
        <v>Adam Larsson</v>
      </c>
      <c r="D368" s="1" t="str">
        <f>IFERROR(__xludf.DUMMYFUNCTION("""COMPUTED_VALUE"""),"larssad01")</f>
        <v>larssad01</v>
      </c>
      <c r="E368" s="1" t="s">
        <v>66</v>
      </c>
      <c r="F368" s="1">
        <f t="shared" si="1"/>
        <v>217.95</v>
      </c>
      <c r="G368" s="1">
        <f t="shared" si="2"/>
        <v>3.46</v>
      </c>
      <c r="H368" s="1">
        <v>63.0</v>
      </c>
      <c r="I368" s="1">
        <v>4.0</v>
      </c>
      <c r="J368" s="1">
        <v>9.0</v>
      </c>
      <c r="K368" s="1">
        <v>13.0</v>
      </c>
      <c r="L368" s="1">
        <v>92.0</v>
      </c>
      <c r="M368" s="1">
        <v>239.0</v>
      </c>
      <c r="N368" s="1">
        <v>140.0</v>
      </c>
      <c r="O368" s="1">
        <v>0.0</v>
      </c>
      <c r="P368" s="1">
        <v>0.0</v>
      </c>
      <c r="Q368" s="1">
        <v>0.0</v>
      </c>
      <c r="R368" s="1">
        <v>0.0</v>
      </c>
      <c r="S368" s="1">
        <v>10.0</v>
      </c>
      <c r="T368" s="1">
        <v>34.0</v>
      </c>
      <c r="U368" s="1">
        <v>1.0</v>
      </c>
    </row>
    <row r="369" ht="12.75" customHeight="1">
      <c r="A369" s="1" t="s">
        <v>435</v>
      </c>
      <c r="B369" s="1">
        <f t="shared" si="3"/>
        <v>355</v>
      </c>
      <c r="C369" s="1" t="str">
        <f>IFERROR(__xludf.DUMMYFUNCTION("split(A369, ""\"")"),"Cody Eakin")</f>
        <v>Cody Eakin</v>
      </c>
      <c r="D369" s="1" t="str">
        <f>IFERROR(__xludf.DUMMYFUNCTION("""COMPUTED_VALUE"""),"eakinco01")</f>
        <v>eakinco01</v>
      </c>
      <c r="E369" s="1" t="s">
        <v>31</v>
      </c>
      <c r="F369" s="1">
        <f t="shared" si="1"/>
        <v>217.85</v>
      </c>
      <c r="G369" s="1">
        <f t="shared" si="2"/>
        <v>2.72</v>
      </c>
      <c r="H369" s="1">
        <v>80.0</v>
      </c>
      <c r="I369" s="1">
        <v>11.0</v>
      </c>
      <c r="J369" s="1">
        <v>16.0</v>
      </c>
      <c r="K369" s="1">
        <v>27.0</v>
      </c>
      <c r="L369" s="1">
        <v>107.0</v>
      </c>
      <c r="M369" s="1">
        <v>63.0</v>
      </c>
      <c r="N369" s="1">
        <v>45.0</v>
      </c>
      <c r="O369" s="1">
        <v>0.0</v>
      </c>
      <c r="P369" s="1">
        <v>0.0</v>
      </c>
      <c r="Q369" s="1">
        <v>1.0</v>
      </c>
      <c r="R369" s="1">
        <v>2.0</v>
      </c>
      <c r="S369" s="1">
        <v>-6.0</v>
      </c>
      <c r="T369" s="1">
        <v>22.0</v>
      </c>
      <c r="U369" s="1">
        <v>2.0</v>
      </c>
    </row>
    <row r="370" ht="12.75" customHeight="1">
      <c r="A370" s="1" t="s">
        <v>517</v>
      </c>
      <c r="B370" s="1">
        <f t="shared" si="3"/>
        <v>356</v>
      </c>
      <c r="C370" s="1" t="str">
        <f>IFERROR(__xludf.DUMMYFUNCTION("split(A370, ""\"")"),"Jordan Martinook")</f>
        <v>Jordan Martinook</v>
      </c>
      <c r="D370" s="1" t="str">
        <f>IFERROR(__xludf.DUMMYFUNCTION("""COMPUTED_VALUE"""),"martijo01")</f>
        <v>martijo01</v>
      </c>
      <c r="E370" s="1" t="s">
        <v>28</v>
      </c>
      <c r="F370" s="1">
        <f t="shared" si="1"/>
        <v>217.5</v>
      </c>
      <c r="G370" s="1">
        <f t="shared" si="2"/>
        <v>2.69</v>
      </c>
      <c r="H370" s="1">
        <v>81.0</v>
      </c>
      <c r="I370" s="1">
        <v>6.0</v>
      </c>
      <c r="J370" s="1">
        <v>9.0</v>
      </c>
      <c r="K370" s="1">
        <v>15.0</v>
      </c>
      <c r="L370" s="1">
        <v>112.0</v>
      </c>
      <c r="M370" s="1">
        <v>128.0</v>
      </c>
      <c r="N370" s="1">
        <v>42.0</v>
      </c>
      <c r="O370" s="1">
        <v>0.0</v>
      </c>
      <c r="P370" s="1">
        <v>0.0</v>
      </c>
      <c r="Q370" s="1">
        <v>0.0</v>
      </c>
      <c r="R370" s="1">
        <v>1.0</v>
      </c>
      <c r="S370" s="1">
        <v>-24.0</v>
      </c>
      <c r="T370" s="1">
        <v>45.0</v>
      </c>
      <c r="U370" s="1">
        <v>1.0</v>
      </c>
    </row>
    <row r="371" ht="12.75" customHeight="1">
      <c r="A371" s="1" t="s">
        <v>244</v>
      </c>
      <c r="B371" s="1">
        <f t="shared" si="3"/>
        <v>357</v>
      </c>
      <c r="C371" s="1" t="str">
        <f>IFERROR(__xludf.DUMMYFUNCTION("split(A371, ""\"")"),"Cory Schneider")</f>
        <v>Cory Schneider</v>
      </c>
      <c r="D371" s="2" t="str">
        <f>IFERROR(__xludf.DUMMYFUNCTION("""COMPUTED_VALUE"""),"schneco01")</f>
        <v>schneco01</v>
      </c>
      <c r="E371" s="1" t="s">
        <v>5</v>
      </c>
      <c r="F371" s="1">
        <f t="shared" si="1"/>
        <v>217.2</v>
      </c>
      <c r="G371" s="1">
        <f t="shared" si="2"/>
        <v>5.43</v>
      </c>
      <c r="H371" s="1">
        <v>40.0</v>
      </c>
      <c r="V371" s="1">
        <v>40.0</v>
      </c>
      <c r="W371" s="1">
        <v>17.0</v>
      </c>
      <c r="X371" s="1">
        <v>16.0</v>
      </c>
      <c r="Y371" s="1">
        <v>114.0</v>
      </c>
      <c r="Z371" s="1">
        <v>1228.0</v>
      </c>
      <c r="AA371" s="1">
        <v>1114.0</v>
      </c>
      <c r="AB371" s="1">
        <v>1.0</v>
      </c>
    </row>
    <row r="372" ht="12.75" customHeight="1">
      <c r="A372" s="1" t="s">
        <v>469</v>
      </c>
      <c r="B372" s="1">
        <f t="shared" si="3"/>
        <v>358</v>
      </c>
      <c r="C372" s="1" t="str">
        <f>IFERROR(__xludf.DUMMYFUNCTION("split(A372, ""\"")"),"Trevor Daley")</f>
        <v>Trevor Daley</v>
      </c>
      <c r="D372" s="1" t="str">
        <f>IFERROR(__xludf.DUMMYFUNCTION("""COMPUTED_VALUE"""),"daleytr01")</f>
        <v>daleytr01</v>
      </c>
      <c r="E372" s="1" t="s">
        <v>66</v>
      </c>
      <c r="F372" s="1">
        <f t="shared" si="1"/>
        <v>216.8</v>
      </c>
      <c r="G372" s="1">
        <f t="shared" si="2"/>
        <v>2.82</v>
      </c>
      <c r="H372" s="1">
        <v>77.0</v>
      </c>
      <c r="I372" s="1">
        <v>9.0</v>
      </c>
      <c r="J372" s="1">
        <v>7.0</v>
      </c>
      <c r="K372" s="1">
        <v>16.0</v>
      </c>
      <c r="L372" s="1">
        <v>103.0</v>
      </c>
      <c r="M372" s="1">
        <v>24.0</v>
      </c>
      <c r="N372" s="1">
        <v>125.0</v>
      </c>
      <c r="O372" s="1">
        <v>0.0</v>
      </c>
      <c r="P372" s="1">
        <v>0.0</v>
      </c>
      <c r="Q372" s="1">
        <v>1.0</v>
      </c>
      <c r="R372" s="1">
        <v>2.0</v>
      </c>
      <c r="S372" s="1">
        <v>-5.0</v>
      </c>
      <c r="T372" s="1">
        <v>36.0</v>
      </c>
      <c r="U372" s="1">
        <v>4.0</v>
      </c>
    </row>
    <row r="373" ht="12.75" customHeight="1">
      <c r="A373" s="1" t="s">
        <v>350</v>
      </c>
      <c r="B373" s="1">
        <f t="shared" si="3"/>
        <v>359</v>
      </c>
      <c r="C373" s="1" t="str">
        <f>IFERROR(__xludf.DUMMYFUNCTION("split(A373, ""\"")"),"Ron Hainsey")</f>
        <v>Ron Hainsey</v>
      </c>
      <c r="D373" s="1" t="str">
        <f>IFERROR(__xludf.DUMMYFUNCTION("""COMPUTED_VALUE"""),"hainsro01")</f>
        <v>hainsro01</v>
      </c>
      <c r="E373" s="1" t="s">
        <v>66</v>
      </c>
      <c r="F373" s="1">
        <f t="shared" si="1"/>
        <v>216.75</v>
      </c>
      <c r="G373" s="1">
        <f t="shared" si="2"/>
        <v>2.71</v>
      </c>
      <c r="H373" s="1">
        <v>80.0</v>
      </c>
      <c r="I373" s="1">
        <v>4.0</v>
      </c>
      <c r="J373" s="1">
        <v>19.0</v>
      </c>
      <c r="K373" s="1">
        <v>23.0</v>
      </c>
      <c r="L373" s="1">
        <v>73.0</v>
      </c>
      <c r="M373" s="1">
        <v>91.0</v>
      </c>
      <c r="N373" s="1">
        <v>169.0</v>
      </c>
      <c r="O373" s="1">
        <v>1.0</v>
      </c>
      <c r="P373" s="1">
        <v>0.0</v>
      </c>
      <c r="Q373" s="1">
        <v>0.0</v>
      </c>
      <c r="R373" s="1">
        <v>2.0</v>
      </c>
      <c r="S373" s="1">
        <v>12.0</v>
      </c>
      <c r="T373" s="1">
        <v>20.0</v>
      </c>
      <c r="U373" s="1">
        <v>2.0</v>
      </c>
    </row>
    <row r="374" ht="12.75" customHeight="1">
      <c r="A374" s="1" t="s">
        <v>373</v>
      </c>
      <c r="B374" s="1">
        <f t="shared" si="3"/>
        <v>360</v>
      </c>
      <c r="C374" s="1" t="str">
        <f>IFERROR(__xludf.DUMMYFUNCTION("split(A374, ""\"")"),"Victor Rask")</f>
        <v>Victor Rask</v>
      </c>
      <c r="D374" s="1" t="str">
        <f>IFERROR(__xludf.DUMMYFUNCTION("""COMPUTED_VALUE"""),"raskvi01")</f>
        <v>raskvi01</v>
      </c>
      <c r="E374" s="1" t="s">
        <v>31</v>
      </c>
      <c r="F374" s="1">
        <f t="shared" si="1"/>
        <v>216.6</v>
      </c>
      <c r="G374" s="1">
        <f t="shared" si="2"/>
        <v>3.05</v>
      </c>
      <c r="H374" s="1">
        <v>71.0</v>
      </c>
      <c r="I374" s="1">
        <v>14.0</v>
      </c>
      <c r="J374" s="1">
        <v>17.0</v>
      </c>
      <c r="K374" s="1">
        <v>31.0</v>
      </c>
      <c r="L374" s="1">
        <v>126.0</v>
      </c>
      <c r="M374" s="1">
        <v>62.0</v>
      </c>
      <c r="N374" s="1">
        <v>29.0</v>
      </c>
      <c r="O374" s="1">
        <v>4.0</v>
      </c>
      <c r="P374" s="1">
        <v>7.0</v>
      </c>
      <c r="Q374" s="1">
        <v>0.0</v>
      </c>
      <c r="R374" s="1">
        <v>0.0</v>
      </c>
      <c r="S374" s="1">
        <v>0.0</v>
      </c>
      <c r="T374" s="1">
        <v>12.0</v>
      </c>
      <c r="U374" s="1">
        <v>3.0</v>
      </c>
    </row>
    <row r="375" ht="12.75" customHeight="1">
      <c r="A375" s="1" t="s">
        <v>419</v>
      </c>
      <c r="B375" s="1">
        <f t="shared" si="3"/>
        <v>361</v>
      </c>
      <c r="C375" s="1" t="str">
        <f>IFERROR(__xludf.DUMMYFUNCTION("split(A375, ""\"")"),"Jordie Benn")</f>
        <v>Jordie Benn</v>
      </c>
      <c r="D375" s="1" t="str">
        <f>IFERROR(__xludf.DUMMYFUNCTION("""COMPUTED_VALUE"""),"bennjo01")</f>
        <v>bennjo01</v>
      </c>
      <c r="E375" s="1" t="s">
        <v>66</v>
      </c>
      <c r="F375" s="1">
        <f t="shared" si="1"/>
        <v>216.2</v>
      </c>
      <c r="G375" s="1">
        <f t="shared" si="2"/>
        <v>2.81</v>
      </c>
      <c r="H375" s="1">
        <v>77.0</v>
      </c>
      <c r="I375" s="1">
        <v>4.0</v>
      </c>
      <c r="J375" s="1">
        <v>11.0</v>
      </c>
      <c r="K375" s="1">
        <v>15.0</v>
      </c>
      <c r="L375" s="1">
        <v>106.0</v>
      </c>
      <c r="M375" s="1">
        <v>90.0</v>
      </c>
      <c r="N375" s="1">
        <v>153.0</v>
      </c>
      <c r="O375" s="1">
        <v>0.0</v>
      </c>
      <c r="P375" s="1">
        <v>0.0</v>
      </c>
      <c r="Q375" s="1">
        <v>0.0</v>
      </c>
      <c r="R375" s="1">
        <v>0.0</v>
      </c>
      <c r="S375" s="1">
        <v>-2.0</v>
      </c>
      <c r="T375" s="1">
        <v>34.0</v>
      </c>
      <c r="U375" s="1">
        <v>0.0</v>
      </c>
    </row>
    <row r="376" ht="12.75" customHeight="1">
      <c r="A376" s="1" t="s">
        <v>302</v>
      </c>
      <c r="B376" s="1">
        <f t="shared" si="3"/>
        <v>362</v>
      </c>
      <c r="C376" s="1" t="str">
        <f>IFERROR(__xludf.DUMMYFUNCTION("split(A376, ""\"")"),"Nate Schmidt")</f>
        <v>Nate Schmidt</v>
      </c>
      <c r="D376" s="1" t="str">
        <f>IFERROR(__xludf.DUMMYFUNCTION("""COMPUTED_VALUE"""),"schmina01")</f>
        <v>schmina01</v>
      </c>
      <c r="E376" s="1" t="s">
        <v>66</v>
      </c>
      <c r="F376" s="1">
        <f t="shared" si="1"/>
        <v>216.05</v>
      </c>
      <c r="G376" s="1">
        <f t="shared" si="2"/>
        <v>2.84</v>
      </c>
      <c r="H376" s="1">
        <v>76.0</v>
      </c>
      <c r="I376" s="1">
        <v>5.0</v>
      </c>
      <c r="J376" s="1">
        <v>31.0</v>
      </c>
      <c r="K376" s="1">
        <v>36.0</v>
      </c>
      <c r="L376" s="1">
        <v>103.0</v>
      </c>
      <c r="M376" s="1">
        <v>41.0</v>
      </c>
      <c r="N376" s="1">
        <v>121.0</v>
      </c>
      <c r="O376" s="1">
        <v>1.0</v>
      </c>
      <c r="P376" s="1">
        <v>10.0</v>
      </c>
      <c r="Q376" s="1">
        <v>0.0</v>
      </c>
      <c r="R376" s="1">
        <v>0.0</v>
      </c>
      <c r="S376" s="1">
        <v>19.0</v>
      </c>
      <c r="T376" s="1">
        <v>16.0</v>
      </c>
      <c r="U376" s="1">
        <v>1.0</v>
      </c>
    </row>
    <row r="377" ht="12.75" customHeight="1">
      <c r="A377" s="1" t="s">
        <v>329</v>
      </c>
      <c r="B377" s="1">
        <f t="shared" si="3"/>
        <v>363</v>
      </c>
      <c r="C377" s="1" t="str">
        <f>IFERROR(__xludf.DUMMYFUNCTION("split(A377, ""\"")"),"Matt Niskanen")</f>
        <v>Matt Niskanen</v>
      </c>
      <c r="D377" s="1" t="str">
        <f>IFERROR(__xludf.DUMMYFUNCTION("""COMPUTED_VALUE"""),"niskama01")</f>
        <v>niskama01</v>
      </c>
      <c r="E377" s="1" t="s">
        <v>66</v>
      </c>
      <c r="F377" s="1">
        <f t="shared" si="1"/>
        <v>215.55</v>
      </c>
      <c r="G377" s="1">
        <f t="shared" si="2"/>
        <v>3.17</v>
      </c>
      <c r="H377" s="1">
        <v>68.0</v>
      </c>
      <c r="I377" s="1">
        <v>7.0</v>
      </c>
      <c r="J377" s="1">
        <v>22.0</v>
      </c>
      <c r="K377" s="1">
        <v>29.0</v>
      </c>
      <c r="L377" s="1">
        <v>120.0</v>
      </c>
      <c r="M377" s="1">
        <v>117.0</v>
      </c>
      <c r="N377" s="1">
        <v>98.0</v>
      </c>
      <c r="O377" s="1">
        <v>0.0</v>
      </c>
      <c r="P377" s="1">
        <v>0.0</v>
      </c>
      <c r="Q377" s="1">
        <v>0.0</v>
      </c>
      <c r="R377" s="1">
        <v>1.0</v>
      </c>
      <c r="S377" s="1">
        <v>24.0</v>
      </c>
      <c r="T377" s="1">
        <v>36.0</v>
      </c>
      <c r="U377" s="1">
        <v>1.0</v>
      </c>
    </row>
    <row r="378" ht="12.75" customHeight="1">
      <c r="A378" s="1" t="s">
        <v>386</v>
      </c>
      <c r="B378" s="1">
        <f t="shared" si="3"/>
        <v>363</v>
      </c>
      <c r="C378" s="1" t="str">
        <f>IFERROR(__xludf.DUMMYFUNCTION("split(A378, ""\"")"),"Leo Komarov")</f>
        <v>Leo Komarov</v>
      </c>
      <c r="D378" s="1" t="str">
        <f>IFERROR(__xludf.DUMMYFUNCTION("""COMPUTED_VALUE"""),"komarle01")</f>
        <v>komarle01</v>
      </c>
      <c r="E378" s="1" t="s">
        <v>31</v>
      </c>
      <c r="F378" s="1">
        <f t="shared" si="1"/>
        <v>215.55</v>
      </c>
      <c r="G378" s="1">
        <f t="shared" si="2"/>
        <v>2.91</v>
      </c>
      <c r="H378" s="1">
        <v>74.0</v>
      </c>
      <c r="I378" s="1">
        <v>7.0</v>
      </c>
      <c r="J378" s="1">
        <v>12.0</v>
      </c>
      <c r="K378" s="1">
        <v>19.0</v>
      </c>
      <c r="L378" s="1">
        <v>114.0</v>
      </c>
      <c r="M378" s="1">
        <v>219.0</v>
      </c>
      <c r="N378" s="1">
        <v>48.0</v>
      </c>
      <c r="O378" s="1">
        <v>2.0</v>
      </c>
      <c r="P378" s="1">
        <v>1.0</v>
      </c>
      <c r="Q378" s="1">
        <v>1.0</v>
      </c>
      <c r="R378" s="1">
        <v>0.0</v>
      </c>
      <c r="S378" s="1">
        <v>0.0</v>
      </c>
      <c r="T378" s="1">
        <v>31.0</v>
      </c>
      <c r="U378" s="1">
        <v>0.0</v>
      </c>
    </row>
    <row r="379" ht="12.75" customHeight="1">
      <c r="A379" s="1" t="s">
        <v>425</v>
      </c>
      <c r="B379" s="1">
        <f t="shared" si="3"/>
        <v>365</v>
      </c>
      <c r="C379" s="1" t="str">
        <f>IFERROR(__xludf.DUMMYFUNCTION("split(A379, ""\"")"),"Valtteri Filppula")</f>
        <v>Valtteri Filppula</v>
      </c>
      <c r="D379" s="1" t="str">
        <f>IFERROR(__xludf.DUMMYFUNCTION("""COMPUTED_VALUE"""),"filppva01")</f>
        <v>filppva01</v>
      </c>
      <c r="E379" s="1" t="s">
        <v>31</v>
      </c>
      <c r="F379" s="1">
        <f t="shared" si="1"/>
        <v>214.75</v>
      </c>
      <c r="G379" s="1">
        <f t="shared" si="2"/>
        <v>2.65</v>
      </c>
      <c r="H379" s="1">
        <v>81.0</v>
      </c>
      <c r="I379" s="1">
        <v>11.0</v>
      </c>
      <c r="J379" s="1">
        <v>22.0</v>
      </c>
      <c r="K379" s="1">
        <v>33.0</v>
      </c>
      <c r="L379" s="1">
        <v>70.0</v>
      </c>
      <c r="M379" s="1">
        <v>25.0</v>
      </c>
      <c r="N379" s="1">
        <v>55.0</v>
      </c>
      <c r="O379" s="1">
        <v>3.0</v>
      </c>
      <c r="P379" s="1">
        <v>1.0</v>
      </c>
      <c r="Q379" s="1">
        <v>0.0</v>
      </c>
      <c r="R379" s="1">
        <v>2.0</v>
      </c>
      <c r="S379" s="1">
        <v>-7.0</v>
      </c>
      <c r="T379" s="1">
        <v>20.0</v>
      </c>
      <c r="U379" s="1">
        <v>4.0</v>
      </c>
    </row>
    <row r="380" ht="12.75" customHeight="1">
      <c r="A380" s="1" t="s">
        <v>422</v>
      </c>
      <c r="B380" s="1">
        <f t="shared" si="3"/>
        <v>366</v>
      </c>
      <c r="C380" s="1" t="str">
        <f>IFERROR(__xludf.DUMMYFUNCTION("split(A380, ""\"")"),"Tobias Rieder")</f>
        <v>Tobias Rieder</v>
      </c>
      <c r="D380" s="1" t="str">
        <f>IFERROR(__xludf.DUMMYFUNCTION("""COMPUTED_VALUE"""),"riedeto01")</f>
        <v>riedeto01</v>
      </c>
      <c r="E380" s="1" t="s">
        <v>31</v>
      </c>
      <c r="F380" s="1">
        <f t="shared" si="1"/>
        <v>214.3</v>
      </c>
      <c r="G380" s="1">
        <f t="shared" si="2"/>
        <v>2.75</v>
      </c>
      <c r="H380" s="1">
        <v>78.0</v>
      </c>
      <c r="I380" s="1">
        <v>12.0</v>
      </c>
      <c r="J380" s="1">
        <v>13.0</v>
      </c>
      <c r="K380" s="1">
        <v>25.0</v>
      </c>
      <c r="L380" s="1">
        <v>114.0</v>
      </c>
      <c r="M380" s="1">
        <v>96.0</v>
      </c>
      <c r="N380" s="1">
        <v>41.0</v>
      </c>
      <c r="O380" s="1">
        <v>2.0</v>
      </c>
      <c r="P380" s="1">
        <v>1.0</v>
      </c>
      <c r="Q380" s="1">
        <v>0.0</v>
      </c>
      <c r="R380" s="1">
        <v>0.0</v>
      </c>
      <c r="S380" s="1">
        <v>-12.0</v>
      </c>
      <c r="T380" s="1">
        <v>6.0</v>
      </c>
      <c r="U380" s="1">
        <v>0.0</v>
      </c>
    </row>
    <row r="381" ht="12.75" customHeight="1">
      <c r="A381" s="1" t="s">
        <v>445</v>
      </c>
      <c r="B381" s="1">
        <f t="shared" si="3"/>
        <v>367</v>
      </c>
      <c r="C381" s="1" t="str">
        <f>IFERROR(__xludf.DUMMYFUNCTION("split(A381, ""\"")"),"Michael Stone")</f>
        <v>Michael Stone</v>
      </c>
      <c r="D381" s="1" t="str">
        <f>IFERROR(__xludf.DUMMYFUNCTION("""COMPUTED_VALUE"""),"stonemi01")</f>
        <v>stonemi01</v>
      </c>
      <c r="E381" s="1" t="s">
        <v>66</v>
      </c>
      <c r="F381" s="1">
        <f t="shared" si="1"/>
        <v>213.9</v>
      </c>
      <c r="G381" s="1">
        <f t="shared" si="2"/>
        <v>2.61</v>
      </c>
      <c r="H381" s="1">
        <v>82.0</v>
      </c>
      <c r="I381" s="1">
        <v>3.0</v>
      </c>
      <c r="J381" s="1">
        <v>7.0</v>
      </c>
      <c r="K381" s="1">
        <v>10.0</v>
      </c>
      <c r="L381" s="1">
        <v>98.0</v>
      </c>
      <c r="M381" s="1">
        <v>106.0</v>
      </c>
      <c r="N381" s="1">
        <v>158.0</v>
      </c>
      <c r="O381" s="1">
        <v>0.0</v>
      </c>
      <c r="P381" s="1">
        <v>1.0</v>
      </c>
      <c r="Q381" s="1">
        <v>0.0</v>
      </c>
      <c r="R381" s="1">
        <v>0.0</v>
      </c>
      <c r="S381" s="1">
        <v>-11.0</v>
      </c>
      <c r="T381" s="1">
        <v>28.0</v>
      </c>
      <c r="U381" s="1">
        <v>0.0</v>
      </c>
    </row>
    <row r="382" ht="12.75" customHeight="1">
      <c r="A382" s="1" t="s">
        <v>389</v>
      </c>
      <c r="B382" s="1">
        <f t="shared" si="3"/>
        <v>368</v>
      </c>
      <c r="C382" s="1" t="str">
        <f>IFERROR(__xludf.DUMMYFUNCTION("split(A382, ""\"")"),"Adam Pelech")</f>
        <v>Adam Pelech</v>
      </c>
      <c r="D382" s="1" t="str">
        <f>IFERROR(__xludf.DUMMYFUNCTION("""COMPUTED_VALUE"""),"pelecad01")</f>
        <v>pelecad01</v>
      </c>
      <c r="E382" s="1" t="s">
        <v>66</v>
      </c>
      <c r="F382" s="1">
        <f t="shared" si="1"/>
        <v>213.4</v>
      </c>
      <c r="G382" s="1">
        <f t="shared" si="2"/>
        <v>2.74</v>
      </c>
      <c r="H382" s="1">
        <v>78.0</v>
      </c>
      <c r="I382" s="1">
        <v>3.0</v>
      </c>
      <c r="J382" s="1">
        <v>16.0</v>
      </c>
      <c r="K382" s="1">
        <v>19.0</v>
      </c>
      <c r="L382" s="1">
        <v>106.0</v>
      </c>
      <c r="M382" s="1">
        <v>100.0</v>
      </c>
      <c r="N382" s="1">
        <v>142.0</v>
      </c>
      <c r="O382" s="1">
        <v>0.0</v>
      </c>
      <c r="P382" s="1">
        <v>2.0</v>
      </c>
      <c r="Q382" s="1">
        <v>0.0</v>
      </c>
      <c r="R382" s="1">
        <v>1.0</v>
      </c>
      <c r="S382" s="1">
        <v>7.0</v>
      </c>
      <c r="T382" s="1">
        <v>28.0</v>
      </c>
      <c r="U382" s="1">
        <v>1.0</v>
      </c>
    </row>
    <row r="383" ht="12.75" customHeight="1">
      <c r="A383" s="1" t="s">
        <v>390</v>
      </c>
      <c r="B383" s="1">
        <f t="shared" si="3"/>
        <v>369</v>
      </c>
      <c r="C383" s="1" t="str">
        <f>IFERROR(__xludf.DUMMYFUNCTION("split(A383, ""\"")"),"Stefan Noesen")</f>
        <v>Stefan Noesen</v>
      </c>
      <c r="D383" s="1" t="str">
        <f>IFERROR(__xludf.DUMMYFUNCTION("""COMPUTED_VALUE"""),"noesest01")</f>
        <v>noesest01</v>
      </c>
      <c r="E383" s="1" t="s">
        <v>36</v>
      </c>
      <c r="F383" s="1">
        <f t="shared" si="1"/>
        <v>213.3</v>
      </c>
      <c r="G383" s="1">
        <f t="shared" si="2"/>
        <v>2.96</v>
      </c>
      <c r="H383" s="1">
        <v>72.0</v>
      </c>
      <c r="I383" s="1">
        <v>13.0</v>
      </c>
      <c r="J383" s="1">
        <v>14.0</v>
      </c>
      <c r="K383" s="1">
        <v>27.0</v>
      </c>
      <c r="L383" s="1">
        <v>127.0</v>
      </c>
      <c r="M383" s="1">
        <v>112.0</v>
      </c>
      <c r="N383" s="1">
        <v>41.0</v>
      </c>
      <c r="O383" s="1">
        <v>0.0</v>
      </c>
      <c r="P383" s="1">
        <v>0.0</v>
      </c>
      <c r="Q383" s="1">
        <v>0.0</v>
      </c>
      <c r="R383" s="1">
        <v>0.0</v>
      </c>
      <c r="S383" s="1">
        <v>12.0</v>
      </c>
      <c r="T383" s="1">
        <v>36.0</v>
      </c>
      <c r="U383" s="1">
        <v>4.0</v>
      </c>
    </row>
    <row r="384" ht="12.75" customHeight="1">
      <c r="A384" s="1" t="s">
        <v>438</v>
      </c>
      <c r="B384" s="1">
        <f t="shared" si="3"/>
        <v>370</v>
      </c>
      <c r="C384" s="1" t="str">
        <f>IFERROR(__xludf.DUMMYFUNCTION("split(A384, ""\"")"),"Karl Alzner")</f>
        <v>Karl Alzner</v>
      </c>
      <c r="D384" s="1" t="str">
        <f>IFERROR(__xludf.DUMMYFUNCTION("""COMPUTED_VALUE"""),"alzneka01")</f>
        <v>alzneka01</v>
      </c>
      <c r="E384" s="1" t="s">
        <v>66</v>
      </c>
      <c r="F384" s="1">
        <f t="shared" si="1"/>
        <v>212.25</v>
      </c>
      <c r="G384" s="1">
        <f t="shared" si="2"/>
        <v>2.59</v>
      </c>
      <c r="H384" s="1">
        <v>82.0</v>
      </c>
      <c r="I384" s="1">
        <v>1.0</v>
      </c>
      <c r="J384" s="1">
        <v>11.0</v>
      </c>
      <c r="K384" s="1">
        <v>12.0</v>
      </c>
      <c r="L384" s="1">
        <v>84.0</v>
      </c>
      <c r="M384" s="1">
        <v>141.0</v>
      </c>
      <c r="N384" s="1">
        <v>144.0</v>
      </c>
      <c r="O384" s="1">
        <v>0.0</v>
      </c>
      <c r="P384" s="1">
        <v>0.0</v>
      </c>
      <c r="Q384" s="1">
        <v>0.0</v>
      </c>
      <c r="R384" s="1">
        <v>1.0</v>
      </c>
      <c r="S384" s="1">
        <v>-7.0</v>
      </c>
      <c r="T384" s="1">
        <v>40.0</v>
      </c>
      <c r="U384" s="1">
        <v>0.0</v>
      </c>
    </row>
    <row r="385" ht="12.75" customHeight="1">
      <c r="A385" s="1" t="s">
        <v>366</v>
      </c>
      <c r="B385" s="1">
        <f t="shared" si="3"/>
        <v>371</v>
      </c>
      <c r="C385" s="1" t="str">
        <f>IFERROR(__xludf.DUMMYFUNCTION("split(A385, ""\"")"),"Nino Niederreiter")</f>
        <v>Nino Niederreiter</v>
      </c>
      <c r="D385" s="1" t="str">
        <f>IFERROR(__xludf.DUMMYFUNCTION("""COMPUTED_VALUE"""),"niedeni01")</f>
        <v>niedeni01</v>
      </c>
      <c r="E385" s="1" t="s">
        <v>36</v>
      </c>
      <c r="F385" s="1">
        <f t="shared" si="1"/>
        <v>211.8</v>
      </c>
      <c r="G385" s="1">
        <f t="shared" si="2"/>
        <v>3.36</v>
      </c>
      <c r="H385" s="1">
        <v>63.0</v>
      </c>
      <c r="I385" s="1">
        <v>18.0</v>
      </c>
      <c r="J385" s="1">
        <v>14.0</v>
      </c>
      <c r="K385" s="1">
        <v>32.0</v>
      </c>
      <c r="L385" s="1">
        <v>133.0</v>
      </c>
      <c r="M385" s="1">
        <v>58.0</v>
      </c>
      <c r="N385" s="1">
        <v>20.0</v>
      </c>
      <c r="O385" s="1">
        <v>7.0</v>
      </c>
      <c r="P385" s="1">
        <v>1.0</v>
      </c>
      <c r="Q385" s="1">
        <v>0.0</v>
      </c>
      <c r="R385" s="1">
        <v>0.0</v>
      </c>
      <c r="S385" s="1">
        <v>14.0</v>
      </c>
      <c r="T385" s="1">
        <v>36.0</v>
      </c>
      <c r="U385" s="1">
        <v>4.0</v>
      </c>
    </row>
    <row r="386" ht="12.75" customHeight="1">
      <c r="A386" s="1" t="s">
        <v>415</v>
      </c>
      <c r="B386" s="1">
        <f t="shared" si="3"/>
        <v>372</v>
      </c>
      <c r="C386" s="1" t="str">
        <f>IFERROR(__xludf.DUMMYFUNCTION("split(A386, ""\"")"),"Marcus Foligno")</f>
        <v>Marcus Foligno</v>
      </c>
      <c r="D386" s="1" t="str">
        <f>IFERROR(__xludf.DUMMYFUNCTION("""COMPUTED_VALUE"""),"foligma01")</f>
        <v>foligma01</v>
      </c>
      <c r="E386" s="1" t="s">
        <v>28</v>
      </c>
      <c r="F386" s="1">
        <f t="shared" si="1"/>
        <v>211.35</v>
      </c>
      <c r="G386" s="1">
        <f t="shared" si="2"/>
        <v>2.74</v>
      </c>
      <c r="H386" s="1">
        <v>77.0</v>
      </c>
      <c r="I386" s="1">
        <v>8.0</v>
      </c>
      <c r="J386" s="1">
        <v>15.0</v>
      </c>
      <c r="K386" s="1">
        <v>23.0</v>
      </c>
      <c r="L386" s="1">
        <v>79.0</v>
      </c>
      <c r="M386" s="1">
        <v>185.0</v>
      </c>
      <c r="N386" s="1">
        <v>44.0</v>
      </c>
      <c r="O386" s="1">
        <v>1.0</v>
      </c>
      <c r="P386" s="1">
        <v>1.0</v>
      </c>
      <c r="Q386" s="1">
        <v>0.0</v>
      </c>
      <c r="R386" s="1">
        <v>0.0</v>
      </c>
      <c r="S386" s="1">
        <v>2.0</v>
      </c>
      <c r="T386" s="1">
        <v>72.0</v>
      </c>
      <c r="U386" s="1">
        <v>2.0</v>
      </c>
    </row>
    <row r="387" ht="12.75" customHeight="1">
      <c r="A387" s="1" t="s">
        <v>455</v>
      </c>
      <c r="B387" s="1">
        <f t="shared" si="3"/>
        <v>373</v>
      </c>
      <c r="C387" s="1" t="str">
        <f>IFERROR(__xludf.DUMMYFUNCTION("split(A387, ""\"")"),"Tommy Wingels")</f>
        <v>Tommy Wingels</v>
      </c>
      <c r="D387" s="1" t="str">
        <f>IFERROR(__xludf.DUMMYFUNCTION("""COMPUTED_VALUE"""),"wingeto01")</f>
        <v>wingeto01</v>
      </c>
      <c r="E387" s="1" t="s">
        <v>31</v>
      </c>
      <c r="F387" s="1">
        <f t="shared" si="1"/>
        <v>210.75</v>
      </c>
      <c r="G387" s="1">
        <f t="shared" si="2"/>
        <v>2.81</v>
      </c>
      <c r="H387" s="1">
        <v>75.0</v>
      </c>
      <c r="I387" s="1">
        <v>9.0</v>
      </c>
      <c r="J387" s="1">
        <v>8.0</v>
      </c>
      <c r="K387" s="1">
        <v>17.0</v>
      </c>
      <c r="L387" s="1">
        <v>86.0</v>
      </c>
      <c r="M387" s="1">
        <v>179.0</v>
      </c>
      <c r="N387" s="1">
        <v>41.0</v>
      </c>
      <c r="O387" s="1">
        <v>1.0</v>
      </c>
      <c r="P387" s="1">
        <v>0.0</v>
      </c>
      <c r="Q387" s="1">
        <v>2.0</v>
      </c>
      <c r="R387" s="1">
        <v>0.0</v>
      </c>
      <c r="S387" s="1">
        <v>-11.0</v>
      </c>
      <c r="T387" s="1">
        <v>45.0</v>
      </c>
      <c r="U387" s="1">
        <v>1.0</v>
      </c>
    </row>
    <row r="388" ht="12.75" customHeight="1">
      <c r="A388" s="1" t="s">
        <v>439</v>
      </c>
      <c r="B388" s="1">
        <f t="shared" si="3"/>
        <v>374</v>
      </c>
      <c r="C388" s="1" t="str">
        <f>IFERROR(__xludf.DUMMYFUNCTION("split(A388, ""\"")"),"Mark Pysyk")</f>
        <v>Mark Pysyk</v>
      </c>
      <c r="D388" s="1" t="str">
        <f>IFERROR(__xludf.DUMMYFUNCTION("""COMPUTED_VALUE"""),"pysykma01")</f>
        <v>pysykma01</v>
      </c>
      <c r="E388" s="1" t="s">
        <v>66</v>
      </c>
      <c r="F388" s="1">
        <f t="shared" si="1"/>
        <v>210.5</v>
      </c>
      <c r="G388" s="1">
        <f t="shared" si="2"/>
        <v>2.57</v>
      </c>
      <c r="H388" s="1">
        <v>82.0</v>
      </c>
      <c r="I388" s="1">
        <v>3.0</v>
      </c>
      <c r="J388" s="1">
        <v>13.0</v>
      </c>
      <c r="K388" s="1">
        <v>16.0</v>
      </c>
      <c r="L388" s="1">
        <v>106.0</v>
      </c>
      <c r="M388" s="1">
        <v>102.0</v>
      </c>
      <c r="N388" s="1">
        <v>123.0</v>
      </c>
      <c r="O388" s="1">
        <v>0.0</v>
      </c>
      <c r="P388" s="1">
        <v>0.0</v>
      </c>
      <c r="Q388" s="1">
        <v>0.0</v>
      </c>
      <c r="R388" s="1">
        <v>0.0</v>
      </c>
      <c r="S388" s="1">
        <v>-8.0</v>
      </c>
      <c r="T388" s="1">
        <v>20.0</v>
      </c>
      <c r="U388" s="1">
        <v>0.0</v>
      </c>
    </row>
    <row r="389" ht="12.75" customHeight="1">
      <c r="A389" s="1" t="s">
        <v>440</v>
      </c>
      <c r="B389" s="1">
        <f t="shared" si="3"/>
        <v>375</v>
      </c>
      <c r="C389" s="1" t="str">
        <f>IFERROR(__xludf.DUMMYFUNCTION("split(A389, ""\"")"),"Brandon Manning")</f>
        <v>Brandon Manning</v>
      </c>
      <c r="D389" s="1" t="str">
        <f>IFERROR(__xludf.DUMMYFUNCTION("""COMPUTED_VALUE"""),"mannibr01")</f>
        <v>mannibr01</v>
      </c>
      <c r="E389" s="1" t="s">
        <v>66</v>
      </c>
      <c r="F389" s="1">
        <f t="shared" si="1"/>
        <v>210.05</v>
      </c>
      <c r="G389" s="1">
        <f t="shared" si="2"/>
        <v>3.23</v>
      </c>
      <c r="H389" s="1">
        <v>65.0</v>
      </c>
      <c r="I389" s="1">
        <v>7.0</v>
      </c>
      <c r="J389" s="1">
        <v>12.0</v>
      </c>
      <c r="K389" s="1">
        <v>19.0</v>
      </c>
      <c r="L389" s="1">
        <v>111.0</v>
      </c>
      <c r="M389" s="1">
        <v>113.0</v>
      </c>
      <c r="N389" s="1">
        <v>76.0</v>
      </c>
      <c r="O389" s="1">
        <v>0.0</v>
      </c>
      <c r="P389" s="1">
        <v>1.0</v>
      </c>
      <c r="Q389" s="1">
        <v>0.0</v>
      </c>
      <c r="R389" s="1">
        <v>0.0</v>
      </c>
      <c r="S389" s="1">
        <v>0.0</v>
      </c>
      <c r="T389" s="1">
        <v>56.0</v>
      </c>
      <c r="U389" s="1">
        <v>2.0</v>
      </c>
    </row>
    <row r="390" ht="12.75" customHeight="1">
      <c r="A390" s="1" t="s">
        <v>406</v>
      </c>
      <c r="B390" s="1">
        <f t="shared" si="3"/>
        <v>376</v>
      </c>
      <c r="C390" s="1" t="str">
        <f>IFERROR(__xludf.DUMMYFUNCTION("split(A390, ""\"")"),"Greg Pateryn")</f>
        <v>Greg Pateryn</v>
      </c>
      <c r="D390" s="1" t="str">
        <f>IFERROR(__xludf.DUMMYFUNCTION("""COMPUTED_VALUE"""),"patergr01")</f>
        <v>patergr01</v>
      </c>
      <c r="E390" s="1" t="s">
        <v>66</v>
      </c>
      <c r="F390" s="1">
        <f t="shared" si="1"/>
        <v>209.25</v>
      </c>
      <c r="G390" s="1">
        <f t="shared" si="2"/>
        <v>2.87</v>
      </c>
      <c r="H390" s="1">
        <v>73.0</v>
      </c>
      <c r="I390" s="1">
        <v>1.0</v>
      </c>
      <c r="J390" s="1">
        <v>12.0</v>
      </c>
      <c r="K390" s="1">
        <v>13.0</v>
      </c>
      <c r="L390" s="1">
        <v>100.0</v>
      </c>
      <c r="M390" s="1">
        <v>155.0</v>
      </c>
      <c r="N390" s="1">
        <v>148.0</v>
      </c>
      <c r="O390" s="1">
        <v>0.0</v>
      </c>
      <c r="P390" s="1">
        <v>0.0</v>
      </c>
      <c r="Q390" s="1">
        <v>0.0</v>
      </c>
      <c r="R390" s="1">
        <v>0.0</v>
      </c>
      <c r="S390" s="1">
        <v>6.0</v>
      </c>
      <c r="T390" s="1">
        <v>50.0</v>
      </c>
      <c r="U390" s="1">
        <v>0.0</v>
      </c>
    </row>
    <row r="391" ht="12.75" customHeight="1">
      <c r="A391" s="1" t="s">
        <v>482</v>
      </c>
      <c r="B391" s="1">
        <f t="shared" si="3"/>
        <v>377</v>
      </c>
      <c r="C391" s="1" t="str">
        <f>IFERROR(__xludf.DUMMYFUNCTION("split(A391, ""\"")"),"Mark Letestu")</f>
        <v>Mark Letestu</v>
      </c>
      <c r="D391" s="1" t="str">
        <f>IFERROR(__xludf.DUMMYFUNCTION("""COMPUTED_VALUE"""),"letesma01")</f>
        <v>letesma01</v>
      </c>
      <c r="E391" s="1" t="s">
        <v>31</v>
      </c>
      <c r="F391" s="1">
        <f t="shared" si="1"/>
        <v>209</v>
      </c>
      <c r="G391" s="1">
        <f t="shared" si="2"/>
        <v>2.61</v>
      </c>
      <c r="H391" s="1">
        <v>80.0</v>
      </c>
      <c r="I391" s="1">
        <v>9.0</v>
      </c>
      <c r="J391" s="1">
        <v>14.0</v>
      </c>
      <c r="K391" s="1">
        <v>23.0</v>
      </c>
      <c r="L391" s="1">
        <v>111.0</v>
      </c>
      <c r="M391" s="1">
        <v>62.0</v>
      </c>
      <c r="N391" s="1">
        <v>32.0</v>
      </c>
      <c r="O391" s="1">
        <v>3.0</v>
      </c>
      <c r="P391" s="1">
        <v>3.0</v>
      </c>
      <c r="Q391" s="1">
        <v>2.0</v>
      </c>
      <c r="R391" s="1">
        <v>1.0</v>
      </c>
      <c r="S391" s="1">
        <v>-17.0</v>
      </c>
      <c r="T391" s="1">
        <v>10.0</v>
      </c>
      <c r="U391" s="1">
        <v>1.0</v>
      </c>
    </row>
    <row r="392" ht="12.75" customHeight="1">
      <c r="A392" s="1" t="s">
        <v>393</v>
      </c>
      <c r="B392" s="1">
        <f t="shared" si="3"/>
        <v>378</v>
      </c>
      <c r="C392" s="1" t="str">
        <f>IFERROR(__xludf.DUMMYFUNCTION("split(A392, ""\"")"),"Shea Theodore")</f>
        <v>Shea Theodore</v>
      </c>
      <c r="D392" s="1" t="str">
        <f>IFERROR(__xludf.DUMMYFUNCTION("""COMPUTED_VALUE"""),"theodsh01")</f>
        <v>theodsh01</v>
      </c>
      <c r="E392" s="1" t="s">
        <v>66</v>
      </c>
      <c r="F392" s="1">
        <f t="shared" si="1"/>
        <v>208.95</v>
      </c>
      <c r="G392" s="1">
        <f t="shared" si="2"/>
        <v>3.43</v>
      </c>
      <c r="H392" s="1">
        <v>61.0</v>
      </c>
      <c r="I392" s="1">
        <v>6.0</v>
      </c>
      <c r="J392" s="1">
        <v>23.0</v>
      </c>
      <c r="K392" s="1">
        <v>29.0</v>
      </c>
      <c r="L392" s="1">
        <v>144.0</v>
      </c>
      <c r="M392" s="1">
        <v>29.0</v>
      </c>
      <c r="N392" s="1">
        <v>70.0</v>
      </c>
      <c r="O392" s="1">
        <v>1.0</v>
      </c>
      <c r="P392" s="1">
        <v>8.0</v>
      </c>
      <c r="Q392" s="1">
        <v>0.0</v>
      </c>
      <c r="R392" s="1">
        <v>0.0</v>
      </c>
      <c r="S392" s="1">
        <v>5.0</v>
      </c>
      <c r="T392" s="1">
        <v>14.0</v>
      </c>
      <c r="U392" s="1">
        <v>1.0</v>
      </c>
    </row>
    <row r="393" ht="12.75" customHeight="1">
      <c r="A393" s="1" t="s">
        <v>395</v>
      </c>
      <c r="B393" s="1">
        <f t="shared" si="3"/>
        <v>379</v>
      </c>
      <c r="C393" s="1" t="str">
        <f>IFERROR(__xludf.DUMMYFUNCTION("split(A393, ""\"")"),"Joe Thornton")</f>
        <v>Joe Thornton</v>
      </c>
      <c r="D393" s="1" t="str">
        <f>IFERROR(__xludf.DUMMYFUNCTION("""COMPUTED_VALUE"""),"thornjo01")</f>
        <v>thornjo01</v>
      </c>
      <c r="E393" s="1" t="s">
        <v>31</v>
      </c>
      <c r="F393" s="1">
        <f t="shared" si="1"/>
        <v>208.9</v>
      </c>
      <c r="G393" s="1">
        <f t="shared" si="2"/>
        <v>4.44</v>
      </c>
      <c r="H393" s="1">
        <v>47.0</v>
      </c>
      <c r="I393" s="1">
        <v>13.0</v>
      </c>
      <c r="J393" s="1">
        <v>23.0</v>
      </c>
      <c r="K393" s="1">
        <v>36.0</v>
      </c>
      <c r="L393" s="1">
        <v>75.0</v>
      </c>
      <c r="M393" s="1">
        <v>32.0</v>
      </c>
      <c r="N393" s="1">
        <v>18.0</v>
      </c>
      <c r="O393" s="1">
        <v>7.0</v>
      </c>
      <c r="P393" s="1">
        <v>11.0</v>
      </c>
      <c r="Q393" s="1">
        <v>0.0</v>
      </c>
      <c r="R393" s="1">
        <v>0.0</v>
      </c>
      <c r="S393" s="1">
        <v>-9.0</v>
      </c>
      <c r="T393" s="1">
        <v>38.0</v>
      </c>
      <c r="U393" s="1">
        <v>1.0</v>
      </c>
    </row>
    <row r="394" ht="12.75" customHeight="1">
      <c r="A394" s="1" t="s">
        <v>456</v>
      </c>
      <c r="B394" s="1">
        <f t="shared" si="3"/>
        <v>380</v>
      </c>
      <c r="C394" s="1" t="str">
        <f>IFERROR(__xludf.DUMMYFUNCTION("split(A394, ""\"")"),"Tomas Plekanec")</f>
        <v>Tomas Plekanec</v>
      </c>
      <c r="D394" s="1" t="str">
        <f>IFERROR(__xludf.DUMMYFUNCTION("""COMPUTED_VALUE"""),"plekato01")</f>
        <v>plekato01</v>
      </c>
      <c r="E394" s="1" t="s">
        <v>31</v>
      </c>
      <c r="F394" s="1">
        <f t="shared" si="1"/>
        <v>208.75</v>
      </c>
      <c r="G394" s="1">
        <f t="shared" si="2"/>
        <v>2.71</v>
      </c>
      <c r="H394" s="1">
        <v>77.0</v>
      </c>
      <c r="I394" s="1">
        <v>6.0</v>
      </c>
      <c r="J394" s="1">
        <v>20.0</v>
      </c>
      <c r="K394" s="1">
        <v>26.0</v>
      </c>
      <c r="L394" s="1">
        <v>144.0</v>
      </c>
      <c r="M394" s="1">
        <v>61.0</v>
      </c>
      <c r="N394" s="1">
        <v>41.0</v>
      </c>
      <c r="O394" s="1">
        <v>0.0</v>
      </c>
      <c r="P394" s="1">
        <v>0.0</v>
      </c>
      <c r="Q394" s="1">
        <v>0.0</v>
      </c>
      <c r="R394" s="1">
        <v>0.0</v>
      </c>
      <c r="S394" s="1">
        <v>1.0</v>
      </c>
      <c r="T394" s="1">
        <v>45.0</v>
      </c>
      <c r="U394" s="1">
        <v>1.0</v>
      </c>
    </row>
    <row r="395" ht="12.75" customHeight="1">
      <c r="A395" s="1" t="s">
        <v>294</v>
      </c>
      <c r="B395" s="1">
        <f t="shared" si="3"/>
        <v>381</v>
      </c>
      <c r="C395" s="1" t="str">
        <f>IFERROR(__xludf.DUMMYFUNCTION("split(A395, ""\"")"),"Philipp Grubauer")</f>
        <v>Philipp Grubauer</v>
      </c>
      <c r="D395" s="2" t="str">
        <f>IFERROR(__xludf.DUMMYFUNCTION("""COMPUTED_VALUE"""),"grubaph01")</f>
        <v>grubaph01</v>
      </c>
      <c r="E395" s="1" t="s">
        <v>5</v>
      </c>
      <c r="F395" s="1">
        <f t="shared" si="1"/>
        <v>208.5</v>
      </c>
      <c r="G395" s="1">
        <f t="shared" si="2"/>
        <v>5.96</v>
      </c>
      <c r="H395" s="1">
        <v>35.0</v>
      </c>
      <c r="V395" s="1">
        <v>28.0</v>
      </c>
      <c r="W395" s="1">
        <v>15.0</v>
      </c>
      <c r="X395" s="1">
        <v>10.0</v>
      </c>
      <c r="Y395" s="1">
        <v>73.0</v>
      </c>
      <c r="Z395" s="1">
        <v>953.0</v>
      </c>
      <c r="AA395" s="1">
        <v>880.0</v>
      </c>
      <c r="AB395" s="1">
        <v>3.0</v>
      </c>
    </row>
    <row r="396" ht="12.75" customHeight="1">
      <c r="A396" s="1" t="s">
        <v>332</v>
      </c>
      <c r="B396" s="1">
        <f t="shared" si="3"/>
        <v>382</v>
      </c>
      <c r="C396" s="1" t="str">
        <f>IFERROR(__xludf.DUMMYFUNCTION("split(A396, ""\"")"),"Charlie McAvoy")</f>
        <v>Charlie McAvoy</v>
      </c>
      <c r="D396" s="1" t="str">
        <f>IFERROR(__xludf.DUMMYFUNCTION("""COMPUTED_VALUE"""),"mcavoch01")</f>
        <v>mcavoch01</v>
      </c>
      <c r="E396" s="1" t="s">
        <v>66</v>
      </c>
      <c r="F396" s="1">
        <f t="shared" si="1"/>
        <v>208.15</v>
      </c>
      <c r="G396" s="1">
        <f t="shared" si="2"/>
        <v>3.3</v>
      </c>
      <c r="H396" s="1">
        <v>63.0</v>
      </c>
      <c r="I396" s="1">
        <v>7.0</v>
      </c>
      <c r="J396" s="1">
        <v>25.0</v>
      </c>
      <c r="K396" s="1">
        <v>32.0</v>
      </c>
      <c r="L396" s="1">
        <v>77.0</v>
      </c>
      <c r="M396" s="1">
        <v>133.0</v>
      </c>
      <c r="N396" s="1">
        <v>80.0</v>
      </c>
      <c r="O396" s="1">
        <v>2.0</v>
      </c>
      <c r="P396" s="1">
        <v>5.0</v>
      </c>
      <c r="Q396" s="1">
        <v>0.0</v>
      </c>
      <c r="R396" s="1">
        <v>0.0</v>
      </c>
      <c r="S396" s="1">
        <v>20.0</v>
      </c>
      <c r="T396" s="1">
        <v>53.0</v>
      </c>
      <c r="U396" s="1">
        <v>2.0</v>
      </c>
    </row>
    <row r="397" ht="12.75" customHeight="1">
      <c r="A397" s="1" t="s">
        <v>510</v>
      </c>
      <c r="B397" s="1">
        <f t="shared" si="3"/>
        <v>383</v>
      </c>
      <c r="C397" s="1" t="str">
        <f>IFERROR(__xludf.DUMMYFUNCTION("split(A397, ""\"")"),"Travis Hamonic")</f>
        <v>Travis Hamonic</v>
      </c>
      <c r="D397" s="1" t="str">
        <f>IFERROR(__xludf.DUMMYFUNCTION("""COMPUTED_VALUE"""),"hamontr01")</f>
        <v>hamontr01</v>
      </c>
      <c r="E397" s="1" t="s">
        <v>66</v>
      </c>
      <c r="F397" s="1">
        <f t="shared" si="1"/>
        <v>207.95</v>
      </c>
      <c r="G397" s="1">
        <f t="shared" si="2"/>
        <v>2.81</v>
      </c>
      <c r="H397" s="1">
        <v>74.0</v>
      </c>
      <c r="I397" s="1">
        <v>1.0</v>
      </c>
      <c r="J397" s="1">
        <v>10.0</v>
      </c>
      <c r="K397" s="1">
        <v>11.0</v>
      </c>
      <c r="L397" s="1">
        <v>107.0</v>
      </c>
      <c r="M397" s="1">
        <v>83.0</v>
      </c>
      <c r="N397" s="1">
        <v>124.0</v>
      </c>
      <c r="O397" s="1">
        <v>0.0</v>
      </c>
      <c r="P397" s="1">
        <v>0.0</v>
      </c>
      <c r="Q397" s="1">
        <v>0.0</v>
      </c>
      <c r="R397" s="1">
        <v>0.0</v>
      </c>
      <c r="S397" s="1">
        <v>-9.0</v>
      </c>
      <c r="T397" s="1">
        <v>79.0</v>
      </c>
      <c r="U397" s="1">
        <v>0.0</v>
      </c>
    </row>
    <row r="398" ht="12.75" customHeight="1">
      <c r="A398" s="1" t="s">
        <v>432</v>
      </c>
      <c r="B398" s="1">
        <f t="shared" si="3"/>
        <v>384</v>
      </c>
      <c r="C398" s="1" t="str">
        <f>IFERROR(__xludf.DUMMYFUNCTION("split(A398, ""\"")"),"Dan Hamhuis")</f>
        <v>Dan Hamhuis</v>
      </c>
      <c r="D398" s="1" t="str">
        <f>IFERROR(__xludf.DUMMYFUNCTION("""COMPUTED_VALUE"""),"hamhuda01")</f>
        <v>hamhuda01</v>
      </c>
      <c r="E398" s="1" t="s">
        <v>66</v>
      </c>
      <c r="F398" s="1">
        <f t="shared" si="1"/>
        <v>207.4</v>
      </c>
      <c r="G398" s="1">
        <f t="shared" si="2"/>
        <v>2.59</v>
      </c>
      <c r="H398" s="1">
        <v>80.0</v>
      </c>
      <c r="I398" s="1">
        <v>3.0</v>
      </c>
      <c r="J398" s="1">
        <v>21.0</v>
      </c>
      <c r="K398" s="1">
        <v>24.0</v>
      </c>
      <c r="L398" s="1">
        <v>66.0</v>
      </c>
      <c r="M398" s="1">
        <v>82.0</v>
      </c>
      <c r="N398" s="1">
        <v>113.0</v>
      </c>
      <c r="O398" s="1">
        <v>0.0</v>
      </c>
      <c r="P398" s="1">
        <v>2.0</v>
      </c>
      <c r="Q398" s="1">
        <v>0.0</v>
      </c>
      <c r="R398" s="1">
        <v>0.0</v>
      </c>
      <c r="S398" s="1">
        <v>-6.0</v>
      </c>
      <c r="T398" s="1">
        <v>33.0</v>
      </c>
      <c r="U398" s="1">
        <v>1.0</v>
      </c>
    </row>
    <row r="399" ht="12.75" customHeight="1">
      <c r="A399" s="1" t="s">
        <v>399</v>
      </c>
      <c r="B399" s="1">
        <f t="shared" si="3"/>
        <v>385</v>
      </c>
      <c r="C399" s="1" t="str">
        <f>IFERROR(__xludf.DUMMYFUNCTION("split(A399, ""\"")"),"Riley Sheahan")</f>
        <v>Riley Sheahan</v>
      </c>
      <c r="D399" s="1" t="str">
        <f>IFERROR(__xludf.DUMMYFUNCTION("""COMPUTED_VALUE"""),"sheahri01")</f>
        <v>sheahri01</v>
      </c>
      <c r="E399" s="1" t="s">
        <v>31</v>
      </c>
      <c r="F399" s="1">
        <f t="shared" si="1"/>
        <v>206.4</v>
      </c>
      <c r="G399" s="1">
        <f t="shared" si="2"/>
        <v>2.55</v>
      </c>
      <c r="H399" s="1">
        <v>81.0</v>
      </c>
      <c r="I399" s="1">
        <v>11.0</v>
      </c>
      <c r="J399" s="1">
        <v>21.0</v>
      </c>
      <c r="K399" s="1">
        <v>32.0</v>
      </c>
      <c r="L399" s="1">
        <v>109.0</v>
      </c>
      <c r="M399" s="1">
        <v>52.0</v>
      </c>
      <c r="N399" s="1">
        <v>50.0</v>
      </c>
      <c r="O399" s="1">
        <v>1.0</v>
      </c>
      <c r="P399" s="1">
        <v>1.0</v>
      </c>
      <c r="Q399" s="1">
        <v>0.0</v>
      </c>
      <c r="R399" s="1">
        <v>1.0</v>
      </c>
      <c r="S399" s="1">
        <v>4.0</v>
      </c>
      <c r="T399" s="1">
        <v>8.0</v>
      </c>
      <c r="U399" s="1">
        <v>1.0</v>
      </c>
    </row>
    <row r="400" ht="12.75" customHeight="1">
      <c r="A400" s="1" t="s">
        <v>354</v>
      </c>
      <c r="B400" s="1">
        <f t="shared" si="3"/>
        <v>386</v>
      </c>
      <c r="C400" s="1" t="str">
        <f>IFERROR(__xludf.DUMMYFUNCTION("split(A400, ""\"")"),"Dan Girardi")</f>
        <v>Dan Girardi</v>
      </c>
      <c r="D400" s="1" t="str">
        <f>IFERROR(__xludf.DUMMYFUNCTION("""COMPUTED_VALUE"""),"girarda01")</f>
        <v>girarda01</v>
      </c>
      <c r="E400" s="1" t="s">
        <v>66</v>
      </c>
      <c r="F400" s="1">
        <f t="shared" si="1"/>
        <v>206.35</v>
      </c>
      <c r="G400" s="1">
        <f t="shared" si="2"/>
        <v>2.68</v>
      </c>
      <c r="H400" s="1">
        <v>77.0</v>
      </c>
      <c r="I400" s="1">
        <v>6.0</v>
      </c>
      <c r="J400" s="1">
        <v>12.0</v>
      </c>
      <c r="K400" s="1">
        <v>18.0</v>
      </c>
      <c r="L400" s="1">
        <v>93.0</v>
      </c>
      <c r="M400" s="1">
        <v>133.0</v>
      </c>
      <c r="N400" s="1">
        <v>155.0</v>
      </c>
      <c r="O400" s="1">
        <v>1.0</v>
      </c>
      <c r="P400" s="1">
        <v>0.0</v>
      </c>
      <c r="Q400" s="1">
        <v>0.0</v>
      </c>
      <c r="R400" s="1">
        <v>1.0</v>
      </c>
      <c r="S400" s="1">
        <v>18.0</v>
      </c>
      <c r="T400" s="1">
        <v>27.0</v>
      </c>
      <c r="U400" s="1">
        <v>1.0</v>
      </c>
    </row>
    <row r="401" ht="12.75" customHeight="1">
      <c r="A401" s="1" t="s">
        <v>418</v>
      </c>
      <c r="B401" s="1">
        <f t="shared" si="3"/>
        <v>387</v>
      </c>
      <c r="C401" s="1" t="str">
        <f>IFERROR(__xludf.DUMMYFUNCTION("split(A401, ""\"")"),"Nolan Patrick")</f>
        <v>Nolan Patrick</v>
      </c>
      <c r="D401" s="1" t="str">
        <f>IFERROR(__xludf.DUMMYFUNCTION("""COMPUTED_VALUE"""),"patrino01")</f>
        <v>patrino01</v>
      </c>
      <c r="E401" s="1" t="s">
        <v>31</v>
      </c>
      <c r="F401" s="1">
        <f t="shared" si="1"/>
        <v>206</v>
      </c>
      <c r="G401" s="1">
        <f t="shared" si="2"/>
        <v>2.82</v>
      </c>
      <c r="H401" s="1">
        <v>73.0</v>
      </c>
      <c r="I401" s="1">
        <v>13.0</v>
      </c>
      <c r="J401" s="1">
        <v>17.0</v>
      </c>
      <c r="K401" s="1">
        <v>30.0</v>
      </c>
      <c r="L401" s="1">
        <v>127.0</v>
      </c>
      <c r="M401" s="1">
        <v>48.0</v>
      </c>
      <c r="N401" s="1">
        <v>19.0</v>
      </c>
      <c r="O401" s="1">
        <v>5.0</v>
      </c>
      <c r="P401" s="1">
        <v>3.0</v>
      </c>
      <c r="Q401" s="1">
        <v>0.0</v>
      </c>
      <c r="R401" s="1">
        <v>0.0</v>
      </c>
      <c r="S401" s="1">
        <v>1.0</v>
      </c>
      <c r="T401" s="1">
        <v>30.0</v>
      </c>
      <c r="U401" s="1">
        <v>2.0</v>
      </c>
    </row>
    <row r="402" ht="12.75" customHeight="1">
      <c r="A402" s="1" t="s">
        <v>457</v>
      </c>
      <c r="B402" s="1">
        <f t="shared" si="3"/>
        <v>388</v>
      </c>
      <c r="C402" s="1" t="str">
        <f>IFERROR(__xludf.DUMMYFUNCTION("split(A402, ""\"")"),"Nick Cousins")</f>
        <v>Nick Cousins</v>
      </c>
      <c r="D402" s="1" t="str">
        <f>IFERROR(__xludf.DUMMYFUNCTION("""COMPUTED_VALUE"""),"cousini01")</f>
        <v>cousini01</v>
      </c>
      <c r="E402" s="1" t="s">
        <v>31</v>
      </c>
      <c r="F402" s="1">
        <f t="shared" si="1"/>
        <v>205.05</v>
      </c>
      <c r="G402" s="1">
        <f t="shared" si="2"/>
        <v>2.89</v>
      </c>
      <c r="H402" s="1">
        <v>71.0</v>
      </c>
      <c r="I402" s="1">
        <v>12.0</v>
      </c>
      <c r="J402" s="1">
        <v>7.0</v>
      </c>
      <c r="K402" s="1">
        <v>19.0</v>
      </c>
      <c r="L402" s="1">
        <v>119.0</v>
      </c>
      <c r="M402" s="1">
        <v>117.0</v>
      </c>
      <c r="N402" s="1">
        <v>39.0</v>
      </c>
      <c r="O402" s="1">
        <v>1.0</v>
      </c>
      <c r="P402" s="1">
        <v>0.0</v>
      </c>
      <c r="Q402" s="1">
        <v>0.0</v>
      </c>
      <c r="R402" s="1">
        <v>0.0</v>
      </c>
      <c r="S402" s="1">
        <v>-7.0</v>
      </c>
      <c r="T402" s="1">
        <v>31.0</v>
      </c>
      <c r="U402" s="1">
        <v>1.0</v>
      </c>
    </row>
    <row r="403" ht="12.75" customHeight="1">
      <c r="A403" s="1" t="s">
        <v>486</v>
      </c>
      <c r="B403" s="1">
        <f t="shared" si="3"/>
        <v>389</v>
      </c>
      <c r="C403" s="1" t="str">
        <f>IFERROR(__xludf.DUMMYFUNCTION("split(A403, ""\"")"),"Scott Laughton")</f>
        <v>Scott Laughton</v>
      </c>
      <c r="D403" s="1" t="str">
        <f>IFERROR(__xludf.DUMMYFUNCTION("""COMPUTED_VALUE"""),"laughsc01")</f>
        <v>laughsc01</v>
      </c>
      <c r="E403" s="1" t="s">
        <v>31</v>
      </c>
      <c r="F403" s="1">
        <f t="shared" si="1"/>
        <v>204.6</v>
      </c>
      <c r="G403" s="1">
        <f t="shared" si="2"/>
        <v>2.53</v>
      </c>
      <c r="H403" s="1">
        <v>81.0</v>
      </c>
      <c r="I403" s="1">
        <v>10.0</v>
      </c>
      <c r="J403" s="1">
        <v>10.0</v>
      </c>
      <c r="K403" s="1">
        <v>20.0</v>
      </c>
      <c r="L403" s="1">
        <v>108.0</v>
      </c>
      <c r="M403" s="1">
        <v>126.0</v>
      </c>
      <c r="N403" s="1">
        <v>27.0</v>
      </c>
      <c r="O403" s="1">
        <v>0.0</v>
      </c>
      <c r="P403" s="1">
        <v>0.0</v>
      </c>
      <c r="Q403" s="1">
        <v>1.0</v>
      </c>
      <c r="R403" s="1">
        <v>0.0</v>
      </c>
      <c r="S403" s="1">
        <v>-10.0</v>
      </c>
      <c r="T403" s="1">
        <v>42.0</v>
      </c>
      <c r="U403" s="1">
        <v>0.0</v>
      </c>
    </row>
    <row r="404" ht="12.75" customHeight="1">
      <c r="A404" s="1" t="s">
        <v>502</v>
      </c>
      <c r="B404" s="1">
        <f t="shared" si="3"/>
        <v>390</v>
      </c>
      <c r="C404" s="1" t="str">
        <f>IFERROR(__xludf.DUMMYFUNCTION("split(A404, ""\"")"),"Patrick Sharp")</f>
        <v>Patrick Sharp</v>
      </c>
      <c r="D404" s="1" t="str">
        <f>IFERROR(__xludf.DUMMYFUNCTION("""COMPUTED_VALUE"""),"sharppa01")</f>
        <v>sharppa01</v>
      </c>
      <c r="E404" s="1" t="s">
        <v>28</v>
      </c>
      <c r="F404" s="1">
        <f t="shared" si="1"/>
        <v>203.7</v>
      </c>
      <c r="G404" s="1">
        <f t="shared" si="2"/>
        <v>2.91</v>
      </c>
      <c r="H404" s="1">
        <v>70.0</v>
      </c>
      <c r="I404" s="1">
        <v>10.0</v>
      </c>
      <c r="J404" s="1">
        <v>11.0</v>
      </c>
      <c r="K404" s="1">
        <v>21.0</v>
      </c>
      <c r="L404" s="1">
        <v>143.0</v>
      </c>
      <c r="M404" s="1">
        <v>46.0</v>
      </c>
      <c r="N404" s="1">
        <v>25.0</v>
      </c>
      <c r="O404" s="1">
        <v>0.0</v>
      </c>
      <c r="P404" s="1">
        <v>4.0</v>
      </c>
      <c r="Q404" s="1">
        <v>0.0</v>
      </c>
      <c r="R404" s="1">
        <v>0.0</v>
      </c>
      <c r="S404" s="1">
        <v>-16.0</v>
      </c>
      <c r="T404" s="1">
        <v>14.0</v>
      </c>
      <c r="U404" s="1">
        <v>1.0</v>
      </c>
    </row>
    <row r="405" ht="12.75" customHeight="1">
      <c r="A405" s="1" t="s">
        <v>477</v>
      </c>
      <c r="B405" s="1">
        <f t="shared" si="3"/>
        <v>391</v>
      </c>
      <c r="C405" s="1" t="str">
        <f>IFERROR(__xludf.DUMMYFUNCTION("split(A405, ""\"")"),"Jason Spezza")</f>
        <v>Jason Spezza</v>
      </c>
      <c r="D405" s="1" t="str">
        <f>IFERROR(__xludf.DUMMYFUNCTION("""COMPUTED_VALUE"""),"spezzja01")</f>
        <v>spezzja01</v>
      </c>
      <c r="E405" s="1" t="s">
        <v>31</v>
      </c>
      <c r="F405" s="1">
        <f t="shared" si="1"/>
        <v>203.6</v>
      </c>
      <c r="G405" s="1">
        <f t="shared" si="2"/>
        <v>2.61</v>
      </c>
      <c r="H405" s="1">
        <v>78.0</v>
      </c>
      <c r="I405" s="1">
        <v>8.0</v>
      </c>
      <c r="J405" s="1">
        <v>18.0</v>
      </c>
      <c r="K405" s="1">
        <v>26.0</v>
      </c>
      <c r="L405" s="1">
        <v>138.0</v>
      </c>
      <c r="M405" s="1">
        <v>16.0</v>
      </c>
      <c r="N405" s="1">
        <v>26.0</v>
      </c>
      <c r="O405" s="1">
        <v>4.0</v>
      </c>
      <c r="P405" s="1">
        <v>7.0</v>
      </c>
      <c r="Q405" s="1">
        <v>0.0</v>
      </c>
      <c r="R405" s="1">
        <v>0.0</v>
      </c>
      <c r="S405" s="1">
        <v>-12.0</v>
      </c>
      <c r="T405" s="1">
        <v>12.0</v>
      </c>
      <c r="U405" s="1">
        <v>3.0</v>
      </c>
    </row>
    <row r="406" ht="12.75" customHeight="1">
      <c r="A406" s="1" t="s">
        <v>473</v>
      </c>
      <c r="B406" s="1">
        <f t="shared" si="3"/>
        <v>392</v>
      </c>
      <c r="C406" s="1" t="str">
        <f>IFERROR(__xludf.DUMMYFUNCTION("split(A406, ""\"")"),"Kevin Shattenkirk")</f>
        <v>Kevin Shattenkirk</v>
      </c>
      <c r="D406" s="1" t="str">
        <f>IFERROR(__xludf.DUMMYFUNCTION("""COMPUTED_VALUE"""),"shattke01")</f>
        <v>shattke01</v>
      </c>
      <c r="E406" s="1" t="s">
        <v>66</v>
      </c>
      <c r="F406" s="1">
        <f t="shared" si="1"/>
        <v>203.2</v>
      </c>
      <c r="G406" s="1">
        <f t="shared" si="2"/>
        <v>4.42</v>
      </c>
      <c r="H406" s="1">
        <v>46.0</v>
      </c>
      <c r="I406" s="1">
        <v>5.0</v>
      </c>
      <c r="J406" s="1">
        <v>18.0</v>
      </c>
      <c r="K406" s="1">
        <v>23.0</v>
      </c>
      <c r="L406" s="1">
        <v>94.0</v>
      </c>
      <c r="M406" s="1">
        <v>44.0</v>
      </c>
      <c r="N406" s="1">
        <v>65.0</v>
      </c>
      <c r="O406" s="1">
        <v>2.0</v>
      </c>
      <c r="P406" s="1">
        <v>10.0</v>
      </c>
      <c r="Q406" s="1">
        <v>0.0</v>
      </c>
      <c r="R406" s="1">
        <v>0.0</v>
      </c>
      <c r="S406" s="1">
        <v>-14.0</v>
      </c>
      <c r="T406" s="1">
        <v>44.0</v>
      </c>
      <c r="U406" s="1">
        <v>1.0</v>
      </c>
    </row>
    <row r="407" ht="12.75" customHeight="1">
      <c r="A407" s="1" t="s">
        <v>492</v>
      </c>
      <c r="B407" s="1">
        <f t="shared" si="3"/>
        <v>393</v>
      </c>
      <c r="C407" s="1" t="str">
        <f>IFERROR(__xludf.DUMMYFUNCTION("split(A407, ""\"")"),"Matt Calvert")</f>
        <v>Matt Calvert</v>
      </c>
      <c r="D407" s="1" t="str">
        <f>IFERROR(__xludf.DUMMYFUNCTION("""COMPUTED_VALUE"""),"calvema01")</f>
        <v>calvema01</v>
      </c>
      <c r="E407" s="1" t="s">
        <v>28</v>
      </c>
      <c r="F407" s="1">
        <f t="shared" si="1"/>
        <v>203.15</v>
      </c>
      <c r="G407" s="1">
        <f t="shared" si="2"/>
        <v>2.94</v>
      </c>
      <c r="H407" s="1">
        <v>69.0</v>
      </c>
      <c r="I407" s="1">
        <v>9.0</v>
      </c>
      <c r="J407" s="1">
        <v>15.0</v>
      </c>
      <c r="K407" s="1">
        <v>24.0</v>
      </c>
      <c r="L407" s="1">
        <v>108.0</v>
      </c>
      <c r="M407" s="1">
        <v>61.0</v>
      </c>
      <c r="N407" s="1">
        <v>35.0</v>
      </c>
      <c r="O407" s="1">
        <v>1.0</v>
      </c>
      <c r="P407" s="1">
        <v>0.0</v>
      </c>
      <c r="Q407" s="1">
        <v>2.0</v>
      </c>
      <c r="R407" s="1">
        <v>0.0</v>
      </c>
      <c r="S407" s="1">
        <v>-10.0</v>
      </c>
      <c r="T407" s="1">
        <v>33.0</v>
      </c>
      <c r="U407" s="1">
        <v>0.0</v>
      </c>
    </row>
    <row r="408" ht="12.75" customHeight="1">
      <c r="A408" s="1" t="s">
        <v>423</v>
      </c>
      <c r="B408" s="1">
        <f t="shared" si="3"/>
        <v>394</v>
      </c>
      <c r="C408" s="1" t="str">
        <f>IFERROR(__xludf.DUMMYFUNCTION("split(A408, ""\"")"),"Kevin Connauton")</f>
        <v>Kevin Connauton</v>
      </c>
      <c r="D408" s="1" t="str">
        <f>IFERROR(__xludf.DUMMYFUNCTION("""COMPUTED_VALUE"""),"connake01")</f>
        <v>connake01</v>
      </c>
      <c r="E408" s="1" t="s">
        <v>66</v>
      </c>
      <c r="F408" s="1">
        <f t="shared" si="1"/>
        <v>203</v>
      </c>
      <c r="G408" s="1">
        <f t="shared" si="2"/>
        <v>2.78</v>
      </c>
      <c r="H408" s="1">
        <v>73.0</v>
      </c>
      <c r="I408" s="1">
        <v>11.0</v>
      </c>
      <c r="J408" s="1">
        <v>10.0</v>
      </c>
      <c r="K408" s="1">
        <v>21.0</v>
      </c>
      <c r="L408" s="1">
        <v>102.0</v>
      </c>
      <c r="M408" s="1">
        <v>116.0</v>
      </c>
      <c r="N408" s="1">
        <v>72.0</v>
      </c>
      <c r="O408" s="1">
        <v>0.0</v>
      </c>
      <c r="P408" s="1">
        <v>0.0</v>
      </c>
      <c r="Q408" s="1">
        <v>0.0</v>
      </c>
      <c r="R408" s="1">
        <v>0.0</v>
      </c>
      <c r="S408" s="1">
        <v>3.0</v>
      </c>
      <c r="T408" s="1">
        <v>20.0</v>
      </c>
      <c r="U408" s="1">
        <v>3.0</v>
      </c>
    </row>
    <row r="409" ht="12.75" customHeight="1">
      <c r="A409" s="1" t="s">
        <v>318</v>
      </c>
      <c r="B409" s="1">
        <f t="shared" si="3"/>
        <v>395</v>
      </c>
      <c r="C409" s="1" t="str">
        <f>IFERROR(__xludf.DUMMYFUNCTION("split(A409, ""\"")"),"Carter Hutton")</f>
        <v>Carter Hutton</v>
      </c>
      <c r="D409" s="2" t="str">
        <f>IFERROR(__xludf.DUMMYFUNCTION("""COMPUTED_VALUE"""),"huttoca01")</f>
        <v>huttoca01</v>
      </c>
      <c r="E409" s="1" t="s">
        <v>5</v>
      </c>
      <c r="F409" s="1">
        <f t="shared" si="1"/>
        <v>202.2</v>
      </c>
      <c r="G409" s="1">
        <f t="shared" si="2"/>
        <v>6.32</v>
      </c>
      <c r="H409" s="1">
        <v>32.0</v>
      </c>
      <c r="V409" s="1">
        <v>26.0</v>
      </c>
      <c r="W409" s="1">
        <v>17.0</v>
      </c>
      <c r="X409" s="1">
        <v>7.0</v>
      </c>
      <c r="Y409" s="1">
        <v>56.0</v>
      </c>
      <c r="Z409" s="1">
        <v>810.0</v>
      </c>
      <c r="AA409" s="1">
        <v>754.0</v>
      </c>
      <c r="AB409" s="1">
        <v>3.0</v>
      </c>
    </row>
    <row r="410" ht="12.75" customHeight="1">
      <c r="A410" s="1" t="s">
        <v>471</v>
      </c>
      <c r="B410" s="1">
        <f t="shared" si="3"/>
        <v>396</v>
      </c>
      <c r="C410" s="1" t="str">
        <f>IFERROR(__xludf.DUMMYFUNCTION("split(A410, ""\"")"),"Jujhar Khaira")</f>
        <v>Jujhar Khaira</v>
      </c>
      <c r="D410" s="1" t="str">
        <f>IFERROR(__xludf.DUMMYFUNCTION("""COMPUTED_VALUE"""),"khairju01")</f>
        <v>khairju01</v>
      </c>
      <c r="E410" s="1" t="s">
        <v>28</v>
      </c>
      <c r="F410" s="1">
        <f t="shared" si="1"/>
        <v>202.1</v>
      </c>
      <c r="G410" s="1">
        <f t="shared" si="2"/>
        <v>2.93</v>
      </c>
      <c r="H410" s="1">
        <v>69.0</v>
      </c>
      <c r="I410" s="1">
        <v>11.0</v>
      </c>
      <c r="J410" s="1">
        <v>10.0</v>
      </c>
      <c r="K410" s="1">
        <v>21.0</v>
      </c>
      <c r="L410" s="1">
        <v>73.0</v>
      </c>
      <c r="M410" s="1">
        <v>128.0</v>
      </c>
      <c r="N410" s="1">
        <v>39.0</v>
      </c>
      <c r="O410" s="1">
        <v>0.0</v>
      </c>
      <c r="P410" s="1">
        <v>1.0</v>
      </c>
      <c r="Q410" s="1">
        <v>1.0</v>
      </c>
      <c r="R410" s="1">
        <v>1.0</v>
      </c>
      <c r="S410" s="1">
        <v>-7.0</v>
      </c>
      <c r="T410" s="1">
        <v>47.0</v>
      </c>
      <c r="U410" s="1">
        <v>2.0</v>
      </c>
    </row>
    <row r="411" ht="12.75" customHeight="1">
      <c r="A411" s="1" t="s">
        <v>442</v>
      </c>
      <c r="B411" s="1">
        <f t="shared" si="3"/>
        <v>397</v>
      </c>
      <c r="C411" s="1" t="str">
        <f>IFERROR(__xludf.DUMMYFUNCTION("split(A411, ""\"")"),"Travis Zajac")</f>
        <v>Travis Zajac</v>
      </c>
      <c r="D411" s="1" t="str">
        <f>IFERROR(__xludf.DUMMYFUNCTION("""COMPUTED_VALUE"""),"zajactr01")</f>
        <v>zajactr01</v>
      </c>
      <c r="E411" s="1" t="s">
        <v>31</v>
      </c>
      <c r="F411" s="1">
        <f t="shared" si="1"/>
        <v>202</v>
      </c>
      <c r="G411" s="1">
        <f t="shared" si="2"/>
        <v>3.21</v>
      </c>
      <c r="H411" s="1">
        <v>63.0</v>
      </c>
      <c r="I411" s="1">
        <v>12.0</v>
      </c>
      <c r="J411" s="1">
        <v>14.0</v>
      </c>
      <c r="K411" s="1">
        <v>26.0</v>
      </c>
      <c r="L411" s="1">
        <v>91.0</v>
      </c>
      <c r="M411" s="1">
        <v>64.0</v>
      </c>
      <c r="N411" s="1">
        <v>38.0</v>
      </c>
      <c r="O411" s="1">
        <v>2.0</v>
      </c>
      <c r="P411" s="1">
        <v>4.0</v>
      </c>
      <c r="Q411" s="1">
        <v>1.0</v>
      </c>
      <c r="R411" s="1">
        <v>1.0</v>
      </c>
      <c r="S411" s="1">
        <v>-8.0</v>
      </c>
      <c r="T411" s="1">
        <v>25.0</v>
      </c>
      <c r="U411" s="1">
        <v>0.0</v>
      </c>
    </row>
    <row r="412" ht="12.75" customHeight="1">
      <c r="A412" s="1" t="s">
        <v>465</v>
      </c>
      <c r="B412" s="1">
        <f t="shared" si="3"/>
        <v>398</v>
      </c>
      <c r="C412" s="1" t="str">
        <f>IFERROR(__xludf.DUMMYFUNCTION("split(A412, ""\"")"),"Devante Smith-Pelly")</f>
        <v>Devante Smith-Pelly</v>
      </c>
      <c r="D412" s="1" t="str">
        <f>IFERROR(__xludf.DUMMYFUNCTION("""COMPUTED_VALUE"""),"smithde06")</f>
        <v>smithde06</v>
      </c>
      <c r="E412" s="1" t="s">
        <v>36</v>
      </c>
      <c r="F412" s="1">
        <f t="shared" si="1"/>
        <v>201.15</v>
      </c>
      <c r="G412" s="1">
        <f t="shared" si="2"/>
        <v>2.68</v>
      </c>
      <c r="H412" s="1">
        <v>75.0</v>
      </c>
      <c r="I412" s="1">
        <v>7.0</v>
      </c>
      <c r="J412" s="1">
        <v>9.0</v>
      </c>
      <c r="K412" s="1">
        <v>16.0</v>
      </c>
      <c r="L412" s="1">
        <v>103.0</v>
      </c>
      <c r="M412" s="1">
        <v>151.0</v>
      </c>
      <c r="N412" s="1">
        <v>62.0</v>
      </c>
      <c r="O412" s="1">
        <v>0.0</v>
      </c>
      <c r="P412" s="1">
        <v>0.0</v>
      </c>
      <c r="Q412" s="1">
        <v>0.0</v>
      </c>
      <c r="R412" s="1">
        <v>0.0</v>
      </c>
      <c r="S412" s="1">
        <v>-6.0</v>
      </c>
      <c r="T412" s="1">
        <v>38.0</v>
      </c>
      <c r="U412" s="1">
        <v>1.0</v>
      </c>
    </row>
    <row r="413" ht="12.75" customHeight="1">
      <c r="A413" s="1" t="s">
        <v>339</v>
      </c>
      <c r="B413" s="1">
        <f t="shared" si="3"/>
        <v>399</v>
      </c>
      <c r="C413" s="1" t="str">
        <f>IFERROR(__xludf.DUMMYFUNCTION("split(A413, ""\"")"),"Ondrej Palat")</f>
        <v>Ondrej Palat</v>
      </c>
      <c r="D413" s="1" t="str">
        <f>IFERROR(__xludf.DUMMYFUNCTION("""COMPUTED_VALUE"""),"palaton01")</f>
        <v>palaton01</v>
      </c>
      <c r="E413" s="1" t="s">
        <v>28</v>
      </c>
      <c r="F413" s="1">
        <f t="shared" si="1"/>
        <v>200.8</v>
      </c>
      <c r="G413" s="1">
        <f t="shared" si="2"/>
        <v>3.59</v>
      </c>
      <c r="H413" s="1">
        <v>56.0</v>
      </c>
      <c r="I413" s="1">
        <v>11.0</v>
      </c>
      <c r="J413" s="1">
        <v>24.0</v>
      </c>
      <c r="K413" s="1">
        <v>35.0</v>
      </c>
      <c r="L413" s="1">
        <v>109.0</v>
      </c>
      <c r="M413" s="1">
        <v>80.0</v>
      </c>
      <c r="N413" s="1">
        <v>48.0</v>
      </c>
      <c r="O413" s="1">
        <v>4.0</v>
      </c>
      <c r="P413" s="1">
        <v>5.0</v>
      </c>
      <c r="Q413" s="1">
        <v>1.0</v>
      </c>
      <c r="R413" s="1">
        <v>0.0</v>
      </c>
      <c r="S413" s="1">
        <v>16.0</v>
      </c>
      <c r="T413" s="1">
        <v>6.0</v>
      </c>
      <c r="U413" s="1">
        <v>0.0</v>
      </c>
    </row>
    <row r="414" ht="12.75" customHeight="1">
      <c r="A414" s="1" t="s">
        <v>407</v>
      </c>
      <c r="B414" s="1">
        <f t="shared" si="3"/>
        <v>400</v>
      </c>
      <c r="C414" s="1" t="str">
        <f>IFERROR(__xludf.DUMMYFUNCTION("split(A414, ""\"")"),"Andrew Ladd")</f>
        <v>Andrew Ladd</v>
      </c>
      <c r="D414" s="1" t="str">
        <f>IFERROR(__xludf.DUMMYFUNCTION("""COMPUTED_VALUE"""),"laddan01")</f>
        <v>laddan01</v>
      </c>
      <c r="E414" s="1" t="s">
        <v>28</v>
      </c>
      <c r="F414" s="1">
        <f t="shared" si="1"/>
        <v>200.7</v>
      </c>
      <c r="G414" s="1">
        <f t="shared" si="2"/>
        <v>2.75</v>
      </c>
      <c r="H414" s="1">
        <v>73.0</v>
      </c>
      <c r="I414" s="1">
        <v>12.0</v>
      </c>
      <c r="J414" s="1">
        <v>17.0</v>
      </c>
      <c r="K414" s="1">
        <v>29.0</v>
      </c>
      <c r="L414" s="1">
        <v>112.0</v>
      </c>
      <c r="M414" s="1">
        <v>76.0</v>
      </c>
      <c r="N414" s="1">
        <v>40.0</v>
      </c>
      <c r="O414" s="1">
        <v>0.0</v>
      </c>
      <c r="P414" s="1">
        <v>1.0</v>
      </c>
      <c r="Q414" s="1">
        <v>1.0</v>
      </c>
      <c r="R414" s="1">
        <v>1.0</v>
      </c>
      <c r="S414" s="1">
        <v>11.0</v>
      </c>
      <c r="T414" s="1">
        <v>24.0</v>
      </c>
      <c r="U414" s="1">
        <v>2.0</v>
      </c>
    </row>
    <row r="415" ht="12.75" customHeight="1">
      <c r="A415" s="1" t="s">
        <v>448</v>
      </c>
      <c r="B415" s="1">
        <f t="shared" si="3"/>
        <v>400</v>
      </c>
      <c r="C415" s="1" t="str">
        <f>IFERROR(__xludf.DUMMYFUNCTION("split(A415, ""\"")"),"Thomas Chabot")</f>
        <v>Thomas Chabot</v>
      </c>
      <c r="D415" s="1" t="str">
        <f>IFERROR(__xludf.DUMMYFUNCTION("""COMPUTED_VALUE"""),"chaboth01")</f>
        <v>chaboth01</v>
      </c>
      <c r="E415" s="1" t="s">
        <v>66</v>
      </c>
      <c r="F415" s="1">
        <f t="shared" si="1"/>
        <v>200.7</v>
      </c>
      <c r="G415" s="1">
        <f t="shared" si="2"/>
        <v>3.19</v>
      </c>
      <c r="H415" s="1">
        <v>63.0</v>
      </c>
      <c r="I415" s="1">
        <v>9.0</v>
      </c>
      <c r="J415" s="1">
        <v>16.0</v>
      </c>
      <c r="K415" s="1">
        <v>25.0</v>
      </c>
      <c r="L415" s="1">
        <v>94.0</v>
      </c>
      <c r="M415" s="1">
        <v>44.0</v>
      </c>
      <c r="N415" s="1">
        <v>64.0</v>
      </c>
      <c r="O415" s="1">
        <v>0.0</v>
      </c>
      <c r="P415" s="1">
        <v>8.0</v>
      </c>
      <c r="Q415" s="1">
        <v>0.0</v>
      </c>
      <c r="R415" s="1">
        <v>0.0</v>
      </c>
      <c r="S415" s="1">
        <v>-12.0</v>
      </c>
      <c r="T415" s="1">
        <v>14.0</v>
      </c>
      <c r="U415" s="1">
        <v>0.0</v>
      </c>
    </row>
    <row r="416" ht="12.75" customHeight="1">
      <c r="A416" s="1" t="s">
        <v>401</v>
      </c>
      <c r="B416" s="1">
        <f t="shared" si="3"/>
        <v>402</v>
      </c>
      <c r="C416" s="1" t="str">
        <f>IFERROR(__xludf.DUMMYFUNCTION("split(A416, ""\"")"),"Chris Kunitz")</f>
        <v>Chris Kunitz</v>
      </c>
      <c r="D416" s="1" t="str">
        <f>IFERROR(__xludf.DUMMYFUNCTION("""COMPUTED_VALUE"""),"kunitch01")</f>
        <v>kunitch01</v>
      </c>
      <c r="E416" s="1" t="s">
        <v>28</v>
      </c>
      <c r="F416" s="1">
        <f t="shared" si="1"/>
        <v>200.25</v>
      </c>
      <c r="G416" s="1">
        <f t="shared" si="2"/>
        <v>2.44</v>
      </c>
      <c r="H416" s="1">
        <v>82.0</v>
      </c>
      <c r="I416" s="1">
        <v>13.0</v>
      </c>
      <c r="J416" s="1">
        <v>16.0</v>
      </c>
      <c r="K416" s="1">
        <v>29.0</v>
      </c>
      <c r="L416" s="1">
        <v>81.0</v>
      </c>
      <c r="M416" s="1">
        <v>131.0</v>
      </c>
      <c r="N416" s="1">
        <v>30.0</v>
      </c>
      <c r="O416" s="1">
        <v>0.0</v>
      </c>
      <c r="P416" s="1">
        <v>1.0</v>
      </c>
      <c r="Q416" s="1">
        <v>1.0</v>
      </c>
      <c r="R416" s="1">
        <v>0.0</v>
      </c>
      <c r="S416" s="1">
        <v>8.0</v>
      </c>
      <c r="T416" s="1">
        <v>35.0</v>
      </c>
      <c r="U416" s="1">
        <v>2.0</v>
      </c>
    </row>
    <row r="417" ht="12.75" customHeight="1">
      <c r="A417" s="1" t="s">
        <v>408</v>
      </c>
      <c r="B417" s="1">
        <f t="shared" si="3"/>
        <v>403</v>
      </c>
      <c r="C417" s="1" t="str">
        <f>IFERROR(__xludf.DUMMYFUNCTION("split(A417, ""\"")"),"Joonas Donskoi")</f>
        <v>Joonas Donskoi</v>
      </c>
      <c r="D417" s="1" t="str">
        <f>IFERROR(__xludf.DUMMYFUNCTION("""COMPUTED_VALUE"""),"donskjo01")</f>
        <v>donskjo01</v>
      </c>
      <c r="E417" s="1" t="s">
        <v>36</v>
      </c>
      <c r="F417" s="1">
        <f t="shared" si="1"/>
        <v>199.3</v>
      </c>
      <c r="G417" s="1">
        <f t="shared" si="2"/>
        <v>3.02</v>
      </c>
      <c r="H417" s="1">
        <v>66.0</v>
      </c>
      <c r="I417" s="1">
        <v>14.0</v>
      </c>
      <c r="J417" s="1">
        <v>18.0</v>
      </c>
      <c r="K417" s="1">
        <v>32.0</v>
      </c>
      <c r="L417" s="1">
        <v>129.0</v>
      </c>
      <c r="M417" s="1">
        <v>28.0</v>
      </c>
      <c r="N417" s="1">
        <v>28.0</v>
      </c>
      <c r="O417" s="1">
        <v>1.0</v>
      </c>
      <c r="P417" s="1">
        <v>4.0</v>
      </c>
      <c r="Q417" s="1">
        <v>0.0</v>
      </c>
      <c r="R417" s="1">
        <v>0.0</v>
      </c>
      <c r="S417" s="1">
        <v>10.0</v>
      </c>
      <c r="T417" s="1">
        <v>26.0</v>
      </c>
      <c r="U417" s="1">
        <v>2.0</v>
      </c>
    </row>
    <row r="418" ht="12.75" customHeight="1">
      <c r="A418" s="1" t="s">
        <v>444</v>
      </c>
      <c r="B418" s="1">
        <f t="shared" si="3"/>
        <v>404</v>
      </c>
      <c r="C418" s="1" t="str">
        <f>IFERROR(__xludf.DUMMYFUNCTION("split(A418, ""\"")"),"Jared McCann")</f>
        <v>Jared McCann</v>
      </c>
      <c r="D418" s="1" t="str">
        <f>IFERROR(__xludf.DUMMYFUNCTION("""COMPUTED_VALUE"""),"mccanja01")</f>
        <v>mccanja01</v>
      </c>
      <c r="E418" s="1" t="s">
        <v>31</v>
      </c>
      <c r="F418" s="1">
        <f t="shared" si="1"/>
        <v>199.25</v>
      </c>
      <c r="G418" s="1">
        <f t="shared" si="2"/>
        <v>2.93</v>
      </c>
      <c r="H418" s="1">
        <v>68.0</v>
      </c>
      <c r="I418" s="1">
        <v>9.0</v>
      </c>
      <c r="J418" s="1">
        <v>19.0</v>
      </c>
      <c r="K418" s="1">
        <v>28.0</v>
      </c>
      <c r="L418" s="1">
        <v>143.0</v>
      </c>
      <c r="M418" s="1">
        <v>43.0</v>
      </c>
      <c r="N418" s="1">
        <v>32.0</v>
      </c>
      <c r="O418" s="1">
        <v>1.0</v>
      </c>
      <c r="P418" s="1">
        <v>0.0</v>
      </c>
      <c r="Q418" s="1">
        <v>0.0</v>
      </c>
      <c r="R418" s="1">
        <v>1.0</v>
      </c>
      <c r="S418" s="1">
        <v>11.0</v>
      </c>
      <c r="T418" s="1">
        <v>30.0</v>
      </c>
      <c r="U418" s="1">
        <v>4.0</v>
      </c>
    </row>
    <row r="419" ht="12.75" customHeight="1">
      <c r="A419" s="1" t="s">
        <v>460</v>
      </c>
      <c r="B419" s="1">
        <f t="shared" si="3"/>
        <v>405</v>
      </c>
      <c r="C419" s="1" t="str">
        <f>IFERROR(__xludf.DUMMYFUNCTION("split(A419, ""\"")"),"Connor Murphy")</f>
        <v>Connor Murphy</v>
      </c>
      <c r="D419" s="1" t="str">
        <f>IFERROR(__xludf.DUMMYFUNCTION("""COMPUTED_VALUE"""),"murphco02")</f>
        <v>murphco02</v>
      </c>
      <c r="E419" s="1" t="s">
        <v>66</v>
      </c>
      <c r="F419" s="1">
        <f t="shared" si="1"/>
        <v>199.2</v>
      </c>
      <c r="G419" s="1">
        <f t="shared" si="2"/>
        <v>2.62</v>
      </c>
      <c r="H419" s="1">
        <v>76.0</v>
      </c>
      <c r="I419" s="1">
        <v>2.0</v>
      </c>
      <c r="J419" s="1">
        <v>12.0</v>
      </c>
      <c r="K419" s="1">
        <v>14.0</v>
      </c>
      <c r="L419" s="1">
        <v>109.0</v>
      </c>
      <c r="M419" s="1">
        <v>138.0</v>
      </c>
      <c r="N419" s="1">
        <v>101.0</v>
      </c>
      <c r="O419" s="1">
        <v>0.0</v>
      </c>
      <c r="P419" s="1">
        <v>0.0</v>
      </c>
      <c r="Q419" s="1">
        <v>0.0</v>
      </c>
      <c r="R419" s="1">
        <v>0.0</v>
      </c>
      <c r="S419" s="1">
        <v>-3.0</v>
      </c>
      <c r="T419" s="1">
        <v>34.0</v>
      </c>
      <c r="U419" s="1">
        <v>0.0</v>
      </c>
    </row>
    <row r="420" ht="12.75" customHeight="1">
      <c r="A420" s="1" t="s">
        <v>322</v>
      </c>
      <c r="B420" s="1">
        <f t="shared" si="3"/>
        <v>406</v>
      </c>
      <c r="C420" s="1" t="str">
        <f>IFERROR(__xludf.DUMMYFUNCTION("split(A420, ""\"")"),"Corey Crawford")</f>
        <v>Corey Crawford</v>
      </c>
      <c r="D420" s="2" t="str">
        <f>IFERROR(__xludf.DUMMYFUNCTION("""COMPUTED_VALUE"""),"crawfco01")</f>
        <v>crawfco01</v>
      </c>
      <c r="E420" s="1" t="s">
        <v>5</v>
      </c>
      <c r="F420" s="1">
        <f t="shared" si="1"/>
        <v>198.6</v>
      </c>
      <c r="G420" s="1">
        <f t="shared" si="2"/>
        <v>7.09</v>
      </c>
      <c r="H420" s="1">
        <v>28.0</v>
      </c>
      <c r="V420" s="1">
        <v>27.0</v>
      </c>
      <c r="W420" s="1">
        <v>16.0</v>
      </c>
      <c r="X420" s="1">
        <v>9.0</v>
      </c>
      <c r="Y420" s="1">
        <v>60.0</v>
      </c>
      <c r="Z420" s="1">
        <v>842.0</v>
      </c>
      <c r="AA420" s="1">
        <v>782.0</v>
      </c>
      <c r="AB420" s="1">
        <v>2.0</v>
      </c>
    </row>
    <row r="421" ht="12.75" customHeight="1">
      <c r="A421" s="1" t="s">
        <v>484</v>
      </c>
      <c r="B421" s="1">
        <f t="shared" si="3"/>
        <v>406</v>
      </c>
      <c r="C421" s="1" t="str">
        <f>IFERROR(__xludf.DUMMYFUNCTION("split(A421, ""\"")"),"Scott Hartnell")</f>
        <v>Scott Hartnell</v>
      </c>
      <c r="D421" s="1" t="str">
        <f>IFERROR(__xludf.DUMMYFUNCTION("""COMPUTED_VALUE"""),"hartnsc01")</f>
        <v>hartnsc01</v>
      </c>
      <c r="E421" s="1" t="s">
        <v>28</v>
      </c>
      <c r="F421" s="1">
        <f t="shared" si="1"/>
        <v>198.6</v>
      </c>
      <c r="G421" s="1">
        <f t="shared" si="2"/>
        <v>3.2</v>
      </c>
      <c r="H421" s="1">
        <v>62.0</v>
      </c>
      <c r="I421" s="1">
        <v>13.0</v>
      </c>
      <c r="J421" s="1">
        <v>11.0</v>
      </c>
      <c r="K421" s="1">
        <v>24.0</v>
      </c>
      <c r="L421" s="1">
        <v>82.0</v>
      </c>
      <c r="M421" s="1">
        <v>82.0</v>
      </c>
      <c r="N421" s="1">
        <v>25.0</v>
      </c>
      <c r="O421" s="1">
        <v>2.0</v>
      </c>
      <c r="P421" s="1">
        <v>3.0</v>
      </c>
      <c r="Q421" s="1">
        <v>0.0</v>
      </c>
      <c r="R421" s="1">
        <v>0.0</v>
      </c>
      <c r="S421" s="1">
        <v>-3.0</v>
      </c>
      <c r="T421" s="1">
        <v>82.0</v>
      </c>
      <c r="U421" s="1">
        <v>2.0</v>
      </c>
    </row>
    <row r="422" ht="12.75" customHeight="1">
      <c r="A422" s="1" t="s">
        <v>450</v>
      </c>
      <c r="B422" s="1">
        <f t="shared" si="3"/>
        <v>408</v>
      </c>
      <c r="C422" s="1" t="str">
        <f>IFERROR(__xludf.DUMMYFUNCTION("split(A422, ""\"")"),"Mike Cammalleri")</f>
        <v>Mike Cammalleri</v>
      </c>
      <c r="D422" s="1" t="str">
        <f>IFERROR(__xludf.DUMMYFUNCTION("""COMPUTED_VALUE"""),"cammami01")</f>
        <v>cammami01</v>
      </c>
      <c r="E422" s="1" t="s">
        <v>451</v>
      </c>
      <c r="F422" s="1">
        <f t="shared" si="1"/>
        <v>198.15</v>
      </c>
      <c r="G422" s="1">
        <f t="shared" si="2"/>
        <v>3</v>
      </c>
      <c r="H422" s="1">
        <v>66.0</v>
      </c>
      <c r="I422" s="1">
        <v>7.0</v>
      </c>
      <c r="J422" s="1">
        <v>22.0</v>
      </c>
      <c r="K422" s="1">
        <v>29.0</v>
      </c>
      <c r="L422" s="1">
        <v>128.0</v>
      </c>
      <c r="M422" s="1">
        <v>43.0</v>
      </c>
      <c r="N422" s="1">
        <v>32.0</v>
      </c>
      <c r="O422" s="1">
        <v>3.0</v>
      </c>
      <c r="P422" s="1">
        <v>1.0</v>
      </c>
      <c r="Q422" s="1">
        <v>0.0</v>
      </c>
      <c r="R422" s="1">
        <v>0.0</v>
      </c>
      <c r="S422" s="1">
        <v>-3.0</v>
      </c>
      <c r="T422" s="1">
        <v>18.0</v>
      </c>
      <c r="U422" s="1">
        <v>0.0</v>
      </c>
    </row>
    <row r="423" ht="12.75" customHeight="1">
      <c r="A423" s="1" t="s">
        <v>441</v>
      </c>
      <c r="B423" s="1">
        <f t="shared" si="3"/>
        <v>409</v>
      </c>
      <c r="C423" s="1" t="str">
        <f>IFERROR(__xludf.DUMMYFUNCTION("split(A423, ""\"")"),"Jamie Oleksiak")</f>
        <v>Jamie Oleksiak</v>
      </c>
      <c r="D423" s="1" t="str">
        <f>IFERROR(__xludf.DUMMYFUNCTION("""COMPUTED_VALUE"""),"oleksja01")</f>
        <v>oleksja01</v>
      </c>
      <c r="E423" s="1" t="s">
        <v>66</v>
      </c>
      <c r="F423" s="1">
        <f t="shared" si="1"/>
        <v>198.1</v>
      </c>
      <c r="G423" s="1">
        <f t="shared" si="2"/>
        <v>2.91</v>
      </c>
      <c r="H423" s="1">
        <v>68.0</v>
      </c>
      <c r="I423" s="1">
        <v>5.0</v>
      </c>
      <c r="J423" s="1">
        <v>12.0</v>
      </c>
      <c r="K423" s="1">
        <v>17.0</v>
      </c>
      <c r="L423" s="1">
        <v>81.0</v>
      </c>
      <c r="M423" s="1">
        <v>174.0</v>
      </c>
      <c r="N423" s="1">
        <v>76.0</v>
      </c>
      <c r="O423" s="1">
        <v>1.0</v>
      </c>
      <c r="P423" s="1">
        <v>0.0</v>
      </c>
      <c r="Q423" s="1">
        <v>0.0</v>
      </c>
      <c r="R423" s="1">
        <v>0.0</v>
      </c>
      <c r="S423" s="1">
        <v>7.0</v>
      </c>
      <c r="T423" s="1">
        <v>87.0</v>
      </c>
      <c r="U423" s="1">
        <v>1.0</v>
      </c>
    </row>
    <row r="424" ht="12.75" customHeight="1">
      <c r="A424" s="1" t="s">
        <v>459</v>
      </c>
      <c r="B424" s="1">
        <f t="shared" si="3"/>
        <v>410</v>
      </c>
      <c r="C424" s="1" t="str">
        <f>IFERROR(__xludf.DUMMYFUNCTION("split(A424, ""\"")"),"Connor Brown")</f>
        <v>Connor Brown</v>
      </c>
      <c r="D424" s="1" t="str">
        <f>IFERROR(__xludf.DUMMYFUNCTION("""COMPUTED_VALUE"""),"brownco02")</f>
        <v>brownco02</v>
      </c>
      <c r="E424" s="1" t="s">
        <v>36</v>
      </c>
      <c r="F424" s="1">
        <f t="shared" si="1"/>
        <v>196.65</v>
      </c>
      <c r="G424" s="1">
        <f t="shared" si="2"/>
        <v>2.4</v>
      </c>
      <c r="H424" s="1">
        <v>82.0</v>
      </c>
      <c r="I424" s="1">
        <v>14.0</v>
      </c>
      <c r="J424" s="1">
        <v>14.0</v>
      </c>
      <c r="K424" s="1">
        <v>28.0</v>
      </c>
      <c r="L424" s="1">
        <v>119.0</v>
      </c>
      <c r="M424" s="1">
        <v>23.0</v>
      </c>
      <c r="N424" s="1">
        <v>28.0</v>
      </c>
      <c r="O424" s="1">
        <v>1.0</v>
      </c>
      <c r="P424" s="1">
        <v>1.0</v>
      </c>
      <c r="Q424" s="1">
        <v>1.0</v>
      </c>
      <c r="R424" s="1">
        <v>0.0</v>
      </c>
      <c r="S424" s="1">
        <v>0.0</v>
      </c>
      <c r="T424" s="1">
        <v>18.0</v>
      </c>
      <c r="U424" s="1">
        <v>2.0</v>
      </c>
    </row>
    <row r="425" ht="12.75" customHeight="1">
      <c r="A425" s="1" t="s">
        <v>472</v>
      </c>
      <c r="B425" s="1">
        <f t="shared" si="3"/>
        <v>411</v>
      </c>
      <c r="C425" s="1" t="str">
        <f>IFERROR(__xludf.DUMMYFUNCTION("split(A425, ""\"")"),"Troy Brouwer")</f>
        <v>Troy Brouwer</v>
      </c>
      <c r="D425" s="1" t="str">
        <f>IFERROR(__xludf.DUMMYFUNCTION("""COMPUTED_VALUE"""),"brouwtr01")</f>
        <v>brouwtr01</v>
      </c>
      <c r="E425" s="1" t="s">
        <v>36</v>
      </c>
      <c r="F425" s="1">
        <f t="shared" si="1"/>
        <v>196.15</v>
      </c>
      <c r="G425" s="1">
        <f t="shared" si="2"/>
        <v>2.58</v>
      </c>
      <c r="H425" s="1">
        <v>76.0</v>
      </c>
      <c r="I425" s="1">
        <v>6.0</v>
      </c>
      <c r="J425" s="1">
        <v>16.0</v>
      </c>
      <c r="K425" s="1">
        <v>22.0</v>
      </c>
      <c r="L425" s="1">
        <v>79.0</v>
      </c>
      <c r="M425" s="1">
        <v>125.0</v>
      </c>
      <c r="N425" s="1">
        <v>42.0</v>
      </c>
      <c r="O425" s="1">
        <v>0.0</v>
      </c>
      <c r="P425" s="1">
        <v>5.0</v>
      </c>
      <c r="Q425" s="1">
        <v>0.0</v>
      </c>
      <c r="R425" s="1">
        <v>1.0</v>
      </c>
      <c r="S425" s="1">
        <v>-7.0</v>
      </c>
      <c r="T425" s="1">
        <v>53.0</v>
      </c>
      <c r="U425" s="1">
        <v>0.0</v>
      </c>
    </row>
    <row r="426" ht="12.75" customHeight="1">
      <c r="A426" s="1" t="s">
        <v>387</v>
      </c>
      <c r="B426" s="1">
        <f t="shared" si="3"/>
        <v>412</v>
      </c>
      <c r="C426" s="1" t="str">
        <f>IFERROR(__xludf.DUMMYFUNCTION("split(A426, ""\"")"),"Derek Forbort")</f>
        <v>Derek Forbort</v>
      </c>
      <c r="D426" s="1" t="str">
        <f>IFERROR(__xludf.DUMMYFUNCTION("""COMPUTED_VALUE"""),"forbode01")</f>
        <v>forbode01</v>
      </c>
      <c r="E426" s="1" t="s">
        <v>66</v>
      </c>
      <c r="F426" s="1">
        <f t="shared" si="1"/>
        <v>195.7</v>
      </c>
      <c r="G426" s="1">
        <f t="shared" si="2"/>
        <v>2.51</v>
      </c>
      <c r="H426" s="1">
        <v>78.0</v>
      </c>
      <c r="I426" s="1">
        <v>1.0</v>
      </c>
      <c r="J426" s="1">
        <v>17.0</v>
      </c>
      <c r="K426" s="1">
        <v>18.0</v>
      </c>
      <c r="L426" s="1">
        <v>78.0</v>
      </c>
      <c r="M426" s="1">
        <v>142.0</v>
      </c>
      <c r="N426" s="1">
        <v>156.0</v>
      </c>
      <c r="O426" s="1">
        <v>0.0</v>
      </c>
      <c r="P426" s="1">
        <v>0.0</v>
      </c>
      <c r="Q426" s="1">
        <v>0.0</v>
      </c>
      <c r="R426" s="1">
        <v>0.0</v>
      </c>
      <c r="S426" s="1">
        <v>18.0</v>
      </c>
      <c r="T426" s="1">
        <v>49.0</v>
      </c>
      <c r="U426" s="1">
        <v>0.0</v>
      </c>
    </row>
    <row r="427" ht="12.75" customHeight="1">
      <c r="A427" s="1" t="s">
        <v>474</v>
      </c>
      <c r="B427" s="1">
        <f t="shared" si="3"/>
        <v>412</v>
      </c>
      <c r="C427" s="1" t="str">
        <f>IFERROR(__xludf.DUMMYFUNCTION("split(A427, ""\"")"),"Mark Borowiecki")</f>
        <v>Mark Borowiecki</v>
      </c>
      <c r="D427" s="1" t="str">
        <f>IFERROR(__xludf.DUMMYFUNCTION("""COMPUTED_VALUE"""),"borowma01")</f>
        <v>borowma01</v>
      </c>
      <c r="E427" s="1" t="s">
        <v>66</v>
      </c>
      <c r="F427" s="1">
        <f t="shared" si="1"/>
        <v>195.7</v>
      </c>
      <c r="G427" s="1">
        <f t="shared" si="2"/>
        <v>3.76</v>
      </c>
      <c r="H427" s="1">
        <v>52.0</v>
      </c>
      <c r="I427" s="1">
        <v>3.0</v>
      </c>
      <c r="J427" s="1">
        <v>8.0</v>
      </c>
      <c r="K427" s="1">
        <v>11.0</v>
      </c>
      <c r="L427" s="1">
        <v>66.0</v>
      </c>
      <c r="M427" s="1">
        <v>226.0</v>
      </c>
      <c r="N427" s="1">
        <v>81.0</v>
      </c>
      <c r="O427" s="1">
        <v>0.0</v>
      </c>
      <c r="P427" s="1">
        <v>0.0</v>
      </c>
      <c r="Q427" s="1">
        <v>0.0</v>
      </c>
      <c r="R427" s="1">
        <v>0.0</v>
      </c>
      <c r="S427" s="1">
        <v>-6.0</v>
      </c>
      <c r="T427" s="1">
        <v>64.0</v>
      </c>
      <c r="U427" s="1">
        <v>0.0</v>
      </c>
    </row>
    <row r="428" ht="12.75" customHeight="1">
      <c r="A428" s="1" t="s">
        <v>567</v>
      </c>
      <c r="B428" s="1">
        <f t="shared" si="3"/>
        <v>414</v>
      </c>
      <c r="C428" s="1" t="str">
        <f>IFERROR(__xludf.DUMMYFUNCTION("split(A428, ""\"")"),"Brad Richardson")</f>
        <v>Brad Richardson</v>
      </c>
      <c r="D428" s="1" t="str">
        <f>IFERROR(__xludf.DUMMYFUNCTION("""COMPUTED_VALUE"""),"richabr02")</f>
        <v>richabr02</v>
      </c>
      <c r="E428" s="1" t="s">
        <v>31</v>
      </c>
      <c r="F428" s="1">
        <f t="shared" si="1"/>
        <v>195.5</v>
      </c>
      <c r="G428" s="1">
        <f t="shared" si="2"/>
        <v>2.57</v>
      </c>
      <c r="H428" s="1">
        <v>76.0</v>
      </c>
      <c r="I428" s="1">
        <v>3.0</v>
      </c>
      <c r="J428" s="1">
        <v>12.0</v>
      </c>
      <c r="K428" s="1">
        <v>15.0</v>
      </c>
      <c r="L428" s="1">
        <v>105.0</v>
      </c>
      <c r="M428" s="1">
        <v>72.0</v>
      </c>
      <c r="N428" s="1">
        <v>52.0</v>
      </c>
      <c r="O428" s="1">
        <v>0.0</v>
      </c>
      <c r="P428" s="1">
        <v>0.0</v>
      </c>
      <c r="Q428" s="1">
        <v>0.0</v>
      </c>
      <c r="R428" s="1">
        <v>0.0</v>
      </c>
      <c r="S428" s="1">
        <v>-24.0</v>
      </c>
      <c r="T428" s="1">
        <v>45.0</v>
      </c>
      <c r="U428" s="1">
        <v>0.0</v>
      </c>
    </row>
    <row r="429" ht="12.75" customHeight="1">
      <c r="A429" s="1" t="s">
        <v>489</v>
      </c>
      <c r="B429" s="1">
        <f t="shared" si="3"/>
        <v>415</v>
      </c>
      <c r="C429" s="1" t="str">
        <f>IFERROR(__xludf.DUMMYFUNCTION("split(A429, ""\"")"),"Jason Demers")</f>
        <v>Jason Demers</v>
      </c>
      <c r="D429" s="1" t="str">
        <f>IFERROR(__xludf.DUMMYFUNCTION("""COMPUTED_VALUE"""),"demerja01")</f>
        <v>demerja01</v>
      </c>
      <c r="E429" s="1" t="s">
        <v>66</v>
      </c>
      <c r="F429" s="1">
        <f t="shared" si="1"/>
        <v>193.6</v>
      </c>
      <c r="G429" s="1">
        <f t="shared" si="2"/>
        <v>2.81</v>
      </c>
      <c r="H429" s="1">
        <v>69.0</v>
      </c>
      <c r="I429" s="1">
        <v>6.0</v>
      </c>
      <c r="J429" s="1">
        <v>14.0</v>
      </c>
      <c r="K429" s="1">
        <v>20.0</v>
      </c>
      <c r="L429" s="1">
        <v>95.0</v>
      </c>
      <c r="M429" s="1">
        <v>66.0</v>
      </c>
      <c r="N429" s="1">
        <v>79.0</v>
      </c>
      <c r="O429" s="1">
        <v>0.0</v>
      </c>
      <c r="P429" s="1">
        <v>3.0</v>
      </c>
      <c r="Q429" s="1">
        <v>0.0</v>
      </c>
      <c r="R429" s="1">
        <v>0.0</v>
      </c>
      <c r="S429" s="1">
        <v>-4.0</v>
      </c>
      <c r="T429" s="1">
        <v>37.0</v>
      </c>
      <c r="U429" s="1">
        <v>2.0</v>
      </c>
    </row>
    <row r="430" ht="12.75" customHeight="1">
      <c r="A430" s="1" t="s">
        <v>516</v>
      </c>
      <c r="B430" s="1">
        <f t="shared" si="3"/>
        <v>416</v>
      </c>
      <c r="C430" s="1" t="str">
        <f>IFERROR(__xludf.DUMMYFUNCTION("split(A430, ""\"")"),"Zemgus Girgensons")</f>
        <v>Zemgus Girgensons</v>
      </c>
      <c r="D430" s="1" t="str">
        <f>IFERROR(__xludf.DUMMYFUNCTION("""COMPUTED_VALUE"""),"girgeze01")</f>
        <v>girgeze01</v>
      </c>
      <c r="E430" s="1" t="s">
        <v>31</v>
      </c>
      <c r="F430" s="1">
        <f t="shared" si="1"/>
        <v>193.3</v>
      </c>
      <c r="G430" s="1">
        <f t="shared" si="2"/>
        <v>2.72</v>
      </c>
      <c r="H430" s="1">
        <v>71.0</v>
      </c>
      <c r="I430" s="1">
        <v>7.0</v>
      </c>
      <c r="J430" s="1">
        <v>8.0</v>
      </c>
      <c r="K430" s="1">
        <v>15.0</v>
      </c>
      <c r="L430" s="1">
        <v>113.0</v>
      </c>
      <c r="M430" s="1">
        <v>134.0</v>
      </c>
      <c r="N430" s="1">
        <v>32.0</v>
      </c>
      <c r="O430" s="1">
        <v>0.0</v>
      </c>
      <c r="P430" s="1">
        <v>0.0</v>
      </c>
      <c r="Q430" s="1">
        <v>2.0</v>
      </c>
      <c r="R430" s="1">
        <v>0.0</v>
      </c>
      <c r="S430" s="1">
        <v>-12.0</v>
      </c>
      <c r="T430" s="1">
        <v>26.0</v>
      </c>
      <c r="U430" s="1">
        <v>0.0</v>
      </c>
    </row>
    <row r="431" ht="12.75" customHeight="1">
      <c r="A431" s="1" t="s">
        <v>427</v>
      </c>
      <c r="B431" s="1">
        <f t="shared" si="3"/>
        <v>417</v>
      </c>
      <c r="C431" s="1" t="str">
        <f>IFERROR(__xludf.DUMMYFUNCTION("split(A431, ""\"")"),"Ian Cole")</f>
        <v>Ian Cole</v>
      </c>
      <c r="D431" s="1" t="str">
        <f>IFERROR(__xludf.DUMMYFUNCTION("""COMPUTED_VALUE"""),"coleia01")</f>
        <v>coleia01</v>
      </c>
      <c r="E431" s="1" t="s">
        <v>66</v>
      </c>
      <c r="F431" s="1">
        <f t="shared" si="1"/>
        <v>193.05</v>
      </c>
      <c r="G431" s="1">
        <f t="shared" si="2"/>
        <v>2.88</v>
      </c>
      <c r="H431" s="1">
        <v>67.0</v>
      </c>
      <c r="I431" s="1">
        <v>5.0</v>
      </c>
      <c r="J431" s="1">
        <v>15.0</v>
      </c>
      <c r="K431" s="1">
        <v>20.0</v>
      </c>
      <c r="L431" s="1">
        <v>84.0</v>
      </c>
      <c r="M431" s="1">
        <v>95.0</v>
      </c>
      <c r="N431" s="1">
        <v>116.0</v>
      </c>
      <c r="O431" s="1">
        <v>0.0</v>
      </c>
      <c r="P431" s="1">
        <v>1.0</v>
      </c>
      <c r="Q431" s="1">
        <v>0.0</v>
      </c>
      <c r="R431" s="1">
        <v>0.0</v>
      </c>
      <c r="S431" s="1">
        <v>14.0</v>
      </c>
      <c r="T431" s="1">
        <v>76.0</v>
      </c>
      <c r="U431" s="1">
        <v>0.0</v>
      </c>
    </row>
    <row r="432" ht="12.75" customHeight="1">
      <c r="A432" s="1" t="s">
        <v>534</v>
      </c>
      <c r="B432" s="1">
        <f t="shared" si="3"/>
        <v>418</v>
      </c>
      <c r="C432" s="1" t="str">
        <f>IFERROR(__xludf.DUMMYFUNCTION("split(A432, ""\"")"),"Zack Kassian")</f>
        <v>Zack Kassian</v>
      </c>
      <c r="D432" s="1" t="str">
        <f>IFERROR(__xludf.DUMMYFUNCTION("""COMPUTED_VALUE"""),"kassiza01")</f>
        <v>kassiza01</v>
      </c>
      <c r="E432" s="1" t="s">
        <v>36</v>
      </c>
      <c r="F432" s="1">
        <f t="shared" si="1"/>
        <v>192.85</v>
      </c>
      <c r="G432" s="1">
        <f t="shared" si="2"/>
        <v>2.61</v>
      </c>
      <c r="H432" s="1">
        <v>74.0</v>
      </c>
      <c r="I432" s="1">
        <v>7.0</v>
      </c>
      <c r="J432" s="1">
        <v>12.0</v>
      </c>
      <c r="K432" s="1">
        <v>19.0</v>
      </c>
      <c r="L432" s="1">
        <v>86.0</v>
      </c>
      <c r="M432" s="1">
        <v>129.0</v>
      </c>
      <c r="N432" s="1">
        <v>9.0</v>
      </c>
      <c r="O432" s="1">
        <v>0.0</v>
      </c>
      <c r="P432" s="1">
        <v>1.0</v>
      </c>
      <c r="Q432" s="1">
        <v>0.0</v>
      </c>
      <c r="R432" s="1">
        <v>2.0</v>
      </c>
      <c r="S432" s="1">
        <v>-8.0</v>
      </c>
      <c r="T432" s="1">
        <v>92.0</v>
      </c>
      <c r="U432" s="1">
        <v>0.0</v>
      </c>
    </row>
    <row r="433" ht="12.75" customHeight="1">
      <c r="A433" s="1" t="s">
        <v>420</v>
      </c>
      <c r="B433" s="1">
        <f t="shared" si="3"/>
        <v>419</v>
      </c>
      <c r="C433" s="1" t="str">
        <f>IFERROR(__xludf.DUMMYFUNCTION("split(A433, ""\"")"),"Dmitrij Jaskin")</f>
        <v>Dmitrij Jaskin</v>
      </c>
      <c r="D433" s="1" t="str">
        <f>IFERROR(__xludf.DUMMYFUNCTION("""COMPUTED_VALUE"""),"jaskidm01")</f>
        <v>jaskidm01</v>
      </c>
      <c r="E433" s="1" t="s">
        <v>36</v>
      </c>
      <c r="F433" s="1">
        <f t="shared" si="1"/>
        <v>191.95</v>
      </c>
      <c r="G433" s="1">
        <f t="shared" si="2"/>
        <v>2.53</v>
      </c>
      <c r="H433" s="1">
        <v>76.0</v>
      </c>
      <c r="I433" s="1">
        <v>6.0</v>
      </c>
      <c r="J433" s="1">
        <v>11.0</v>
      </c>
      <c r="K433" s="1">
        <v>17.0</v>
      </c>
      <c r="L433" s="1">
        <v>124.0</v>
      </c>
      <c r="M433" s="1">
        <v>207.0</v>
      </c>
      <c r="N433" s="1">
        <v>46.0</v>
      </c>
      <c r="O433" s="1">
        <v>0.0</v>
      </c>
      <c r="P433" s="1">
        <v>1.0</v>
      </c>
      <c r="Q433" s="1">
        <v>0.0</v>
      </c>
      <c r="R433" s="1">
        <v>0.0</v>
      </c>
      <c r="S433" s="1">
        <v>6.0</v>
      </c>
      <c r="T433" s="1">
        <v>14.0</v>
      </c>
      <c r="U433" s="1">
        <v>0.0</v>
      </c>
    </row>
    <row r="434" ht="12.75" customHeight="1">
      <c r="A434" s="1" t="s">
        <v>490</v>
      </c>
      <c r="B434" s="1">
        <f t="shared" si="3"/>
        <v>420</v>
      </c>
      <c r="C434" s="1" t="str">
        <f>IFERROR(__xludf.DUMMYFUNCTION("split(A434, ""\"")"),"Jack Johnson")</f>
        <v>Jack Johnson</v>
      </c>
      <c r="D434" s="1" t="str">
        <f>IFERROR(__xludf.DUMMYFUNCTION("""COMPUTED_VALUE"""),"johnsja02")</f>
        <v>johnsja02</v>
      </c>
      <c r="E434" s="1" t="s">
        <v>66</v>
      </c>
      <c r="F434" s="1">
        <f t="shared" si="1"/>
        <v>191.85</v>
      </c>
      <c r="G434" s="1">
        <f t="shared" si="2"/>
        <v>2.49</v>
      </c>
      <c r="H434" s="1">
        <v>77.0</v>
      </c>
      <c r="I434" s="1">
        <v>3.0</v>
      </c>
      <c r="J434" s="1">
        <v>8.0</v>
      </c>
      <c r="K434" s="1">
        <v>11.0</v>
      </c>
      <c r="L434" s="1">
        <v>88.0</v>
      </c>
      <c r="M434" s="1">
        <v>101.0</v>
      </c>
      <c r="N434" s="1">
        <v>135.0</v>
      </c>
      <c r="O434" s="1">
        <v>0.0</v>
      </c>
      <c r="P434" s="1">
        <v>0.0</v>
      </c>
      <c r="Q434" s="1">
        <v>0.0</v>
      </c>
      <c r="R434" s="1">
        <v>0.0</v>
      </c>
      <c r="S434" s="1">
        <v>-6.0</v>
      </c>
      <c r="T434" s="1">
        <v>22.0</v>
      </c>
      <c r="U434" s="1">
        <v>1.0</v>
      </c>
    </row>
    <row r="435" ht="12.75" customHeight="1">
      <c r="A435" s="1" t="s">
        <v>453</v>
      </c>
      <c r="B435" s="1">
        <f t="shared" si="3"/>
        <v>421</v>
      </c>
      <c r="C435" s="1" t="str">
        <f>IFERROR(__xludf.DUMMYFUNCTION("split(A435, ""\"")"),"Vince Dunn")</f>
        <v>Vince Dunn</v>
      </c>
      <c r="D435" s="1" t="str">
        <f>IFERROR(__xludf.DUMMYFUNCTION("""COMPUTED_VALUE"""),"dunnvi02")</f>
        <v>dunnvi02</v>
      </c>
      <c r="E435" s="1" t="s">
        <v>66</v>
      </c>
      <c r="F435" s="1">
        <f t="shared" si="1"/>
        <v>191.75</v>
      </c>
      <c r="G435" s="1">
        <f t="shared" si="2"/>
        <v>2.56</v>
      </c>
      <c r="H435" s="1">
        <v>75.0</v>
      </c>
      <c r="I435" s="1">
        <v>5.0</v>
      </c>
      <c r="J435" s="1">
        <v>19.0</v>
      </c>
      <c r="K435" s="1">
        <v>24.0</v>
      </c>
      <c r="L435" s="1">
        <v>138.0</v>
      </c>
      <c r="M435" s="1">
        <v>29.0</v>
      </c>
      <c r="N435" s="1">
        <v>59.0</v>
      </c>
      <c r="O435" s="1">
        <v>2.0</v>
      </c>
      <c r="P435" s="1">
        <v>7.0</v>
      </c>
      <c r="Q435" s="1">
        <v>0.0</v>
      </c>
      <c r="R435" s="1">
        <v>0.0</v>
      </c>
      <c r="S435" s="1">
        <v>1.0</v>
      </c>
      <c r="T435" s="1">
        <v>20.0</v>
      </c>
      <c r="U435" s="1">
        <v>1.0</v>
      </c>
    </row>
    <row r="436" ht="12.75" customHeight="1">
      <c r="A436" s="1" t="s">
        <v>383</v>
      </c>
      <c r="B436" s="1">
        <f t="shared" si="3"/>
        <v>422</v>
      </c>
      <c r="C436" s="1" t="str">
        <f>IFERROR(__xludf.DUMMYFUNCTION("split(A436, ""\"")"),"Calle Jarnkrok")</f>
        <v>Calle Jarnkrok</v>
      </c>
      <c r="D436" s="1" t="str">
        <f>IFERROR(__xludf.DUMMYFUNCTION("""COMPUTED_VALUE"""),"jarnkca01")</f>
        <v>jarnkca01</v>
      </c>
      <c r="E436" s="1" t="s">
        <v>31</v>
      </c>
      <c r="F436" s="1">
        <f t="shared" si="1"/>
        <v>191.6</v>
      </c>
      <c r="G436" s="1">
        <f t="shared" si="2"/>
        <v>2.82</v>
      </c>
      <c r="H436" s="1">
        <v>68.0</v>
      </c>
      <c r="I436" s="1">
        <v>16.0</v>
      </c>
      <c r="J436" s="1">
        <v>19.0</v>
      </c>
      <c r="K436" s="1">
        <v>35.0</v>
      </c>
      <c r="L436" s="1">
        <v>105.0</v>
      </c>
      <c r="M436" s="1">
        <v>36.0</v>
      </c>
      <c r="N436" s="1">
        <v>31.0</v>
      </c>
      <c r="O436" s="1">
        <v>1.0</v>
      </c>
      <c r="P436" s="1">
        <v>3.0</v>
      </c>
      <c r="Q436" s="1">
        <v>2.0</v>
      </c>
      <c r="R436" s="1">
        <v>0.0</v>
      </c>
      <c r="S436" s="1">
        <v>20.0</v>
      </c>
      <c r="T436" s="1">
        <v>12.0</v>
      </c>
      <c r="U436" s="1">
        <v>3.0</v>
      </c>
    </row>
    <row r="437" ht="12.75" customHeight="1">
      <c r="A437" s="1" t="s">
        <v>446</v>
      </c>
      <c r="B437" s="1">
        <f t="shared" si="3"/>
        <v>423</v>
      </c>
      <c r="C437" s="1" t="str">
        <f>IFERROR(__xludf.DUMMYFUNCTION("split(A437, ""\"")"),"Andrew MacDonald")</f>
        <v>Andrew MacDonald</v>
      </c>
      <c r="D437" s="1" t="str">
        <f>IFERROR(__xludf.DUMMYFUNCTION("""COMPUTED_VALUE"""),"macdoan01")</f>
        <v>macdoan01</v>
      </c>
      <c r="E437" s="1" t="s">
        <v>66</v>
      </c>
      <c r="F437" s="1">
        <f t="shared" si="1"/>
        <v>191.5</v>
      </c>
      <c r="G437" s="1">
        <f t="shared" si="2"/>
        <v>2.9</v>
      </c>
      <c r="H437" s="1">
        <v>66.0</v>
      </c>
      <c r="I437" s="1">
        <v>6.0</v>
      </c>
      <c r="J437" s="1">
        <v>15.0</v>
      </c>
      <c r="K437" s="1">
        <v>21.0</v>
      </c>
      <c r="L437" s="1">
        <v>82.0</v>
      </c>
      <c r="M437" s="1">
        <v>36.0</v>
      </c>
      <c r="N437" s="1">
        <v>131.0</v>
      </c>
      <c r="O437" s="1">
        <v>0.0</v>
      </c>
      <c r="P437" s="1">
        <v>0.0</v>
      </c>
      <c r="Q437" s="1">
        <v>0.0</v>
      </c>
      <c r="R437" s="1">
        <v>1.0</v>
      </c>
      <c r="S437" s="1">
        <v>8.0</v>
      </c>
      <c r="T437" s="1">
        <v>30.0</v>
      </c>
      <c r="U437" s="1">
        <v>2.0</v>
      </c>
    </row>
    <row r="438" ht="12.75" customHeight="1">
      <c r="A438" s="1" t="s">
        <v>481</v>
      </c>
      <c r="B438" s="1">
        <f t="shared" si="3"/>
        <v>424</v>
      </c>
      <c r="C438" s="1" t="str">
        <f>IFERROR(__xludf.DUMMYFUNCTION("split(A438, ""\"")"),"Zach Parise")</f>
        <v>Zach Parise</v>
      </c>
      <c r="D438" s="1" t="str">
        <f>IFERROR(__xludf.DUMMYFUNCTION("""COMPUTED_VALUE"""),"parisza01")</f>
        <v>parisza01</v>
      </c>
      <c r="E438" s="1" t="s">
        <v>28</v>
      </c>
      <c r="F438" s="1">
        <f t="shared" si="1"/>
        <v>191.2</v>
      </c>
      <c r="G438" s="1">
        <f t="shared" si="2"/>
        <v>4.55</v>
      </c>
      <c r="H438" s="1">
        <v>42.0</v>
      </c>
      <c r="I438" s="1">
        <v>15.0</v>
      </c>
      <c r="J438" s="1">
        <v>9.0</v>
      </c>
      <c r="K438" s="1">
        <v>24.0</v>
      </c>
      <c r="L438" s="1">
        <v>119.0</v>
      </c>
      <c r="M438" s="1">
        <v>26.0</v>
      </c>
      <c r="N438" s="1">
        <v>37.0</v>
      </c>
      <c r="O438" s="1">
        <v>2.0</v>
      </c>
      <c r="P438" s="1">
        <v>1.0</v>
      </c>
      <c r="Q438" s="1">
        <v>0.0</v>
      </c>
      <c r="R438" s="1">
        <v>0.0</v>
      </c>
      <c r="S438" s="1">
        <v>0.0</v>
      </c>
      <c r="T438" s="1">
        <v>14.0</v>
      </c>
      <c r="U438" s="1">
        <v>4.0</v>
      </c>
    </row>
    <row r="439" ht="12.75" customHeight="1">
      <c r="A439" s="1" t="s">
        <v>483</v>
      </c>
      <c r="B439" s="1">
        <f t="shared" si="3"/>
        <v>425</v>
      </c>
      <c r="C439" s="1" t="str">
        <f>IFERROR(__xludf.DUMMYFUNCTION("split(A439, ""\"")"),"Martin Frk")</f>
        <v>Martin Frk</v>
      </c>
      <c r="D439" s="1" t="str">
        <f>IFERROR(__xludf.DUMMYFUNCTION("""COMPUTED_VALUE"""),"frkma01")</f>
        <v>frkma01</v>
      </c>
      <c r="E439" s="1" t="s">
        <v>36</v>
      </c>
      <c r="F439" s="1">
        <f t="shared" si="1"/>
        <v>190.45</v>
      </c>
      <c r="G439" s="1">
        <f t="shared" si="2"/>
        <v>2.8</v>
      </c>
      <c r="H439" s="1">
        <v>68.0</v>
      </c>
      <c r="I439" s="1">
        <v>11.0</v>
      </c>
      <c r="J439" s="1">
        <v>14.0</v>
      </c>
      <c r="K439" s="1">
        <v>25.0</v>
      </c>
      <c r="L439" s="1">
        <v>99.0</v>
      </c>
      <c r="M439" s="1">
        <v>77.0</v>
      </c>
      <c r="N439" s="1">
        <v>10.0</v>
      </c>
      <c r="O439" s="1">
        <v>5.0</v>
      </c>
      <c r="P439" s="1">
        <v>4.0</v>
      </c>
      <c r="Q439" s="1">
        <v>0.0</v>
      </c>
      <c r="R439" s="1">
        <v>0.0</v>
      </c>
      <c r="S439" s="1">
        <v>-14.0</v>
      </c>
      <c r="T439" s="1">
        <v>14.0</v>
      </c>
      <c r="U439" s="1">
        <v>0.0</v>
      </c>
    </row>
    <row r="440" ht="12.75" customHeight="1">
      <c r="A440" s="1" t="s">
        <v>497</v>
      </c>
      <c r="B440" s="1">
        <f t="shared" si="3"/>
        <v>426</v>
      </c>
      <c r="C440" s="1" t="str">
        <f>IFERROR(__xludf.DUMMYFUNCTION("split(A440, ""\"")"),"Luke Schenn")</f>
        <v>Luke Schenn</v>
      </c>
      <c r="D440" s="1" t="str">
        <f>IFERROR(__xludf.DUMMYFUNCTION("""COMPUTED_VALUE"""),"schenlu01")</f>
        <v>schenlu01</v>
      </c>
      <c r="E440" s="1" t="s">
        <v>66</v>
      </c>
      <c r="F440" s="1">
        <f t="shared" si="1"/>
        <v>189.75</v>
      </c>
      <c r="G440" s="1">
        <f t="shared" si="2"/>
        <v>2.96</v>
      </c>
      <c r="H440" s="1">
        <v>64.0</v>
      </c>
      <c r="I440" s="1">
        <v>1.0</v>
      </c>
      <c r="J440" s="1">
        <v>6.0</v>
      </c>
      <c r="K440" s="1">
        <v>7.0</v>
      </c>
      <c r="L440" s="1">
        <v>59.0</v>
      </c>
      <c r="M440" s="1">
        <v>219.0</v>
      </c>
      <c r="N440" s="1">
        <v>105.0</v>
      </c>
      <c r="O440" s="1">
        <v>0.0</v>
      </c>
      <c r="P440" s="1">
        <v>0.0</v>
      </c>
      <c r="Q440" s="1">
        <v>0.0</v>
      </c>
      <c r="R440" s="1">
        <v>0.0</v>
      </c>
      <c r="S440" s="1">
        <v>-12.0</v>
      </c>
      <c r="T440" s="1">
        <v>35.0</v>
      </c>
      <c r="U440" s="1">
        <v>1.0</v>
      </c>
    </row>
    <row r="441" ht="12.75" customHeight="1">
      <c r="A441" s="1" t="s">
        <v>508</v>
      </c>
      <c r="B441" s="1">
        <f t="shared" si="3"/>
        <v>427</v>
      </c>
      <c r="C441" s="1" t="str">
        <f>IFERROR(__xludf.DUMMYFUNCTION("split(A441, ""\"")"),"Jonathan Ericsson")</f>
        <v>Jonathan Ericsson</v>
      </c>
      <c r="D441" s="1" t="str">
        <f>IFERROR(__xludf.DUMMYFUNCTION("""COMPUTED_VALUE"""),"ericsjo01")</f>
        <v>ericsjo01</v>
      </c>
      <c r="E441" s="1" t="s">
        <v>66</v>
      </c>
      <c r="F441" s="1">
        <f t="shared" si="1"/>
        <v>189.35</v>
      </c>
      <c r="G441" s="1">
        <f t="shared" si="2"/>
        <v>2.34</v>
      </c>
      <c r="H441" s="1">
        <v>81.0</v>
      </c>
      <c r="I441" s="1">
        <v>3.0</v>
      </c>
      <c r="J441" s="1">
        <v>10.0</v>
      </c>
      <c r="K441" s="1">
        <v>13.0</v>
      </c>
      <c r="L441" s="1">
        <v>86.0</v>
      </c>
      <c r="M441" s="1">
        <v>133.0</v>
      </c>
      <c r="N441" s="1">
        <v>84.0</v>
      </c>
      <c r="O441" s="1">
        <v>0.0</v>
      </c>
      <c r="P441" s="1">
        <v>0.0</v>
      </c>
      <c r="Q441" s="1">
        <v>0.0</v>
      </c>
      <c r="R441" s="1">
        <v>1.0</v>
      </c>
      <c r="S441" s="1">
        <v>-7.0</v>
      </c>
      <c r="T441" s="1">
        <v>47.0</v>
      </c>
      <c r="U441" s="1">
        <v>0.0</v>
      </c>
    </row>
    <row r="442" ht="12.75" customHeight="1">
      <c r="A442" s="1" t="s">
        <v>524</v>
      </c>
      <c r="B442" s="1">
        <f t="shared" si="3"/>
        <v>428</v>
      </c>
      <c r="C442" s="1" t="str">
        <f>IFERROR(__xludf.DUMMYFUNCTION("split(A442, ""\"")"),"Sean Kuraly")</f>
        <v>Sean Kuraly</v>
      </c>
      <c r="D442" s="1" t="str">
        <f>IFERROR(__xludf.DUMMYFUNCTION("""COMPUTED_VALUE"""),"kuralse01")</f>
        <v>kuralse01</v>
      </c>
      <c r="E442" s="1" t="s">
        <v>31</v>
      </c>
      <c r="F442" s="1">
        <f t="shared" si="1"/>
        <v>189.25</v>
      </c>
      <c r="G442" s="1">
        <f t="shared" si="2"/>
        <v>2.52</v>
      </c>
      <c r="H442" s="1">
        <v>75.0</v>
      </c>
      <c r="I442" s="1">
        <v>6.0</v>
      </c>
      <c r="J442" s="1">
        <v>8.0</v>
      </c>
      <c r="K442" s="1">
        <v>14.0</v>
      </c>
      <c r="L442" s="1">
        <v>134.0</v>
      </c>
      <c r="M442" s="1">
        <v>143.0</v>
      </c>
      <c r="N442" s="1">
        <v>22.0</v>
      </c>
      <c r="O442" s="1">
        <v>0.0</v>
      </c>
      <c r="P442" s="1">
        <v>0.0</v>
      </c>
      <c r="Q442" s="1">
        <v>0.0</v>
      </c>
      <c r="R442" s="1">
        <v>1.0</v>
      </c>
      <c r="S442" s="1">
        <v>-5.0</v>
      </c>
      <c r="T442" s="1">
        <v>40.0</v>
      </c>
      <c r="U442" s="1">
        <v>1.0</v>
      </c>
    </row>
    <row r="443" ht="12.75" customHeight="1">
      <c r="A443" s="1" t="s">
        <v>369</v>
      </c>
      <c r="B443" s="1">
        <f t="shared" si="3"/>
        <v>429</v>
      </c>
      <c r="C443" s="1" t="str">
        <f>IFERROR(__xludf.DUMMYFUNCTION("split(A443, ""\"")"),"Ryan Ellis")</f>
        <v>Ryan Ellis</v>
      </c>
      <c r="D443" s="1" t="str">
        <f>IFERROR(__xludf.DUMMYFUNCTION("""COMPUTED_VALUE"""),"ellisry01")</f>
        <v>ellisry01</v>
      </c>
      <c r="E443" s="1" t="s">
        <v>66</v>
      </c>
      <c r="F443" s="1">
        <f t="shared" si="1"/>
        <v>189.05</v>
      </c>
      <c r="G443" s="1">
        <f t="shared" si="2"/>
        <v>4.3</v>
      </c>
      <c r="H443" s="1">
        <v>44.0</v>
      </c>
      <c r="I443" s="1">
        <v>9.0</v>
      </c>
      <c r="J443" s="1">
        <v>23.0</v>
      </c>
      <c r="K443" s="1">
        <v>32.0</v>
      </c>
      <c r="L443" s="1">
        <v>110.0</v>
      </c>
      <c r="M443" s="1">
        <v>27.0</v>
      </c>
      <c r="N443" s="1">
        <v>84.0</v>
      </c>
      <c r="O443" s="1">
        <v>2.0</v>
      </c>
      <c r="P443" s="1">
        <v>3.0</v>
      </c>
      <c r="Q443" s="1">
        <v>0.0</v>
      </c>
      <c r="R443" s="1">
        <v>3.0</v>
      </c>
      <c r="S443" s="1">
        <v>26.0</v>
      </c>
      <c r="T443" s="1">
        <v>6.0</v>
      </c>
      <c r="U443" s="1">
        <v>2.0</v>
      </c>
    </row>
    <row r="444" ht="12.75" customHeight="1">
      <c r="A444" s="1" t="s">
        <v>462</v>
      </c>
      <c r="B444" s="1">
        <f t="shared" si="3"/>
        <v>430</v>
      </c>
      <c r="C444" s="1" t="str">
        <f>IFERROR(__xludf.DUMMYFUNCTION("split(A444, ""\"")"),"Brett Connolly")</f>
        <v>Brett Connolly</v>
      </c>
      <c r="D444" s="1" t="str">
        <f>IFERROR(__xludf.DUMMYFUNCTION("""COMPUTED_VALUE"""),"connobr01")</f>
        <v>connobr01</v>
      </c>
      <c r="E444" s="1" t="s">
        <v>36</v>
      </c>
      <c r="F444" s="1">
        <f t="shared" si="1"/>
        <v>189</v>
      </c>
      <c r="G444" s="1">
        <f t="shared" si="2"/>
        <v>2.7</v>
      </c>
      <c r="H444" s="1">
        <v>70.0</v>
      </c>
      <c r="I444" s="1">
        <v>15.0</v>
      </c>
      <c r="J444" s="1">
        <v>12.0</v>
      </c>
      <c r="K444" s="1">
        <v>27.0</v>
      </c>
      <c r="L444" s="1">
        <v>67.0</v>
      </c>
      <c r="M444" s="1">
        <v>72.0</v>
      </c>
      <c r="N444" s="1">
        <v>24.0</v>
      </c>
      <c r="O444" s="1">
        <v>4.0</v>
      </c>
      <c r="P444" s="1">
        <v>1.0</v>
      </c>
      <c r="Q444" s="1">
        <v>0.0</v>
      </c>
      <c r="R444" s="1">
        <v>0.0</v>
      </c>
      <c r="S444" s="1">
        <v>-6.0</v>
      </c>
      <c r="T444" s="1">
        <v>30.0</v>
      </c>
      <c r="U444" s="1">
        <v>2.0</v>
      </c>
    </row>
    <row r="445" ht="12.75" customHeight="1">
      <c r="A445" s="1" t="s">
        <v>491</v>
      </c>
      <c r="B445" s="1">
        <f t="shared" si="3"/>
        <v>431</v>
      </c>
      <c r="C445" s="1" t="str">
        <f>IFERROR(__xludf.DUMMYFUNCTION("split(A445, ""\"")"),"Ryan Callahan")</f>
        <v>Ryan Callahan</v>
      </c>
      <c r="D445" s="1" t="str">
        <f>IFERROR(__xludf.DUMMYFUNCTION("""COMPUTED_VALUE"""),"callary01")</f>
        <v>callary01</v>
      </c>
      <c r="E445" s="1" t="s">
        <v>36</v>
      </c>
      <c r="F445" s="1">
        <f t="shared" si="1"/>
        <v>188.7</v>
      </c>
      <c r="G445" s="1">
        <f t="shared" si="2"/>
        <v>2.82</v>
      </c>
      <c r="H445" s="1">
        <v>67.0</v>
      </c>
      <c r="I445" s="1">
        <v>5.0</v>
      </c>
      <c r="J445" s="1">
        <v>13.0</v>
      </c>
      <c r="K445" s="1">
        <v>18.0</v>
      </c>
      <c r="L445" s="1">
        <v>104.0</v>
      </c>
      <c r="M445" s="1">
        <v>138.0</v>
      </c>
      <c r="N445" s="1">
        <v>40.0</v>
      </c>
      <c r="O445" s="1">
        <v>1.0</v>
      </c>
      <c r="P445" s="1">
        <v>1.0</v>
      </c>
      <c r="Q445" s="1">
        <v>1.0</v>
      </c>
      <c r="R445" s="1">
        <v>1.0</v>
      </c>
      <c r="S445" s="1">
        <v>-4.0</v>
      </c>
      <c r="T445" s="1">
        <v>29.0</v>
      </c>
      <c r="U445" s="1">
        <v>0.0</v>
      </c>
    </row>
    <row r="446" ht="12.75" customHeight="1">
      <c r="A446" s="1" t="s">
        <v>487</v>
      </c>
      <c r="B446" s="1">
        <f t="shared" si="3"/>
        <v>432</v>
      </c>
      <c r="C446" s="1" t="str">
        <f>IFERROR(__xludf.DUMMYFUNCTION("split(A446, ""\"")"),"Pavel Zacha")</f>
        <v>Pavel Zacha</v>
      </c>
      <c r="D446" s="1" t="str">
        <f>IFERROR(__xludf.DUMMYFUNCTION("""COMPUTED_VALUE"""),"zachapa01")</f>
        <v>zachapa01</v>
      </c>
      <c r="E446" s="1" t="s">
        <v>31</v>
      </c>
      <c r="F446" s="1">
        <f t="shared" si="1"/>
        <v>188</v>
      </c>
      <c r="G446" s="1">
        <f t="shared" si="2"/>
        <v>2.72</v>
      </c>
      <c r="H446" s="1">
        <v>69.0</v>
      </c>
      <c r="I446" s="1">
        <v>8.0</v>
      </c>
      <c r="J446" s="1">
        <v>17.0</v>
      </c>
      <c r="K446" s="1">
        <v>25.0</v>
      </c>
      <c r="L446" s="1">
        <v>112.0</v>
      </c>
      <c r="M446" s="1">
        <v>70.0</v>
      </c>
      <c r="N446" s="1">
        <v>22.0</v>
      </c>
      <c r="O446" s="1">
        <v>2.0</v>
      </c>
      <c r="P446" s="1">
        <v>3.0</v>
      </c>
      <c r="Q446" s="1">
        <v>1.0</v>
      </c>
      <c r="R446" s="1">
        <v>0.0</v>
      </c>
      <c r="S446" s="1">
        <v>-3.0</v>
      </c>
      <c r="T446" s="1">
        <v>30.0</v>
      </c>
      <c r="U446" s="1">
        <v>0.0</v>
      </c>
    </row>
    <row r="447" ht="12.75" customHeight="1">
      <c r="A447" s="1" t="s">
        <v>431</v>
      </c>
      <c r="B447" s="1">
        <f t="shared" si="3"/>
        <v>433</v>
      </c>
      <c r="C447" s="1" t="str">
        <f>IFERROR(__xludf.DUMMYFUNCTION("split(A447, ""\"")"),"Robert Hagg")</f>
        <v>Robert Hagg</v>
      </c>
      <c r="D447" s="1" t="str">
        <f>IFERROR(__xludf.DUMMYFUNCTION("""COMPUTED_VALUE"""),"haggro01")</f>
        <v>haggro01</v>
      </c>
      <c r="E447" s="1" t="s">
        <v>66</v>
      </c>
      <c r="F447" s="1">
        <f t="shared" si="1"/>
        <v>187.6</v>
      </c>
      <c r="G447" s="1">
        <f t="shared" si="2"/>
        <v>2.68</v>
      </c>
      <c r="H447" s="1">
        <v>70.0</v>
      </c>
      <c r="I447" s="1">
        <v>3.0</v>
      </c>
      <c r="J447" s="1">
        <v>6.0</v>
      </c>
      <c r="K447" s="1">
        <v>9.0</v>
      </c>
      <c r="L447" s="1">
        <v>89.0</v>
      </c>
      <c r="M447" s="1">
        <v>238.0</v>
      </c>
      <c r="N447" s="1">
        <v>100.0</v>
      </c>
      <c r="O447" s="1">
        <v>0.0</v>
      </c>
      <c r="P447" s="1">
        <v>0.0</v>
      </c>
      <c r="Q447" s="1">
        <v>0.0</v>
      </c>
      <c r="R447" s="1">
        <v>0.0</v>
      </c>
      <c r="S447" s="1">
        <v>5.0</v>
      </c>
      <c r="T447" s="1">
        <v>32.0</v>
      </c>
      <c r="U447" s="1">
        <v>0.0</v>
      </c>
    </row>
    <row r="448" ht="12.75" customHeight="1">
      <c r="A448" s="1" t="s">
        <v>475</v>
      </c>
      <c r="B448" s="1">
        <f t="shared" si="3"/>
        <v>434</v>
      </c>
      <c r="C448" s="1" t="str">
        <f>IFERROR(__xludf.DUMMYFUNCTION("split(A448, ""\"")"),"Jakub Vrana")</f>
        <v>Jakub Vrana</v>
      </c>
      <c r="D448" s="1" t="str">
        <f>IFERROR(__xludf.DUMMYFUNCTION("""COMPUTED_VALUE"""),"vranaja01")</f>
        <v>vranaja01</v>
      </c>
      <c r="E448" s="1" t="s">
        <v>28</v>
      </c>
      <c r="F448" s="1">
        <f t="shared" si="1"/>
        <v>187.35</v>
      </c>
      <c r="G448" s="1">
        <f t="shared" si="2"/>
        <v>2.57</v>
      </c>
      <c r="H448" s="1">
        <v>73.0</v>
      </c>
      <c r="I448" s="1">
        <v>13.0</v>
      </c>
      <c r="J448" s="1">
        <v>14.0</v>
      </c>
      <c r="K448" s="1">
        <v>27.0</v>
      </c>
      <c r="L448" s="1">
        <v>133.0</v>
      </c>
      <c r="M448" s="1">
        <v>31.0</v>
      </c>
      <c r="N448" s="1">
        <v>16.0</v>
      </c>
      <c r="O448" s="1">
        <v>1.0</v>
      </c>
      <c r="P448" s="1">
        <v>2.0</v>
      </c>
      <c r="Q448" s="1">
        <v>0.0</v>
      </c>
      <c r="R448" s="1">
        <v>0.0</v>
      </c>
      <c r="S448" s="1">
        <v>2.0</v>
      </c>
      <c r="T448" s="1">
        <v>12.0</v>
      </c>
      <c r="U448" s="1">
        <v>2.0</v>
      </c>
    </row>
    <row r="449" ht="12.75" customHeight="1">
      <c r="A449" s="1" t="s">
        <v>325</v>
      </c>
      <c r="B449" s="1">
        <f t="shared" si="3"/>
        <v>435</v>
      </c>
      <c r="C449" s="1" t="str">
        <f>IFERROR(__xludf.DUMMYFUNCTION("split(A449, ""\"")"),"Petr Mrazek")</f>
        <v>Petr Mrazek</v>
      </c>
      <c r="D449" s="2" t="str">
        <f>IFERROR(__xludf.DUMMYFUNCTION("""COMPUTED_VALUE"""),"mrazepe01")</f>
        <v>mrazepe01</v>
      </c>
      <c r="E449" s="1" t="s">
        <v>5</v>
      </c>
      <c r="F449" s="1">
        <f t="shared" si="1"/>
        <v>187.2</v>
      </c>
      <c r="G449" s="1">
        <f t="shared" si="2"/>
        <v>4.8</v>
      </c>
      <c r="H449" s="1">
        <v>39.0</v>
      </c>
      <c r="V449" s="1">
        <v>33.0</v>
      </c>
      <c r="W449" s="1">
        <v>14.0</v>
      </c>
      <c r="X449" s="1">
        <v>13.0</v>
      </c>
      <c r="Y449" s="1">
        <v>106.0</v>
      </c>
      <c r="Z449" s="1">
        <v>1080.0</v>
      </c>
      <c r="AA449" s="1">
        <v>974.0</v>
      </c>
      <c r="AB449" s="1">
        <v>4.0</v>
      </c>
    </row>
    <row r="450" ht="12.75" customHeight="1">
      <c r="A450" s="1" t="s">
        <v>503</v>
      </c>
      <c r="B450" s="1">
        <f t="shared" si="3"/>
        <v>436</v>
      </c>
      <c r="C450" s="1" t="str">
        <f>IFERROR(__xludf.DUMMYFUNCTION("split(A450, ""\"")"),"Brett Pesce")</f>
        <v>Brett Pesce</v>
      </c>
      <c r="D450" s="1" t="str">
        <f>IFERROR(__xludf.DUMMYFUNCTION("""COMPUTED_VALUE"""),"pescebr01")</f>
        <v>pescebr01</v>
      </c>
      <c r="E450" s="1" t="s">
        <v>66</v>
      </c>
      <c r="F450" s="1">
        <f t="shared" si="1"/>
        <v>186.65</v>
      </c>
      <c r="G450" s="1">
        <f t="shared" si="2"/>
        <v>2.87</v>
      </c>
      <c r="H450" s="1">
        <v>65.0</v>
      </c>
      <c r="I450" s="1">
        <v>3.0</v>
      </c>
      <c r="J450" s="1">
        <v>16.0</v>
      </c>
      <c r="K450" s="1">
        <v>19.0</v>
      </c>
      <c r="L450" s="1">
        <v>88.0</v>
      </c>
      <c r="M450" s="1">
        <v>57.0</v>
      </c>
      <c r="N450" s="1">
        <v>101.0</v>
      </c>
      <c r="O450" s="1">
        <v>0.0</v>
      </c>
      <c r="P450" s="1">
        <v>0.0</v>
      </c>
      <c r="Q450" s="1">
        <v>0.0</v>
      </c>
      <c r="R450" s="1">
        <v>0.0</v>
      </c>
      <c r="S450" s="1">
        <v>-6.0</v>
      </c>
      <c r="T450" s="1">
        <v>18.0</v>
      </c>
      <c r="U450" s="1">
        <v>1.0</v>
      </c>
    </row>
    <row r="451" ht="12.75" customHeight="1">
      <c r="A451" s="1" t="s">
        <v>642</v>
      </c>
      <c r="B451" s="1">
        <f t="shared" si="3"/>
        <v>437</v>
      </c>
      <c r="C451" s="1" t="str">
        <f>IFERROR(__xludf.DUMMYFUNCTION("split(A451, ""\"")"),"Micheal Haley")</f>
        <v>Micheal Haley</v>
      </c>
      <c r="D451" s="1" t="str">
        <f>IFERROR(__xludf.DUMMYFUNCTION("""COMPUTED_VALUE"""),"haleymi01")</f>
        <v>haleymi01</v>
      </c>
      <c r="E451" s="1" t="s">
        <v>31</v>
      </c>
      <c r="F451" s="1">
        <f t="shared" si="1"/>
        <v>186.6</v>
      </c>
      <c r="G451" s="1">
        <f t="shared" si="2"/>
        <v>2.49</v>
      </c>
      <c r="H451" s="1">
        <v>75.0</v>
      </c>
      <c r="I451" s="1">
        <v>3.0</v>
      </c>
      <c r="J451" s="1">
        <v>6.0</v>
      </c>
      <c r="K451" s="1">
        <v>9.0</v>
      </c>
      <c r="L451" s="1">
        <v>55.0</v>
      </c>
      <c r="M451" s="1">
        <v>124.0</v>
      </c>
      <c r="N451" s="1">
        <v>23.0</v>
      </c>
      <c r="O451" s="1">
        <v>0.0</v>
      </c>
      <c r="P451" s="1">
        <v>0.0</v>
      </c>
      <c r="Q451" s="1">
        <v>0.0</v>
      </c>
      <c r="R451" s="1">
        <v>0.0</v>
      </c>
      <c r="S451" s="1">
        <v>-13.0</v>
      </c>
      <c r="T451" s="1">
        <v>212.0</v>
      </c>
      <c r="U451" s="1">
        <v>1.0</v>
      </c>
    </row>
    <row r="452" ht="12.75" customHeight="1">
      <c r="A452" s="1" t="s">
        <v>504</v>
      </c>
      <c r="B452" s="1">
        <f t="shared" si="3"/>
        <v>438</v>
      </c>
      <c r="C452" s="1" t="str">
        <f>IFERROR(__xludf.DUMMYFUNCTION("split(A452, ""\"")"),"Tyson Jost")</f>
        <v>Tyson Jost</v>
      </c>
      <c r="D452" s="1" t="str">
        <f>IFERROR(__xludf.DUMMYFUNCTION("""COMPUTED_VALUE"""),"jostty01")</f>
        <v>jostty01</v>
      </c>
      <c r="E452" s="1" t="s">
        <v>31</v>
      </c>
      <c r="F452" s="1">
        <f t="shared" si="1"/>
        <v>186.55</v>
      </c>
      <c r="G452" s="1">
        <f t="shared" si="2"/>
        <v>2.87</v>
      </c>
      <c r="H452" s="1">
        <v>65.0</v>
      </c>
      <c r="I452" s="1">
        <v>12.0</v>
      </c>
      <c r="J452" s="1">
        <v>10.0</v>
      </c>
      <c r="K452" s="1">
        <v>22.0</v>
      </c>
      <c r="L452" s="1">
        <v>113.0</v>
      </c>
      <c r="M452" s="1">
        <v>33.0</v>
      </c>
      <c r="N452" s="1">
        <v>26.0</v>
      </c>
      <c r="O452" s="1">
        <v>5.0</v>
      </c>
      <c r="P452" s="1">
        <v>3.0</v>
      </c>
      <c r="Q452" s="1">
        <v>0.0</v>
      </c>
      <c r="R452" s="1">
        <v>0.0</v>
      </c>
      <c r="S452" s="1">
        <v>-10.0</v>
      </c>
      <c r="T452" s="1">
        <v>26.0</v>
      </c>
      <c r="U452" s="1">
        <v>1.0</v>
      </c>
    </row>
    <row r="453" ht="12.75" customHeight="1">
      <c r="A453" s="1" t="s">
        <v>494</v>
      </c>
      <c r="B453" s="1">
        <f t="shared" si="3"/>
        <v>439</v>
      </c>
      <c r="C453" s="1" t="str">
        <f>IFERROR(__xludf.DUMMYFUNCTION("split(A453, ""\"")"),"Phillip Danault")</f>
        <v>Phillip Danault</v>
      </c>
      <c r="D453" s="1" t="str">
        <f>IFERROR(__xludf.DUMMYFUNCTION("""COMPUTED_VALUE"""),"danauph01")</f>
        <v>danauph01</v>
      </c>
      <c r="E453" s="1" t="s">
        <v>28</v>
      </c>
      <c r="F453" s="1">
        <f t="shared" si="1"/>
        <v>184.95</v>
      </c>
      <c r="G453" s="1">
        <f t="shared" si="2"/>
        <v>3.56</v>
      </c>
      <c r="H453" s="1">
        <v>52.0</v>
      </c>
      <c r="I453" s="1">
        <v>8.0</v>
      </c>
      <c r="J453" s="1">
        <v>17.0</v>
      </c>
      <c r="K453" s="1">
        <v>25.0</v>
      </c>
      <c r="L453" s="1">
        <v>94.0</v>
      </c>
      <c r="M453" s="1">
        <v>59.0</v>
      </c>
      <c r="N453" s="1">
        <v>38.0</v>
      </c>
      <c r="O453" s="1">
        <v>0.0</v>
      </c>
      <c r="P453" s="1">
        <v>2.0</v>
      </c>
      <c r="Q453" s="1">
        <v>1.0</v>
      </c>
      <c r="R453" s="1">
        <v>0.0</v>
      </c>
      <c r="S453" s="1">
        <v>0.0</v>
      </c>
      <c r="T453" s="1">
        <v>34.0</v>
      </c>
      <c r="U453" s="1">
        <v>2.0</v>
      </c>
    </row>
    <row r="454" ht="12.75" customHeight="1">
      <c r="A454" s="1" t="s">
        <v>507</v>
      </c>
      <c r="B454" s="1">
        <f t="shared" si="3"/>
        <v>440</v>
      </c>
      <c r="C454" s="1" t="str">
        <f>IFERROR(__xludf.DUMMYFUNCTION("split(A454, ""\"")"),"Jordan Oesterle")</f>
        <v>Jordan Oesterle</v>
      </c>
      <c r="D454" s="1" t="str">
        <f>IFERROR(__xludf.DUMMYFUNCTION("""COMPUTED_VALUE"""),"oestejo01")</f>
        <v>oestejo01</v>
      </c>
      <c r="E454" s="1" t="s">
        <v>66</v>
      </c>
      <c r="F454" s="1">
        <f t="shared" si="1"/>
        <v>184.9</v>
      </c>
      <c r="G454" s="1">
        <f t="shared" si="2"/>
        <v>3.36</v>
      </c>
      <c r="H454" s="1">
        <v>55.0</v>
      </c>
      <c r="I454" s="1">
        <v>5.0</v>
      </c>
      <c r="J454" s="1">
        <v>10.0</v>
      </c>
      <c r="K454" s="1">
        <v>15.0</v>
      </c>
      <c r="L454" s="1">
        <v>99.0</v>
      </c>
      <c r="M454" s="1">
        <v>62.0</v>
      </c>
      <c r="N454" s="1">
        <v>97.0</v>
      </c>
      <c r="O454" s="1">
        <v>1.0</v>
      </c>
      <c r="P454" s="1">
        <v>2.0</v>
      </c>
      <c r="Q454" s="1">
        <v>0.0</v>
      </c>
      <c r="R454" s="1">
        <v>0.0</v>
      </c>
      <c r="S454" s="1">
        <v>-11.0</v>
      </c>
      <c r="T454" s="1">
        <v>8.0</v>
      </c>
      <c r="U454" s="1">
        <v>0.0</v>
      </c>
    </row>
    <row r="455" ht="12.75" customHeight="1">
      <c r="A455" s="1" t="s">
        <v>513</v>
      </c>
      <c r="B455" s="1">
        <f t="shared" si="3"/>
        <v>440</v>
      </c>
      <c r="C455" s="1" t="str">
        <f>IFERROR(__xludf.DUMMYFUNCTION("split(A455, ""\"")"),"Casey Cizikas")</f>
        <v>Casey Cizikas</v>
      </c>
      <c r="D455" s="1" t="str">
        <f>IFERROR(__xludf.DUMMYFUNCTION("""COMPUTED_VALUE"""),"cizikca01")</f>
        <v>cizikca01</v>
      </c>
      <c r="E455" s="1" t="s">
        <v>31</v>
      </c>
      <c r="F455" s="1">
        <f t="shared" si="1"/>
        <v>184.9</v>
      </c>
      <c r="G455" s="1">
        <f t="shared" si="2"/>
        <v>2.89</v>
      </c>
      <c r="H455" s="1">
        <v>64.0</v>
      </c>
      <c r="I455" s="1">
        <v>7.0</v>
      </c>
      <c r="J455" s="1">
        <v>10.0</v>
      </c>
      <c r="K455" s="1">
        <v>17.0</v>
      </c>
      <c r="L455" s="1">
        <v>74.0</v>
      </c>
      <c r="M455" s="1">
        <v>128.0</v>
      </c>
      <c r="N455" s="1">
        <v>53.0</v>
      </c>
      <c r="O455" s="1">
        <v>0.0</v>
      </c>
      <c r="P455" s="1">
        <v>0.0</v>
      </c>
      <c r="Q455" s="1">
        <v>1.0</v>
      </c>
      <c r="R455" s="1">
        <v>0.0</v>
      </c>
      <c r="S455" s="1">
        <v>-12.0</v>
      </c>
      <c r="T455" s="1">
        <v>23.0</v>
      </c>
      <c r="U455" s="1">
        <v>0.0</v>
      </c>
    </row>
    <row r="456" ht="12.75" customHeight="1">
      <c r="A456" s="1" t="s">
        <v>526</v>
      </c>
      <c r="B456" s="1">
        <f t="shared" si="3"/>
        <v>442</v>
      </c>
      <c r="C456" s="1" t="str">
        <f>IFERROR(__xludf.DUMMYFUNCTION("split(A456, ""\"")"),"Benoit Pouliot")</f>
        <v>Benoit Pouliot</v>
      </c>
      <c r="D456" s="1" t="str">
        <f>IFERROR(__xludf.DUMMYFUNCTION("""COMPUTED_VALUE"""),"poulibe01")</f>
        <v>poulibe01</v>
      </c>
      <c r="E456" s="1" t="s">
        <v>28</v>
      </c>
      <c r="F456" s="1">
        <f t="shared" si="1"/>
        <v>184.85</v>
      </c>
      <c r="G456" s="1">
        <f t="shared" si="2"/>
        <v>2.5</v>
      </c>
      <c r="H456" s="1">
        <v>74.0</v>
      </c>
      <c r="I456" s="1">
        <v>13.0</v>
      </c>
      <c r="J456" s="1">
        <v>6.0</v>
      </c>
      <c r="K456" s="1">
        <v>19.0</v>
      </c>
      <c r="L456" s="1">
        <v>83.0</v>
      </c>
      <c r="M456" s="1">
        <v>69.0</v>
      </c>
      <c r="N456" s="1">
        <v>34.0</v>
      </c>
      <c r="O456" s="1">
        <v>1.0</v>
      </c>
      <c r="P456" s="1">
        <v>0.0</v>
      </c>
      <c r="Q456" s="1">
        <v>2.0</v>
      </c>
      <c r="R456" s="1">
        <v>0.0</v>
      </c>
      <c r="S456" s="1">
        <v>-8.0</v>
      </c>
      <c r="T456" s="1">
        <v>22.0</v>
      </c>
      <c r="U456" s="1">
        <v>4.0</v>
      </c>
    </row>
    <row r="457" ht="12.75" customHeight="1">
      <c r="A457" s="1" t="s">
        <v>551</v>
      </c>
      <c r="B457" s="1">
        <f t="shared" si="3"/>
        <v>443</v>
      </c>
      <c r="C457" s="1" t="str">
        <f>IFERROR(__xludf.DUMMYFUNCTION("split(A457, ""\"")"),"Antoine Roussel")</f>
        <v>Antoine Roussel</v>
      </c>
      <c r="D457" s="1" t="str">
        <f>IFERROR(__xludf.DUMMYFUNCTION("""COMPUTED_VALUE"""),"roussan01")</f>
        <v>roussan01</v>
      </c>
      <c r="E457" s="1" t="s">
        <v>28</v>
      </c>
      <c r="F457" s="1">
        <f t="shared" si="1"/>
        <v>184.3</v>
      </c>
      <c r="G457" s="1">
        <f t="shared" si="2"/>
        <v>2.52</v>
      </c>
      <c r="H457" s="1">
        <v>73.0</v>
      </c>
      <c r="I457" s="1">
        <v>5.0</v>
      </c>
      <c r="J457" s="1">
        <v>12.0</v>
      </c>
      <c r="K457" s="1">
        <v>17.0</v>
      </c>
      <c r="L457" s="1">
        <v>85.0</v>
      </c>
      <c r="M457" s="1">
        <v>104.0</v>
      </c>
      <c r="N457" s="1">
        <v>42.0</v>
      </c>
      <c r="O457" s="1">
        <v>0.0</v>
      </c>
      <c r="P457" s="1">
        <v>0.0</v>
      </c>
      <c r="Q457" s="1">
        <v>0.0</v>
      </c>
      <c r="R457" s="1">
        <v>0.0</v>
      </c>
      <c r="S457" s="1">
        <v>1.0</v>
      </c>
      <c r="T457" s="1">
        <v>126.0</v>
      </c>
      <c r="U457" s="1">
        <v>0.0</v>
      </c>
    </row>
    <row r="458" ht="12.75" customHeight="1">
      <c r="A458" s="1" t="s">
        <v>466</v>
      </c>
      <c r="B458" s="1">
        <f t="shared" si="3"/>
        <v>444</v>
      </c>
      <c r="C458" s="1" t="str">
        <f>IFERROR(__xludf.DUMMYFUNCTION("split(A458, ""\"")"),"Nick Holden")</f>
        <v>Nick Holden</v>
      </c>
      <c r="D458" s="1" t="str">
        <f>IFERROR(__xludf.DUMMYFUNCTION("""COMPUTED_VALUE"""),"holdeni01")</f>
        <v>holdeni01</v>
      </c>
      <c r="E458" s="1" t="s">
        <v>66</v>
      </c>
      <c r="F458" s="1">
        <f t="shared" si="1"/>
        <v>184.2</v>
      </c>
      <c r="G458" s="1">
        <f t="shared" si="2"/>
        <v>2.52</v>
      </c>
      <c r="H458" s="1">
        <v>73.0</v>
      </c>
      <c r="I458" s="1">
        <v>4.0</v>
      </c>
      <c r="J458" s="1">
        <v>13.0</v>
      </c>
      <c r="K458" s="1">
        <v>17.0</v>
      </c>
      <c r="L458" s="1">
        <v>80.0</v>
      </c>
      <c r="M458" s="1">
        <v>136.0</v>
      </c>
      <c r="N458" s="1">
        <v>83.0</v>
      </c>
      <c r="O458" s="1">
        <v>0.0</v>
      </c>
      <c r="P458" s="1">
        <v>3.0</v>
      </c>
      <c r="Q458" s="1">
        <v>0.0</v>
      </c>
      <c r="R458" s="1">
        <v>0.0</v>
      </c>
      <c r="S458" s="1">
        <v>-5.0</v>
      </c>
      <c r="T458" s="1">
        <v>14.0</v>
      </c>
      <c r="U458" s="1">
        <v>0.0</v>
      </c>
    </row>
    <row r="459" ht="12.75" customHeight="1">
      <c r="A459" s="1" t="s">
        <v>498</v>
      </c>
      <c r="B459" s="1">
        <f t="shared" si="3"/>
        <v>445</v>
      </c>
      <c r="C459" s="1" t="str">
        <f>IFERROR(__xludf.DUMMYFUNCTION("split(A459, ""\"")"),"Jesse Puljujarvi")</f>
        <v>Jesse Puljujarvi</v>
      </c>
      <c r="D459" s="1" t="str">
        <f>IFERROR(__xludf.DUMMYFUNCTION("""COMPUTED_VALUE"""),"puljuje01")</f>
        <v>puljuje01</v>
      </c>
      <c r="E459" s="1" t="s">
        <v>36</v>
      </c>
      <c r="F459" s="1">
        <f t="shared" si="1"/>
        <v>183.95</v>
      </c>
      <c r="G459" s="1">
        <f t="shared" si="2"/>
        <v>2.83</v>
      </c>
      <c r="H459" s="1">
        <v>65.0</v>
      </c>
      <c r="I459" s="1">
        <v>12.0</v>
      </c>
      <c r="J459" s="1">
        <v>8.0</v>
      </c>
      <c r="K459" s="1">
        <v>20.0</v>
      </c>
      <c r="L459" s="1">
        <v>136.0</v>
      </c>
      <c r="M459" s="1">
        <v>67.0</v>
      </c>
      <c r="N459" s="1">
        <v>23.0</v>
      </c>
      <c r="O459" s="1">
        <v>2.0</v>
      </c>
      <c r="P459" s="1">
        <v>0.0</v>
      </c>
      <c r="Q459" s="1">
        <v>0.0</v>
      </c>
      <c r="R459" s="1">
        <v>0.0</v>
      </c>
      <c r="S459" s="1">
        <v>-1.0</v>
      </c>
      <c r="T459" s="1">
        <v>14.0</v>
      </c>
      <c r="U459" s="1">
        <v>2.0</v>
      </c>
    </row>
    <row r="460" ht="12.75" customHeight="1">
      <c r="A460" s="1" t="s">
        <v>414</v>
      </c>
      <c r="B460" s="1">
        <f t="shared" si="3"/>
        <v>446</v>
      </c>
      <c r="C460" s="1" t="str">
        <f>IFERROR(__xludf.DUMMYFUNCTION("split(A460, ""\"")"),"Andrew Copp")</f>
        <v>Andrew Copp</v>
      </c>
      <c r="D460" s="1" t="str">
        <f>IFERROR(__xludf.DUMMYFUNCTION("""COMPUTED_VALUE"""),"coppan01")</f>
        <v>coppan01</v>
      </c>
      <c r="E460" s="1" t="s">
        <v>31</v>
      </c>
      <c r="F460" s="1">
        <f t="shared" si="1"/>
        <v>183.45</v>
      </c>
      <c r="G460" s="1">
        <f t="shared" si="2"/>
        <v>2.24</v>
      </c>
      <c r="H460" s="1">
        <v>82.0</v>
      </c>
      <c r="I460" s="1">
        <v>9.0</v>
      </c>
      <c r="J460" s="1">
        <v>19.0</v>
      </c>
      <c r="K460" s="1">
        <v>28.0</v>
      </c>
      <c r="L460" s="1">
        <v>96.0</v>
      </c>
      <c r="M460" s="1">
        <v>99.0</v>
      </c>
      <c r="N460" s="1">
        <v>51.0</v>
      </c>
      <c r="O460" s="1">
        <v>0.0</v>
      </c>
      <c r="P460" s="1">
        <v>0.0</v>
      </c>
      <c r="Q460" s="1">
        <v>2.0</v>
      </c>
      <c r="R460" s="1">
        <v>1.0</v>
      </c>
      <c r="S460" s="1">
        <v>17.0</v>
      </c>
      <c r="T460" s="1">
        <v>14.0</v>
      </c>
      <c r="U460" s="1">
        <v>0.0</v>
      </c>
    </row>
    <row r="461" ht="12.75" customHeight="1">
      <c r="A461" s="1" t="s">
        <v>511</v>
      </c>
      <c r="B461" s="1">
        <f t="shared" si="3"/>
        <v>447</v>
      </c>
      <c r="C461" s="1" t="str">
        <f>IFERROR(__xludf.DUMMYFUNCTION("split(A461, ""\"")"),"Andrew Shaw")</f>
        <v>Andrew Shaw</v>
      </c>
      <c r="D461" s="1" t="str">
        <f>IFERROR(__xludf.DUMMYFUNCTION("""COMPUTED_VALUE"""),"shawan01")</f>
        <v>shawan01</v>
      </c>
      <c r="E461" s="1" t="s">
        <v>31</v>
      </c>
      <c r="F461" s="1">
        <f t="shared" si="1"/>
        <v>182.9</v>
      </c>
      <c r="G461" s="1">
        <f t="shared" si="2"/>
        <v>3.59</v>
      </c>
      <c r="H461" s="1">
        <v>51.0</v>
      </c>
      <c r="I461" s="1">
        <v>10.0</v>
      </c>
      <c r="J461" s="1">
        <v>10.0</v>
      </c>
      <c r="K461" s="1">
        <v>20.0</v>
      </c>
      <c r="L461" s="1">
        <v>94.0</v>
      </c>
      <c r="M461" s="1">
        <v>80.0</v>
      </c>
      <c r="N461" s="1">
        <v>26.0</v>
      </c>
      <c r="O461" s="1">
        <v>5.0</v>
      </c>
      <c r="P461" s="1">
        <v>2.0</v>
      </c>
      <c r="Q461" s="1">
        <v>0.0</v>
      </c>
      <c r="R461" s="1">
        <v>0.0</v>
      </c>
      <c r="S461" s="1">
        <v>-8.0</v>
      </c>
      <c r="T461" s="1">
        <v>53.0</v>
      </c>
      <c r="U461" s="1">
        <v>0.0</v>
      </c>
    </row>
    <row r="462" ht="12.75" customHeight="1">
      <c r="A462" s="1" t="s">
        <v>531</v>
      </c>
      <c r="B462" s="1">
        <f t="shared" si="3"/>
        <v>448</v>
      </c>
      <c r="C462" s="1" t="str">
        <f>IFERROR(__xludf.DUMMYFUNCTION("split(A462, ""\"")"),"David Desharnais")</f>
        <v>David Desharnais</v>
      </c>
      <c r="D462" s="1" t="str">
        <f>IFERROR(__xludf.DUMMYFUNCTION("""COMPUTED_VALUE"""),"deshada01")</f>
        <v>deshada01</v>
      </c>
      <c r="E462" s="1" t="s">
        <v>31</v>
      </c>
      <c r="F462" s="1">
        <f t="shared" si="1"/>
        <v>182.4</v>
      </c>
      <c r="G462" s="1">
        <f t="shared" si="2"/>
        <v>2.57</v>
      </c>
      <c r="H462" s="1">
        <v>71.0</v>
      </c>
      <c r="I462" s="1">
        <v>6.0</v>
      </c>
      <c r="J462" s="1">
        <v>22.0</v>
      </c>
      <c r="K462" s="1">
        <v>28.0</v>
      </c>
      <c r="L462" s="1">
        <v>55.0</v>
      </c>
      <c r="M462" s="1">
        <v>22.0</v>
      </c>
      <c r="N462" s="1">
        <v>36.0</v>
      </c>
      <c r="O462" s="1">
        <v>2.0</v>
      </c>
      <c r="P462" s="1">
        <v>5.0</v>
      </c>
      <c r="Q462" s="1">
        <v>0.0</v>
      </c>
      <c r="R462" s="1">
        <v>0.0</v>
      </c>
      <c r="S462" s="1">
        <v>-22.0</v>
      </c>
      <c r="T462" s="1">
        <v>18.0</v>
      </c>
      <c r="U462" s="1">
        <v>0.0</v>
      </c>
    </row>
    <row r="463" ht="12.75" customHeight="1">
      <c r="A463" s="1" t="s">
        <v>341</v>
      </c>
      <c r="B463" s="1">
        <f t="shared" si="3"/>
        <v>449</v>
      </c>
      <c r="C463" s="1" t="str">
        <f>IFERROR(__xludf.DUMMYFUNCTION("split(A463, ""\"")"),"Kari Lehtonen")</f>
        <v>Kari Lehtonen</v>
      </c>
      <c r="D463" s="2" t="str">
        <f>IFERROR(__xludf.DUMMYFUNCTION("""COMPUTED_VALUE"""),"lehtoka01")</f>
        <v>lehtoka01</v>
      </c>
      <c r="E463" s="1" t="s">
        <v>5</v>
      </c>
      <c r="F463" s="1">
        <f t="shared" si="1"/>
        <v>182.4</v>
      </c>
      <c r="G463" s="1">
        <f t="shared" si="2"/>
        <v>4.93</v>
      </c>
      <c r="H463" s="1">
        <v>37.0</v>
      </c>
      <c r="V463" s="1">
        <v>30.0</v>
      </c>
      <c r="W463" s="1">
        <v>15.0</v>
      </c>
      <c r="X463" s="1">
        <v>14.0</v>
      </c>
      <c r="Y463" s="1">
        <v>83.0</v>
      </c>
      <c r="Z463" s="1">
        <v>946.0</v>
      </c>
      <c r="AA463" s="1">
        <v>863.0</v>
      </c>
      <c r="AB463" s="1">
        <v>1.0</v>
      </c>
    </row>
    <row r="464" ht="12.75" customHeight="1">
      <c r="A464" s="1" t="s">
        <v>506</v>
      </c>
      <c r="B464" s="1">
        <f t="shared" si="3"/>
        <v>450</v>
      </c>
      <c r="C464" s="1" t="str">
        <f>IFERROR(__xludf.DUMMYFUNCTION("split(A464, ""\"")"),"Melker Karlsson")</f>
        <v>Melker Karlsson</v>
      </c>
      <c r="D464" s="1" t="str">
        <f>IFERROR(__xludf.DUMMYFUNCTION("""COMPUTED_VALUE"""),"karlsme01")</f>
        <v>karlsme01</v>
      </c>
      <c r="E464" s="1" t="s">
        <v>31</v>
      </c>
      <c r="F464" s="1">
        <f t="shared" si="1"/>
        <v>182.05</v>
      </c>
      <c r="G464" s="1">
        <f t="shared" si="2"/>
        <v>2.56</v>
      </c>
      <c r="H464" s="1">
        <v>71.0</v>
      </c>
      <c r="I464" s="1">
        <v>8.0</v>
      </c>
      <c r="J464" s="1">
        <v>11.0</v>
      </c>
      <c r="K464" s="1">
        <v>19.0</v>
      </c>
      <c r="L464" s="1">
        <v>76.0</v>
      </c>
      <c r="M464" s="1">
        <v>81.0</v>
      </c>
      <c r="N464" s="1">
        <v>69.0</v>
      </c>
      <c r="O464" s="1">
        <v>0.0</v>
      </c>
      <c r="P464" s="1">
        <v>0.0</v>
      </c>
      <c r="Q464" s="1">
        <v>1.0</v>
      </c>
      <c r="R464" s="1">
        <v>0.0</v>
      </c>
      <c r="S464" s="1">
        <v>-5.0</v>
      </c>
      <c r="T464" s="1">
        <v>26.0</v>
      </c>
      <c r="U464" s="1">
        <v>1.0</v>
      </c>
    </row>
    <row r="465" ht="12.75" customHeight="1">
      <c r="A465" s="1" t="s">
        <v>452</v>
      </c>
      <c r="B465" s="1">
        <f t="shared" si="3"/>
        <v>451</v>
      </c>
      <c r="C465" s="1" t="str">
        <f>IFERROR(__xludf.DUMMYFUNCTION("split(A465, ""\"")"),"Michael Raffl")</f>
        <v>Michael Raffl</v>
      </c>
      <c r="D465" s="1" t="str">
        <f>IFERROR(__xludf.DUMMYFUNCTION("""COMPUTED_VALUE"""),"rafflmi01")</f>
        <v>rafflmi01</v>
      </c>
      <c r="E465" s="1" t="s">
        <v>28</v>
      </c>
      <c r="F465" s="1">
        <f t="shared" si="1"/>
        <v>181.9</v>
      </c>
      <c r="G465" s="1">
        <f t="shared" si="2"/>
        <v>2.39</v>
      </c>
      <c r="H465" s="1">
        <v>76.0</v>
      </c>
      <c r="I465" s="1">
        <v>13.0</v>
      </c>
      <c r="J465" s="1">
        <v>9.0</v>
      </c>
      <c r="K465" s="1">
        <v>22.0</v>
      </c>
      <c r="L465" s="1">
        <v>96.0</v>
      </c>
      <c r="M465" s="1">
        <v>90.0</v>
      </c>
      <c r="N465" s="1">
        <v>50.0</v>
      </c>
      <c r="O465" s="1">
        <v>1.0</v>
      </c>
      <c r="P465" s="1">
        <v>0.0</v>
      </c>
      <c r="Q465" s="1">
        <v>0.0</v>
      </c>
      <c r="R465" s="1">
        <v>0.0</v>
      </c>
      <c r="S465" s="1">
        <v>9.0</v>
      </c>
      <c r="T465" s="1">
        <v>28.0</v>
      </c>
      <c r="U465" s="1">
        <v>3.0</v>
      </c>
    </row>
    <row r="466" ht="12.75" customHeight="1">
      <c r="A466" s="1" t="s">
        <v>480</v>
      </c>
      <c r="B466" s="1">
        <f t="shared" si="3"/>
        <v>451</v>
      </c>
      <c r="C466" s="1" t="str">
        <f>IFERROR(__xludf.DUMMYFUNCTION("split(A466, ""\"")"),"Samuel Girard")</f>
        <v>Samuel Girard</v>
      </c>
      <c r="D466" s="1" t="str">
        <f>IFERROR(__xludf.DUMMYFUNCTION("""COMPUTED_VALUE"""),"girarsa01")</f>
        <v>girarsa01</v>
      </c>
      <c r="E466" s="1" t="s">
        <v>66</v>
      </c>
      <c r="F466" s="1">
        <f t="shared" si="1"/>
        <v>181.9</v>
      </c>
      <c r="G466" s="1">
        <f t="shared" si="2"/>
        <v>2.49</v>
      </c>
      <c r="H466" s="1">
        <v>73.0</v>
      </c>
      <c r="I466" s="1">
        <v>4.0</v>
      </c>
      <c r="J466" s="1">
        <v>19.0</v>
      </c>
      <c r="K466" s="1">
        <v>23.0</v>
      </c>
      <c r="L466" s="1">
        <v>84.0</v>
      </c>
      <c r="M466" s="1">
        <v>46.0</v>
      </c>
      <c r="N466" s="1">
        <v>69.0</v>
      </c>
      <c r="O466" s="1">
        <v>1.0</v>
      </c>
      <c r="P466" s="1">
        <v>12.0</v>
      </c>
      <c r="Q466" s="1">
        <v>0.0</v>
      </c>
      <c r="R466" s="1">
        <v>0.0</v>
      </c>
      <c r="S466" s="1">
        <v>-11.0</v>
      </c>
      <c r="T466" s="1">
        <v>8.0</v>
      </c>
      <c r="U466" s="1">
        <v>0.0</v>
      </c>
    </row>
    <row r="467" ht="12.75" customHeight="1">
      <c r="A467" s="1" t="s">
        <v>470</v>
      </c>
      <c r="B467" s="1">
        <f t="shared" si="3"/>
        <v>453</v>
      </c>
      <c r="C467" s="1" t="str">
        <f>IFERROR(__xludf.DUMMYFUNCTION("split(A467, ""\"")"),"Brian Gibbons")</f>
        <v>Brian Gibbons</v>
      </c>
      <c r="D467" s="1" t="str">
        <f>IFERROR(__xludf.DUMMYFUNCTION("""COMPUTED_VALUE"""),"gibbobr02")</f>
        <v>gibbobr02</v>
      </c>
      <c r="E467" s="1" t="s">
        <v>31</v>
      </c>
      <c r="F467" s="1">
        <f t="shared" si="1"/>
        <v>181.75</v>
      </c>
      <c r="G467" s="1">
        <f t="shared" si="2"/>
        <v>3.08</v>
      </c>
      <c r="H467" s="1">
        <v>59.0</v>
      </c>
      <c r="I467" s="1">
        <v>12.0</v>
      </c>
      <c r="J467" s="1">
        <v>14.0</v>
      </c>
      <c r="K467" s="1">
        <v>26.0</v>
      </c>
      <c r="L467" s="1">
        <v>72.0</v>
      </c>
      <c r="M467" s="1">
        <v>35.0</v>
      </c>
      <c r="N467" s="1">
        <v>58.0</v>
      </c>
      <c r="O467" s="1">
        <v>0.0</v>
      </c>
      <c r="P467" s="1">
        <v>0.0</v>
      </c>
      <c r="Q467" s="1">
        <v>3.0</v>
      </c>
      <c r="R467" s="1">
        <v>2.0</v>
      </c>
      <c r="S467" s="1">
        <v>10.0</v>
      </c>
      <c r="T467" s="1">
        <v>20.0</v>
      </c>
      <c r="U467" s="1">
        <v>3.0</v>
      </c>
    </row>
    <row r="468" ht="12.75" customHeight="1">
      <c r="A468" s="1" t="s">
        <v>468</v>
      </c>
      <c r="B468" s="1">
        <f t="shared" si="3"/>
        <v>454</v>
      </c>
      <c r="C468" s="1" t="str">
        <f>IFERROR(__xludf.DUMMYFUNCTION("split(A468, ""\"")"),"Brandon Sutter")</f>
        <v>Brandon Sutter</v>
      </c>
      <c r="D468" s="1" t="str">
        <f>IFERROR(__xludf.DUMMYFUNCTION("""COMPUTED_VALUE"""),"suttebr03")</f>
        <v>suttebr03</v>
      </c>
      <c r="E468" s="1" t="s">
        <v>42</v>
      </c>
      <c r="F468" s="1">
        <f t="shared" si="1"/>
        <v>181.65</v>
      </c>
      <c r="G468" s="1">
        <f t="shared" si="2"/>
        <v>2.98</v>
      </c>
      <c r="H468" s="1">
        <v>61.0</v>
      </c>
      <c r="I468" s="1">
        <v>11.0</v>
      </c>
      <c r="J468" s="1">
        <v>15.0</v>
      </c>
      <c r="K468" s="1">
        <v>26.0</v>
      </c>
      <c r="L468" s="1">
        <v>106.0</v>
      </c>
      <c r="M468" s="1">
        <v>55.0</v>
      </c>
      <c r="N468" s="1">
        <v>32.0</v>
      </c>
      <c r="O468" s="1">
        <v>0.0</v>
      </c>
      <c r="P468" s="1">
        <v>0.0</v>
      </c>
      <c r="Q468" s="1">
        <v>0.0</v>
      </c>
      <c r="R468" s="1">
        <v>4.0</v>
      </c>
      <c r="S468" s="1">
        <v>8.0</v>
      </c>
      <c r="T468" s="1">
        <v>8.0</v>
      </c>
      <c r="U468" s="1">
        <v>1.0</v>
      </c>
    </row>
    <row r="469" ht="12.75" customHeight="1">
      <c r="A469" s="1" t="s">
        <v>529</v>
      </c>
      <c r="B469" s="1">
        <f t="shared" si="3"/>
        <v>455</v>
      </c>
      <c r="C469" s="1" t="str">
        <f>IFERROR(__xludf.DUMMYFUNCTION("split(A469, ""\"")"),"Sven Andrighetto")</f>
        <v>Sven Andrighetto</v>
      </c>
      <c r="D469" s="1" t="str">
        <f>IFERROR(__xludf.DUMMYFUNCTION("""COMPUTED_VALUE"""),"andrisv01")</f>
        <v>andrisv01</v>
      </c>
      <c r="E469" s="1" t="s">
        <v>36</v>
      </c>
      <c r="F469" s="1">
        <f t="shared" si="1"/>
        <v>181.5</v>
      </c>
      <c r="G469" s="1">
        <f t="shared" si="2"/>
        <v>3.63</v>
      </c>
      <c r="H469" s="1">
        <v>50.0</v>
      </c>
      <c r="I469" s="1">
        <v>8.0</v>
      </c>
      <c r="J469" s="1">
        <v>14.0</v>
      </c>
      <c r="K469" s="1">
        <v>22.0</v>
      </c>
      <c r="L469" s="1">
        <v>111.0</v>
      </c>
      <c r="M469" s="1">
        <v>38.0</v>
      </c>
      <c r="N469" s="1">
        <v>18.0</v>
      </c>
      <c r="O469" s="1">
        <v>3.0</v>
      </c>
      <c r="P469" s="1">
        <v>6.0</v>
      </c>
      <c r="Q469" s="1">
        <v>0.0</v>
      </c>
      <c r="R469" s="1">
        <v>0.0</v>
      </c>
      <c r="S469" s="1">
        <v>-15.0</v>
      </c>
      <c r="T469" s="1">
        <v>10.0</v>
      </c>
      <c r="U469" s="1">
        <v>2.0</v>
      </c>
    </row>
    <row r="470" ht="12.75" customHeight="1">
      <c r="A470" s="1" t="s">
        <v>443</v>
      </c>
      <c r="B470" s="1">
        <f t="shared" si="3"/>
        <v>456</v>
      </c>
      <c r="C470" s="1" t="str">
        <f>IFERROR(__xludf.DUMMYFUNCTION("split(A470, ""\"")"),"Kevan Miller")</f>
        <v>Kevan Miller</v>
      </c>
      <c r="D470" s="1" t="str">
        <f>IFERROR(__xludf.DUMMYFUNCTION("""COMPUTED_VALUE"""),"milleke03")</f>
        <v>milleke03</v>
      </c>
      <c r="E470" s="1" t="s">
        <v>66</v>
      </c>
      <c r="F470" s="1">
        <f t="shared" si="1"/>
        <v>181</v>
      </c>
      <c r="G470" s="1">
        <f t="shared" si="2"/>
        <v>2.66</v>
      </c>
      <c r="H470" s="1">
        <v>68.0</v>
      </c>
      <c r="I470" s="1">
        <v>1.0</v>
      </c>
      <c r="J470" s="1">
        <v>15.0</v>
      </c>
      <c r="K470" s="1">
        <v>16.0</v>
      </c>
      <c r="L470" s="1">
        <v>64.0</v>
      </c>
      <c r="M470" s="1">
        <v>164.0</v>
      </c>
      <c r="N470" s="1">
        <v>111.0</v>
      </c>
      <c r="O470" s="1">
        <v>0.0</v>
      </c>
      <c r="P470" s="1">
        <v>0.0</v>
      </c>
      <c r="Q470" s="1">
        <v>0.0</v>
      </c>
      <c r="R470" s="1">
        <v>2.0</v>
      </c>
      <c r="S470" s="1">
        <v>16.0</v>
      </c>
      <c r="T470" s="1">
        <v>70.0</v>
      </c>
      <c r="U470" s="1">
        <v>0.0</v>
      </c>
    </row>
    <row r="471" ht="12.75" customHeight="1">
      <c r="A471" s="1" t="s">
        <v>454</v>
      </c>
      <c r="B471" s="1">
        <f t="shared" si="3"/>
        <v>456</v>
      </c>
      <c r="C471" s="1" t="str">
        <f>IFERROR(__xludf.DUMMYFUNCTION("split(A471, ""\"")"),"Nicolas Deslauriers")</f>
        <v>Nicolas Deslauriers</v>
      </c>
      <c r="D471" s="1" t="str">
        <f>IFERROR(__xludf.DUMMYFUNCTION("""COMPUTED_VALUE"""),"deslani01")</f>
        <v>deslani01</v>
      </c>
      <c r="E471" s="1" t="s">
        <v>28</v>
      </c>
      <c r="F471" s="1">
        <f t="shared" si="1"/>
        <v>181</v>
      </c>
      <c r="G471" s="1">
        <f t="shared" si="2"/>
        <v>3.12</v>
      </c>
      <c r="H471" s="1">
        <v>58.0</v>
      </c>
      <c r="I471" s="1">
        <v>10.0</v>
      </c>
      <c r="J471" s="1">
        <v>4.0</v>
      </c>
      <c r="K471" s="1">
        <v>14.0</v>
      </c>
      <c r="L471" s="1">
        <v>77.0</v>
      </c>
      <c r="M471" s="1">
        <v>238.0</v>
      </c>
      <c r="N471" s="1">
        <v>30.0</v>
      </c>
      <c r="O471" s="1">
        <v>0.0</v>
      </c>
      <c r="P471" s="1">
        <v>0.0</v>
      </c>
      <c r="Q471" s="1">
        <v>0.0</v>
      </c>
      <c r="R471" s="1">
        <v>1.0</v>
      </c>
      <c r="S471" s="1">
        <v>7.0</v>
      </c>
      <c r="T471" s="1">
        <v>55.0</v>
      </c>
      <c r="U471" s="1">
        <v>1.0</v>
      </c>
    </row>
    <row r="472" ht="12.75" customHeight="1">
      <c r="A472" s="1" t="s">
        <v>548</v>
      </c>
      <c r="B472" s="1">
        <f t="shared" si="3"/>
        <v>458</v>
      </c>
      <c r="C472" s="1" t="str">
        <f>IFERROR(__xludf.DUMMYFUNCTION("split(A472, ""\"")"),"Scott Wilson")</f>
        <v>Scott Wilson</v>
      </c>
      <c r="D472" s="1" t="str">
        <f>IFERROR(__xludf.DUMMYFUNCTION("""COMPUTED_VALUE"""),"wilsosc01")</f>
        <v>wilsosc01</v>
      </c>
      <c r="E472" s="1" t="s">
        <v>141</v>
      </c>
      <c r="F472" s="1">
        <f t="shared" si="1"/>
        <v>180.9</v>
      </c>
      <c r="G472" s="1">
        <f t="shared" si="2"/>
        <v>2.62</v>
      </c>
      <c r="H472" s="1">
        <v>69.0</v>
      </c>
      <c r="I472" s="1">
        <v>6.0</v>
      </c>
      <c r="J472" s="1">
        <v>8.0</v>
      </c>
      <c r="K472" s="1">
        <v>14.0</v>
      </c>
      <c r="L472" s="1">
        <v>98.0</v>
      </c>
      <c r="M472" s="1">
        <v>128.0</v>
      </c>
      <c r="N472" s="1">
        <v>33.0</v>
      </c>
      <c r="O472" s="1">
        <v>0.0</v>
      </c>
      <c r="P472" s="1">
        <v>1.0</v>
      </c>
      <c r="Q472" s="1">
        <v>0.0</v>
      </c>
      <c r="R472" s="1">
        <v>0.0</v>
      </c>
      <c r="S472" s="1">
        <v>-20.0</v>
      </c>
      <c r="T472" s="1">
        <v>8.0</v>
      </c>
      <c r="U472" s="1">
        <v>0.0</v>
      </c>
    </row>
    <row r="473" ht="12.75" customHeight="1">
      <c r="A473" s="1" t="s">
        <v>437</v>
      </c>
      <c r="B473" s="1">
        <f t="shared" si="3"/>
        <v>459</v>
      </c>
      <c r="C473" s="1" t="str">
        <f>IFERROR(__xludf.DUMMYFUNCTION("split(A473, ""\"")"),"Francois Beauchemin")</f>
        <v>Francois Beauchemin</v>
      </c>
      <c r="D473" s="1" t="str">
        <f>IFERROR(__xludf.DUMMYFUNCTION("""COMPUTED_VALUE"""),"beaucfr01")</f>
        <v>beaucfr01</v>
      </c>
      <c r="E473" s="1" t="s">
        <v>66</v>
      </c>
      <c r="F473" s="1">
        <f t="shared" si="1"/>
        <v>180.8</v>
      </c>
      <c r="G473" s="1">
        <f t="shared" si="2"/>
        <v>2.7</v>
      </c>
      <c r="H473" s="1">
        <v>67.0</v>
      </c>
      <c r="I473" s="1">
        <v>3.0</v>
      </c>
      <c r="J473" s="1">
        <v>14.0</v>
      </c>
      <c r="K473" s="1">
        <v>17.0</v>
      </c>
      <c r="L473" s="1">
        <v>93.0</v>
      </c>
      <c r="M473" s="1">
        <v>102.0</v>
      </c>
      <c r="N473" s="1">
        <v>121.0</v>
      </c>
      <c r="O473" s="1">
        <v>0.0</v>
      </c>
      <c r="P473" s="1">
        <v>2.0</v>
      </c>
      <c r="Q473" s="1">
        <v>0.0</v>
      </c>
      <c r="R473" s="1">
        <v>1.0</v>
      </c>
      <c r="S473" s="1">
        <v>12.0</v>
      </c>
      <c r="T473" s="1">
        <v>26.0</v>
      </c>
      <c r="U473" s="1">
        <v>0.0</v>
      </c>
    </row>
    <row r="474" ht="12.75" customHeight="1">
      <c r="A474" s="1" t="s">
        <v>525</v>
      </c>
      <c r="B474" s="1">
        <f t="shared" si="3"/>
        <v>460</v>
      </c>
      <c r="C474" s="1" t="str">
        <f>IFERROR(__xludf.DUMMYFUNCTION("split(A474, ""\"")"),"Tyler Bertuzzi")</f>
        <v>Tyler Bertuzzi</v>
      </c>
      <c r="D474" s="1" t="str">
        <f>IFERROR(__xludf.DUMMYFUNCTION("""COMPUTED_VALUE"""),"bertuty01")</f>
        <v>bertuty01</v>
      </c>
      <c r="E474" s="1" t="s">
        <v>28</v>
      </c>
      <c r="F474" s="1">
        <f t="shared" si="1"/>
        <v>180.45</v>
      </c>
      <c r="G474" s="1">
        <f t="shared" si="2"/>
        <v>3.76</v>
      </c>
      <c r="H474" s="1">
        <v>48.0</v>
      </c>
      <c r="I474" s="1">
        <v>7.0</v>
      </c>
      <c r="J474" s="1">
        <v>17.0</v>
      </c>
      <c r="K474" s="1">
        <v>24.0</v>
      </c>
      <c r="L474" s="1">
        <v>83.0</v>
      </c>
      <c r="M474" s="1">
        <v>53.0</v>
      </c>
      <c r="N474" s="1">
        <v>38.0</v>
      </c>
      <c r="O474" s="1">
        <v>1.0</v>
      </c>
      <c r="P474" s="1">
        <v>1.0</v>
      </c>
      <c r="Q474" s="1">
        <v>0.0</v>
      </c>
      <c r="R474" s="1">
        <v>0.0</v>
      </c>
      <c r="S474" s="1">
        <v>-7.0</v>
      </c>
      <c r="T474" s="1">
        <v>39.0</v>
      </c>
      <c r="U474" s="1">
        <v>1.0</v>
      </c>
    </row>
    <row r="475" ht="12.75" customHeight="1">
      <c r="A475" s="1" t="s">
        <v>535</v>
      </c>
      <c r="B475" s="1">
        <f t="shared" si="3"/>
        <v>461</v>
      </c>
      <c r="C475" s="1" t="str">
        <f>IFERROR(__xludf.DUMMYFUNCTION("split(A475, ""\"")"),"Nick Jensen")</f>
        <v>Nick Jensen</v>
      </c>
      <c r="D475" s="1" t="str">
        <f>IFERROR(__xludf.DUMMYFUNCTION("""COMPUTED_VALUE"""),"jenseni02")</f>
        <v>jenseni02</v>
      </c>
      <c r="E475" s="1" t="s">
        <v>66</v>
      </c>
      <c r="F475" s="1">
        <f t="shared" si="1"/>
        <v>180.35</v>
      </c>
      <c r="G475" s="1">
        <f t="shared" si="2"/>
        <v>2.23</v>
      </c>
      <c r="H475" s="1">
        <v>81.0</v>
      </c>
      <c r="I475" s="1">
        <v>0.0</v>
      </c>
      <c r="J475" s="1">
        <v>15.0</v>
      </c>
      <c r="K475" s="1">
        <v>15.0</v>
      </c>
      <c r="L475" s="1">
        <v>107.0</v>
      </c>
      <c r="M475" s="1">
        <v>71.0</v>
      </c>
      <c r="N475" s="1">
        <v>88.0</v>
      </c>
      <c r="O475" s="1">
        <v>0.0</v>
      </c>
      <c r="P475" s="1">
        <v>1.0</v>
      </c>
      <c r="Q475" s="1">
        <v>0.0</v>
      </c>
      <c r="R475" s="1">
        <v>0.0</v>
      </c>
      <c r="S475" s="1">
        <v>-8.0</v>
      </c>
      <c r="T475" s="1">
        <v>27.0</v>
      </c>
      <c r="U475" s="1">
        <v>0.0</v>
      </c>
    </row>
    <row r="476" ht="12.75" customHeight="1">
      <c r="A476" s="1" t="s">
        <v>501</v>
      </c>
      <c r="B476" s="1">
        <f t="shared" si="3"/>
        <v>462</v>
      </c>
      <c r="C476" s="1" t="str">
        <f>IFERROR(__xludf.DUMMYFUNCTION("split(A476, ""\"")"),"Brandon Dubinsky")</f>
        <v>Brandon Dubinsky</v>
      </c>
      <c r="D476" s="1" t="str">
        <f>IFERROR(__xludf.DUMMYFUNCTION("""COMPUTED_VALUE"""),"dubinbr01")</f>
        <v>dubinbr01</v>
      </c>
      <c r="E476" s="1" t="s">
        <v>31</v>
      </c>
      <c r="F476" s="1">
        <f t="shared" si="1"/>
        <v>180.15</v>
      </c>
      <c r="G476" s="1">
        <f t="shared" si="2"/>
        <v>2.91</v>
      </c>
      <c r="H476" s="1">
        <v>62.0</v>
      </c>
      <c r="I476" s="1">
        <v>6.0</v>
      </c>
      <c r="J476" s="1">
        <v>10.0</v>
      </c>
      <c r="K476" s="1">
        <v>16.0</v>
      </c>
      <c r="L476" s="1">
        <v>89.0</v>
      </c>
      <c r="M476" s="1">
        <v>145.0</v>
      </c>
      <c r="N476" s="1">
        <v>47.0</v>
      </c>
      <c r="O476" s="1">
        <v>0.0</v>
      </c>
      <c r="P476" s="1">
        <v>1.0</v>
      </c>
      <c r="Q476" s="1">
        <v>1.0</v>
      </c>
      <c r="R476" s="1">
        <v>1.0</v>
      </c>
      <c r="S476" s="1">
        <v>-2.0</v>
      </c>
      <c r="T476" s="1">
        <v>33.0</v>
      </c>
      <c r="U476" s="1">
        <v>0.0</v>
      </c>
    </row>
    <row r="477" ht="12.75" customHeight="1">
      <c r="A477" s="1" t="s">
        <v>493</v>
      </c>
      <c r="B477" s="1">
        <f t="shared" si="3"/>
        <v>463</v>
      </c>
      <c r="C477" s="1" t="str">
        <f>IFERROR(__xludf.DUMMYFUNCTION("split(A477, ""\"")"),"Joel Eriksson Ek")</f>
        <v>Joel Eriksson Ek</v>
      </c>
      <c r="D477" s="1" t="str">
        <f>IFERROR(__xludf.DUMMYFUNCTION("""COMPUTED_VALUE"""),"eriksjo02")</f>
        <v>eriksjo02</v>
      </c>
      <c r="E477" s="1" t="s">
        <v>31</v>
      </c>
      <c r="F477" s="1">
        <f t="shared" si="1"/>
        <v>179.1</v>
      </c>
      <c r="G477" s="1">
        <f t="shared" si="2"/>
        <v>2.39</v>
      </c>
      <c r="H477" s="1">
        <v>75.0</v>
      </c>
      <c r="I477" s="1">
        <v>6.0</v>
      </c>
      <c r="J477" s="1">
        <v>10.0</v>
      </c>
      <c r="K477" s="1">
        <v>16.0</v>
      </c>
      <c r="L477" s="1">
        <v>124.0</v>
      </c>
      <c r="M477" s="1">
        <v>134.0</v>
      </c>
      <c r="N477" s="1">
        <v>46.0</v>
      </c>
      <c r="O477" s="1">
        <v>0.0</v>
      </c>
      <c r="P477" s="1">
        <v>0.0</v>
      </c>
      <c r="Q477" s="1">
        <v>0.0</v>
      </c>
      <c r="R477" s="1">
        <v>0.0</v>
      </c>
      <c r="S477" s="1">
        <v>2.0</v>
      </c>
      <c r="T477" s="1">
        <v>22.0</v>
      </c>
      <c r="U477" s="1">
        <v>0.0</v>
      </c>
    </row>
    <row r="478" ht="12.75" customHeight="1">
      <c r="A478" s="1" t="s">
        <v>546</v>
      </c>
      <c r="B478" s="1">
        <f t="shared" si="3"/>
        <v>464</v>
      </c>
      <c r="C478" s="1" t="str">
        <f>IFERROR(__xludf.DUMMYFUNCTION("split(A478, ""\"")"),"Alexander Petrovic")</f>
        <v>Alexander Petrovic</v>
      </c>
      <c r="D478" s="1" t="str">
        <f>IFERROR(__xludf.DUMMYFUNCTION("""COMPUTED_VALUE"""),"petroal01")</f>
        <v>petroal01</v>
      </c>
      <c r="E478" s="1" t="s">
        <v>66</v>
      </c>
      <c r="F478" s="1">
        <f t="shared" si="1"/>
        <v>178.9</v>
      </c>
      <c r="G478" s="1">
        <f t="shared" si="2"/>
        <v>2.67</v>
      </c>
      <c r="H478" s="1">
        <v>67.0</v>
      </c>
      <c r="I478" s="1">
        <v>2.0</v>
      </c>
      <c r="J478" s="1">
        <v>11.0</v>
      </c>
      <c r="K478" s="1">
        <v>13.0</v>
      </c>
      <c r="L478" s="1">
        <v>60.0</v>
      </c>
      <c r="M478" s="1">
        <v>142.0</v>
      </c>
      <c r="N478" s="1">
        <v>74.0</v>
      </c>
      <c r="O478" s="1">
        <v>0.0</v>
      </c>
      <c r="P478" s="1">
        <v>0.0</v>
      </c>
      <c r="Q478" s="1">
        <v>0.0</v>
      </c>
      <c r="R478" s="1">
        <v>0.0</v>
      </c>
      <c r="S478" s="1">
        <v>-2.0</v>
      </c>
      <c r="T478" s="1">
        <v>98.0</v>
      </c>
      <c r="U478" s="1">
        <v>1.0</v>
      </c>
    </row>
    <row r="479" ht="12.75" customHeight="1">
      <c r="A479" s="1" t="s">
        <v>542</v>
      </c>
      <c r="B479" s="1">
        <f t="shared" si="3"/>
        <v>465</v>
      </c>
      <c r="C479" s="1" t="str">
        <f>IFERROR(__xludf.DUMMYFUNCTION("split(A479, ""\"")"),"Magnus Paajarvi")</f>
        <v>Magnus Paajarvi</v>
      </c>
      <c r="D479" s="1" t="str">
        <f>IFERROR(__xludf.DUMMYFUNCTION("""COMPUTED_VALUE"""),"paajama01")</f>
        <v>paajama01</v>
      </c>
      <c r="E479" s="1" t="s">
        <v>28</v>
      </c>
      <c r="F479" s="1">
        <f t="shared" si="1"/>
        <v>178.1</v>
      </c>
      <c r="G479" s="1">
        <f t="shared" si="2"/>
        <v>2.25</v>
      </c>
      <c r="H479" s="1">
        <v>79.0</v>
      </c>
      <c r="I479" s="1">
        <v>8.0</v>
      </c>
      <c r="J479" s="1">
        <v>4.0</v>
      </c>
      <c r="K479" s="1">
        <v>12.0</v>
      </c>
      <c r="L479" s="1">
        <v>126.0</v>
      </c>
      <c r="M479" s="1">
        <v>104.0</v>
      </c>
      <c r="N479" s="1">
        <v>42.0</v>
      </c>
      <c r="O479" s="1">
        <v>0.0</v>
      </c>
      <c r="P479" s="1">
        <v>0.0</v>
      </c>
      <c r="Q479" s="1">
        <v>0.0</v>
      </c>
      <c r="R479" s="1">
        <v>0.0</v>
      </c>
      <c r="S479" s="1">
        <v>-11.0</v>
      </c>
      <c r="T479" s="1">
        <v>12.0</v>
      </c>
      <c r="U479" s="1">
        <v>0.0</v>
      </c>
    </row>
    <row r="480" ht="12.75" customHeight="1">
      <c r="A480" s="1" t="s">
        <v>552</v>
      </c>
      <c r="B480" s="1">
        <f t="shared" si="3"/>
        <v>466</v>
      </c>
      <c r="C480" s="1" t="str">
        <f>IFERROR(__xludf.DUMMYFUNCTION("split(A480, ""\"")"),"Derek MacKenzie")</f>
        <v>Derek MacKenzie</v>
      </c>
      <c r="D480" s="1" t="str">
        <f>IFERROR(__xludf.DUMMYFUNCTION("""COMPUTED_VALUE"""),"mackede01")</f>
        <v>mackede01</v>
      </c>
      <c r="E480" s="1" t="s">
        <v>31</v>
      </c>
      <c r="F480" s="1">
        <f t="shared" si="1"/>
        <v>177.8</v>
      </c>
      <c r="G480" s="1">
        <f t="shared" si="2"/>
        <v>2.37</v>
      </c>
      <c r="H480" s="1">
        <v>75.0</v>
      </c>
      <c r="I480" s="1">
        <v>3.0</v>
      </c>
      <c r="J480" s="1">
        <v>11.0</v>
      </c>
      <c r="K480" s="1">
        <v>14.0</v>
      </c>
      <c r="L480" s="1">
        <v>86.0</v>
      </c>
      <c r="M480" s="1">
        <v>124.0</v>
      </c>
      <c r="N480" s="1">
        <v>45.0</v>
      </c>
      <c r="O480" s="1">
        <v>0.0</v>
      </c>
      <c r="P480" s="1">
        <v>0.0</v>
      </c>
      <c r="Q480" s="1">
        <v>1.0</v>
      </c>
      <c r="R480" s="1">
        <v>3.0</v>
      </c>
      <c r="S480" s="1">
        <v>-9.0</v>
      </c>
      <c r="T480" s="1">
        <v>31.0</v>
      </c>
      <c r="U480" s="1">
        <v>0.0</v>
      </c>
    </row>
    <row r="481" ht="12.75" customHeight="1">
      <c r="A481" s="1" t="s">
        <v>479</v>
      </c>
      <c r="B481" s="1">
        <f t="shared" si="3"/>
        <v>467</v>
      </c>
      <c r="C481" s="1" t="str">
        <f>IFERROR(__xludf.DUMMYFUNCTION("split(A481, ""\"")"),"Christian Folin")</f>
        <v>Christian Folin</v>
      </c>
      <c r="D481" s="1" t="str">
        <f>IFERROR(__xludf.DUMMYFUNCTION("""COMPUTED_VALUE"""),"folinch01")</f>
        <v>folinch01</v>
      </c>
      <c r="E481" s="1" t="s">
        <v>66</v>
      </c>
      <c r="F481" s="1">
        <f t="shared" si="1"/>
        <v>177.75</v>
      </c>
      <c r="G481" s="1">
        <f t="shared" si="2"/>
        <v>2.73</v>
      </c>
      <c r="H481" s="1">
        <v>65.0</v>
      </c>
      <c r="I481" s="1">
        <v>3.0</v>
      </c>
      <c r="J481" s="1">
        <v>10.0</v>
      </c>
      <c r="K481" s="1">
        <v>13.0</v>
      </c>
      <c r="L481" s="1">
        <v>58.0</v>
      </c>
      <c r="M481" s="1">
        <v>167.0</v>
      </c>
      <c r="N481" s="1">
        <v>106.0</v>
      </c>
      <c r="O481" s="1">
        <v>0.0</v>
      </c>
      <c r="P481" s="1">
        <v>0.0</v>
      </c>
      <c r="Q481" s="1">
        <v>0.0</v>
      </c>
      <c r="R481" s="1">
        <v>1.0</v>
      </c>
      <c r="S481" s="1">
        <v>1.0</v>
      </c>
      <c r="T481" s="1">
        <v>30.0</v>
      </c>
      <c r="U481" s="1">
        <v>0.0</v>
      </c>
    </row>
    <row r="482" ht="12.75" customHeight="1">
      <c r="A482" s="1" t="s">
        <v>467</v>
      </c>
      <c r="B482" s="1">
        <f t="shared" si="3"/>
        <v>468</v>
      </c>
      <c r="C482" s="1" t="str">
        <f>IFERROR(__xludf.DUMMYFUNCTION("split(A482, ""\"")"),"Matthew Nieto")</f>
        <v>Matthew Nieto</v>
      </c>
      <c r="D482" s="1" t="str">
        <f>IFERROR(__xludf.DUMMYFUNCTION("""COMPUTED_VALUE"""),"nietoma01")</f>
        <v>nietoma01</v>
      </c>
      <c r="E482" s="1" t="s">
        <v>28</v>
      </c>
      <c r="F482" s="1">
        <f t="shared" si="1"/>
        <v>177.45</v>
      </c>
      <c r="G482" s="1">
        <f t="shared" si="2"/>
        <v>2.4</v>
      </c>
      <c r="H482" s="1">
        <v>74.0</v>
      </c>
      <c r="I482" s="1">
        <v>15.0</v>
      </c>
      <c r="J482" s="1">
        <v>11.0</v>
      </c>
      <c r="K482" s="1">
        <v>26.0</v>
      </c>
      <c r="L482" s="1">
        <v>84.0</v>
      </c>
      <c r="M482" s="1">
        <v>27.0</v>
      </c>
      <c r="N482" s="1">
        <v>56.0</v>
      </c>
      <c r="O482" s="1">
        <v>0.0</v>
      </c>
      <c r="P482" s="1">
        <v>0.0</v>
      </c>
      <c r="Q482" s="1">
        <v>1.0</v>
      </c>
      <c r="R482" s="1">
        <v>0.0</v>
      </c>
      <c r="S482" s="1">
        <v>6.0</v>
      </c>
      <c r="T482" s="1">
        <v>14.0</v>
      </c>
      <c r="U482" s="1">
        <v>1.0</v>
      </c>
    </row>
    <row r="483" ht="12.75" customHeight="1">
      <c r="A483" s="1" t="s">
        <v>430</v>
      </c>
      <c r="B483" s="1">
        <f t="shared" si="3"/>
        <v>469</v>
      </c>
      <c r="C483" s="1" t="str">
        <f>IFERROR(__xludf.DUMMYFUNCTION("split(A483, ""\"")"),"Brandon Tanev")</f>
        <v>Brandon Tanev</v>
      </c>
      <c r="D483" s="1" t="str">
        <f>IFERROR(__xludf.DUMMYFUNCTION("""COMPUTED_VALUE"""),"tanevbr01")</f>
        <v>tanevbr01</v>
      </c>
      <c r="E483" s="1" t="s">
        <v>28</v>
      </c>
      <c r="F483" s="1">
        <f t="shared" si="1"/>
        <v>177.4</v>
      </c>
      <c r="G483" s="1">
        <f t="shared" si="2"/>
        <v>2.91</v>
      </c>
      <c r="H483" s="1">
        <v>61.0</v>
      </c>
      <c r="I483" s="1">
        <v>8.0</v>
      </c>
      <c r="J483" s="1">
        <v>10.0</v>
      </c>
      <c r="K483" s="1">
        <v>18.0</v>
      </c>
      <c r="L483" s="1">
        <v>79.0</v>
      </c>
      <c r="M483" s="1">
        <v>188.0</v>
      </c>
      <c r="N483" s="1">
        <v>56.0</v>
      </c>
      <c r="O483" s="1">
        <v>0.0</v>
      </c>
      <c r="P483" s="1">
        <v>0.0</v>
      </c>
      <c r="Q483" s="1">
        <v>3.0</v>
      </c>
      <c r="R483" s="1">
        <v>0.0</v>
      </c>
      <c r="S483" s="1">
        <v>13.0</v>
      </c>
      <c r="T483" s="1">
        <v>18.0</v>
      </c>
      <c r="U483" s="1">
        <v>1.0</v>
      </c>
    </row>
    <row r="484" ht="12.75" customHeight="1">
      <c r="A484" s="1" t="s">
        <v>385</v>
      </c>
      <c r="B484" s="1">
        <f t="shared" si="3"/>
        <v>470</v>
      </c>
      <c r="C484" s="1" t="str">
        <f>IFERROR(__xludf.DUMMYFUNCTION("split(A484, ""\"")"),"Darcy Kuemper")</f>
        <v>Darcy Kuemper</v>
      </c>
      <c r="D484" s="2" t="str">
        <f>IFERROR(__xludf.DUMMYFUNCTION("""COMPUTED_VALUE"""),"kuempda01")</f>
        <v>kuempda01</v>
      </c>
      <c r="E484" s="1" t="s">
        <v>5</v>
      </c>
      <c r="F484" s="1">
        <f t="shared" si="1"/>
        <v>177.3</v>
      </c>
      <c r="G484" s="1">
        <f t="shared" si="2"/>
        <v>6.11</v>
      </c>
      <c r="H484" s="1">
        <v>29.0</v>
      </c>
      <c r="V484" s="1">
        <v>25.0</v>
      </c>
      <c r="W484" s="1">
        <v>12.0</v>
      </c>
      <c r="X484" s="1">
        <v>7.0</v>
      </c>
      <c r="Y484" s="1">
        <v>67.0</v>
      </c>
      <c r="Z484" s="1">
        <v>833.0</v>
      </c>
      <c r="AA484" s="1">
        <v>766.0</v>
      </c>
      <c r="AB484" s="1">
        <v>4.0</v>
      </c>
    </row>
    <row r="485" ht="12.75" customHeight="1">
      <c r="A485" s="1" t="s">
        <v>416</v>
      </c>
      <c r="B485" s="1">
        <f t="shared" si="3"/>
        <v>471</v>
      </c>
      <c r="C485" s="1" t="str">
        <f>IFERROR(__xludf.DUMMYFUNCTION("split(A485, ""\"")"),"Thomas Hickey")</f>
        <v>Thomas Hickey</v>
      </c>
      <c r="D485" s="1" t="str">
        <f>IFERROR(__xludf.DUMMYFUNCTION("""COMPUTED_VALUE"""),"hicketh01")</f>
        <v>hicketh01</v>
      </c>
      <c r="E485" s="1" t="s">
        <v>66</v>
      </c>
      <c r="F485" s="1">
        <f t="shared" si="1"/>
        <v>177.2</v>
      </c>
      <c r="G485" s="1">
        <f t="shared" si="2"/>
        <v>2.57</v>
      </c>
      <c r="H485" s="1">
        <v>69.0</v>
      </c>
      <c r="I485" s="1">
        <v>5.0</v>
      </c>
      <c r="J485" s="1">
        <v>20.0</v>
      </c>
      <c r="K485" s="1">
        <v>25.0</v>
      </c>
      <c r="L485" s="1">
        <v>87.0</v>
      </c>
      <c r="M485" s="1">
        <v>76.0</v>
      </c>
      <c r="N485" s="1">
        <v>110.0</v>
      </c>
      <c r="O485" s="1">
        <v>0.0</v>
      </c>
      <c r="P485" s="1">
        <v>0.0</v>
      </c>
      <c r="Q485" s="1">
        <v>0.0</v>
      </c>
      <c r="R485" s="1">
        <v>0.0</v>
      </c>
      <c r="S485" s="1">
        <v>20.0</v>
      </c>
      <c r="T485" s="1">
        <v>24.0</v>
      </c>
      <c r="U485" s="1">
        <v>0.0</v>
      </c>
    </row>
    <row r="486" ht="12.75" customHeight="1">
      <c r="A486" s="1" t="s">
        <v>356</v>
      </c>
      <c r="B486" s="1">
        <f t="shared" si="3"/>
        <v>472</v>
      </c>
      <c r="C486" s="1" t="str">
        <f>IFERROR(__xludf.DUMMYFUNCTION("split(A486, ""\"")"),"Anton Khudobin")</f>
        <v>Anton Khudobin</v>
      </c>
      <c r="D486" s="2" t="str">
        <f>IFERROR(__xludf.DUMMYFUNCTION("""COMPUTED_VALUE"""),"khudoan01")</f>
        <v>khudoan01</v>
      </c>
      <c r="E486" s="1" t="s">
        <v>5</v>
      </c>
      <c r="F486" s="1">
        <f t="shared" si="1"/>
        <v>177</v>
      </c>
      <c r="G486" s="1">
        <f t="shared" si="2"/>
        <v>5.71</v>
      </c>
      <c r="H486" s="1">
        <v>31.0</v>
      </c>
      <c r="V486" s="1">
        <v>29.0</v>
      </c>
      <c r="W486" s="1">
        <v>16.0</v>
      </c>
      <c r="X486" s="1">
        <v>6.0</v>
      </c>
      <c r="Y486" s="1">
        <v>76.0</v>
      </c>
      <c r="Z486" s="1">
        <v>876.0</v>
      </c>
      <c r="AA486" s="1">
        <v>800.0</v>
      </c>
      <c r="AB486" s="1">
        <v>1.0</v>
      </c>
    </row>
    <row r="487" ht="12.75" customHeight="1">
      <c r="A487" s="1" t="s">
        <v>515</v>
      </c>
      <c r="B487" s="1">
        <f t="shared" si="3"/>
        <v>473</v>
      </c>
      <c r="C487" s="1" t="str">
        <f>IFERROR(__xludf.DUMMYFUNCTION("split(A487, ""\"")"),"Tyler Ennis")</f>
        <v>Tyler Ennis</v>
      </c>
      <c r="D487" s="1" t="str">
        <f>IFERROR(__xludf.DUMMYFUNCTION("""COMPUTED_VALUE"""),"ennisty01")</f>
        <v>ennisty01</v>
      </c>
      <c r="E487" s="1" t="s">
        <v>31</v>
      </c>
      <c r="F487" s="1">
        <f t="shared" si="1"/>
        <v>175.85</v>
      </c>
      <c r="G487" s="1">
        <f t="shared" si="2"/>
        <v>2.41</v>
      </c>
      <c r="H487" s="1">
        <v>73.0</v>
      </c>
      <c r="I487" s="1">
        <v>8.0</v>
      </c>
      <c r="J487" s="1">
        <v>14.0</v>
      </c>
      <c r="K487" s="1">
        <v>22.0</v>
      </c>
      <c r="L487" s="1">
        <v>115.0</v>
      </c>
      <c r="M487" s="1">
        <v>51.0</v>
      </c>
      <c r="N487" s="1">
        <v>33.0</v>
      </c>
      <c r="O487" s="1">
        <v>2.0</v>
      </c>
      <c r="P487" s="1">
        <v>1.0</v>
      </c>
      <c r="Q487" s="1">
        <v>0.0</v>
      </c>
      <c r="R487" s="1">
        <v>0.0</v>
      </c>
      <c r="S487" s="1">
        <v>-1.0</v>
      </c>
      <c r="T487" s="1">
        <v>12.0</v>
      </c>
      <c r="U487" s="1">
        <v>3.0</v>
      </c>
    </row>
    <row r="488" ht="12.75" customHeight="1">
      <c r="A488" s="1" t="s">
        <v>392</v>
      </c>
      <c r="B488" s="1">
        <f t="shared" si="3"/>
        <v>474</v>
      </c>
      <c r="C488" s="1" t="str">
        <f>IFERROR(__xludf.DUMMYFUNCTION("split(A488, ""\"")"),"Juuse Saros")</f>
        <v>Juuse Saros</v>
      </c>
      <c r="D488" s="2" t="str">
        <f>IFERROR(__xludf.DUMMYFUNCTION("""COMPUTED_VALUE"""),"sarosju01")</f>
        <v>sarosju01</v>
      </c>
      <c r="E488" s="1" t="s">
        <v>5</v>
      </c>
      <c r="F488" s="1">
        <f t="shared" si="1"/>
        <v>175.2</v>
      </c>
      <c r="G488" s="1">
        <f t="shared" si="2"/>
        <v>6.74</v>
      </c>
      <c r="H488" s="1">
        <v>26.0</v>
      </c>
      <c r="V488" s="1">
        <v>23.0</v>
      </c>
      <c r="W488" s="1">
        <v>11.0</v>
      </c>
      <c r="X488" s="1">
        <v>5.0</v>
      </c>
      <c r="Y488" s="1">
        <v>61.0</v>
      </c>
      <c r="Z488" s="1">
        <v>810.0</v>
      </c>
      <c r="AA488" s="1">
        <v>749.0</v>
      </c>
      <c r="AB488" s="1">
        <v>3.0</v>
      </c>
    </row>
    <row r="489" ht="12.75" customHeight="1">
      <c r="A489" s="1" t="s">
        <v>488</v>
      </c>
      <c r="B489" s="1">
        <f t="shared" si="3"/>
        <v>475</v>
      </c>
      <c r="C489" s="1" t="str">
        <f>IFERROR(__xludf.DUMMYFUNCTION("split(A489, ""\"")"),"Nick Bonino")</f>
        <v>Nick Bonino</v>
      </c>
      <c r="D489" s="1" t="str">
        <f>IFERROR(__xludf.DUMMYFUNCTION("""COMPUTED_VALUE"""),"boninni01")</f>
        <v>boninni01</v>
      </c>
      <c r="E489" s="1" t="s">
        <v>31</v>
      </c>
      <c r="F489" s="1">
        <f t="shared" si="1"/>
        <v>175</v>
      </c>
      <c r="G489" s="1">
        <f t="shared" si="2"/>
        <v>2.46</v>
      </c>
      <c r="H489" s="1">
        <v>71.0</v>
      </c>
      <c r="I489" s="1">
        <v>12.0</v>
      </c>
      <c r="J489" s="1">
        <v>13.0</v>
      </c>
      <c r="K489" s="1">
        <v>25.0</v>
      </c>
      <c r="L489" s="1">
        <v>83.0</v>
      </c>
      <c r="M489" s="1">
        <v>18.0</v>
      </c>
      <c r="N489" s="1">
        <v>72.0</v>
      </c>
      <c r="O489" s="1">
        <v>0.0</v>
      </c>
      <c r="P489" s="1">
        <v>0.0</v>
      </c>
      <c r="Q489" s="1">
        <v>0.0</v>
      </c>
      <c r="R489" s="1">
        <v>0.0</v>
      </c>
      <c r="S489" s="1">
        <v>4.0</v>
      </c>
      <c r="T489" s="1">
        <v>20.0</v>
      </c>
      <c r="U489" s="1">
        <v>0.0</v>
      </c>
    </row>
    <row r="490" ht="12.75" customHeight="1">
      <c r="A490" s="1" t="s">
        <v>523</v>
      </c>
      <c r="B490" s="1">
        <f t="shared" si="3"/>
        <v>476</v>
      </c>
      <c r="C490" s="1" t="str">
        <f>IFERROR(__xludf.DUMMYFUNCTION("split(A490, ""\"")"),"Anthony Duclair")</f>
        <v>Anthony Duclair</v>
      </c>
      <c r="D490" s="1" t="str">
        <f>IFERROR(__xludf.DUMMYFUNCTION("""COMPUTED_VALUE"""),"duclaan01")</f>
        <v>duclaan01</v>
      </c>
      <c r="E490" s="1" t="s">
        <v>28</v>
      </c>
      <c r="F490" s="1">
        <f t="shared" si="1"/>
        <v>174.8</v>
      </c>
      <c r="G490" s="1">
        <f t="shared" si="2"/>
        <v>3.12</v>
      </c>
      <c r="H490" s="1">
        <v>56.0</v>
      </c>
      <c r="I490" s="1">
        <v>11.0</v>
      </c>
      <c r="J490" s="1">
        <v>12.0</v>
      </c>
      <c r="K490" s="1">
        <v>23.0</v>
      </c>
      <c r="L490" s="1">
        <v>97.0</v>
      </c>
      <c r="M490" s="1">
        <v>46.0</v>
      </c>
      <c r="N490" s="1">
        <v>26.0</v>
      </c>
      <c r="O490" s="1">
        <v>3.0</v>
      </c>
      <c r="P490" s="1">
        <v>0.0</v>
      </c>
      <c r="Q490" s="1">
        <v>0.0</v>
      </c>
      <c r="R490" s="1">
        <v>0.0</v>
      </c>
      <c r="S490" s="1">
        <v>-5.0</v>
      </c>
      <c r="T490" s="1">
        <v>16.0</v>
      </c>
      <c r="U490" s="1">
        <v>2.0</v>
      </c>
    </row>
    <row r="491" ht="12.75" customHeight="1">
      <c r="A491" s="1" t="s">
        <v>402</v>
      </c>
      <c r="B491" s="1">
        <f t="shared" si="3"/>
        <v>477</v>
      </c>
      <c r="C491" s="1" t="str">
        <f>IFERROR(__xludf.DUMMYFUNCTION("split(A491, ""\"")"),"Ryan Miller")</f>
        <v>Ryan Miller</v>
      </c>
      <c r="D491" s="2" t="str">
        <f>IFERROR(__xludf.DUMMYFUNCTION("""COMPUTED_VALUE"""),"millery01")</f>
        <v>millery01</v>
      </c>
      <c r="E491" s="1" t="s">
        <v>5</v>
      </c>
      <c r="F491" s="1">
        <f t="shared" si="1"/>
        <v>174.3</v>
      </c>
      <c r="G491" s="1">
        <f t="shared" si="2"/>
        <v>6.23</v>
      </c>
      <c r="H491" s="1">
        <v>28.0</v>
      </c>
      <c r="V491" s="1">
        <v>21.0</v>
      </c>
      <c r="W491" s="1">
        <v>12.0</v>
      </c>
      <c r="X491" s="1">
        <v>6.0</v>
      </c>
      <c r="Y491" s="1">
        <v>53.0</v>
      </c>
      <c r="Z491" s="1">
        <v>739.0</v>
      </c>
      <c r="AA491" s="1">
        <v>686.0</v>
      </c>
      <c r="AB491" s="1">
        <v>4.0</v>
      </c>
    </row>
    <row r="492" ht="12.75" customHeight="1">
      <c r="A492" s="1" t="s">
        <v>461</v>
      </c>
      <c r="B492" s="1">
        <f t="shared" si="3"/>
        <v>478</v>
      </c>
      <c r="C492" s="1" t="str">
        <f>IFERROR(__xludf.DUMMYFUNCTION("split(A492, ""\"")"),"Sven Baertschi")</f>
        <v>Sven Baertschi</v>
      </c>
      <c r="D492" s="1" t="str">
        <f>IFERROR(__xludf.DUMMYFUNCTION("""COMPUTED_VALUE"""),"baertsv01")</f>
        <v>baertsv01</v>
      </c>
      <c r="E492" s="1" t="s">
        <v>28</v>
      </c>
      <c r="F492" s="1">
        <f t="shared" si="1"/>
        <v>173.75</v>
      </c>
      <c r="G492" s="1">
        <f t="shared" si="2"/>
        <v>3.28</v>
      </c>
      <c r="H492" s="1">
        <v>53.0</v>
      </c>
      <c r="I492" s="1">
        <v>14.0</v>
      </c>
      <c r="J492" s="1">
        <v>15.0</v>
      </c>
      <c r="K492" s="1">
        <v>29.0</v>
      </c>
      <c r="L492" s="1">
        <v>82.0</v>
      </c>
      <c r="M492" s="1">
        <v>19.0</v>
      </c>
      <c r="N492" s="1">
        <v>29.0</v>
      </c>
      <c r="O492" s="1">
        <v>7.0</v>
      </c>
      <c r="P492" s="1">
        <v>2.0</v>
      </c>
      <c r="Q492" s="1">
        <v>0.0</v>
      </c>
      <c r="R492" s="1">
        <v>0.0</v>
      </c>
      <c r="S492" s="1">
        <v>3.0</v>
      </c>
      <c r="T492" s="1">
        <v>20.0</v>
      </c>
      <c r="U492" s="1">
        <v>2.0</v>
      </c>
    </row>
    <row r="493" ht="12.75" customHeight="1">
      <c r="A493" s="1" t="s">
        <v>478</v>
      </c>
      <c r="B493" s="1">
        <f t="shared" si="3"/>
        <v>479</v>
      </c>
      <c r="C493" s="1" t="str">
        <f>IFERROR(__xludf.DUMMYFUNCTION("split(A493, ""\"")"),"Alex Iafallo")</f>
        <v>Alex Iafallo</v>
      </c>
      <c r="D493" s="1" t="str">
        <f>IFERROR(__xludf.DUMMYFUNCTION("""COMPUTED_VALUE"""),"iafalal01")</f>
        <v>iafalal01</v>
      </c>
      <c r="E493" s="1" t="s">
        <v>31</v>
      </c>
      <c r="F493" s="1">
        <f t="shared" si="1"/>
        <v>173.35</v>
      </c>
      <c r="G493" s="1">
        <f t="shared" si="2"/>
        <v>2.31</v>
      </c>
      <c r="H493" s="1">
        <v>75.0</v>
      </c>
      <c r="I493" s="1">
        <v>9.0</v>
      </c>
      <c r="J493" s="1">
        <v>16.0</v>
      </c>
      <c r="K493" s="1">
        <v>25.0</v>
      </c>
      <c r="L493" s="1">
        <v>129.0</v>
      </c>
      <c r="M493" s="1">
        <v>53.0</v>
      </c>
      <c r="N493" s="1">
        <v>33.0</v>
      </c>
      <c r="O493" s="1">
        <v>0.0</v>
      </c>
      <c r="P493" s="1">
        <v>2.0</v>
      </c>
      <c r="Q493" s="1">
        <v>0.0</v>
      </c>
      <c r="R493" s="1">
        <v>0.0</v>
      </c>
      <c r="S493" s="1">
        <v>10.0</v>
      </c>
      <c r="T493" s="1">
        <v>12.0</v>
      </c>
      <c r="U493" s="1">
        <v>1.0</v>
      </c>
    </row>
    <row r="494" ht="12.75" customHeight="1">
      <c r="A494" s="1" t="s">
        <v>421</v>
      </c>
      <c r="B494" s="1">
        <f t="shared" si="3"/>
        <v>480</v>
      </c>
      <c r="C494" s="1" t="str">
        <f>IFERROR(__xludf.DUMMYFUNCTION("split(A494, ""\"")"),"Patrik Nemeth")</f>
        <v>Patrik Nemeth</v>
      </c>
      <c r="D494" s="1" t="str">
        <f>IFERROR(__xludf.DUMMYFUNCTION("""COMPUTED_VALUE"""),"nemetpa01")</f>
        <v>nemetpa01</v>
      </c>
      <c r="E494" s="1" t="s">
        <v>66</v>
      </c>
      <c r="F494" s="1">
        <f t="shared" si="1"/>
        <v>172.8</v>
      </c>
      <c r="G494" s="1">
        <f t="shared" si="2"/>
        <v>2.54</v>
      </c>
      <c r="H494" s="1">
        <v>68.0</v>
      </c>
      <c r="I494" s="1">
        <v>3.0</v>
      </c>
      <c r="J494" s="1">
        <v>12.0</v>
      </c>
      <c r="K494" s="1">
        <v>15.0</v>
      </c>
      <c r="L494" s="1">
        <v>73.0</v>
      </c>
      <c r="M494" s="1">
        <v>66.0</v>
      </c>
      <c r="N494" s="1">
        <v>185.0</v>
      </c>
      <c r="O494" s="1">
        <v>0.0</v>
      </c>
      <c r="P494" s="1">
        <v>0.0</v>
      </c>
      <c r="Q494" s="1">
        <v>0.0</v>
      </c>
      <c r="R494" s="1">
        <v>2.0</v>
      </c>
      <c r="S494" s="1">
        <v>27.0</v>
      </c>
      <c r="T494" s="1">
        <v>41.0</v>
      </c>
      <c r="U494" s="1">
        <v>0.0</v>
      </c>
    </row>
    <row r="495" ht="12.75" customHeight="1">
      <c r="A495" s="1" t="s">
        <v>512</v>
      </c>
      <c r="B495" s="1">
        <f t="shared" si="3"/>
        <v>481</v>
      </c>
      <c r="C495" s="1" t="str">
        <f>IFERROR(__xludf.DUMMYFUNCTION("split(A495, ""\"")"),"Andre Burakovsky")</f>
        <v>Andre Burakovsky</v>
      </c>
      <c r="D495" s="1" t="str">
        <f>IFERROR(__xludf.DUMMYFUNCTION("""COMPUTED_VALUE"""),"burakan01")</f>
        <v>burakan01</v>
      </c>
      <c r="E495" s="1" t="s">
        <v>28</v>
      </c>
      <c r="F495" s="1">
        <f t="shared" si="1"/>
        <v>171.6</v>
      </c>
      <c r="G495" s="1">
        <f t="shared" si="2"/>
        <v>3.06</v>
      </c>
      <c r="H495" s="1">
        <v>56.0</v>
      </c>
      <c r="I495" s="1">
        <v>12.0</v>
      </c>
      <c r="J495" s="1">
        <v>13.0</v>
      </c>
      <c r="K495" s="1">
        <v>25.0</v>
      </c>
      <c r="L495" s="1">
        <v>84.0</v>
      </c>
      <c r="M495" s="1">
        <v>40.0</v>
      </c>
      <c r="N495" s="1">
        <v>26.0</v>
      </c>
      <c r="O495" s="1">
        <v>2.0</v>
      </c>
      <c r="P495" s="1">
        <v>2.0</v>
      </c>
      <c r="Q495" s="1">
        <v>0.0</v>
      </c>
      <c r="R495" s="1">
        <v>0.0</v>
      </c>
      <c r="S495" s="1">
        <v>3.0</v>
      </c>
      <c r="T495" s="1">
        <v>27.0</v>
      </c>
      <c r="U495" s="1">
        <v>5.0</v>
      </c>
    </row>
    <row r="496" ht="12.75" customHeight="1">
      <c r="A496" s="1" t="s">
        <v>583</v>
      </c>
      <c r="B496" s="1">
        <f t="shared" si="3"/>
        <v>482</v>
      </c>
      <c r="C496" s="1" t="str">
        <f>IFERROR(__xludf.DUMMYFUNCTION("split(A496, ""\"")"),"Kevin Bieksa")</f>
        <v>Kevin Bieksa</v>
      </c>
      <c r="D496" s="1" t="str">
        <f>IFERROR(__xludf.DUMMYFUNCTION("""COMPUTED_VALUE"""),"biekske01")</f>
        <v>biekske01</v>
      </c>
      <c r="E496" s="1" t="s">
        <v>66</v>
      </c>
      <c r="F496" s="1">
        <f t="shared" si="1"/>
        <v>170.9</v>
      </c>
      <c r="G496" s="1">
        <f t="shared" si="2"/>
        <v>2.9</v>
      </c>
      <c r="H496" s="1">
        <v>59.0</v>
      </c>
      <c r="I496" s="1">
        <v>0.0</v>
      </c>
      <c r="J496" s="1">
        <v>8.0</v>
      </c>
      <c r="K496" s="1">
        <v>8.0</v>
      </c>
      <c r="L496" s="1">
        <v>66.0</v>
      </c>
      <c r="M496" s="1">
        <v>116.0</v>
      </c>
      <c r="N496" s="1">
        <v>81.0</v>
      </c>
      <c r="O496" s="1">
        <v>0.0</v>
      </c>
      <c r="P496" s="1">
        <v>2.0</v>
      </c>
      <c r="Q496" s="1">
        <v>0.0</v>
      </c>
      <c r="R496" s="1">
        <v>0.0</v>
      </c>
      <c r="S496" s="1">
        <v>-13.0</v>
      </c>
      <c r="T496" s="1">
        <v>83.0</v>
      </c>
      <c r="U496" s="1">
        <v>0.0</v>
      </c>
    </row>
    <row r="497" ht="12.75" customHeight="1">
      <c r="A497" s="1" t="s">
        <v>556</v>
      </c>
      <c r="B497" s="1">
        <f t="shared" si="3"/>
        <v>483</v>
      </c>
      <c r="C497" s="1" t="str">
        <f>IFERROR(__xludf.DUMMYFUNCTION("split(A497, ""\"")"),"Troy Stecher")</f>
        <v>Troy Stecher</v>
      </c>
      <c r="D497" s="1" t="str">
        <f>IFERROR(__xludf.DUMMYFUNCTION("""COMPUTED_VALUE"""),"stechtr01")</f>
        <v>stechtr01</v>
      </c>
      <c r="E497" s="1" t="s">
        <v>66</v>
      </c>
      <c r="F497" s="1">
        <f t="shared" si="1"/>
        <v>170.75</v>
      </c>
      <c r="G497" s="1">
        <f t="shared" si="2"/>
        <v>2.51</v>
      </c>
      <c r="H497" s="1">
        <v>68.0</v>
      </c>
      <c r="I497" s="1">
        <v>1.0</v>
      </c>
      <c r="J497" s="1">
        <v>10.0</v>
      </c>
      <c r="K497" s="1">
        <v>11.0</v>
      </c>
      <c r="L497" s="1">
        <v>94.0</v>
      </c>
      <c r="M497" s="1">
        <v>111.0</v>
      </c>
      <c r="N497" s="1">
        <v>75.0</v>
      </c>
      <c r="O497" s="1">
        <v>0.0</v>
      </c>
      <c r="P497" s="1">
        <v>1.0</v>
      </c>
      <c r="Q497" s="1">
        <v>0.0</v>
      </c>
      <c r="R497" s="1">
        <v>1.0</v>
      </c>
      <c r="S497" s="1">
        <v>-7.0</v>
      </c>
      <c r="T497" s="1">
        <v>35.0</v>
      </c>
      <c r="U497" s="1">
        <v>0.0</v>
      </c>
    </row>
    <row r="498" ht="12.75" customHeight="1">
      <c r="A498" s="1" t="s">
        <v>405</v>
      </c>
      <c r="B498" s="1">
        <f t="shared" si="3"/>
        <v>484</v>
      </c>
      <c r="C498" s="1" t="str">
        <f>IFERROR(__xludf.DUMMYFUNCTION("split(A498, ""\"")"),"Justin Schultz")</f>
        <v>Justin Schultz</v>
      </c>
      <c r="D498" s="1" t="str">
        <f>IFERROR(__xludf.DUMMYFUNCTION("""COMPUTED_VALUE"""),"schulju01")</f>
        <v>schulju01</v>
      </c>
      <c r="E498" s="1" t="s">
        <v>66</v>
      </c>
      <c r="F498" s="1">
        <f t="shared" si="1"/>
        <v>170.2</v>
      </c>
      <c r="G498" s="1">
        <f t="shared" si="2"/>
        <v>2.7</v>
      </c>
      <c r="H498" s="1">
        <v>63.0</v>
      </c>
      <c r="I498" s="1">
        <v>4.0</v>
      </c>
      <c r="J498" s="1">
        <v>23.0</v>
      </c>
      <c r="K498" s="1">
        <v>27.0</v>
      </c>
      <c r="L498" s="1">
        <v>109.0</v>
      </c>
      <c r="M498" s="1">
        <v>36.0</v>
      </c>
      <c r="N498" s="1">
        <v>93.0</v>
      </c>
      <c r="O498" s="1">
        <v>0.0</v>
      </c>
      <c r="P498" s="1">
        <v>10.0</v>
      </c>
      <c r="Q498" s="1">
        <v>0.0</v>
      </c>
      <c r="R498" s="1">
        <v>0.0</v>
      </c>
      <c r="S498" s="1">
        <v>22.0</v>
      </c>
      <c r="T498" s="1">
        <v>14.0</v>
      </c>
      <c r="U498" s="1">
        <v>1.0</v>
      </c>
    </row>
    <row r="499" ht="12.75" customHeight="1">
      <c r="A499" s="1" t="s">
        <v>557</v>
      </c>
      <c r="B499" s="1">
        <f t="shared" si="3"/>
        <v>484</v>
      </c>
      <c r="C499" s="1" t="str">
        <f>IFERROR(__xludf.DUMMYFUNCTION("split(A499, ""\"")"),"Ryan Reaves")</f>
        <v>Ryan Reaves</v>
      </c>
      <c r="D499" s="1" t="str">
        <f>IFERROR(__xludf.DUMMYFUNCTION("""COMPUTED_VALUE"""),"reavery01")</f>
        <v>reavery01</v>
      </c>
      <c r="E499" s="1" t="s">
        <v>36</v>
      </c>
      <c r="F499" s="1">
        <f t="shared" si="1"/>
        <v>170.2</v>
      </c>
      <c r="G499" s="1">
        <f t="shared" si="2"/>
        <v>2.15</v>
      </c>
      <c r="H499" s="1">
        <v>79.0</v>
      </c>
      <c r="I499" s="1">
        <v>4.0</v>
      </c>
      <c r="J499" s="1">
        <v>6.0</v>
      </c>
      <c r="K499" s="1">
        <v>10.0</v>
      </c>
      <c r="L499" s="1">
        <v>42.0</v>
      </c>
      <c r="M499" s="1">
        <v>236.0</v>
      </c>
      <c r="N499" s="1">
        <v>27.0</v>
      </c>
      <c r="O499" s="1">
        <v>0.0</v>
      </c>
      <c r="P499" s="1">
        <v>0.0</v>
      </c>
      <c r="Q499" s="1">
        <v>0.0</v>
      </c>
      <c r="R499" s="1">
        <v>0.0</v>
      </c>
      <c r="S499" s="1">
        <v>-7.0</v>
      </c>
      <c r="T499" s="1">
        <v>94.0</v>
      </c>
      <c r="U499" s="1">
        <v>1.0</v>
      </c>
    </row>
    <row r="500" ht="12.75" customHeight="1">
      <c r="A500" s="1" t="s">
        <v>514</v>
      </c>
      <c r="B500" s="1">
        <f t="shared" si="3"/>
        <v>486</v>
      </c>
      <c r="C500" s="1" t="str">
        <f>IFERROR(__xludf.DUMMYFUNCTION("split(A500, ""\"")"),"Brett Ritchie")</f>
        <v>Brett Ritchie</v>
      </c>
      <c r="D500" s="1" t="str">
        <f>IFERROR(__xludf.DUMMYFUNCTION("""COMPUTED_VALUE"""),"ritchbr01")</f>
        <v>ritchbr01</v>
      </c>
      <c r="E500" s="1" t="s">
        <v>36</v>
      </c>
      <c r="F500" s="1">
        <f t="shared" si="1"/>
        <v>170.1</v>
      </c>
      <c r="G500" s="1">
        <f t="shared" si="2"/>
        <v>2.4</v>
      </c>
      <c r="H500" s="1">
        <v>71.0</v>
      </c>
      <c r="I500" s="1">
        <v>7.0</v>
      </c>
      <c r="J500" s="1">
        <v>7.0</v>
      </c>
      <c r="K500" s="1">
        <v>14.0</v>
      </c>
      <c r="L500" s="1">
        <v>117.0</v>
      </c>
      <c r="M500" s="1">
        <v>172.0</v>
      </c>
      <c r="N500" s="1">
        <v>10.0</v>
      </c>
      <c r="O500" s="1">
        <v>2.0</v>
      </c>
      <c r="P500" s="1">
        <v>1.0</v>
      </c>
      <c r="Q500" s="1">
        <v>0.0</v>
      </c>
      <c r="R500" s="1">
        <v>0.0</v>
      </c>
      <c r="S500" s="1">
        <v>1.0</v>
      </c>
      <c r="T500" s="1">
        <v>42.0</v>
      </c>
      <c r="U500" s="1">
        <v>0.0</v>
      </c>
    </row>
    <row r="501" ht="12.75" customHeight="1">
      <c r="A501" s="1" t="s">
        <v>569</v>
      </c>
      <c r="B501" s="1">
        <f t="shared" si="3"/>
        <v>487</v>
      </c>
      <c r="C501" s="1" t="str">
        <f>IFERROR(__xludf.DUMMYFUNCTION("split(A501, ""\"")"),"Drew Stafford")</f>
        <v>Drew Stafford</v>
      </c>
      <c r="D501" s="1" t="str">
        <f>IFERROR(__xludf.DUMMYFUNCTION("""COMPUTED_VALUE"""),"staffdr01")</f>
        <v>staffdr01</v>
      </c>
      <c r="E501" s="1" t="s">
        <v>36</v>
      </c>
      <c r="F501" s="1">
        <f t="shared" si="1"/>
        <v>169.75</v>
      </c>
      <c r="G501" s="1">
        <f t="shared" si="2"/>
        <v>2.88</v>
      </c>
      <c r="H501" s="1">
        <v>59.0</v>
      </c>
      <c r="I501" s="1">
        <v>8.0</v>
      </c>
      <c r="J501" s="1">
        <v>7.0</v>
      </c>
      <c r="K501" s="1">
        <v>15.0</v>
      </c>
      <c r="L501" s="1">
        <v>102.0</v>
      </c>
      <c r="M501" s="1">
        <v>77.0</v>
      </c>
      <c r="N501" s="1">
        <v>15.0</v>
      </c>
      <c r="O501" s="1">
        <v>4.0</v>
      </c>
      <c r="P501" s="1">
        <v>1.0</v>
      </c>
      <c r="Q501" s="1">
        <v>0.0</v>
      </c>
      <c r="R501" s="1">
        <v>0.0</v>
      </c>
      <c r="S501" s="1">
        <v>-20.0</v>
      </c>
      <c r="T501" s="1">
        <v>10.0</v>
      </c>
      <c r="U501" s="1">
        <v>1.0</v>
      </c>
    </row>
    <row r="502" ht="12.75" customHeight="1">
      <c r="A502" s="1" t="s">
        <v>550</v>
      </c>
      <c r="B502" s="1">
        <f t="shared" si="3"/>
        <v>488</v>
      </c>
      <c r="C502" s="1" t="str">
        <f>IFERROR(__xludf.DUMMYFUNCTION("split(A502, ""\"")"),"Logan Shaw")</f>
        <v>Logan Shaw</v>
      </c>
      <c r="D502" s="1" t="str">
        <f>IFERROR(__xludf.DUMMYFUNCTION("""COMPUTED_VALUE"""),"shawlo01")</f>
        <v>shawlo01</v>
      </c>
      <c r="E502" s="1" t="s">
        <v>36</v>
      </c>
      <c r="F502" s="1">
        <f t="shared" si="1"/>
        <v>168.6</v>
      </c>
      <c r="G502" s="1">
        <f t="shared" si="2"/>
        <v>2.34</v>
      </c>
      <c r="H502" s="1">
        <v>72.0</v>
      </c>
      <c r="I502" s="1">
        <v>4.0</v>
      </c>
      <c r="J502" s="1">
        <v>10.0</v>
      </c>
      <c r="K502" s="1">
        <v>14.0</v>
      </c>
      <c r="L502" s="1">
        <v>105.0</v>
      </c>
      <c r="M502" s="1">
        <v>110.0</v>
      </c>
      <c r="N502" s="1">
        <v>46.0</v>
      </c>
      <c r="O502" s="1">
        <v>0.0</v>
      </c>
      <c r="P502" s="1">
        <v>0.0</v>
      </c>
      <c r="Q502" s="1">
        <v>0.0</v>
      </c>
      <c r="R502" s="1">
        <v>1.0</v>
      </c>
      <c r="S502" s="1">
        <v>-6.0</v>
      </c>
      <c r="T502" s="1">
        <v>12.0</v>
      </c>
      <c r="U502" s="1">
        <v>1.0</v>
      </c>
    </row>
    <row r="503" ht="12.75" customHeight="1">
      <c r="A503" s="1" t="s">
        <v>533</v>
      </c>
      <c r="B503" s="1">
        <f t="shared" si="3"/>
        <v>489</v>
      </c>
      <c r="C503" s="1" t="str">
        <f>IFERROR(__xludf.DUMMYFUNCTION("split(A503, ""\"")"),"Matt Cullen")</f>
        <v>Matt Cullen</v>
      </c>
      <c r="D503" s="1" t="str">
        <f>IFERROR(__xludf.DUMMYFUNCTION("""COMPUTED_VALUE"""),"cullema01")</f>
        <v>cullema01</v>
      </c>
      <c r="E503" s="1" t="s">
        <v>31</v>
      </c>
      <c r="F503" s="1">
        <f t="shared" si="1"/>
        <v>168.5</v>
      </c>
      <c r="G503" s="1">
        <f t="shared" si="2"/>
        <v>2.13</v>
      </c>
      <c r="H503" s="1">
        <v>79.0</v>
      </c>
      <c r="I503" s="1">
        <v>11.0</v>
      </c>
      <c r="J503" s="1">
        <v>11.0</v>
      </c>
      <c r="K503" s="1">
        <v>22.0</v>
      </c>
      <c r="L503" s="1">
        <v>104.0</v>
      </c>
      <c r="M503" s="1">
        <v>14.0</v>
      </c>
      <c r="N503" s="1">
        <v>42.0</v>
      </c>
      <c r="O503" s="1">
        <v>0.0</v>
      </c>
      <c r="P503" s="1">
        <v>1.0</v>
      </c>
      <c r="Q503" s="1">
        <v>0.0</v>
      </c>
      <c r="R503" s="1">
        <v>0.0</v>
      </c>
      <c r="S503" s="1">
        <v>-1.0</v>
      </c>
      <c r="T503" s="1">
        <v>20.0</v>
      </c>
      <c r="U503" s="1">
        <v>1.0</v>
      </c>
    </row>
    <row r="504" ht="12.75" customHeight="1">
      <c r="A504" s="1" t="s">
        <v>485</v>
      </c>
      <c r="B504" s="1">
        <f t="shared" si="3"/>
        <v>490</v>
      </c>
      <c r="C504" s="1" t="str">
        <f>IFERROR(__xludf.DUMMYFUNCTION("split(A504, ""\"")"),"Nikita Zaitsev")</f>
        <v>Nikita Zaitsev</v>
      </c>
      <c r="D504" s="1" t="str">
        <f>IFERROR(__xludf.DUMMYFUNCTION("""COMPUTED_VALUE"""),"zaitsni01")</f>
        <v>zaitsni01</v>
      </c>
      <c r="E504" s="1" t="s">
        <v>66</v>
      </c>
      <c r="F504" s="1">
        <f t="shared" si="1"/>
        <v>168.05</v>
      </c>
      <c r="G504" s="1">
        <f t="shared" si="2"/>
        <v>2.8</v>
      </c>
      <c r="H504" s="1">
        <v>60.0</v>
      </c>
      <c r="I504" s="1">
        <v>5.0</v>
      </c>
      <c r="J504" s="1">
        <v>8.0</v>
      </c>
      <c r="K504" s="1">
        <v>13.0</v>
      </c>
      <c r="L504" s="1">
        <v>54.0</v>
      </c>
      <c r="M504" s="1">
        <v>113.0</v>
      </c>
      <c r="N504" s="1">
        <v>134.0</v>
      </c>
      <c r="O504" s="1">
        <v>0.0</v>
      </c>
      <c r="P504" s="1">
        <v>0.0</v>
      </c>
      <c r="Q504" s="1">
        <v>0.0</v>
      </c>
      <c r="R504" s="1">
        <v>0.0</v>
      </c>
      <c r="S504" s="1">
        <v>8.0</v>
      </c>
      <c r="T504" s="1">
        <v>31.0</v>
      </c>
      <c r="U504" s="1">
        <v>1.0</v>
      </c>
    </row>
    <row r="505" ht="12.75" customHeight="1">
      <c r="A505" s="1" t="s">
        <v>545</v>
      </c>
      <c r="B505" s="1">
        <f t="shared" si="3"/>
        <v>491</v>
      </c>
      <c r="C505" s="1" t="str">
        <f>IFERROR(__xludf.DUMMYFUNCTION("split(A505, ""\"")"),"Evan Rodrigues")</f>
        <v>Evan Rodrigues</v>
      </c>
      <c r="D505" s="1" t="str">
        <f>IFERROR(__xludf.DUMMYFUNCTION("""COMPUTED_VALUE"""),"rodriev01")</f>
        <v>rodriev01</v>
      </c>
      <c r="E505" s="1" t="s">
        <v>31</v>
      </c>
      <c r="F505" s="1">
        <f t="shared" si="1"/>
        <v>166.45</v>
      </c>
      <c r="G505" s="1">
        <f t="shared" si="2"/>
        <v>3.47</v>
      </c>
      <c r="H505" s="1">
        <v>48.0</v>
      </c>
      <c r="I505" s="1">
        <v>7.0</v>
      </c>
      <c r="J505" s="1">
        <v>18.0</v>
      </c>
      <c r="K505" s="1">
        <v>25.0</v>
      </c>
      <c r="L505" s="1">
        <v>91.0</v>
      </c>
      <c r="M505" s="1">
        <v>19.0</v>
      </c>
      <c r="N505" s="1">
        <v>23.0</v>
      </c>
      <c r="O505" s="1">
        <v>1.0</v>
      </c>
      <c r="P505" s="1">
        <v>5.0</v>
      </c>
      <c r="Q505" s="1">
        <v>0.0</v>
      </c>
      <c r="R505" s="1">
        <v>0.0</v>
      </c>
      <c r="S505" s="1">
        <v>-10.0</v>
      </c>
      <c r="T505" s="1">
        <v>14.0</v>
      </c>
      <c r="U505" s="1">
        <v>0.0</v>
      </c>
    </row>
    <row r="506" ht="12.75" customHeight="1">
      <c r="A506" s="1" t="s">
        <v>527</v>
      </c>
      <c r="B506" s="1">
        <f t="shared" si="3"/>
        <v>492</v>
      </c>
      <c r="C506" s="1" t="str">
        <f>IFERROR(__xludf.DUMMYFUNCTION("split(A506, ""\"")"),"Joseph Morrow")</f>
        <v>Joseph Morrow</v>
      </c>
      <c r="D506" s="1" t="str">
        <f>IFERROR(__xludf.DUMMYFUNCTION("""COMPUTED_VALUE"""),"morrojo02")</f>
        <v>morrojo02</v>
      </c>
      <c r="E506" s="1" t="s">
        <v>66</v>
      </c>
      <c r="F506" s="1">
        <f t="shared" si="1"/>
        <v>165.55</v>
      </c>
      <c r="G506" s="1">
        <f t="shared" si="2"/>
        <v>2.96</v>
      </c>
      <c r="H506" s="1">
        <v>56.0</v>
      </c>
      <c r="I506" s="1">
        <v>6.0</v>
      </c>
      <c r="J506" s="1">
        <v>10.0</v>
      </c>
      <c r="K506" s="1">
        <v>16.0</v>
      </c>
      <c r="L506" s="1">
        <v>83.0</v>
      </c>
      <c r="M506" s="1">
        <v>79.0</v>
      </c>
      <c r="N506" s="1">
        <v>67.0</v>
      </c>
      <c r="O506" s="1">
        <v>1.0</v>
      </c>
      <c r="P506" s="1">
        <v>4.0</v>
      </c>
      <c r="Q506" s="1">
        <v>0.0</v>
      </c>
      <c r="R506" s="1">
        <v>0.0</v>
      </c>
      <c r="S506" s="1">
        <v>-4.0</v>
      </c>
      <c r="T506" s="1">
        <v>26.0</v>
      </c>
      <c r="U506" s="1">
        <v>0.0</v>
      </c>
    </row>
    <row r="507" ht="12.75" customHeight="1">
      <c r="A507" s="1" t="s">
        <v>522</v>
      </c>
      <c r="B507" s="1">
        <f t="shared" si="3"/>
        <v>493</v>
      </c>
      <c r="C507" s="1" t="str">
        <f>IFERROR(__xludf.DUMMYFUNCTION("split(A507, ""\"")"),"Trevor van Riemsdyk")</f>
        <v>Trevor van Riemsdyk</v>
      </c>
      <c r="D507" s="1" t="str">
        <f>IFERROR(__xludf.DUMMYFUNCTION("""COMPUTED_VALUE"""),"vanritr01")</f>
        <v>vanritr01</v>
      </c>
      <c r="E507" s="1" t="s">
        <v>66</v>
      </c>
      <c r="F507" s="1">
        <f t="shared" si="1"/>
        <v>165.25</v>
      </c>
      <c r="G507" s="1">
        <f t="shared" si="2"/>
        <v>2.09</v>
      </c>
      <c r="H507" s="1">
        <v>79.0</v>
      </c>
      <c r="I507" s="1">
        <v>3.0</v>
      </c>
      <c r="J507" s="1">
        <v>13.0</v>
      </c>
      <c r="K507" s="1">
        <v>16.0</v>
      </c>
      <c r="L507" s="1">
        <v>111.0</v>
      </c>
      <c r="M507" s="1">
        <v>25.0</v>
      </c>
      <c r="N507" s="1">
        <v>113.0</v>
      </c>
      <c r="O507" s="1">
        <v>0.0</v>
      </c>
      <c r="P507" s="1">
        <v>0.0</v>
      </c>
      <c r="Q507" s="1">
        <v>0.0</v>
      </c>
      <c r="R507" s="1">
        <v>0.0</v>
      </c>
      <c r="S507" s="1">
        <v>9.0</v>
      </c>
      <c r="T507" s="1">
        <v>20.0</v>
      </c>
      <c r="U507" s="1">
        <v>1.0</v>
      </c>
    </row>
    <row r="508" ht="12.75" customHeight="1">
      <c r="A508" s="1" t="s">
        <v>495</v>
      </c>
      <c r="B508" s="1">
        <f t="shared" si="3"/>
        <v>494</v>
      </c>
      <c r="C508" s="1" t="str">
        <f>IFERROR(__xludf.DUMMYFUNCTION("split(A508, ""\"")"),"Robert Bortuzzo")</f>
        <v>Robert Bortuzzo</v>
      </c>
      <c r="D508" s="1" t="str">
        <f>IFERROR(__xludf.DUMMYFUNCTION("""COMPUTED_VALUE"""),"borturo01")</f>
        <v>borturo01</v>
      </c>
      <c r="E508" s="1" t="s">
        <v>66</v>
      </c>
      <c r="F508" s="1">
        <f t="shared" si="1"/>
        <v>165.05</v>
      </c>
      <c r="G508" s="1">
        <f t="shared" si="2"/>
        <v>2.29</v>
      </c>
      <c r="H508" s="1">
        <v>72.0</v>
      </c>
      <c r="I508" s="1">
        <v>4.0</v>
      </c>
      <c r="J508" s="1">
        <v>9.0</v>
      </c>
      <c r="K508" s="1">
        <v>13.0</v>
      </c>
      <c r="L508" s="1">
        <v>76.0</v>
      </c>
      <c r="M508" s="1">
        <v>121.0</v>
      </c>
      <c r="N508" s="1">
        <v>108.0</v>
      </c>
      <c r="O508" s="1">
        <v>0.0</v>
      </c>
      <c r="P508" s="1">
        <v>0.0</v>
      </c>
      <c r="Q508" s="1">
        <v>0.0</v>
      </c>
      <c r="R508" s="1">
        <v>0.0</v>
      </c>
      <c r="S508" s="1">
        <v>11.0</v>
      </c>
      <c r="T508" s="1">
        <v>41.0</v>
      </c>
      <c r="U508" s="1">
        <v>1.0</v>
      </c>
    </row>
    <row r="509" ht="12.75" customHeight="1">
      <c r="A509" s="1" t="s">
        <v>434</v>
      </c>
      <c r="B509" s="1">
        <f t="shared" si="3"/>
        <v>495</v>
      </c>
      <c r="C509" s="1" t="str">
        <f>IFERROR(__xludf.DUMMYFUNCTION("split(A509, ""\"")"),"Jonas Brodin")</f>
        <v>Jonas Brodin</v>
      </c>
      <c r="D509" s="1" t="str">
        <f>IFERROR(__xludf.DUMMYFUNCTION("""COMPUTED_VALUE"""),"brodijo01")</f>
        <v>brodijo01</v>
      </c>
      <c r="E509" s="1" t="s">
        <v>66</v>
      </c>
      <c r="F509" s="1">
        <f t="shared" si="1"/>
        <v>165</v>
      </c>
      <c r="G509" s="1">
        <f t="shared" si="2"/>
        <v>2.26</v>
      </c>
      <c r="H509" s="1">
        <v>73.0</v>
      </c>
      <c r="I509" s="1">
        <v>6.0</v>
      </c>
      <c r="J509" s="1">
        <v>15.0</v>
      </c>
      <c r="K509" s="1">
        <v>21.0</v>
      </c>
      <c r="L509" s="1">
        <v>77.0</v>
      </c>
      <c r="M509" s="1">
        <v>34.0</v>
      </c>
      <c r="N509" s="1">
        <v>139.0</v>
      </c>
      <c r="O509" s="1">
        <v>0.0</v>
      </c>
      <c r="P509" s="1">
        <v>3.0</v>
      </c>
      <c r="Q509" s="1">
        <v>0.0</v>
      </c>
      <c r="R509" s="1">
        <v>0.0</v>
      </c>
      <c r="S509" s="1">
        <v>23.0</v>
      </c>
      <c r="T509" s="1">
        <v>30.0</v>
      </c>
      <c r="U509" s="1">
        <v>1.0</v>
      </c>
    </row>
    <row r="510" ht="12.75" customHeight="1">
      <c r="A510" s="1" t="s">
        <v>519</v>
      </c>
      <c r="B510" s="1">
        <f t="shared" si="3"/>
        <v>496</v>
      </c>
      <c r="C510" s="1" t="str">
        <f>IFERROR(__xludf.DUMMYFUNCTION("split(A510, ""\"")"),"Danny DeKeyser")</f>
        <v>Danny DeKeyser</v>
      </c>
      <c r="D510" s="1" t="str">
        <f>IFERROR(__xludf.DUMMYFUNCTION("""COMPUTED_VALUE"""),"dekeyda01")</f>
        <v>dekeyda01</v>
      </c>
      <c r="E510" s="1" t="s">
        <v>66</v>
      </c>
      <c r="F510" s="1">
        <f t="shared" si="1"/>
        <v>164.4</v>
      </c>
      <c r="G510" s="1">
        <f t="shared" si="2"/>
        <v>2.53</v>
      </c>
      <c r="H510" s="1">
        <v>65.0</v>
      </c>
      <c r="I510" s="1">
        <v>6.0</v>
      </c>
      <c r="J510" s="1">
        <v>6.0</v>
      </c>
      <c r="K510" s="1">
        <v>12.0</v>
      </c>
      <c r="L510" s="1">
        <v>65.0</v>
      </c>
      <c r="M510" s="1">
        <v>76.0</v>
      </c>
      <c r="N510" s="1">
        <v>125.0</v>
      </c>
      <c r="O510" s="1">
        <v>0.0</v>
      </c>
      <c r="P510" s="1">
        <v>0.0</v>
      </c>
      <c r="Q510" s="1">
        <v>0.0</v>
      </c>
      <c r="R510" s="1">
        <v>0.0</v>
      </c>
      <c r="S510" s="1">
        <v>2.0</v>
      </c>
      <c r="T510" s="1">
        <v>28.0</v>
      </c>
      <c r="U510" s="1">
        <v>0.0</v>
      </c>
    </row>
    <row r="511" ht="12.75" customHeight="1">
      <c r="A511" s="1" t="s">
        <v>547</v>
      </c>
      <c r="B511" s="1">
        <f t="shared" si="3"/>
        <v>497</v>
      </c>
      <c r="C511" s="1" t="str">
        <f>IFERROR(__xludf.DUMMYFUNCTION("split(A511, ""\"")"),"Scottie Upshall")</f>
        <v>Scottie Upshall</v>
      </c>
      <c r="D511" s="1" t="str">
        <f>IFERROR(__xludf.DUMMYFUNCTION("""COMPUTED_VALUE"""),"upshasc01")</f>
        <v>upshasc01</v>
      </c>
      <c r="E511" s="1" t="s">
        <v>28</v>
      </c>
      <c r="F511" s="1">
        <f t="shared" si="1"/>
        <v>164.05</v>
      </c>
      <c r="G511" s="1">
        <f t="shared" si="2"/>
        <v>2.6</v>
      </c>
      <c r="H511" s="1">
        <v>63.0</v>
      </c>
      <c r="I511" s="1">
        <v>7.0</v>
      </c>
      <c r="J511" s="1">
        <v>12.0</v>
      </c>
      <c r="K511" s="1">
        <v>19.0</v>
      </c>
      <c r="L511" s="1">
        <v>71.0</v>
      </c>
      <c r="M511" s="1">
        <v>119.0</v>
      </c>
      <c r="N511" s="1">
        <v>24.0</v>
      </c>
      <c r="O511" s="1">
        <v>0.0</v>
      </c>
      <c r="P511" s="1">
        <v>0.0</v>
      </c>
      <c r="Q511" s="1">
        <v>0.0</v>
      </c>
      <c r="R511" s="1">
        <v>0.0</v>
      </c>
      <c r="S511" s="1">
        <v>-1.0</v>
      </c>
      <c r="T511" s="1">
        <v>46.0</v>
      </c>
      <c r="U511" s="1">
        <v>2.0</v>
      </c>
    </row>
    <row r="512" ht="12.75" customHeight="1">
      <c r="A512" s="1" t="s">
        <v>426</v>
      </c>
      <c r="B512" s="1">
        <f t="shared" si="3"/>
        <v>498</v>
      </c>
      <c r="C512" s="1" t="str">
        <f>IFERROR(__xludf.DUMMYFUNCTION("split(A512, ""\"")"),"Anton Stralman")</f>
        <v>Anton Stralman</v>
      </c>
      <c r="D512" s="1" t="str">
        <f>IFERROR(__xludf.DUMMYFUNCTION("""COMPUTED_VALUE"""),"stralan01")</f>
        <v>stralan01</v>
      </c>
      <c r="E512" s="1" t="s">
        <v>66</v>
      </c>
      <c r="F512" s="1">
        <f t="shared" si="1"/>
        <v>163.4</v>
      </c>
      <c r="G512" s="1">
        <f t="shared" si="2"/>
        <v>2.04</v>
      </c>
      <c r="H512" s="1">
        <v>80.0</v>
      </c>
      <c r="I512" s="1">
        <v>4.0</v>
      </c>
      <c r="J512" s="1">
        <v>14.0</v>
      </c>
      <c r="K512" s="1">
        <v>18.0</v>
      </c>
      <c r="L512" s="1">
        <v>131.0</v>
      </c>
      <c r="M512" s="1">
        <v>104.0</v>
      </c>
      <c r="N512" s="1">
        <v>100.0</v>
      </c>
      <c r="O512" s="1">
        <v>0.0</v>
      </c>
      <c r="P512" s="1">
        <v>0.0</v>
      </c>
      <c r="Q512" s="1">
        <v>0.0</v>
      </c>
      <c r="R512" s="1">
        <v>0.0</v>
      </c>
      <c r="S512" s="1">
        <v>29.0</v>
      </c>
      <c r="T512" s="1">
        <v>18.0</v>
      </c>
      <c r="U512" s="1">
        <v>0.0</v>
      </c>
    </row>
    <row r="513" ht="12.75" customHeight="1">
      <c r="A513" s="1" t="s">
        <v>565</v>
      </c>
      <c r="B513" s="1">
        <f t="shared" si="3"/>
        <v>499</v>
      </c>
      <c r="C513" s="1" t="str">
        <f>IFERROR(__xludf.DUMMYFUNCTION("split(A513, ""\"")"),"Jordan Weal")</f>
        <v>Jordan Weal</v>
      </c>
      <c r="D513" s="1" t="str">
        <f>IFERROR(__xludf.DUMMYFUNCTION("""COMPUTED_VALUE"""),"wealjo01")</f>
        <v>wealjo01</v>
      </c>
      <c r="E513" s="1" t="s">
        <v>31</v>
      </c>
      <c r="F513" s="1">
        <f t="shared" si="1"/>
        <v>163.35</v>
      </c>
      <c r="G513" s="1">
        <f t="shared" si="2"/>
        <v>2.37</v>
      </c>
      <c r="H513" s="1">
        <v>69.0</v>
      </c>
      <c r="I513" s="1">
        <v>8.0</v>
      </c>
      <c r="J513" s="1">
        <v>13.0</v>
      </c>
      <c r="K513" s="1">
        <v>21.0</v>
      </c>
      <c r="L513" s="1">
        <v>102.0</v>
      </c>
      <c r="M513" s="1">
        <v>17.0</v>
      </c>
      <c r="N513" s="1">
        <v>25.0</v>
      </c>
      <c r="O513" s="1">
        <v>3.0</v>
      </c>
      <c r="P513" s="1">
        <v>0.0</v>
      </c>
      <c r="Q513" s="1">
        <v>0.0</v>
      </c>
      <c r="R513" s="1">
        <v>0.0</v>
      </c>
      <c r="S513" s="1">
        <v>-10.0</v>
      </c>
      <c r="T513" s="1">
        <v>12.0</v>
      </c>
      <c r="U513" s="1">
        <v>1.0</v>
      </c>
    </row>
    <row r="514" ht="12.75" customHeight="1">
      <c r="A514" s="1" t="s">
        <v>404</v>
      </c>
      <c r="B514" s="1">
        <f t="shared" si="3"/>
        <v>500</v>
      </c>
      <c r="C514" s="1" t="str">
        <f>IFERROR(__xludf.DUMMYFUNCTION("split(A514, ""\"")"),"Aaron Dell")</f>
        <v>Aaron Dell</v>
      </c>
      <c r="D514" s="2" t="str">
        <f>IFERROR(__xludf.DUMMYFUNCTION("""COMPUTED_VALUE"""),"dellaa01")</f>
        <v>dellaa01</v>
      </c>
      <c r="E514" s="1" t="s">
        <v>5</v>
      </c>
      <c r="F514" s="1">
        <f t="shared" si="1"/>
        <v>162.9</v>
      </c>
      <c r="G514" s="1">
        <f t="shared" si="2"/>
        <v>5.62</v>
      </c>
      <c r="H514" s="1">
        <v>29.0</v>
      </c>
      <c r="V514" s="1">
        <v>22.0</v>
      </c>
      <c r="W514" s="1">
        <v>15.0</v>
      </c>
      <c r="X514" s="1">
        <v>5.0</v>
      </c>
      <c r="Y514" s="1">
        <v>67.0</v>
      </c>
      <c r="Z514" s="1">
        <v>775.0</v>
      </c>
      <c r="AA514" s="1">
        <v>708.0</v>
      </c>
      <c r="AB514" s="1">
        <v>2.0</v>
      </c>
    </row>
    <row r="515" ht="12.75" customHeight="1">
      <c r="A515" s="1" t="s">
        <v>586</v>
      </c>
      <c r="B515" s="1">
        <f t="shared" si="3"/>
        <v>501</v>
      </c>
      <c r="C515" s="1" t="str">
        <f>IFERROR(__xludf.DUMMYFUNCTION("split(A515, ""\"")"),"Alexandre Burrows")</f>
        <v>Alexandre Burrows</v>
      </c>
      <c r="D515" s="1" t="str">
        <f>IFERROR(__xludf.DUMMYFUNCTION("""COMPUTED_VALUE"""),"burroal01")</f>
        <v>burroal01</v>
      </c>
      <c r="E515" s="1" t="s">
        <v>28</v>
      </c>
      <c r="F515" s="1">
        <f t="shared" si="1"/>
        <v>161.95</v>
      </c>
      <c r="G515" s="1">
        <f t="shared" si="2"/>
        <v>2.28</v>
      </c>
      <c r="H515" s="1">
        <v>71.0</v>
      </c>
      <c r="I515" s="1">
        <v>6.0</v>
      </c>
      <c r="J515" s="1">
        <v>8.0</v>
      </c>
      <c r="K515" s="1">
        <v>14.0</v>
      </c>
      <c r="L515" s="1">
        <v>90.0</v>
      </c>
      <c r="M515" s="1">
        <v>65.0</v>
      </c>
      <c r="N515" s="1">
        <v>32.0</v>
      </c>
      <c r="O515" s="1">
        <v>2.0</v>
      </c>
      <c r="P515" s="1">
        <v>1.0</v>
      </c>
      <c r="Q515" s="1">
        <v>0.0</v>
      </c>
      <c r="R515" s="1">
        <v>0.0</v>
      </c>
      <c r="S515" s="1">
        <v>-8.0</v>
      </c>
      <c r="T515" s="1">
        <v>59.0</v>
      </c>
      <c r="U515" s="1">
        <v>2.0</v>
      </c>
    </row>
    <row r="516" ht="12.75" customHeight="1">
      <c r="A516" s="1" t="s">
        <v>553</v>
      </c>
      <c r="B516" s="1">
        <f t="shared" si="3"/>
        <v>502</v>
      </c>
      <c r="C516" s="1" t="str">
        <f>IFERROR(__xludf.DUMMYFUNCTION("split(A516, ""\"")"),"Shea Weber")</f>
        <v>Shea Weber</v>
      </c>
      <c r="D516" s="1" t="str">
        <f>IFERROR(__xludf.DUMMYFUNCTION("""COMPUTED_VALUE"""),"webersh01")</f>
        <v>webersh01</v>
      </c>
      <c r="E516" s="1" t="s">
        <v>66</v>
      </c>
      <c r="F516" s="1">
        <f t="shared" si="1"/>
        <v>161.7</v>
      </c>
      <c r="G516" s="1">
        <f t="shared" si="2"/>
        <v>6.22</v>
      </c>
      <c r="H516" s="1">
        <v>26.0</v>
      </c>
      <c r="I516" s="1">
        <v>6.0</v>
      </c>
      <c r="J516" s="1">
        <v>10.0</v>
      </c>
      <c r="K516" s="1">
        <v>16.0</v>
      </c>
      <c r="L516" s="1">
        <v>75.0</v>
      </c>
      <c r="M516" s="1">
        <v>66.0</v>
      </c>
      <c r="N516" s="1">
        <v>59.0</v>
      </c>
      <c r="O516" s="1">
        <v>2.0</v>
      </c>
      <c r="P516" s="1">
        <v>3.0</v>
      </c>
      <c r="Q516" s="1">
        <v>0.0</v>
      </c>
      <c r="R516" s="1">
        <v>1.0</v>
      </c>
      <c r="S516" s="1">
        <v>-8.0</v>
      </c>
      <c r="T516" s="1">
        <v>14.0</v>
      </c>
      <c r="U516" s="1">
        <v>1.0</v>
      </c>
    </row>
    <row r="517" ht="12.75" customHeight="1">
      <c r="A517" s="1" t="s">
        <v>429</v>
      </c>
      <c r="B517" s="1">
        <f t="shared" si="3"/>
        <v>503</v>
      </c>
      <c r="C517" s="1" t="str">
        <f>IFERROR(__xludf.DUMMYFUNCTION("split(A517, ""\"")"),"Alexander Wennberg")</f>
        <v>Alexander Wennberg</v>
      </c>
      <c r="D517" s="1" t="str">
        <f>IFERROR(__xludf.DUMMYFUNCTION("""COMPUTED_VALUE"""),"wennbal01")</f>
        <v>wennbal01</v>
      </c>
      <c r="E517" s="1" t="s">
        <v>31</v>
      </c>
      <c r="F517" s="1">
        <f t="shared" si="1"/>
        <v>161.6</v>
      </c>
      <c r="G517" s="1">
        <f t="shared" si="2"/>
        <v>2.45</v>
      </c>
      <c r="H517" s="1">
        <v>66.0</v>
      </c>
      <c r="I517" s="1">
        <v>8.0</v>
      </c>
      <c r="J517" s="1">
        <v>27.0</v>
      </c>
      <c r="K517" s="1">
        <v>35.0</v>
      </c>
      <c r="L517" s="1">
        <v>74.0</v>
      </c>
      <c r="M517" s="1">
        <v>28.0</v>
      </c>
      <c r="N517" s="1">
        <v>46.0</v>
      </c>
      <c r="O517" s="1">
        <v>3.0</v>
      </c>
      <c r="P517" s="1">
        <v>2.0</v>
      </c>
      <c r="Q517" s="1">
        <v>0.0</v>
      </c>
      <c r="R517" s="1">
        <v>1.0</v>
      </c>
      <c r="S517" s="1">
        <v>22.0</v>
      </c>
      <c r="T517" s="1">
        <v>12.0</v>
      </c>
      <c r="U517" s="1">
        <v>2.0</v>
      </c>
    </row>
    <row r="518" ht="12.75" customHeight="1">
      <c r="A518" s="1" t="s">
        <v>571</v>
      </c>
      <c r="B518" s="1">
        <f t="shared" si="3"/>
        <v>504</v>
      </c>
      <c r="C518" s="1" t="str">
        <f>IFERROR(__xludf.DUMMYFUNCTION("split(A518, ""\"")"),"Antoine Vermette")</f>
        <v>Antoine Vermette</v>
      </c>
      <c r="D518" s="1" t="str">
        <f>IFERROR(__xludf.DUMMYFUNCTION("""COMPUTED_VALUE"""),"vermean01")</f>
        <v>vermean01</v>
      </c>
      <c r="E518" s="1" t="s">
        <v>31</v>
      </c>
      <c r="F518" s="1">
        <f t="shared" si="1"/>
        <v>159.7</v>
      </c>
      <c r="G518" s="1">
        <f t="shared" si="2"/>
        <v>2.5</v>
      </c>
      <c r="H518" s="1">
        <v>64.0</v>
      </c>
      <c r="I518" s="1">
        <v>8.0</v>
      </c>
      <c r="J518" s="1">
        <v>8.0</v>
      </c>
      <c r="K518" s="1">
        <v>16.0</v>
      </c>
      <c r="L518" s="1">
        <v>91.0</v>
      </c>
      <c r="M518" s="1">
        <v>38.0</v>
      </c>
      <c r="N518" s="1">
        <v>40.0</v>
      </c>
      <c r="O518" s="1">
        <v>2.0</v>
      </c>
      <c r="P518" s="1">
        <v>0.0</v>
      </c>
      <c r="Q518" s="1">
        <v>0.0</v>
      </c>
      <c r="R518" s="1">
        <v>1.0</v>
      </c>
      <c r="S518" s="1">
        <v>-5.0</v>
      </c>
      <c r="T518" s="1">
        <v>34.0</v>
      </c>
      <c r="U518" s="1">
        <v>2.0</v>
      </c>
    </row>
    <row r="519" ht="12.75" customHeight="1">
      <c r="A519" s="1" t="s">
        <v>499</v>
      </c>
      <c r="B519" s="1">
        <f t="shared" si="3"/>
        <v>505</v>
      </c>
      <c r="C519" s="1" t="str">
        <f>IFERROR(__xludf.DUMMYFUNCTION("split(A519, ""\"")"),"Derek Grant")</f>
        <v>Derek Grant</v>
      </c>
      <c r="D519" s="1" t="str">
        <f>IFERROR(__xludf.DUMMYFUNCTION("""COMPUTED_VALUE"""),"grantde01")</f>
        <v>grantde01</v>
      </c>
      <c r="E519" s="1" t="s">
        <v>31</v>
      </c>
      <c r="F519" s="1">
        <f t="shared" si="1"/>
        <v>159.55</v>
      </c>
      <c r="G519" s="1">
        <f t="shared" si="2"/>
        <v>2.42</v>
      </c>
      <c r="H519" s="1">
        <v>66.0</v>
      </c>
      <c r="I519" s="1">
        <v>12.0</v>
      </c>
      <c r="J519" s="1">
        <v>12.0</v>
      </c>
      <c r="K519" s="1">
        <v>24.0</v>
      </c>
      <c r="L519" s="1">
        <v>65.0</v>
      </c>
      <c r="M519" s="1">
        <v>63.0</v>
      </c>
      <c r="N519" s="1">
        <v>39.0</v>
      </c>
      <c r="O519" s="1">
        <v>3.0</v>
      </c>
      <c r="P519" s="1">
        <v>0.0</v>
      </c>
      <c r="Q519" s="1">
        <v>0.0</v>
      </c>
      <c r="R519" s="1">
        <v>1.0</v>
      </c>
      <c r="S519" s="1">
        <v>3.0</v>
      </c>
      <c r="T519" s="1">
        <v>11.0</v>
      </c>
      <c r="U519" s="1">
        <v>0.0</v>
      </c>
    </row>
    <row r="520" ht="12.75" customHeight="1">
      <c r="A520" s="1" t="s">
        <v>541</v>
      </c>
      <c r="B520" s="1">
        <f t="shared" si="3"/>
        <v>506</v>
      </c>
      <c r="C520" s="1" t="str">
        <f>IFERROR(__xludf.DUMMYFUNCTION("split(A520, ""\"")"),"Dylan DeMelo")</f>
        <v>Dylan DeMelo</v>
      </c>
      <c r="D520" s="1" t="str">
        <f>IFERROR(__xludf.DUMMYFUNCTION("""COMPUTED_VALUE"""),"demeldy01")</f>
        <v>demeldy01</v>
      </c>
      <c r="E520" s="1" t="s">
        <v>66</v>
      </c>
      <c r="F520" s="1">
        <f t="shared" si="1"/>
        <v>158.95</v>
      </c>
      <c r="G520" s="1">
        <f t="shared" si="2"/>
        <v>2.52</v>
      </c>
      <c r="H520" s="1">
        <v>63.0</v>
      </c>
      <c r="I520" s="1">
        <v>0.0</v>
      </c>
      <c r="J520" s="1">
        <v>20.0</v>
      </c>
      <c r="K520" s="1">
        <v>20.0</v>
      </c>
      <c r="L520" s="1">
        <v>67.0</v>
      </c>
      <c r="M520" s="1">
        <v>75.0</v>
      </c>
      <c r="N520" s="1">
        <v>70.0</v>
      </c>
      <c r="O520" s="1">
        <v>0.0</v>
      </c>
      <c r="P520" s="1">
        <v>3.0</v>
      </c>
      <c r="Q520" s="1">
        <v>0.0</v>
      </c>
      <c r="R520" s="1">
        <v>0.0</v>
      </c>
      <c r="S520" s="1">
        <v>-1.0</v>
      </c>
      <c r="T520" s="1">
        <v>34.0</v>
      </c>
      <c r="U520" s="1">
        <v>0.0</v>
      </c>
    </row>
    <row r="521" ht="12.75" customHeight="1">
      <c r="A521" s="1" t="s">
        <v>575</v>
      </c>
      <c r="B521" s="1">
        <f t="shared" si="3"/>
        <v>507</v>
      </c>
      <c r="C521" s="1" t="str">
        <f>IFERROR(__xludf.DUMMYFUNCTION("split(A521, ""\"")"),"Brandon Davidson")</f>
        <v>Brandon Davidson</v>
      </c>
      <c r="D521" s="1" t="str">
        <f>IFERROR(__xludf.DUMMYFUNCTION("""COMPUTED_VALUE"""),"davidbr01")</f>
        <v>davidbr01</v>
      </c>
      <c r="E521" s="1" t="s">
        <v>66</v>
      </c>
      <c r="F521" s="1">
        <f t="shared" si="1"/>
        <v>158.65</v>
      </c>
      <c r="G521" s="1">
        <f t="shared" si="2"/>
        <v>3.11</v>
      </c>
      <c r="H521" s="1">
        <v>51.0</v>
      </c>
      <c r="I521" s="1">
        <v>4.0</v>
      </c>
      <c r="J521" s="1">
        <v>3.0</v>
      </c>
      <c r="K521" s="1">
        <v>7.0</v>
      </c>
      <c r="L521" s="1">
        <v>63.0</v>
      </c>
      <c r="M521" s="1">
        <v>105.0</v>
      </c>
      <c r="N521" s="1">
        <v>89.0</v>
      </c>
      <c r="O521" s="1">
        <v>0.0</v>
      </c>
      <c r="P521" s="1">
        <v>0.0</v>
      </c>
      <c r="Q521" s="1">
        <v>0.0</v>
      </c>
      <c r="R521" s="1">
        <v>1.0</v>
      </c>
      <c r="S521" s="1">
        <v>-13.0</v>
      </c>
      <c r="T521" s="1">
        <v>23.0</v>
      </c>
      <c r="U521" s="1">
        <v>0.0</v>
      </c>
    </row>
    <row r="522" ht="12.75" customHeight="1">
      <c r="A522" s="1" t="s">
        <v>540</v>
      </c>
      <c r="B522" s="1">
        <f t="shared" si="3"/>
        <v>508</v>
      </c>
      <c r="C522" s="1" t="str">
        <f>IFERROR(__xludf.DUMMYFUNCTION("split(A522, ""\"")"),"Loui Eriksson")</f>
        <v>Loui Eriksson</v>
      </c>
      <c r="D522" s="1" t="str">
        <f>IFERROR(__xludf.DUMMYFUNCTION("""COMPUTED_VALUE"""),"erikslo01")</f>
        <v>erikslo01</v>
      </c>
      <c r="E522" s="1" t="s">
        <v>28</v>
      </c>
      <c r="F522" s="1">
        <f t="shared" si="1"/>
        <v>158.45</v>
      </c>
      <c r="G522" s="1">
        <f t="shared" si="2"/>
        <v>3.17</v>
      </c>
      <c r="H522" s="1">
        <v>50.0</v>
      </c>
      <c r="I522" s="1">
        <v>10.0</v>
      </c>
      <c r="J522" s="1">
        <v>13.0</v>
      </c>
      <c r="K522" s="1">
        <v>23.0</v>
      </c>
      <c r="L522" s="1">
        <v>101.0</v>
      </c>
      <c r="M522" s="1">
        <v>7.0</v>
      </c>
      <c r="N522" s="1">
        <v>30.0</v>
      </c>
      <c r="O522" s="1">
        <v>0.0</v>
      </c>
      <c r="P522" s="1">
        <v>3.0</v>
      </c>
      <c r="Q522" s="1">
        <v>1.0</v>
      </c>
      <c r="R522" s="1">
        <v>1.0</v>
      </c>
      <c r="S522" s="1">
        <v>0.0</v>
      </c>
      <c r="T522" s="1">
        <v>4.0</v>
      </c>
      <c r="U522" s="1">
        <v>0.0</v>
      </c>
    </row>
    <row r="523" ht="12.75" customHeight="1">
      <c r="A523" s="1" t="s">
        <v>563</v>
      </c>
      <c r="B523" s="1">
        <f t="shared" si="3"/>
        <v>509</v>
      </c>
      <c r="C523" s="1" t="str">
        <f>IFERROR(__xludf.DUMMYFUNCTION("split(A523, ""\"")"),"Garnet Hathaway")</f>
        <v>Garnet Hathaway</v>
      </c>
      <c r="D523" s="1" t="str">
        <f>IFERROR(__xludf.DUMMYFUNCTION("""COMPUTED_VALUE"""),"hathaga01")</f>
        <v>hathaga01</v>
      </c>
      <c r="E523" s="1" t="s">
        <v>36</v>
      </c>
      <c r="F523" s="1">
        <f t="shared" si="1"/>
        <v>158.4</v>
      </c>
      <c r="G523" s="1">
        <f t="shared" si="2"/>
        <v>2.68</v>
      </c>
      <c r="H523" s="1">
        <v>59.0</v>
      </c>
      <c r="I523" s="1">
        <v>4.0</v>
      </c>
      <c r="J523" s="1">
        <v>9.0</v>
      </c>
      <c r="K523" s="1">
        <v>13.0</v>
      </c>
      <c r="L523" s="1">
        <v>68.0</v>
      </c>
      <c r="M523" s="1">
        <v>154.0</v>
      </c>
      <c r="N523" s="1">
        <v>32.0</v>
      </c>
      <c r="O523" s="1">
        <v>0.0</v>
      </c>
      <c r="P523" s="1">
        <v>0.0</v>
      </c>
      <c r="Q523" s="1">
        <v>1.0</v>
      </c>
      <c r="R523" s="1">
        <v>0.0</v>
      </c>
      <c r="S523" s="1">
        <v>3.0</v>
      </c>
      <c r="T523" s="1">
        <v>88.0</v>
      </c>
      <c r="U523" s="1">
        <v>0.0</v>
      </c>
    </row>
    <row r="524" ht="12.75" customHeight="1">
      <c r="A524" s="1" t="s">
        <v>562</v>
      </c>
      <c r="B524" s="1">
        <f t="shared" si="3"/>
        <v>510</v>
      </c>
      <c r="C524" s="1" t="str">
        <f>IFERROR(__xludf.DUMMYFUNCTION("split(A524, ""\"")"),"Jake McCabe")</f>
        <v>Jake McCabe</v>
      </c>
      <c r="D524" s="1" t="str">
        <f>IFERROR(__xludf.DUMMYFUNCTION("""COMPUTED_VALUE"""),"mccabja01")</f>
        <v>mccabja01</v>
      </c>
      <c r="E524" s="1" t="s">
        <v>66</v>
      </c>
      <c r="F524" s="1">
        <f t="shared" si="1"/>
        <v>158.3</v>
      </c>
      <c r="G524" s="1">
        <f t="shared" si="2"/>
        <v>2.99</v>
      </c>
      <c r="H524" s="1">
        <v>53.0</v>
      </c>
      <c r="I524" s="1">
        <v>3.0</v>
      </c>
      <c r="J524" s="1">
        <v>9.0</v>
      </c>
      <c r="K524" s="1">
        <v>12.0</v>
      </c>
      <c r="L524" s="1">
        <v>53.0</v>
      </c>
      <c r="M524" s="1">
        <v>110.0</v>
      </c>
      <c r="N524" s="1">
        <v>79.0</v>
      </c>
      <c r="O524" s="1">
        <v>1.0</v>
      </c>
      <c r="P524" s="1">
        <v>0.0</v>
      </c>
      <c r="Q524" s="1">
        <v>0.0</v>
      </c>
      <c r="R524" s="1">
        <v>0.0</v>
      </c>
      <c r="S524" s="1">
        <v>-11.0</v>
      </c>
      <c r="T524" s="1">
        <v>26.0</v>
      </c>
      <c r="U524" s="1">
        <v>0.0</v>
      </c>
    </row>
    <row r="525" ht="12.75" customHeight="1">
      <c r="A525" s="1" t="s">
        <v>536</v>
      </c>
      <c r="B525" s="1">
        <f t="shared" si="3"/>
        <v>511</v>
      </c>
      <c r="C525" s="1" t="str">
        <f>IFERROR(__xludf.DUMMYFUNCTION("split(A525, ""\"")"),"Jakob Chychrun")</f>
        <v>Jakob Chychrun</v>
      </c>
      <c r="D525" s="1" t="str">
        <f>IFERROR(__xludf.DUMMYFUNCTION("""COMPUTED_VALUE"""),"chychja01")</f>
        <v>chychja01</v>
      </c>
      <c r="E525" s="1" t="s">
        <v>66</v>
      </c>
      <c r="F525" s="1">
        <f t="shared" si="1"/>
        <v>157.3</v>
      </c>
      <c r="G525" s="1">
        <f t="shared" si="2"/>
        <v>3.15</v>
      </c>
      <c r="H525" s="1">
        <v>50.0</v>
      </c>
      <c r="I525" s="1">
        <v>4.0</v>
      </c>
      <c r="J525" s="1">
        <v>10.0</v>
      </c>
      <c r="K525" s="1">
        <v>14.0</v>
      </c>
      <c r="L525" s="1">
        <v>102.0</v>
      </c>
      <c r="M525" s="1">
        <v>74.0</v>
      </c>
      <c r="N525" s="1">
        <v>72.0</v>
      </c>
      <c r="O525" s="1">
        <v>2.0</v>
      </c>
      <c r="P525" s="1">
        <v>2.0</v>
      </c>
      <c r="Q525" s="1">
        <v>0.0</v>
      </c>
      <c r="R525" s="1">
        <v>0.0</v>
      </c>
      <c r="S525" s="1">
        <v>2.0</v>
      </c>
      <c r="T525" s="1">
        <v>16.0</v>
      </c>
      <c r="U525" s="1">
        <v>1.0</v>
      </c>
    </row>
    <row r="526" ht="12.75" customHeight="1">
      <c r="A526" s="1" t="s">
        <v>505</v>
      </c>
      <c r="B526" s="1">
        <f t="shared" si="3"/>
        <v>512</v>
      </c>
      <c r="C526" s="1" t="str">
        <f>IFERROR(__xludf.DUMMYFUNCTION("split(A526, ""\"")"),"Alexei Emelin")</f>
        <v>Alexei Emelin</v>
      </c>
      <c r="D526" s="1" t="str">
        <f>IFERROR(__xludf.DUMMYFUNCTION("""COMPUTED_VALUE"""),"emelial01")</f>
        <v>emelial01</v>
      </c>
      <c r="E526" s="1" t="s">
        <v>66</v>
      </c>
      <c r="F526" s="1">
        <f t="shared" si="1"/>
        <v>156.25</v>
      </c>
      <c r="G526" s="1">
        <f t="shared" si="2"/>
        <v>2.06</v>
      </c>
      <c r="H526" s="1">
        <v>76.0</v>
      </c>
      <c r="I526" s="1">
        <v>1.0</v>
      </c>
      <c r="J526" s="1">
        <v>8.0</v>
      </c>
      <c r="K526" s="1">
        <v>9.0</v>
      </c>
      <c r="L526" s="1">
        <v>59.0</v>
      </c>
      <c r="M526" s="1">
        <v>181.0</v>
      </c>
      <c r="N526" s="1">
        <v>109.0</v>
      </c>
      <c r="O526" s="1">
        <v>0.0</v>
      </c>
      <c r="P526" s="1">
        <v>0.0</v>
      </c>
      <c r="Q526" s="1">
        <v>0.0</v>
      </c>
      <c r="R526" s="1">
        <v>0.0</v>
      </c>
      <c r="S526" s="1">
        <v>9.0</v>
      </c>
      <c r="T526" s="1">
        <v>40.0</v>
      </c>
      <c r="U526" s="1">
        <v>0.0</v>
      </c>
    </row>
    <row r="527" ht="12.75" customHeight="1">
      <c r="A527" s="1" t="s">
        <v>554</v>
      </c>
      <c r="B527" s="1">
        <f t="shared" si="3"/>
        <v>513</v>
      </c>
      <c r="C527" s="1" t="str">
        <f>IFERROR(__xludf.DUMMYFUNCTION("split(A527, ""\"")"),"Jan Rutta")</f>
        <v>Jan Rutta</v>
      </c>
      <c r="D527" s="1" t="str">
        <f>IFERROR(__xludf.DUMMYFUNCTION("""COMPUTED_VALUE"""),"ruttaja02")</f>
        <v>ruttaja02</v>
      </c>
      <c r="E527" s="1" t="s">
        <v>66</v>
      </c>
      <c r="F527" s="1">
        <f t="shared" si="1"/>
        <v>156.2</v>
      </c>
      <c r="G527" s="1">
        <f t="shared" si="2"/>
        <v>2.74</v>
      </c>
      <c r="H527" s="1">
        <v>57.0</v>
      </c>
      <c r="I527" s="1">
        <v>6.0</v>
      </c>
      <c r="J527" s="1">
        <v>14.0</v>
      </c>
      <c r="K527" s="1">
        <v>20.0</v>
      </c>
      <c r="L527" s="1">
        <v>71.0</v>
      </c>
      <c r="M527" s="1">
        <v>24.0</v>
      </c>
      <c r="N527" s="1">
        <v>64.0</v>
      </c>
      <c r="O527" s="1">
        <v>2.0</v>
      </c>
      <c r="P527" s="1">
        <v>2.0</v>
      </c>
      <c r="Q527" s="1">
        <v>0.0</v>
      </c>
      <c r="R527" s="1">
        <v>1.0</v>
      </c>
      <c r="S527" s="1">
        <v>-1.0</v>
      </c>
      <c r="T527" s="1">
        <v>24.0</v>
      </c>
      <c r="U527" s="1">
        <v>1.0</v>
      </c>
    </row>
    <row r="528" ht="12.75" customHeight="1">
      <c r="A528" s="1" t="s">
        <v>537</v>
      </c>
      <c r="B528" s="1">
        <f t="shared" si="3"/>
        <v>514</v>
      </c>
      <c r="C528" s="1" t="str">
        <f>IFERROR(__xludf.DUMMYFUNCTION("split(A528, ""\"")"),"Jay Beagle")</f>
        <v>Jay Beagle</v>
      </c>
      <c r="D528" s="1" t="str">
        <f>IFERROR(__xludf.DUMMYFUNCTION("""COMPUTED_VALUE"""),"beaglja01")</f>
        <v>beaglja01</v>
      </c>
      <c r="E528" s="1" t="s">
        <v>538</v>
      </c>
      <c r="F528" s="1">
        <f t="shared" si="1"/>
        <v>155.55</v>
      </c>
      <c r="G528" s="1">
        <f t="shared" si="2"/>
        <v>1.97</v>
      </c>
      <c r="H528" s="1">
        <v>79.0</v>
      </c>
      <c r="I528" s="1">
        <v>7.0</v>
      </c>
      <c r="J528" s="1">
        <v>15.0</v>
      </c>
      <c r="K528" s="1">
        <v>22.0</v>
      </c>
      <c r="L528" s="1">
        <v>65.0</v>
      </c>
      <c r="M528" s="1">
        <v>69.0</v>
      </c>
      <c r="N528" s="1">
        <v>44.0</v>
      </c>
      <c r="O528" s="1">
        <v>0.0</v>
      </c>
      <c r="P528" s="1">
        <v>0.0</v>
      </c>
      <c r="Q528" s="1">
        <v>1.0</v>
      </c>
      <c r="R528" s="1">
        <v>0.0</v>
      </c>
      <c r="S528" s="1">
        <v>3.0</v>
      </c>
      <c r="T528" s="1">
        <v>16.0</v>
      </c>
      <c r="U528" s="1">
        <v>2.0</v>
      </c>
    </row>
    <row r="529" ht="12.75" customHeight="1">
      <c r="A529" s="1" t="s">
        <v>560</v>
      </c>
      <c r="B529" s="1">
        <f t="shared" si="3"/>
        <v>515</v>
      </c>
      <c r="C529" s="1" t="str">
        <f>IFERROR(__xludf.DUMMYFUNCTION("split(A529, ""\"")"),"Sonny Milano")</f>
        <v>Sonny Milano</v>
      </c>
      <c r="D529" s="1" t="str">
        <f>IFERROR(__xludf.DUMMYFUNCTION("""COMPUTED_VALUE"""),"milanso01")</f>
        <v>milanso01</v>
      </c>
      <c r="E529" s="1" t="s">
        <v>28</v>
      </c>
      <c r="F529" s="1">
        <f t="shared" si="1"/>
        <v>155</v>
      </c>
      <c r="G529" s="1">
        <f t="shared" si="2"/>
        <v>2.82</v>
      </c>
      <c r="H529" s="1">
        <v>55.0</v>
      </c>
      <c r="I529" s="1">
        <v>14.0</v>
      </c>
      <c r="J529" s="1">
        <v>8.0</v>
      </c>
      <c r="K529" s="1">
        <v>22.0</v>
      </c>
      <c r="L529" s="1">
        <v>69.0</v>
      </c>
      <c r="M529" s="1">
        <v>28.0</v>
      </c>
      <c r="N529" s="1">
        <v>11.0</v>
      </c>
      <c r="O529" s="1">
        <v>0.0</v>
      </c>
      <c r="P529" s="1">
        <v>4.0</v>
      </c>
      <c r="Q529" s="1">
        <v>0.0</v>
      </c>
      <c r="R529" s="1">
        <v>0.0</v>
      </c>
      <c r="S529" s="1">
        <v>-8.0</v>
      </c>
      <c r="T529" s="1">
        <v>10.0</v>
      </c>
      <c r="U529" s="1">
        <v>3.0</v>
      </c>
    </row>
    <row r="530" ht="12.75" customHeight="1">
      <c r="A530" s="1" t="s">
        <v>566</v>
      </c>
      <c r="B530" s="1">
        <f t="shared" si="3"/>
        <v>515</v>
      </c>
      <c r="C530" s="1" t="str">
        <f>IFERROR(__xludf.DUMMYFUNCTION("split(A530, ""\"")"),"Fredrik Claesson")</f>
        <v>Fredrik Claesson</v>
      </c>
      <c r="D530" s="1" t="str">
        <f>IFERROR(__xludf.DUMMYFUNCTION("""COMPUTED_VALUE"""),"claesfr01")</f>
        <v>claesfr01</v>
      </c>
      <c r="E530" s="1" t="s">
        <v>66</v>
      </c>
      <c r="F530" s="1">
        <f t="shared" si="1"/>
        <v>155</v>
      </c>
      <c r="G530" s="1">
        <f t="shared" si="2"/>
        <v>2.42</v>
      </c>
      <c r="H530" s="1">
        <v>64.0</v>
      </c>
      <c r="I530" s="1">
        <v>1.0</v>
      </c>
      <c r="J530" s="1">
        <v>6.0</v>
      </c>
      <c r="K530" s="1">
        <v>7.0</v>
      </c>
      <c r="L530" s="1">
        <v>60.0</v>
      </c>
      <c r="M530" s="1">
        <v>158.0</v>
      </c>
      <c r="N530" s="1">
        <v>84.0</v>
      </c>
      <c r="O530" s="1">
        <v>0.0</v>
      </c>
      <c r="P530" s="1">
        <v>0.0</v>
      </c>
      <c r="Q530" s="1">
        <v>0.0</v>
      </c>
      <c r="R530" s="1">
        <v>0.0</v>
      </c>
      <c r="S530" s="1">
        <v>-7.0</v>
      </c>
      <c r="T530" s="1">
        <v>35.0</v>
      </c>
      <c r="U530" s="1">
        <v>0.0</v>
      </c>
    </row>
    <row r="531" ht="12.75" customHeight="1">
      <c r="A531" s="1" t="s">
        <v>374</v>
      </c>
      <c r="B531" s="1">
        <f t="shared" si="3"/>
        <v>517</v>
      </c>
      <c r="C531" s="1" t="str">
        <f>IFERROR(__xludf.DUMMYFUNCTION("split(A531, ""\"")"),"Scott Darling")</f>
        <v>Scott Darling</v>
      </c>
      <c r="D531" s="2" t="str">
        <f>IFERROR(__xludf.DUMMYFUNCTION("""COMPUTED_VALUE"""),"darlisc01")</f>
        <v>darlisc01</v>
      </c>
      <c r="E531" s="1" t="s">
        <v>5</v>
      </c>
      <c r="F531" s="1">
        <f t="shared" si="1"/>
        <v>154.5</v>
      </c>
      <c r="G531" s="1">
        <f t="shared" si="2"/>
        <v>3.59</v>
      </c>
      <c r="H531" s="1">
        <v>43.0</v>
      </c>
      <c r="V531" s="1">
        <v>40.0</v>
      </c>
      <c r="W531" s="1">
        <v>13.0</v>
      </c>
      <c r="X531" s="1">
        <v>21.0</v>
      </c>
      <c r="Y531" s="1">
        <v>131.0</v>
      </c>
      <c r="Z531" s="1">
        <v>1171.0</v>
      </c>
      <c r="AA531" s="1">
        <v>1040.0</v>
      </c>
      <c r="AB531" s="1">
        <v>0.0</v>
      </c>
    </row>
    <row r="532" ht="12.75" customHeight="1">
      <c r="A532" s="1" t="s">
        <v>549</v>
      </c>
      <c r="B532" s="1">
        <f t="shared" si="3"/>
        <v>518</v>
      </c>
      <c r="C532" s="1" t="str">
        <f>IFERROR(__xludf.DUMMYFUNCTION("split(A532, ""\"")"),"Noel Acciari")</f>
        <v>Noel Acciari</v>
      </c>
      <c r="D532" s="1" t="str">
        <f>IFERROR(__xludf.DUMMYFUNCTION("""COMPUTED_VALUE"""),"acciano01")</f>
        <v>acciano01</v>
      </c>
      <c r="E532" s="1" t="s">
        <v>31</v>
      </c>
      <c r="F532" s="1">
        <f t="shared" si="1"/>
        <v>154.2</v>
      </c>
      <c r="G532" s="1">
        <f t="shared" si="2"/>
        <v>2.57</v>
      </c>
      <c r="H532" s="1">
        <v>60.0</v>
      </c>
      <c r="I532" s="1">
        <v>10.0</v>
      </c>
      <c r="J532" s="1">
        <v>1.0</v>
      </c>
      <c r="K532" s="1">
        <v>11.0</v>
      </c>
      <c r="L532" s="1">
        <v>66.0</v>
      </c>
      <c r="M532" s="1">
        <v>152.0</v>
      </c>
      <c r="N532" s="1">
        <v>41.0</v>
      </c>
      <c r="O532" s="1">
        <v>0.0</v>
      </c>
      <c r="P532" s="1">
        <v>0.0</v>
      </c>
      <c r="Q532" s="1">
        <v>1.0</v>
      </c>
      <c r="R532" s="1">
        <v>0.0</v>
      </c>
      <c r="S532" s="1">
        <v>-6.0</v>
      </c>
      <c r="T532" s="1">
        <v>9.0</v>
      </c>
      <c r="U532" s="1">
        <v>0.0</v>
      </c>
    </row>
    <row r="533" ht="12.75" customHeight="1">
      <c r="A533" s="1" t="s">
        <v>591</v>
      </c>
      <c r="B533" s="1">
        <f t="shared" si="3"/>
        <v>519</v>
      </c>
      <c r="C533" s="1" t="str">
        <f>IFERROR(__xludf.DUMMYFUNCTION("split(A533, ""\"")"),"Jason Chimera")</f>
        <v>Jason Chimera</v>
      </c>
      <c r="D533" s="1" t="str">
        <f>IFERROR(__xludf.DUMMYFUNCTION("""COMPUTED_VALUE"""),"chimeja01")</f>
        <v>chimeja01</v>
      </c>
      <c r="E533" s="1" t="s">
        <v>28</v>
      </c>
      <c r="F533" s="1">
        <f t="shared" si="1"/>
        <v>153.6</v>
      </c>
      <c r="G533" s="1">
        <f t="shared" si="2"/>
        <v>2.08</v>
      </c>
      <c r="H533" s="1">
        <v>74.0</v>
      </c>
      <c r="I533" s="1">
        <v>3.0</v>
      </c>
      <c r="J533" s="1">
        <v>10.0</v>
      </c>
      <c r="K533" s="1">
        <v>13.0</v>
      </c>
      <c r="L533" s="1">
        <v>79.0</v>
      </c>
      <c r="M533" s="1">
        <v>132.0</v>
      </c>
      <c r="N533" s="1">
        <v>17.0</v>
      </c>
      <c r="O533" s="1">
        <v>0.0</v>
      </c>
      <c r="P533" s="1">
        <v>0.0</v>
      </c>
      <c r="Q533" s="1">
        <v>0.0</v>
      </c>
      <c r="R533" s="1">
        <v>0.0</v>
      </c>
      <c r="S533" s="1">
        <v>-12.0</v>
      </c>
      <c r="T533" s="1">
        <v>37.0</v>
      </c>
      <c r="U533" s="1">
        <v>0.0</v>
      </c>
    </row>
    <row r="534" ht="12.75" customHeight="1">
      <c r="A534" s="1" t="s">
        <v>578</v>
      </c>
      <c r="B534" s="1">
        <f t="shared" si="3"/>
        <v>520</v>
      </c>
      <c r="C534" s="1" t="str">
        <f>IFERROR(__xludf.DUMMYFUNCTION("split(A534, ""\"")"),"Ryan Kesler")</f>
        <v>Ryan Kesler</v>
      </c>
      <c r="D534" s="1" t="str">
        <f>IFERROR(__xludf.DUMMYFUNCTION("""COMPUTED_VALUE"""),"keslery01")</f>
        <v>keslery01</v>
      </c>
      <c r="E534" s="1" t="s">
        <v>31</v>
      </c>
      <c r="F534" s="1">
        <f t="shared" si="1"/>
        <v>153.55</v>
      </c>
      <c r="G534" s="1">
        <f t="shared" si="2"/>
        <v>3.49</v>
      </c>
      <c r="H534" s="1">
        <v>44.0</v>
      </c>
      <c r="I534" s="1">
        <v>8.0</v>
      </c>
      <c r="J534" s="1">
        <v>6.0</v>
      </c>
      <c r="K534" s="1">
        <v>14.0</v>
      </c>
      <c r="L534" s="1">
        <v>78.0</v>
      </c>
      <c r="M534" s="1">
        <v>71.0</v>
      </c>
      <c r="N534" s="1">
        <v>38.0</v>
      </c>
      <c r="O534" s="1">
        <v>2.0</v>
      </c>
      <c r="P534" s="1">
        <v>0.0</v>
      </c>
      <c r="Q534" s="1">
        <v>0.0</v>
      </c>
      <c r="R534" s="1">
        <v>0.0</v>
      </c>
      <c r="S534" s="1">
        <v>-4.0</v>
      </c>
      <c r="T534" s="1">
        <v>46.0</v>
      </c>
      <c r="U534" s="1">
        <v>2.0</v>
      </c>
    </row>
    <row r="535" ht="12.75" customHeight="1">
      <c r="A535" s="1" t="s">
        <v>417</v>
      </c>
      <c r="B535" s="1">
        <f t="shared" si="3"/>
        <v>521</v>
      </c>
      <c r="C535" s="1" t="str">
        <f>IFERROR(__xludf.DUMMYFUNCTION("split(A535, ""\"")"),"Anton Forsberg")</f>
        <v>Anton Forsberg</v>
      </c>
      <c r="D535" s="2" t="str">
        <f>IFERROR(__xludf.DUMMYFUNCTION("""COMPUTED_VALUE"""),"forsban01")</f>
        <v>forsban01</v>
      </c>
      <c r="E535" s="1" t="s">
        <v>5</v>
      </c>
      <c r="F535" s="1">
        <f t="shared" si="1"/>
        <v>153.3</v>
      </c>
      <c r="G535" s="1">
        <f t="shared" si="2"/>
        <v>4.38</v>
      </c>
      <c r="H535" s="1">
        <v>35.0</v>
      </c>
      <c r="V535" s="1">
        <v>30.0</v>
      </c>
      <c r="W535" s="1">
        <v>10.0</v>
      </c>
      <c r="X535" s="1">
        <v>16.0</v>
      </c>
      <c r="Y535" s="1">
        <v>85.0</v>
      </c>
      <c r="Z535" s="1">
        <v>921.0</v>
      </c>
      <c r="AA535" s="1">
        <v>836.0</v>
      </c>
      <c r="AB535" s="1">
        <v>0.0</v>
      </c>
    </row>
    <row r="536" ht="12.75" customHeight="1">
      <c r="A536" s="1" t="s">
        <v>544</v>
      </c>
      <c r="B536" s="1">
        <f t="shared" si="3"/>
        <v>522</v>
      </c>
      <c r="C536" s="1" t="str">
        <f>IFERROR(__xludf.DUMMYFUNCTION("split(A536, ""\"")"),"Daniel Winnik")</f>
        <v>Daniel Winnik</v>
      </c>
      <c r="D536" s="1" t="str">
        <f>IFERROR(__xludf.DUMMYFUNCTION("""COMPUTED_VALUE"""),"winnida01")</f>
        <v>winnida01</v>
      </c>
      <c r="E536" s="1" t="s">
        <v>141</v>
      </c>
      <c r="F536" s="1">
        <f t="shared" si="1"/>
        <v>152.85</v>
      </c>
      <c r="G536" s="1">
        <f t="shared" si="2"/>
        <v>1.89</v>
      </c>
      <c r="H536" s="1">
        <v>81.0</v>
      </c>
      <c r="I536" s="1">
        <v>6.0</v>
      </c>
      <c r="J536" s="1">
        <v>17.0</v>
      </c>
      <c r="K536" s="1">
        <v>23.0</v>
      </c>
      <c r="L536" s="1">
        <v>82.0</v>
      </c>
      <c r="M536" s="1">
        <v>27.0</v>
      </c>
      <c r="N536" s="1">
        <v>53.0</v>
      </c>
      <c r="O536" s="1">
        <v>0.0</v>
      </c>
      <c r="P536" s="1">
        <v>1.0</v>
      </c>
      <c r="Q536" s="1">
        <v>0.0</v>
      </c>
      <c r="R536" s="1">
        <v>0.0</v>
      </c>
      <c r="S536" s="1">
        <v>5.0</v>
      </c>
      <c r="T536" s="1">
        <v>27.0</v>
      </c>
      <c r="U536" s="1">
        <v>0.0</v>
      </c>
    </row>
    <row r="537" ht="12.75" customHeight="1">
      <c r="A537" s="1" t="s">
        <v>573</v>
      </c>
      <c r="B537" s="1">
        <f t="shared" si="3"/>
        <v>523</v>
      </c>
      <c r="C537" s="1" t="str">
        <f>IFERROR(__xludf.DUMMYFUNCTION("split(A537, ""\"")"),"Brendan Leipsic")</f>
        <v>Brendan Leipsic</v>
      </c>
      <c r="D537" s="1" t="str">
        <f>IFERROR(__xludf.DUMMYFUNCTION("""COMPUTED_VALUE"""),"leipsbr01")</f>
        <v>leipsbr01</v>
      </c>
      <c r="E537" s="1" t="s">
        <v>28</v>
      </c>
      <c r="F537" s="1">
        <f t="shared" si="1"/>
        <v>152.2</v>
      </c>
      <c r="G537" s="1">
        <f t="shared" si="2"/>
        <v>2.62</v>
      </c>
      <c r="H537" s="1">
        <v>58.0</v>
      </c>
      <c r="I537" s="1">
        <v>5.0</v>
      </c>
      <c r="J537" s="1">
        <v>17.0</v>
      </c>
      <c r="K537" s="1">
        <v>22.0</v>
      </c>
      <c r="L537" s="1">
        <v>95.0</v>
      </c>
      <c r="M537" s="1">
        <v>32.0</v>
      </c>
      <c r="N537" s="1">
        <v>22.0</v>
      </c>
      <c r="O537" s="1">
        <v>0.0</v>
      </c>
      <c r="P537" s="1">
        <v>0.0</v>
      </c>
      <c r="Q537" s="1">
        <v>0.0</v>
      </c>
      <c r="R537" s="1">
        <v>0.0</v>
      </c>
      <c r="S537" s="1">
        <v>-4.0</v>
      </c>
      <c r="T537" s="1">
        <v>14.0</v>
      </c>
      <c r="U537" s="1">
        <v>1.0</v>
      </c>
    </row>
    <row r="538" ht="12.75" customHeight="1">
      <c r="A538" s="1" t="s">
        <v>532</v>
      </c>
      <c r="B538" s="1">
        <f t="shared" si="3"/>
        <v>524</v>
      </c>
      <c r="C538" s="1" t="str">
        <f>IFERROR(__xludf.DUMMYFUNCTION("split(A538, ""\"")"),"Denis Malgin")</f>
        <v>Denis Malgin</v>
      </c>
      <c r="D538" s="1" t="str">
        <f>IFERROR(__xludf.DUMMYFUNCTION("""COMPUTED_VALUE"""),"malgide01")</f>
        <v>malgide01</v>
      </c>
      <c r="E538" s="1" t="s">
        <v>31</v>
      </c>
      <c r="F538" s="1">
        <f t="shared" si="1"/>
        <v>147.8</v>
      </c>
      <c r="G538" s="1">
        <f t="shared" si="2"/>
        <v>2.9</v>
      </c>
      <c r="H538" s="1">
        <v>51.0</v>
      </c>
      <c r="I538" s="1">
        <v>11.0</v>
      </c>
      <c r="J538" s="1">
        <v>11.0</v>
      </c>
      <c r="K538" s="1">
        <v>22.0</v>
      </c>
      <c r="L538" s="1">
        <v>79.0</v>
      </c>
      <c r="M538" s="1">
        <v>48.0</v>
      </c>
      <c r="N538" s="1">
        <v>24.0</v>
      </c>
      <c r="O538" s="1">
        <v>1.0</v>
      </c>
      <c r="P538" s="1">
        <v>5.0</v>
      </c>
      <c r="Q538" s="1">
        <v>0.0</v>
      </c>
      <c r="R538" s="1">
        <v>0.0</v>
      </c>
      <c r="S538" s="1">
        <v>4.0</v>
      </c>
      <c r="T538" s="1">
        <v>6.0</v>
      </c>
      <c r="U538" s="1">
        <v>3.0</v>
      </c>
    </row>
    <row r="539" ht="12.75" customHeight="1">
      <c r="A539" s="1" t="s">
        <v>568</v>
      </c>
      <c r="B539" s="1">
        <f t="shared" si="3"/>
        <v>525</v>
      </c>
      <c r="C539" s="1" t="str">
        <f>IFERROR(__xludf.DUMMYFUNCTION("split(A539, ""\"")"),"Braydon Coburn")</f>
        <v>Braydon Coburn</v>
      </c>
      <c r="D539" s="1" t="str">
        <f>IFERROR(__xludf.DUMMYFUNCTION("""COMPUTED_VALUE"""),"coburbr01")</f>
        <v>coburbr01</v>
      </c>
      <c r="E539" s="1" t="s">
        <v>66</v>
      </c>
      <c r="F539" s="1">
        <f t="shared" si="1"/>
        <v>147.25</v>
      </c>
      <c r="G539" s="1">
        <f t="shared" si="2"/>
        <v>2.05</v>
      </c>
      <c r="H539" s="1">
        <v>72.0</v>
      </c>
      <c r="I539" s="1">
        <v>1.0</v>
      </c>
      <c r="J539" s="1">
        <v>14.0</v>
      </c>
      <c r="K539" s="1">
        <v>15.0</v>
      </c>
      <c r="L539" s="1">
        <v>73.0</v>
      </c>
      <c r="M539" s="1">
        <v>77.0</v>
      </c>
      <c r="N539" s="1">
        <v>75.0</v>
      </c>
      <c r="O539" s="1">
        <v>0.0</v>
      </c>
      <c r="P539" s="1">
        <v>0.0</v>
      </c>
      <c r="Q539" s="1">
        <v>0.0</v>
      </c>
      <c r="R539" s="1">
        <v>0.0</v>
      </c>
      <c r="S539" s="1">
        <v>3.0</v>
      </c>
      <c r="T539" s="1">
        <v>40.0</v>
      </c>
      <c r="U539" s="1">
        <v>0.0</v>
      </c>
    </row>
    <row r="540" ht="12.75" customHeight="1">
      <c r="A540" s="1" t="s">
        <v>594</v>
      </c>
      <c r="B540" s="1">
        <f t="shared" si="3"/>
        <v>526</v>
      </c>
      <c r="C540" s="1" t="str">
        <f>IFERROR(__xludf.DUMMYFUNCTION("split(A540, ""\"")"),"Scott Mayfield")</f>
        <v>Scott Mayfield</v>
      </c>
      <c r="D540" s="1" t="str">
        <f>IFERROR(__xludf.DUMMYFUNCTION("""COMPUTED_VALUE"""),"mayfisc01")</f>
        <v>mayfisc01</v>
      </c>
      <c r="E540" s="1" t="s">
        <v>66</v>
      </c>
      <c r="F540" s="1">
        <f t="shared" si="1"/>
        <v>146.25</v>
      </c>
      <c r="G540" s="1">
        <f t="shared" si="2"/>
        <v>3.11</v>
      </c>
      <c r="H540" s="1">
        <v>47.0</v>
      </c>
      <c r="I540" s="1">
        <v>2.0</v>
      </c>
      <c r="J540" s="1">
        <v>10.0</v>
      </c>
      <c r="K540" s="1">
        <v>12.0</v>
      </c>
      <c r="L540" s="1">
        <v>58.0</v>
      </c>
      <c r="M540" s="1">
        <v>77.0</v>
      </c>
      <c r="N540" s="1">
        <v>73.0</v>
      </c>
      <c r="O540" s="1">
        <v>0.0</v>
      </c>
      <c r="P540" s="1">
        <v>0.0</v>
      </c>
      <c r="Q540" s="1">
        <v>0.0</v>
      </c>
      <c r="R540" s="1">
        <v>0.0</v>
      </c>
      <c r="S540" s="1">
        <v>-6.0</v>
      </c>
      <c r="T540" s="1">
        <v>45.0</v>
      </c>
      <c r="U540" s="1">
        <v>0.0</v>
      </c>
    </row>
    <row r="541" ht="12.75" customHeight="1">
      <c r="A541" s="1" t="s">
        <v>509</v>
      </c>
      <c r="B541" s="1">
        <f t="shared" si="3"/>
        <v>527</v>
      </c>
      <c r="C541" s="1" t="str">
        <f>IFERROR(__xludf.DUMMYFUNCTION("split(A541, ""\"")"),"Adam Lowry")</f>
        <v>Adam Lowry</v>
      </c>
      <c r="D541" s="1" t="str">
        <f>IFERROR(__xludf.DUMMYFUNCTION("""COMPUTED_VALUE"""),"lowryad01")</f>
        <v>lowryad01</v>
      </c>
      <c r="E541" s="1" t="s">
        <v>28</v>
      </c>
      <c r="F541" s="1">
        <f t="shared" si="1"/>
        <v>145.9</v>
      </c>
      <c r="G541" s="1">
        <f t="shared" si="2"/>
        <v>3.24</v>
      </c>
      <c r="H541" s="1">
        <v>45.0</v>
      </c>
      <c r="I541" s="1">
        <v>8.0</v>
      </c>
      <c r="J541" s="1">
        <v>13.0</v>
      </c>
      <c r="K541" s="1">
        <v>21.0</v>
      </c>
      <c r="L541" s="1">
        <v>70.0</v>
      </c>
      <c r="M541" s="1">
        <v>124.0</v>
      </c>
      <c r="N541" s="1">
        <v>28.0</v>
      </c>
      <c r="O541" s="1">
        <v>1.0</v>
      </c>
      <c r="P541" s="1">
        <v>1.0</v>
      </c>
      <c r="Q541" s="1">
        <v>0.0</v>
      </c>
      <c r="R541" s="1">
        <v>0.0</v>
      </c>
      <c r="S541" s="1">
        <v>9.0</v>
      </c>
      <c r="T541" s="1">
        <v>8.0</v>
      </c>
      <c r="U541" s="1">
        <v>1.0</v>
      </c>
    </row>
    <row r="542" ht="12.75" customHeight="1">
      <c r="A542" s="1" t="s">
        <v>559</v>
      </c>
      <c r="B542" s="1">
        <f t="shared" si="3"/>
        <v>528</v>
      </c>
      <c r="C542" s="1" t="str">
        <f>IFERROR(__xludf.DUMMYFUNCTION("split(A542, ""\"")"),"Nate Thompson")</f>
        <v>Nate Thompson</v>
      </c>
      <c r="D542" s="1" t="str">
        <f>IFERROR(__xludf.DUMMYFUNCTION("""COMPUTED_VALUE"""),"thompna01")</f>
        <v>thompna01</v>
      </c>
      <c r="E542" s="1" t="s">
        <v>31</v>
      </c>
      <c r="F542" s="1">
        <f t="shared" si="1"/>
        <v>145.5</v>
      </c>
      <c r="G542" s="1">
        <f t="shared" si="2"/>
        <v>2.11</v>
      </c>
      <c r="H542" s="1">
        <v>69.0</v>
      </c>
      <c r="I542" s="1">
        <v>5.0</v>
      </c>
      <c r="J542" s="1">
        <v>12.0</v>
      </c>
      <c r="K542" s="1">
        <v>17.0</v>
      </c>
      <c r="L542" s="1">
        <v>53.0</v>
      </c>
      <c r="M542" s="1">
        <v>122.0</v>
      </c>
      <c r="N542" s="1">
        <v>39.0</v>
      </c>
      <c r="O542" s="1">
        <v>0.0</v>
      </c>
      <c r="P542" s="1">
        <v>0.0</v>
      </c>
      <c r="Q542" s="1">
        <v>1.0</v>
      </c>
      <c r="R542" s="1">
        <v>0.0</v>
      </c>
      <c r="S542" s="1">
        <v>-1.0</v>
      </c>
      <c r="T542" s="1">
        <v>20.0</v>
      </c>
      <c r="U542" s="1">
        <v>0.0</v>
      </c>
    </row>
    <row r="543" ht="12.75" customHeight="1">
      <c r="A543" s="1" t="s">
        <v>572</v>
      </c>
      <c r="B543" s="1">
        <f t="shared" si="3"/>
        <v>529</v>
      </c>
      <c r="C543" s="1" t="str">
        <f>IFERROR(__xludf.DUMMYFUNCTION("split(A543, ""\"")"),"Alex Chiasson")</f>
        <v>Alex Chiasson</v>
      </c>
      <c r="D543" s="1" t="str">
        <f>IFERROR(__xludf.DUMMYFUNCTION("""COMPUTED_VALUE"""),"chiasal01")</f>
        <v>chiasal01</v>
      </c>
      <c r="E543" s="1" t="s">
        <v>36</v>
      </c>
      <c r="F543" s="1">
        <f t="shared" si="1"/>
        <v>145.05</v>
      </c>
      <c r="G543" s="1">
        <f t="shared" si="2"/>
        <v>2.38</v>
      </c>
      <c r="H543" s="1">
        <v>61.0</v>
      </c>
      <c r="I543" s="1">
        <v>9.0</v>
      </c>
      <c r="J543" s="1">
        <v>9.0</v>
      </c>
      <c r="K543" s="1">
        <v>18.0</v>
      </c>
      <c r="L543" s="1">
        <v>59.0</v>
      </c>
      <c r="M543" s="1">
        <v>57.0</v>
      </c>
      <c r="N543" s="1">
        <v>29.0</v>
      </c>
      <c r="O543" s="1">
        <v>1.0</v>
      </c>
      <c r="P543" s="1">
        <v>0.0</v>
      </c>
      <c r="Q543" s="1">
        <v>1.0</v>
      </c>
      <c r="R543" s="1">
        <v>2.0</v>
      </c>
      <c r="S543" s="1">
        <v>1.0</v>
      </c>
      <c r="T543" s="1">
        <v>26.0</v>
      </c>
      <c r="U543" s="1">
        <v>2.0</v>
      </c>
    </row>
    <row r="544" ht="12.75" customHeight="1">
      <c r="A544" s="1" t="s">
        <v>647</v>
      </c>
      <c r="B544" s="1">
        <f t="shared" si="3"/>
        <v>529</v>
      </c>
      <c r="C544" s="1" t="str">
        <f>IFERROR(__xludf.DUMMYFUNCTION("split(A544, ""\"")"),"Nathan Beaulieu")</f>
        <v>Nathan Beaulieu</v>
      </c>
      <c r="D544" s="1" t="str">
        <f>IFERROR(__xludf.DUMMYFUNCTION("""COMPUTED_VALUE"""),"beaulna01")</f>
        <v>beaulna01</v>
      </c>
      <c r="E544" s="1" t="s">
        <v>66</v>
      </c>
      <c r="F544" s="1">
        <f t="shared" si="1"/>
        <v>145.05</v>
      </c>
      <c r="G544" s="1">
        <f t="shared" si="2"/>
        <v>2.46</v>
      </c>
      <c r="H544" s="1">
        <v>59.0</v>
      </c>
      <c r="I544" s="1">
        <v>1.0</v>
      </c>
      <c r="J544" s="1">
        <v>8.0</v>
      </c>
      <c r="K544" s="1">
        <v>9.0</v>
      </c>
      <c r="L544" s="1">
        <v>67.0</v>
      </c>
      <c r="M544" s="1">
        <v>45.0</v>
      </c>
      <c r="N544" s="1">
        <v>65.0</v>
      </c>
      <c r="O544" s="1">
        <v>0.0</v>
      </c>
      <c r="P544" s="1">
        <v>1.0</v>
      </c>
      <c r="Q544" s="1">
        <v>0.0</v>
      </c>
      <c r="R544" s="1">
        <v>0.0</v>
      </c>
      <c r="S544" s="1">
        <v>-19.0</v>
      </c>
      <c r="T544" s="1">
        <v>36.0</v>
      </c>
      <c r="U544" s="1">
        <v>0.0</v>
      </c>
    </row>
    <row r="545" ht="12.75" customHeight="1">
      <c r="A545" s="1" t="s">
        <v>558</v>
      </c>
      <c r="B545" s="1">
        <f t="shared" si="3"/>
        <v>531</v>
      </c>
      <c r="C545" s="1" t="str">
        <f>IFERROR(__xludf.DUMMYFUNCTION("split(A545, ""\"")"),"Roman Polak")</f>
        <v>Roman Polak</v>
      </c>
      <c r="D545" s="1" t="str">
        <f>IFERROR(__xludf.DUMMYFUNCTION("""COMPUTED_VALUE"""),"polakro01")</f>
        <v>polakro01</v>
      </c>
      <c r="E545" s="1" t="s">
        <v>66</v>
      </c>
      <c r="F545" s="1">
        <f t="shared" si="1"/>
        <v>143.55</v>
      </c>
      <c r="G545" s="1">
        <f t="shared" si="2"/>
        <v>2.66</v>
      </c>
      <c r="H545" s="1">
        <v>54.0</v>
      </c>
      <c r="I545" s="1">
        <v>2.0</v>
      </c>
      <c r="J545" s="1">
        <v>10.0</v>
      </c>
      <c r="K545" s="1">
        <v>12.0</v>
      </c>
      <c r="L545" s="1">
        <v>47.0</v>
      </c>
      <c r="M545" s="1">
        <v>131.0</v>
      </c>
      <c r="N545" s="1">
        <v>84.0</v>
      </c>
      <c r="O545" s="1">
        <v>0.0</v>
      </c>
      <c r="P545" s="1">
        <v>0.0</v>
      </c>
      <c r="Q545" s="1">
        <v>0.0</v>
      </c>
      <c r="R545" s="1">
        <v>0.0</v>
      </c>
      <c r="S545" s="1">
        <v>5.0</v>
      </c>
      <c r="T545" s="1">
        <v>46.0</v>
      </c>
      <c r="U545" s="1">
        <v>0.0</v>
      </c>
    </row>
    <row r="546" ht="12.75" customHeight="1">
      <c r="A546" s="1" t="s">
        <v>564</v>
      </c>
      <c r="B546" s="1">
        <f t="shared" si="3"/>
        <v>532</v>
      </c>
      <c r="C546" s="1" t="str">
        <f>IFERROR(__xludf.DUMMYFUNCTION("split(A546, ""\"")"),"Pierre-Edouard Bellemare")</f>
        <v>Pierre-Edouard Bellemare</v>
      </c>
      <c r="D546" s="1" t="str">
        <f>IFERROR(__xludf.DUMMYFUNCTION("""COMPUTED_VALUE"""),"bellepi01")</f>
        <v>bellepi01</v>
      </c>
      <c r="E546" s="1" t="s">
        <v>28</v>
      </c>
      <c r="F546" s="1">
        <f t="shared" si="1"/>
        <v>143.45</v>
      </c>
      <c r="G546" s="1">
        <f t="shared" si="2"/>
        <v>1.99</v>
      </c>
      <c r="H546" s="1">
        <v>72.0</v>
      </c>
      <c r="I546" s="1">
        <v>6.0</v>
      </c>
      <c r="J546" s="1">
        <v>10.0</v>
      </c>
      <c r="K546" s="1">
        <v>16.0</v>
      </c>
      <c r="L546" s="1">
        <v>92.0</v>
      </c>
      <c r="M546" s="1">
        <v>41.0</v>
      </c>
      <c r="N546" s="1">
        <v>63.0</v>
      </c>
      <c r="O546" s="1">
        <v>0.0</v>
      </c>
      <c r="P546" s="1">
        <v>0.0</v>
      </c>
      <c r="Q546" s="1">
        <v>0.0</v>
      </c>
      <c r="R546" s="1">
        <v>0.0</v>
      </c>
      <c r="S546" s="1">
        <v>5.0</v>
      </c>
      <c r="T546" s="1">
        <v>14.0</v>
      </c>
      <c r="U546" s="1">
        <v>1.0</v>
      </c>
    </row>
    <row r="547" ht="12.75" customHeight="1">
      <c r="A547" s="1" t="s">
        <v>582</v>
      </c>
      <c r="B547" s="1">
        <f t="shared" si="3"/>
        <v>533</v>
      </c>
      <c r="C547" s="1" t="str">
        <f>IFERROR(__xludf.DUMMYFUNCTION("split(A547, ""\"")"),"Haydn Fleury")</f>
        <v>Haydn Fleury</v>
      </c>
      <c r="D547" s="1" t="str">
        <f>IFERROR(__xludf.DUMMYFUNCTION("""COMPUTED_VALUE"""),"fleurha01")</f>
        <v>fleurha01</v>
      </c>
      <c r="E547" s="1" t="s">
        <v>66</v>
      </c>
      <c r="F547" s="1">
        <f t="shared" si="1"/>
        <v>142.45</v>
      </c>
      <c r="G547" s="1">
        <f t="shared" si="2"/>
        <v>2.13</v>
      </c>
      <c r="H547" s="1">
        <v>67.0</v>
      </c>
      <c r="I547" s="1">
        <v>0.0</v>
      </c>
      <c r="J547" s="1">
        <v>8.0</v>
      </c>
      <c r="K547" s="1">
        <v>8.0</v>
      </c>
      <c r="L547" s="1">
        <v>86.0</v>
      </c>
      <c r="M547" s="1">
        <v>85.0</v>
      </c>
      <c r="N547" s="1">
        <v>94.0</v>
      </c>
      <c r="O547" s="1">
        <v>0.0</v>
      </c>
      <c r="P547" s="1">
        <v>0.0</v>
      </c>
      <c r="Q547" s="1">
        <v>0.0</v>
      </c>
      <c r="R547" s="1">
        <v>0.0</v>
      </c>
      <c r="S547" s="1">
        <v>-2.0</v>
      </c>
      <c r="T547" s="1">
        <v>14.0</v>
      </c>
      <c r="U547" s="1">
        <v>0.0</v>
      </c>
    </row>
    <row r="548" ht="12.75" customHeight="1">
      <c r="A548" s="1" t="s">
        <v>539</v>
      </c>
      <c r="B548" s="1">
        <f t="shared" si="3"/>
        <v>534</v>
      </c>
      <c r="C548" s="1" t="str">
        <f>IFERROR(__xludf.DUMMYFUNCTION("split(A548, ""\"")"),"Jeff Carter")</f>
        <v>Jeff Carter</v>
      </c>
      <c r="D548" s="1" t="str">
        <f>IFERROR(__xludf.DUMMYFUNCTION("""COMPUTED_VALUE"""),"carteje01")</f>
        <v>carteje01</v>
      </c>
      <c r="E548" s="1" t="s">
        <v>31</v>
      </c>
      <c r="F548" s="1">
        <f t="shared" si="1"/>
        <v>141.85</v>
      </c>
      <c r="G548" s="1">
        <f t="shared" si="2"/>
        <v>5.25</v>
      </c>
      <c r="H548" s="1">
        <v>27.0</v>
      </c>
      <c r="I548" s="1">
        <v>13.0</v>
      </c>
      <c r="J548" s="1">
        <v>9.0</v>
      </c>
      <c r="K548" s="1">
        <v>22.0</v>
      </c>
      <c r="L548" s="1">
        <v>85.0</v>
      </c>
      <c r="M548" s="1">
        <v>27.0</v>
      </c>
      <c r="N548" s="1">
        <v>11.0</v>
      </c>
      <c r="O548" s="1">
        <v>6.0</v>
      </c>
      <c r="P548" s="1">
        <v>3.0</v>
      </c>
      <c r="Q548" s="1">
        <v>1.0</v>
      </c>
      <c r="R548" s="1">
        <v>0.0</v>
      </c>
      <c r="S548" s="1">
        <v>4.0</v>
      </c>
      <c r="T548" s="1">
        <v>2.0</v>
      </c>
      <c r="U548" s="1">
        <v>2.0</v>
      </c>
    </row>
    <row r="549" ht="12.75" customHeight="1">
      <c r="A549" s="1" t="s">
        <v>464</v>
      </c>
      <c r="B549" s="1">
        <f t="shared" si="3"/>
        <v>535</v>
      </c>
      <c r="C549" s="1" t="str">
        <f>IFERROR(__xludf.DUMMYFUNCTION("split(A549, ""\"")"),"Alex Stalock")</f>
        <v>Alex Stalock</v>
      </c>
      <c r="D549" s="2" t="str">
        <f>IFERROR(__xludf.DUMMYFUNCTION("""COMPUTED_VALUE"""),"staloal01")</f>
        <v>staloal01</v>
      </c>
      <c r="E549" s="1" t="s">
        <v>5</v>
      </c>
      <c r="F549" s="1">
        <f t="shared" si="1"/>
        <v>141.3</v>
      </c>
      <c r="G549" s="1">
        <f t="shared" si="2"/>
        <v>5.05</v>
      </c>
      <c r="H549" s="1">
        <v>28.0</v>
      </c>
      <c r="V549" s="1">
        <v>23.0</v>
      </c>
      <c r="W549" s="1">
        <v>10.0</v>
      </c>
      <c r="X549" s="1">
        <v>10.0</v>
      </c>
      <c r="Y549" s="1">
        <v>71.0</v>
      </c>
      <c r="Z549" s="1">
        <v>787.0</v>
      </c>
      <c r="AA549" s="1">
        <v>716.0</v>
      </c>
      <c r="AB549" s="1">
        <v>1.0</v>
      </c>
    </row>
    <row r="550" ht="12.75" customHeight="1">
      <c r="A550" s="1" t="s">
        <v>555</v>
      </c>
      <c r="B550" s="1">
        <f t="shared" si="3"/>
        <v>536</v>
      </c>
      <c r="C550" s="1" t="str">
        <f>IFERROR(__xludf.DUMMYFUNCTION("split(A550, ""\"")"),"Vinnie Hinostroza")</f>
        <v>Vinnie Hinostroza</v>
      </c>
      <c r="D550" s="1" t="str">
        <f>IFERROR(__xludf.DUMMYFUNCTION("""COMPUTED_VALUE"""),"hinosvi01")</f>
        <v>hinosvi01</v>
      </c>
      <c r="E550" s="1" t="s">
        <v>31</v>
      </c>
      <c r="F550" s="1">
        <f t="shared" si="1"/>
        <v>141</v>
      </c>
      <c r="G550" s="1">
        <f t="shared" si="2"/>
        <v>2.82</v>
      </c>
      <c r="H550" s="1">
        <v>50.0</v>
      </c>
      <c r="I550" s="1">
        <v>7.0</v>
      </c>
      <c r="J550" s="1">
        <v>18.0</v>
      </c>
      <c r="K550" s="1">
        <v>25.0</v>
      </c>
      <c r="L550" s="1">
        <v>86.0</v>
      </c>
      <c r="M550" s="1">
        <v>26.0</v>
      </c>
      <c r="N550" s="1">
        <v>17.0</v>
      </c>
      <c r="O550" s="1">
        <v>1.0</v>
      </c>
      <c r="P550" s="1">
        <v>4.0</v>
      </c>
      <c r="Q550" s="1">
        <v>0.0</v>
      </c>
      <c r="R550" s="1">
        <v>0.0</v>
      </c>
      <c r="S550" s="1">
        <v>5.0</v>
      </c>
      <c r="T550" s="1">
        <v>10.0</v>
      </c>
      <c r="U550" s="1">
        <v>1.0</v>
      </c>
    </row>
    <row r="551" ht="12.75" customHeight="1">
      <c r="A551" s="1" t="s">
        <v>476</v>
      </c>
      <c r="B551" s="1">
        <f t="shared" si="3"/>
        <v>537</v>
      </c>
      <c r="C551" s="1" t="str">
        <f>IFERROR(__xludf.DUMMYFUNCTION("split(A551, ""\"")"),"Tristan Jarry")</f>
        <v>Tristan Jarry</v>
      </c>
      <c r="D551" s="2" t="str">
        <f>IFERROR(__xludf.DUMMYFUNCTION("""COMPUTED_VALUE"""),"jarrytr01")</f>
        <v>jarrytr01</v>
      </c>
      <c r="E551" s="1" t="s">
        <v>5</v>
      </c>
      <c r="F551" s="1">
        <f t="shared" si="1"/>
        <v>140.7</v>
      </c>
      <c r="G551" s="1">
        <f t="shared" si="2"/>
        <v>5.41</v>
      </c>
      <c r="H551" s="1">
        <v>26.0</v>
      </c>
      <c r="V551" s="1">
        <v>23.0</v>
      </c>
      <c r="W551" s="1">
        <v>14.0</v>
      </c>
      <c r="X551" s="1">
        <v>6.0</v>
      </c>
      <c r="Y551" s="1">
        <v>63.0</v>
      </c>
      <c r="Z551" s="1">
        <v>687.0</v>
      </c>
      <c r="AA551" s="1">
        <v>624.0</v>
      </c>
      <c r="AB551" s="1">
        <v>2.0</v>
      </c>
    </row>
    <row r="552" ht="12.75" customHeight="1">
      <c r="A552" s="1" t="s">
        <v>577</v>
      </c>
      <c r="B552" s="1">
        <f t="shared" si="3"/>
        <v>538</v>
      </c>
      <c r="C552" s="1" t="str">
        <f>IFERROR(__xludf.DUMMYFUNCTION("split(A552, ""\"")"),"Matt Hendricks")</f>
        <v>Matt Hendricks</v>
      </c>
      <c r="D552" s="1" t="str">
        <f>IFERROR(__xludf.DUMMYFUNCTION("""COMPUTED_VALUE"""),"hendrma01")</f>
        <v>hendrma01</v>
      </c>
      <c r="E552" s="1" t="s">
        <v>31</v>
      </c>
      <c r="F552" s="1">
        <f t="shared" si="1"/>
        <v>139.45</v>
      </c>
      <c r="G552" s="1">
        <f t="shared" si="2"/>
        <v>2.32</v>
      </c>
      <c r="H552" s="1">
        <v>60.0</v>
      </c>
      <c r="I552" s="1">
        <v>5.0</v>
      </c>
      <c r="J552" s="1">
        <v>8.0</v>
      </c>
      <c r="K552" s="1">
        <v>13.0</v>
      </c>
      <c r="L552" s="1">
        <v>56.0</v>
      </c>
      <c r="M552" s="1">
        <v>123.0</v>
      </c>
      <c r="N552" s="1">
        <v>42.0</v>
      </c>
      <c r="O552" s="1">
        <v>0.0</v>
      </c>
      <c r="P552" s="1">
        <v>0.0</v>
      </c>
      <c r="Q552" s="1">
        <v>0.0</v>
      </c>
      <c r="R552" s="1">
        <v>0.0</v>
      </c>
      <c r="S552" s="1">
        <v>-1.0</v>
      </c>
      <c r="T552" s="1">
        <v>39.0</v>
      </c>
      <c r="U552" s="1">
        <v>0.0</v>
      </c>
    </row>
    <row r="553" ht="12.75" customHeight="1">
      <c r="A553" s="1" t="s">
        <v>615</v>
      </c>
      <c r="B553" s="1">
        <f t="shared" si="3"/>
        <v>539</v>
      </c>
      <c r="C553" s="1" t="str">
        <f>IFERROR(__xludf.DUMMYFUNCTION("split(A553, ""\"")"),"Oscar Lindberg")</f>
        <v>Oscar Lindberg</v>
      </c>
      <c r="D553" s="1" t="str">
        <f>IFERROR(__xludf.DUMMYFUNCTION("""COMPUTED_VALUE"""),"lindbos02")</f>
        <v>lindbos02</v>
      </c>
      <c r="E553" s="1" t="s">
        <v>31</v>
      </c>
      <c r="F553" s="1">
        <f t="shared" si="1"/>
        <v>139.2</v>
      </c>
      <c r="G553" s="1">
        <f t="shared" si="2"/>
        <v>2.21</v>
      </c>
      <c r="H553" s="1">
        <v>63.0</v>
      </c>
      <c r="I553" s="1">
        <v>9.0</v>
      </c>
      <c r="J553" s="1">
        <v>2.0</v>
      </c>
      <c r="K553" s="1">
        <v>11.0</v>
      </c>
      <c r="L553" s="1">
        <v>81.0</v>
      </c>
      <c r="M553" s="1">
        <v>72.0</v>
      </c>
      <c r="N553" s="1">
        <v>27.0</v>
      </c>
      <c r="O553" s="1">
        <v>0.0</v>
      </c>
      <c r="P553" s="1">
        <v>0.0</v>
      </c>
      <c r="Q553" s="1">
        <v>0.0</v>
      </c>
      <c r="R553" s="1">
        <v>0.0</v>
      </c>
      <c r="S553" s="1">
        <v>-11.0</v>
      </c>
      <c r="T553" s="1">
        <v>14.0</v>
      </c>
      <c r="U553" s="1">
        <v>0.0</v>
      </c>
    </row>
    <row r="554" ht="12.75" customHeight="1">
      <c r="A554" s="1" t="s">
        <v>608</v>
      </c>
      <c r="B554" s="1">
        <f t="shared" si="3"/>
        <v>539</v>
      </c>
      <c r="C554" s="1" t="str">
        <f>IFERROR(__xludf.DUMMYFUNCTION("split(A554, ""\"")"),"John Hayden")</f>
        <v>John Hayden</v>
      </c>
      <c r="D554" s="1" t="str">
        <f>IFERROR(__xludf.DUMMYFUNCTION("""COMPUTED_VALUE"""),"haydejo01")</f>
        <v>haydejo01</v>
      </c>
      <c r="E554" s="1" t="s">
        <v>31</v>
      </c>
      <c r="F554" s="1">
        <f t="shared" si="1"/>
        <v>139.2</v>
      </c>
      <c r="G554" s="1">
        <f t="shared" si="2"/>
        <v>2.96</v>
      </c>
      <c r="H554" s="1">
        <v>47.0</v>
      </c>
      <c r="I554" s="1">
        <v>4.0</v>
      </c>
      <c r="J554" s="1">
        <v>9.0</v>
      </c>
      <c r="K554" s="1">
        <v>13.0</v>
      </c>
      <c r="L554" s="1">
        <v>56.0</v>
      </c>
      <c r="M554" s="1">
        <v>118.0</v>
      </c>
      <c r="N554" s="1">
        <v>23.0</v>
      </c>
      <c r="O554" s="1">
        <v>0.0</v>
      </c>
      <c r="P554" s="1">
        <v>0.0</v>
      </c>
      <c r="Q554" s="1">
        <v>1.0</v>
      </c>
      <c r="R554" s="1">
        <v>0.0</v>
      </c>
      <c r="S554" s="1">
        <v>-4.0</v>
      </c>
      <c r="T554" s="1">
        <v>54.0</v>
      </c>
      <c r="U554" s="1">
        <v>0.0</v>
      </c>
    </row>
    <row r="555" ht="12.75" customHeight="1">
      <c r="A555" s="1" t="s">
        <v>599</v>
      </c>
      <c r="B555" s="1">
        <f t="shared" si="3"/>
        <v>541</v>
      </c>
      <c r="C555" s="1" t="str">
        <f>IFERROR(__xludf.DUMMYFUNCTION("split(A555, ""\"")"),"Zac Rinaldo")</f>
        <v>Zac Rinaldo</v>
      </c>
      <c r="D555" s="1" t="str">
        <f>IFERROR(__xludf.DUMMYFUNCTION("""COMPUTED_VALUE"""),"rinalza01")</f>
        <v>rinalza01</v>
      </c>
      <c r="E555" s="1" t="s">
        <v>31</v>
      </c>
      <c r="F555" s="1">
        <f t="shared" si="1"/>
        <v>138.7</v>
      </c>
      <c r="G555" s="1">
        <f t="shared" si="2"/>
        <v>2.62</v>
      </c>
      <c r="H555" s="1">
        <v>53.0</v>
      </c>
      <c r="I555" s="1">
        <v>5.0</v>
      </c>
      <c r="J555" s="1">
        <v>2.0</v>
      </c>
      <c r="K555" s="1">
        <v>7.0</v>
      </c>
      <c r="L555" s="1">
        <v>56.0</v>
      </c>
      <c r="M555" s="1">
        <v>188.0</v>
      </c>
      <c r="N555" s="1">
        <v>23.0</v>
      </c>
      <c r="O555" s="1">
        <v>0.0</v>
      </c>
      <c r="P555" s="1">
        <v>0.0</v>
      </c>
      <c r="Q555" s="1">
        <v>0.0</v>
      </c>
      <c r="R555" s="1">
        <v>0.0</v>
      </c>
      <c r="S555" s="1">
        <v>-7.0</v>
      </c>
      <c r="T555" s="1">
        <v>44.0</v>
      </c>
      <c r="U555" s="1">
        <v>0.0</v>
      </c>
    </row>
    <row r="556" ht="12.75" customHeight="1">
      <c r="A556" s="1" t="s">
        <v>620</v>
      </c>
      <c r="B556" s="1">
        <f t="shared" si="3"/>
        <v>542</v>
      </c>
      <c r="C556" s="1" t="str">
        <f>IFERROR(__xludf.DUMMYFUNCTION("split(A556, ""\"")"),"Joakim Nordstrom")</f>
        <v>Joakim Nordstrom</v>
      </c>
      <c r="D556" s="1" t="str">
        <f>IFERROR(__xludf.DUMMYFUNCTION("""COMPUTED_VALUE"""),"nordsjo02")</f>
        <v>nordsjo02</v>
      </c>
      <c r="E556" s="1" t="s">
        <v>31</v>
      </c>
      <c r="F556" s="1">
        <f t="shared" si="1"/>
        <v>138.05</v>
      </c>
      <c r="G556" s="1">
        <f t="shared" si="2"/>
        <v>1.84</v>
      </c>
      <c r="H556" s="1">
        <v>75.0</v>
      </c>
      <c r="I556" s="1">
        <v>2.0</v>
      </c>
      <c r="J556" s="1">
        <v>5.0</v>
      </c>
      <c r="K556" s="1">
        <v>7.0</v>
      </c>
      <c r="L556" s="1">
        <v>97.0</v>
      </c>
      <c r="M556" s="1">
        <v>107.0</v>
      </c>
      <c r="N556" s="1">
        <v>41.0</v>
      </c>
      <c r="O556" s="1">
        <v>0.0</v>
      </c>
      <c r="P556" s="1">
        <v>0.0</v>
      </c>
      <c r="Q556" s="1">
        <v>0.0</v>
      </c>
      <c r="R556" s="1">
        <v>0.0</v>
      </c>
      <c r="S556" s="1">
        <v>-11.0</v>
      </c>
      <c r="T556" s="1">
        <v>6.0</v>
      </c>
      <c r="U556" s="1">
        <v>0.0</v>
      </c>
    </row>
    <row r="557" ht="12.75" customHeight="1">
      <c r="A557" s="1" t="s">
        <v>609</v>
      </c>
      <c r="B557" s="1">
        <f t="shared" si="3"/>
        <v>543</v>
      </c>
      <c r="C557" s="1" t="str">
        <f>IFERROR(__xludf.DUMMYFUNCTION("split(A557, ""\"")"),"Curtis Lazar")</f>
        <v>Curtis Lazar</v>
      </c>
      <c r="D557" s="1" t="str">
        <f>IFERROR(__xludf.DUMMYFUNCTION("""COMPUTED_VALUE"""),"lazarcu01")</f>
        <v>lazarcu01</v>
      </c>
      <c r="E557" s="1" t="s">
        <v>42</v>
      </c>
      <c r="F557" s="1">
        <f t="shared" si="1"/>
        <v>137.9</v>
      </c>
      <c r="G557" s="1">
        <f t="shared" si="2"/>
        <v>2.12</v>
      </c>
      <c r="H557" s="1">
        <v>65.0</v>
      </c>
      <c r="I557" s="1">
        <v>2.0</v>
      </c>
      <c r="J557" s="1">
        <v>10.0</v>
      </c>
      <c r="K557" s="1">
        <v>12.0</v>
      </c>
      <c r="L557" s="1">
        <v>65.0</v>
      </c>
      <c r="M557" s="1">
        <v>130.0</v>
      </c>
      <c r="N557" s="1">
        <v>26.0</v>
      </c>
      <c r="O557" s="1">
        <v>0.0</v>
      </c>
      <c r="P557" s="1">
        <v>0.0</v>
      </c>
      <c r="Q557" s="1">
        <v>0.0</v>
      </c>
      <c r="R557" s="1">
        <v>0.0</v>
      </c>
      <c r="S557" s="1">
        <v>-8.0</v>
      </c>
      <c r="T557" s="1">
        <v>23.0</v>
      </c>
      <c r="U557" s="1">
        <v>1.0</v>
      </c>
    </row>
    <row r="558" ht="12.75" customHeight="1">
      <c r="A558" s="1" t="s">
        <v>623</v>
      </c>
      <c r="B558" s="1">
        <f t="shared" si="3"/>
        <v>544</v>
      </c>
      <c r="C558" s="1" t="str">
        <f>IFERROR(__xludf.DUMMYFUNCTION("split(A558, ""\"")"),"Markus Granlund")</f>
        <v>Markus Granlund</v>
      </c>
      <c r="D558" s="1" t="str">
        <f>IFERROR(__xludf.DUMMYFUNCTION("""COMPUTED_VALUE"""),"granlma01")</f>
        <v>granlma01</v>
      </c>
      <c r="E558" s="1" t="s">
        <v>31</v>
      </c>
      <c r="F558" s="1">
        <f t="shared" si="1"/>
        <v>137.65</v>
      </c>
      <c r="G558" s="1">
        <f t="shared" si="2"/>
        <v>2.6</v>
      </c>
      <c r="H558" s="1">
        <v>53.0</v>
      </c>
      <c r="I558" s="1">
        <v>8.0</v>
      </c>
      <c r="J558" s="1">
        <v>4.0</v>
      </c>
      <c r="K558" s="1">
        <v>12.0</v>
      </c>
      <c r="L558" s="1">
        <v>93.0</v>
      </c>
      <c r="M558" s="1">
        <v>47.0</v>
      </c>
      <c r="N558" s="1">
        <v>12.0</v>
      </c>
      <c r="O558" s="1">
        <v>2.0</v>
      </c>
      <c r="P558" s="1">
        <v>1.0</v>
      </c>
      <c r="Q558" s="1">
        <v>2.0</v>
      </c>
      <c r="R558" s="1">
        <v>0.0</v>
      </c>
      <c r="S558" s="1">
        <v>-10.0</v>
      </c>
      <c r="T558" s="1">
        <v>8.0</v>
      </c>
      <c r="U558" s="1">
        <v>1.0</v>
      </c>
    </row>
    <row r="559" ht="12.75" customHeight="1">
      <c r="A559" s="1" t="s">
        <v>604</v>
      </c>
      <c r="B559" s="1">
        <f t="shared" si="3"/>
        <v>545</v>
      </c>
      <c r="C559" s="1" t="str">
        <f>IFERROR(__xludf.DUMMYFUNCTION("split(A559, ""\"")"),"Erik Gudbranson")</f>
        <v>Erik Gudbranson</v>
      </c>
      <c r="D559" s="1" t="str">
        <f>IFERROR(__xludf.DUMMYFUNCTION("""COMPUTED_VALUE"""),"gudbrer01")</f>
        <v>gudbrer01</v>
      </c>
      <c r="E559" s="1" t="s">
        <v>66</v>
      </c>
      <c r="F559" s="1">
        <f t="shared" si="1"/>
        <v>137.5</v>
      </c>
      <c r="G559" s="1">
        <f t="shared" si="2"/>
        <v>2.64</v>
      </c>
      <c r="H559" s="1">
        <v>52.0</v>
      </c>
      <c r="I559" s="1">
        <v>2.0</v>
      </c>
      <c r="J559" s="1">
        <v>3.0</v>
      </c>
      <c r="K559" s="1">
        <v>5.0</v>
      </c>
      <c r="L559" s="1">
        <v>53.0</v>
      </c>
      <c r="M559" s="1">
        <v>126.0</v>
      </c>
      <c r="N559" s="1">
        <v>81.0</v>
      </c>
      <c r="O559" s="1">
        <v>0.0</v>
      </c>
      <c r="P559" s="1">
        <v>0.0</v>
      </c>
      <c r="Q559" s="1">
        <v>0.0</v>
      </c>
      <c r="R559" s="1">
        <v>0.0</v>
      </c>
      <c r="S559" s="1">
        <v>-7.0</v>
      </c>
      <c r="T559" s="1">
        <v>35.0</v>
      </c>
      <c r="U559" s="1">
        <v>0.0</v>
      </c>
    </row>
    <row r="560" ht="12.75" customHeight="1">
      <c r="A560" s="1" t="s">
        <v>518</v>
      </c>
      <c r="B560" s="1">
        <f t="shared" si="3"/>
        <v>546</v>
      </c>
      <c r="C560" s="1" t="str">
        <f>IFERROR(__xludf.DUMMYFUNCTION("split(A560, ""\"")"),"Curtis McElhinney")</f>
        <v>Curtis McElhinney</v>
      </c>
      <c r="D560" s="2" t="str">
        <f>IFERROR(__xludf.DUMMYFUNCTION("""COMPUTED_VALUE"""),"mcelhcu01")</f>
        <v>mcelhcu01</v>
      </c>
      <c r="E560" s="1" t="s">
        <v>5</v>
      </c>
      <c r="F560" s="1">
        <f t="shared" si="1"/>
        <v>137.4</v>
      </c>
      <c r="G560" s="1">
        <f t="shared" si="2"/>
        <v>7.63</v>
      </c>
      <c r="H560" s="1">
        <v>18.0</v>
      </c>
      <c r="V560" s="1">
        <v>15.0</v>
      </c>
      <c r="W560" s="1">
        <v>11.0</v>
      </c>
      <c r="X560" s="1">
        <v>5.0</v>
      </c>
      <c r="Y560" s="1">
        <v>35.0</v>
      </c>
      <c r="Z560" s="1">
        <v>528.0</v>
      </c>
      <c r="AA560" s="1">
        <v>493.0</v>
      </c>
      <c r="AB560" s="1">
        <v>3.0</v>
      </c>
    </row>
    <row r="561" ht="12.75" customHeight="1">
      <c r="A561" s="1" t="s">
        <v>581</v>
      </c>
      <c r="B561" s="1">
        <f t="shared" si="3"/>
        <v>547</v>
      </c>
      <c r="C561" s="1" t="str">
        <f>IFERROR(__xludf.DUMMYFUNCTION("split(A561, ""\"")"),"Gabriel Bourque")</f>
        <v>Gabriel Bourque</v>
      </c>
      <c r="D561" s="1" t="str">
        <f>IFERROR(__xludf.DUMMYFUNCTION("""COMPUTED_VALUE"""),"bourqga01")</f>
        <v>bourqga01</v>
      </c>
      <c r="E561" s="1" t="s">
        <v>28</v>
      </c>
      <c r="F561" s="1">
        <f t="shared" si="1"/>
        <v>137.35</v>
      </c>
      <c r="G561" s="1">
        <f t="shared" si="2"/>
        <v>2.37</v>
      </c>
      <c r="H561" s="1">
        <v>58.0</v>
      </c>
      <c r="I561" s="1">
        <v>5.0</v>
      </c>
      <c r="J561" s="1">
        <v>6.0</v>
      </c>
      <c r="K561" s="1">
        <v>11.0</v>
      </c>
      <c r="L561" s="1">
        <v>44.0</v>
      </c>
      <c r="M561" s="1">
        <v>123.0</v>
      </c>
      <c r="N561" s="1">
        <v>59.0</v>
      </c>
      <c r="O561" s="1">
        <v>0.0</v>
      </c>
      <c r="P561" s="1">
        <v>0.0</v>
      </c>
      <c r="Q561" s="1">
        <v>0.0</v>
      </c>
      <c r="R561" s="1">
        <v>0.0</v>
      </c>
      <c r="S561" s="1">
        <v>-6.0</v>
      </c>
      <c r="T561" s="1">
        <v>12.0</v>
      </c>
      <c r="U561" s="1">
        <v>1.0</v>
      </c>
    </row>
    <row r="562" ht="12.75" customHeight="1">
      <c r="A562" s="1" t="s">
        <v>585</v>
      </c>
      <c r="B562" s="1">
        <f t="shared" si="3"/>
        <v>548</v>
      </c>
      <c r="C562" s="1" t="str">
        <f>IFERROR(__xludf.DUMMYFUNCTION("split(A562, ""\"")"),"Ryan Carpenter")</f>
        <v>Ryan Carpenter</v>
      </c>
      <c r="D562" s="1" t="str">
        <f>IFERROR(__xludf.DUMMYFUNCTION("""COMPUTED_VALUE"""),"carpery01")</f>
        <v>carpery01</v>
      </c>
      <c r="E562" s="1" t="s">
        <v>31</v>
      </c>
      <c r="F562" s="1">
        <f t="shared" si="1"/>
        <v>137.3</v>
      </c>
      <c r="G562" s="1">
        <f t="shared" si="2"/>
        <v>2.64</v>
      </c>
      <c r="H562" s="1">
        <v>52.0</v>
      </c>
      <c r="I562" s="1">
        <v>9.0</v>
      </c>
      <c r="J562" s="1">
        <v>6.0</v>
      </c>
      <c r="K562" s="1">
        <v>15.0</v>
      </c>
      <c r="L562" s="1">
        <v>85.0</v>
      </c>
      <c r="M562" s="1">
        <v>76.0</v>
      </c>
      <c r="N562" s="1">
        <v>17.0</v>
      </c>
      <c r="O562" s="1">
        <v>0.0</v>
      </c>
      <c r="P562" s="1">
        <v>0.0</v>
      </c>
      <c r="Q562" s="1">
        <v>1.0</v>
      </c>
      <c r="R562" s="1">
        <v>0.0</v>
      </c>
      <c r="S562" s="1">
        <v>1.0</v>
      </c>
      <c r="T562" s="1">
        <v>11.0</v>
      </c>
      <c r="U562" s="1">
        <v>2.0</v>
      </c>
    </row>
    <row r="563" ht="12.75" customHeight="1">
      <c r="A563" s="1" t="s">
        <v>641</v>
      </c>
      <c r="B563" s="1">
        <f t="shared" si="3"/>
        <v>549</v>
      </c>
      <c r="C563" s="1" t="str">
        <f>IFERROR(__xludf.DUMMYFUNCTION("split(A563, ""\"")"),"Ben Hutton")</f>
        <v>Ben Hutton</v>
      </c>
      <c r="D563" s="1" t="str">
        <f>IFERROR(__xludf.DUMMYFUNCTION("""COMPUTED_VALUE"""),"huttobe01")</f>
        <v>huttobe01</v>
      </c>
      <c r="E563" s="1" t="s">
        <v>66</v>
      </c>
      <c r="F563" s="1">
        <f t="shared" si="1"/>
        <v>136.9</v>
      </c>
      <c r="G563" s="1">
        <f t="shared" si="2"/>
        <v>2.24</v>
      </c>
      <c r="H563" s="1">
        <v>61.0</v>
      </c>
      <c r="I563" s="1">
        <v>0.0</v>
      </c>
      <c r="J563" s="1">
        <v>6.0</v>
      </c>
      <c r="K563" s="1">
        <v>6.0</v>
      </c>
      <c r="L563" s="1">
        <v>103.0</v>
      </c>
      <c r="M563" s="1">
        <v>40.0</v>
      </c>
      <c r="N563" s="1">
        <v>68.0</v>
      </c>
      <c r="O563" s="1">
        <v>0.0</v>
      </c>
      <c r="P563" s="1">
        <v>2.0</v>
      </c>
      <c r="Q563" s="1">
        <v>0.0</v>
      </c>
      <c r="R563" s="1">
        <v>1.0</v>
      </c>
      <c r="S563" s="1">
        <v>-9.0</v>
      </c>
      <c r="T563" s="1">
        <v>23.0</v>
      </c>
      <c r="U563" s="1">
        <v>0.0</v>
      </c>
    </row>
    <row r="564" ht="12.75" customHeight="1">
      <c r="A564" s="1" t="s">
        <v>593</v>
      </c>
      <c r="B564" s="1">
        <f t="shared" si="3"/>
        <v>550</v>
      </c>
      <c r="C564" s="1" t="str">
        <f>IFERROR(__xludf.DUMMYFUNCTION("split(A564, ""\"")"),"Nick Shore")</f>
        <v>Nick Shore</v>
      </c>
      <c r="D564" s="1" t="str">
        <f>IFERROR(__xludf.DUMMYFUNCTION("""COMPUTED_VALUE"""),"shoreni01")</f>
        <v>shoreni01</v>
      </c>
      <c r="E564" s="1" t="s">
        <v>31</v>
      </c>
      <c r="F564" s="1">
        <f t="shared" si="1"/>
        <v>136.55</v>
      </c>
      <c r="G564" s="1">
        <f t="shared" si="2"/>
        <v>2.13</v>
      </c>
      <c r="H564" s="1">
        <v>64.0</v>
      </c>
      <c r="I564" s="1">
        <v>5.0</v>
      </c>
      <c r="J564" s="1">
        <v>14.0</v>
      </c>
      <c r="K564" s="1">
        <v>19.0</v>
      </c>
      <c r="L564" s="1">
        <v>74.0</v>
      </c>
      <c r="M564" s="1">
        <v>55.0</v>
      </c>
      <c r="N564" s="1">
        <v>20.0</v>
      </c>
      <c r="O564" s="1">
        <v>0.0</v>
      </c>
      <c r="P564" s="1">
        <v>1.0</v>
      </c>
      <c r="Q564" s="1">
        <v>0.0</v>
      </c>
      <c r="R564" s="1">
        <v>0.0</v>
      </c>
      <c r="S564" s="1">
        <v>-3.0</v>
      </c>
      <c r="T564" s="1">
        <v>16.0</v>
      </c>
      <c r="U564" s="1">
        <v>1.0</v>
      </c>
    </row>
    <row r="565" ht="12.75" customHeight="1">
      <c r="A565" s="1" t="s">
        <v>626</v>
      </c>
      <c r="B565" s="1">
        <f t="shared" si="3"/>
        <v>551</v>
      </c>
      <c r="C565" s="1" t="str">
        <f>IFERROR(__xludf.DUMMYFUNCTION("split(A565, ""\"")"),"Paul Carey")</f>
        <v>Paul Carey</v>
      </c>
      <c r="D565" s="1" t="str">
        <f>IFERROR(__xludf.DUMMYFUNCTION("""COMPUTED_VALUE"""),"careypa01")</f>
        <v>careypa01</v>
      </c>
      <c r="E565" s="1" t="s">
        <v>31</v>
      </c>
      <c r="F565" s="1">
        <f t="shared" si="1"/>
        <v>136.25</v>
      </c>
      <c r="G565" s="1">
        <f t="shared" si="2"/>
        <v>2.27</v>
      </c>
      <c r="H565" s="1">
        <v>60.0</v>
      </c>
      <c r="I565" s="1">
        <v>7.0</v>
      </c>
      <c r="J565" s="1">
        <v>7.0</v>
      </c>
      <c r="K565" s="1">
        <v>14.0</v>
      </c>
      <c r="L565" s="1">
        <v>51.0</v>
      </c>
      <c r="M565" s="1">
        <v>67.0</v>
      </c>
      <c r="N565" s="1">
        <v>22.0</v>
      </c>
      <c r="O565" s="1">
        <v>1.0</v>
      </c>
      <c r="P565" s="1">
        <v>0.0</v>
      </c>
      <c r="Q565" s="1">
        <v>1.0</v>
      </c>
      <c r="R565" s="1">
        <v>0.0</v>
      </c>
      <c r="S565" s="1">
        <v>-13.0</v>
      </c>
      <c r="T565" s="1">
        <v>20.0</v>
      </c>
      <c r="U565" s="1">
        <v>1.0</v>
      </c>
    </row>
    <row r="566" ht="12.75" customHeight="1">
      <c r="A566" s="1" t="s">
        <v>543</v>
      </c>
      <c r="B566" s="1">
        <f t="shared" si="3"/>
        <v>552</v>
      </c>
      <c r="C566" s="1" t="str">
        <f>IFERROR(__xludf.DUMMYFUNCTION("split(A566, ""\"")"),"Markus Nutivaara")</f>
        <v>Markus Nutivaara</v>
      </c>
      <c r="D566" s="1" t="str">
        <f>IFERROR(__xludf.DUMMYFUNCTION("""COMPUTED_VALUE"""),"nutivma01")</f>
        <v>nutivma01</v>
      </c>
      <c r="E566" s="1" t="s">
        <v>66</v>
      </c>
      <c r="F566" s="1">
        <f t="shared" si="1"/>
        <v>136.2</v>
      </c>
      <c r="G566" s="1">
        <f t="shared" si="2"/>
        <v>2.23</v>
      </c>
      <c r="H566" s="1">
        <v>61.0</v>
      </c>
      <c r="I566" s="1">
        <v>7.0</v>
      </c>
      <c r="J566" s="1">
        <v>16.0</v>
      </c>
      <c r="K566" s="1">
        <v>23.0</v>
      </c>
      <c r="L566" s="1">
        <v>79.0</v>
      </c>
      <c r="M566" s="1">
        <v>42.0</v>
      </c>
      <c r="N566" s="1">
        <v>40.0</v>
      </c>
      <c r="O566" s="1">
        <v>1.0</v>
      </c>
      <c r="P566" s="1">
        <v>1.0</v>
      </c>
      <c r="Q566" s="1">
        <v>0.0</v>
      </c>
      <c r="R566" s="1">
        <v>0.0</v>
      </c>
      <c r="S566" s="1">
        <v>13.0</v>
      </c>
      <c r="T566" s="1">
        <v>14.0</v>
      </c>
      <c r="U566" s="1">
        <v>1.0</v>
      </c>
    </row>
    <row r="567" ht="12.75" customHeight="1">
      <c r="A567" s="1" t="s">
        <v>588</v>
      </c>
      <c r="B567" s="1">
        <f t="shared" si="3"/>
        <v>553</v>
      </c>
      <c r="C567" s="1" t="str">
        <f>IFERROR(__xludf.DUMMYFUNCTION("split(A567, ""\"")"),"Alex Biega")</f>
        <v>Alex Biega</v>
      </c>
      <c r="D567" s="1" t="str">
        <f>IFERROR(__xludf.DUMMYFUNCTION("""COMPUTED_VALUE"""),"biegaal01")</f>
        <v>biegaal01</v>
      </c>
      <c r="E567" s="1" t="s">
        <v>66</v>
      </c>
      <c r="F567" s="1">
        <f t="shared" si="1"/>
        <v>136.1</v>
      </c>
      <c r="G567" s="1">
        <f t="shared" si="2"/>
        <v>3.09</v>
      </c>
      <c r="H567" s="1">
        <v>44.0</v>
      </c>
      <c r="I567" s="1">
        <v>1.0</v>
      </c>
      <c r="J567" s="1">
        <v>8.0</v>
      </c>
      <c r="K567" s="1">
        <v>9.0</v>
      </c>
      <c r="L567" s="1">
        <v>79.0</v>
      </c>
      <c r="M567" s="1">
        <v>126.0</v>
      </c>
      <c r="N567" s="1">
        <v>53.0</v>
      </c>
      <c r="O567" s="1">
        <v>0.0</v>
      </c>
      <c r="P567" s="1">
        <v>0.0</v>
      </c>
      <c r="Q567" s="1">
        <v>0.0</v>
      </c>
      <c r="R567" s="1">
        <v>1.0</v>
      </c>
      <c r="S567" s="1">
        <v>3.0</v>
      </c>
      <c r="T567" s="1">
        <v>32.0</v>
      </c>
      <c r="U567" s="1">
        <v>1.0</v>
      </c>
    </row>
    <row r="568" ht="12.75" customHeight="1">
      <c r="A568" s="1" t="s">
        <v>618</v>
      </c>
      <c r="B568" s="1">
        <f t="shared" si="3"/>
        <v>554</v>
      </c>
      <c r="C568" s="1" t="str">
        <f>IFERROR(__xludf.DUMMYFUNCTION("split(A568, ""\"")"),"Kyle Clifford")</f>
        <v>Kyle Clifford</v>
      </c>
      <c r="D568" s="1" t="str">
        <f>IFERROR(__xludf.DUMMYFUNCTION("""COMPUTED_VALUE"""),"cliffky01")</f>
        <v>cliffky01</v>
      </c>
      <c r="E568" s="1" t="s">
        <v>28</v>
      </c>
      <c r="F568" s="1">
        <f t="shared" si="1"/>
        <v>135.65</v>
      </c>
      <c r="G568" s="1">
        <f t="shared" si="2"/>
        <v>2.71</v>
      </c>
      <c r="H568" s="1">
        <v>50.0</v>
      </c>
      <c r="I568" s="1">
        <v>6.0</v>
      </c>
      <c r="J568" s="1">
        <v>4.0</v>
      </c>
      <c r="K568" s="1">
        <v>10.0</v>
      </c>
      <c r="L568" s="1">
        <v>81.0</v>
      </c>
      <c r="M568" s="1">
        <v>127.0</v>
      </c>
      <c r="N568" s="1">
        <v>8.0</v>
      </c>
      <c r="O568" s="1">
        <v>0.0</v>
      </c>
      <c r="P568" s="1">
        <v>0.0</v>
      </c>
      <c r="Q568" s="1">
        <v>0.0</v>
      </c>
      <c r="R568" s="1">
        <v>0.0</v>
      </c>
      <c r="S568" s="1">
        <v>-4.0</v>
      </c>
      <c r="T568" s="1">
        <v>48.0</v>
      </c>
      <c r="U568" s="1">
        <v>0.0</v>
      </c>
    </row>
    <row r="569" ht="12.75" customHeight="1">
      <c r="A569" s="1" t="s">
        <v>580</v>
      </c>
      <c r="B569" s="1">
        <f t="shared" si="3"/>
        <v>555</v>
      </c>
      <c r="C569" s="1" t="str">
        <f>IFERROR(__xludf.DUMMYFUNCTION("split(A569, ""\"")"),"Steven Santini")</f>
        <v>Steven Santini</v>
      </c>
      <c r="D569" s="1" t="str">
        <f>IFERROR(__xludf.DUMMYFUNCTION("""COMPUTED_VALUE"""),"santist01")</f>
        <v>santist01</v>
      </c>
      <c r="E569" s="1" t="s">
        <v>66</v>
      </c>
      <c r="F569" s="1">
        <f t="shared" si="1"/>
        <v>135.05</v>
      </c>
      <c r="G569" s="1">
        <f t="shared" si="2"/>
        <v>3.75</v>
      </c>
      <c r="H569" s="1">
        <v>36.0</v>
      </c>
      <c r="I569" s="1">
        <v>2.0</v>
      </c>
      <c r="J569" s="1">
        <v>8.0</v>
      </c>
      <c r="K569" s="1">
        <v>10.0</v>
      </c>
      <c r="L569" s="1">
        <v>56.0</v>
      </c>
      <c r="M569" s="1">
        <v>113.0</v>
      </c>
      <c r="N569" s="1">
        <v>73.0</v>
      </c>
      <c r="O569" s="1">
        <v>0.0</v>
      </c>
      <c r="P569" s="1">
        <v>0.0</v>
      </c>
      <c r="Q569" s="1">
        <v>0.0</v>
      </c>
      <c r="R569" s="1">
        <v>1.0</v>
      </c>
      <c r="S569" s="1">
        <v>0.0</v>
      </c>
      <c r="T569" s="1">
        <v>21.0</v>
      </c>
      <c r="U569" s="1">
        <v>0.0</v>
      </c>
    </row>
    <row r="570" ht="12.75" customHeight="1">
      <c r="A570" s="1" t="s">
        <v>584</v>
      </c>
      <c r="B570" s="1">
        <f t="shared" si="3"/>
        <v>556</v>
      </c>
      <c r="C570" s="1" t="str">
        <f>IFERROR(__xludf.DUMMYFUNCTION("split(A570, ""\"")"),"Nail Yakupov")</f>
        <v>Nail Yakupov</v>
      </c>
      <c r="D570" s="1" t="str">
        <f>IFERROR(__xludf.DUMMYFUNCTION("""COMPUTED_VALUE"""),"yakupna01")</f>
        <v>yakupna01</v>
      </c>
      <c r="E570" s="1" t="s">
        <v>36</v>
      </c>
      <c r="F570" s="1">
        <f t="shared" si="1"/>
        <v>134.8</v>
      </c>
      <c r="G570" s="1">
        <f t="shared" si="2"/>
        <v>2.32</v>
      </c>
      <c r="H570" s="1">
        <v>58.0</v>
      </c>
      <c r="I570" s="1">
        <v>9.0</v>
      </c>
      <c r="J570" s="1">
        <v>7.0</v>
      </c>
      <c r="K570" s="1">
        <v>16.0</v>
      </c>
      <c r="L570" s="1">
        <v>94.0</v>
      </c>
      <c r="M570" s="1">
        <v>60.0</v>
      </c>
      <c r="N570" s="1">
        <v>9.0</v>
      </c>
      <c r="O570" s="1">
        <v>3.0</v>
      </c>
      <c r="P570" s="1">
        <v>1.0</v>
      </c>
      <c r="Q570" s="1">
        <v>0.0</v>
      </c>
      <c r="R570" s="1">
        <v>0.0</v>
      </c>
      <c r="S570" s="1">
        <v>2.0</v>
      </c>
      <c r="T570" s="1">
        <v>26.0</v>
      </c>
      <c r="U570" s="1">
        <v>1.0</v>
      </c>
    </row>
    <row r="571" ht="12.75" customHeight="1">
      <c r="A571" s="1" t="s">
        <v>458</v>
      </c>
      <c r="B571" s="1">
        <f t="shared" si="3"/>
        <v>557</v>
      </c>
      <c r="C571" s="1" t="str">
        <f>IFERROR(__xludf.DUMMYFUNCTION("split(A571, ""\"")"),"Thomas Greiss")</f>
        <v>Thomas Greiss</v>
      </c>
      <c r="D571" s="2" t="str">
        <f>IFERROR(__xludf.DUMMYFUNCTION("""COMPUTED_VALUE"""),"greisth01")</f>
        <v>greisth01</v>
      </c>
      <c r="E571" s="1" t="s">
        <v>5</v>
      </c>
      <c r="F571" s="1">
        <f t="shared" si="1"/>
        <v>134.7</v>
      </c>
      <c r="G571" s="1">
        <f t="shared" si="2"/>
        <v>4.99</v>
      </c>
      <c r="H571" s="1">
        <v>27.0</v>
      </c>
      <c r="V571" s="1">
        <v>25.0</v>
      </c>
      <c r="W571" s="1">
        <v>13.0</v>
      </c>
      <c r="X571" s="1">
        <v>8.0</v>
      </c>
      <c r="Y571" s="1">
        <v>95.0</v>
      </c>
      <c r="Z571" s="1">
        <v>879.0</v>
      </c>
      <c r="AA571" s="1">
        <v>784.0</v>
      </c>
      <c r="AB571" s="1">
        <v>1.0</v>
      </c>
    </row>
    <row r="572" ht="12.75" customHeight="1">
      <c r="A572" s="1" t="s">
        <v>654</v>
      </c>
      <c r="B572" s="1">
        <f t="shared" si="3"/>
        <v>558</v>
      </c>
      <c r="C572" s="1" t="str">
        <f>IFERROR(__xludf.DUMMYFUNCTION("split(A572, ""\"")"),"Jordan Nolan")</f>
        <v>Jordan Nolan</v>
      </c>
      <c r="D572" s="1" t="str">
        <f>IFERROR(__xludf.DUMMYFUNCTION("""COMPUTED_VALUE"""),"nolanjo01")</f>
        <v>nolanjo01</v>
      </c>
      <c r="E572" s="1" t="s">
        <v>31</v>
      </c>
      <c r="F572" s="1">
        <f t="shared" si="1"/>
        <v>134.45</v>
      </c>
      <c r="G572" s="1">
        <f t="shared" si="2"/>
        <v>1.95</v>
      </c>
      <c r="H572" s="1">
        <v>69.0</v>
      </c>
      <c r="I572" s="1">
        <v>4.0</v>
      </c>
      <c r="J572" s="1">
        <v>4.0</v>
      </c>
      <c r="K572" s="1">
        <v>8.0</v>
      </c>
      <c r="L572" s="1">
        <v>50.0</v>
      </c>
      <c r="M572" s="1">
        <v>123.0</v>
      </c>
      <c r="N572" s="1">
        <v>17.0</v>
      </c>
      <c r="O572" s="1">
        <v>0.0</v>
      </c>
      <c r="P572" s="1">
        <v>0.0</v>
      </c>
      <c r="Q572" s="1">
        <v>0.0</v>
      </c>
      <c r="R572" s="1">
        <v>0.0</v>
      </c>
      <c r="S572" s="1">
        <v>-13.0</v>
      </c>
      <c r="T572" s="1">
        <v>69.0</v>
      </c>
      <c r="U572" s="1">
        <v>0.0</v>
      </c>
    </row>
    <row r="573" ht="12.75" customHeight="1">
      <c r="A573" s="1" t="s">
        <v>621</v>
      </c>
      <c r="B573" s="1">
        <f t="shared" si="3"/>
        <v>559</v>
      </c>
      <c r="C573" s="1" t="str">
        <f>IFERROR(__xludf.DUMMYFUNCTION("split(A573, ""\"")"),"Cedric Paquette")</f>
        <v>Cedric Paquette</v>
      </c>
      <c r="D573" s="1" t="str">
        <f>IFERROR(__xludf.DUMMYFUNCTION("""COMPUTED_VALUE"""),"paquece01")</f>
        <v>paquece01</v>
      </c>
      <c r="E573" s="1" t="s">
        <v>31</v>
      </c>
      <c r="F573" s="1">
        <f t="shared" si="1"/>
        <v>134.3</v>
      </c>
      <c r="G573" s="1">
        <f t="shared" si="2"/>
        <v>2.4</v>
      </c>
      <c r="H573" s="1">
        <v>56.0</v>
      </c>
      <c r="I573" s="1">
        <v>5.0</v>
      </c>
      <c r="J573" s="1">
        <v>4.0</v>
      </c>
      <c r="K573" s="1">
        <v>9.0</v>
      </c>
      <c r="L573" s="1">
        <v>64.0</v>
      </c>
      <c r="M573" s="1">
        <v>112.0</v>
      </c>
      <c r="N573" s="1">
        <v>32.0</v>
      </c>
      <c r="O573" s="1">
        <v>0.0</v>
      </c>
      <c r="P573" s="1">
        <v>1.0</v>
      </c>
      <c r="Q573" s="1">
        <v>0.0</v>
      </c>
      <c r="R573" s="1">
        <v>0.0</v>
      </c>
      <c r="S573" s="1">
        <v>-5.0</v>
      </c>
      <c r="T573" s="1">
        <v>41.0</v>
      </c>
      <c r="U573" s="1">
        <v>2.0</v>
      </c>
    </row>
    <row r="574" ht="12.75" customHeight="1">
      <c r="A574" s="1" t="s">
        <v>597</v>
      </c>
      <c r="B574" s="1">
        <f t="shared" si="3"/>
        <v>560</v>
      </c>
      <c r="C574" s="1" t="str">
        <f>IFERROR(__xludf.DUMMYFUNCTION("split(A574, ""\"")"),"Tom Kuhnhackl")</f>
        <v>Tom Kuhnhackl</v>
      </c>
      <c r="D574" s="1" t="str">
        <f>IFERROR(__xludf.DUMMYFUNCTION("""COMPUTED_VALUE"""),"kuhnhto01")</f>
        <v>kuhnhto01</v>
      </c>
      <c r="E574" s="1" t="s">
        <v>36</v>
      </c>
      <c r="F574" s="1">
        <f t="shared" si="1"/>
        <v>134.05</v>
      </c>
      <c r="G574" s="1">
        <f t="shared" si="2"/>
        <v>1.94</v>
      </c>
      <c r="H574" s="1">
        <v>69.0</v>
      </c>
      <c r="I574" s="1">
        <v>2.0</v>
      </c>
      <c r="J574" s="1">
        <v>6.0</v>
      </c>
      <c r="K574" s="1">
        <v>8.0</v>
      </c>
      <c r="L574" s="1">
        <v>63.0</v>
      </c>
      <c r="M574" s="1">
        <v>139.0</v>
      </c>
      <c r="N574" s="1">
        <v>50.0</v>
      </c>
      <c r="O574" s="1">
        <v>0.0</v>
      </c>
      <c r="P574" s="1">
        <v>1.0</v>
      </c>
      <c r="Q574" s="1">
        <v>0.0</v>
      </c>
      <c r="R574" s="1">
        <v>1.0</v>
      </c>
      <c r="S574" s="1">
        <v>-6.0</v>
      </c>
      <c r="T574" s="1">
        <v>6.0</v>
      </c>
      <c r="U574" s="1">
        <v>1.0</v>
      </c>
    </row>
    <row r="575" ht="12.75" customHeight="1">
      <c r="A575" s="1" t="s">
        <v>614</v>
      </c>
      <c r="B575" s="1">
        <f t="shared" si="3"/>
        <v>561</v>
      </c>
      <c r="C575" s="1" t="str">
        <f>IFERROR(__xludf.DUMMYFUNCTION("split(A575, ""\"")"),"Chris Stewart")</f>
        <v>Chris Stewart</v>
      </c>
      <c r="D575" s="1" t="str">
        <f>IFERROR(__xludf.DUMMYFUNCTION("""COMPUTED_VALUE"""),"stewach02")</f>
        <v>stewach02</v>
      </c>
      <c r="E575" s="1" t="s">
        <v>36</v>
      </c>
      <c r="F575" s="1">
        <f t="shared" si="1"/>
        <v>133.6</v>
      </c>
      <c r="G575" s="1">
        <f t="shared" si="2"/>
        <v>2.47</v>
      </c>
      <c r="H575" s="1">
        <v>54.0</v>
      </c>
      <c r="I575" s="1">
        <v>10.0</v>
      </c>
      <c r="J575" s="1">
        <v>6.0</v>
      </c>
      <c r="K575" s="1">
        <v>16.0</v>
      </c>
      <c r="L575" s="1">
        <v>68.0</v>
      </c>
      <c r="M575" s="1">
        <v>48.0</v>
      </c>
      <c r="N575" s="1">
        <v>14.0</v>
      </c>
      <c r="O575" s="1">
        <v>1.0</v>
      </c>
      <c r="P575" s="1">
        <v>0.0</v>
      </c>
      <c r="Q575" s="1">
        <v>0.0</v>
      </c>
      <c r="R575" s="1">
        <v>0.0</v>
      </c>
      <c r="S575" s="1">
        <v>-5.0</v>
      </c>
      <c r="T575" s="1">
        <v>27.0</v>
      </c>
      <c r="U575" s="1">
        <v>1.0</v>
      </c>
    </row>
    <row r="576" ht="12.75" customHeight="1">
      <c r="A576" s="1" t="s">
        <v>598</v>
      </c>
      <c r="B576" s="1">
        <f t="shared" si="3"/>
        <v>562</v>
      </c>
      <c r="C576" s="1" t="str">
        <f>IFERROR(__xludf.DUMMYFUNCTION("split(A576, ""\"")"),"Mike Reilly")</f>
        <v>Mike Reilly</v>
      </c>
      <c r="D576" s="1" t="str">
        <f>IFERROR(__xludf.DUMMYFUNCTION("""COMPUTED_VALUE"""),"reillmi01")</f>
        <v>reillmi01</v>
      </c>
      <c r="E576" s="1" t="s">
        <v>66</v>
      </c>
      <c r="F576" s="1">
        <f t="shared" si="1"/>
        <v>133.55</v>
      </c>
      <c r="G576" s="1">
        <f t="shared" si="2"/>
        <v>2.34</v>
      </c>
      <c r="H576" s="1">
        <v>57.0</v>
      </c>
      <c r="I576" s="1">
        <v>2.0</v>
      </c>
      <c r="J576" s="1">
        <v>16.0</v>
      </c>
      <c r="K576" s="1">
        <v>18.0</v>
      </c>
      <c r="L576" s="1">
        <v>65.0</v>
      </c>
      <c r="M576" s="1">
        <v>41.0</v>
      </c>
      <c r="N576" s="1">
        <v>37.0</v>
      </c>
      <c r="O576" s="1">
        <v>0.0</v>
      </c>
      <c r="P576" s="1">
        <v>6.0</v>
      </c>
      <c r="Q576" s="1">
        <v>0.0</v>
      </c>
      <c r="R576" s="1">
        <v>0.0</v>
      </c>
      <c r="S576" s="1">
        <v>-5.0</v>
      </c>
      <c r="T576" s="1">
        <v>26.0</v>
      </c>
      <c r="U576" s="1">
        <v>0.0</v>
      </c>
    </row>
    <row r="577" ht="12.75" customHeight="1">
      <c r="A577" s="1" t="s">
        <v>592</v>
      </c>
      <c r="B577" s="1">
        <f t="shared" si="3"/>
        <v>563</v>
      </c>
      <c r="C577" s="1" t="str">
        <f>IFERROR(__xludf.DUMMYFUNCTION("split(A577, ""\"")"),"Jacob de La Rose")</f>
        <v>Jacob de La Rose</v>
      </c>
      <c r="D577" s="1" t="str">
        <f>IFERROR(__xludf.DUMMYFUNCTION("""COMPUTED_VALUE"""),"delarja01")</f>
        <v>delarja01</v>
      </c>
      <c r="E577" s="1" t="s">
        <v>28</v>
      </c>
      <c r="F577" s="1">
        <f t="shared" si="1"/>
        <v>132.95</v>
      </c>
      <c r="G577" s="1">
        <f t="shared" si="2"/>
        <v>2.42</v>
      </c>
      <c r="H577" s="1">
        <v>55.0</v>
      </c>
      <c r="I577" s="1">
        <v>4.0</v>
      </c>
      <c r="J577" s="1">
        <v>8.0</v>
      </c>
      <c r="K577" s="1">
        <v>12.0</v>
      </c>
      <c r="L577" s="1">
        <v>53.0</v>
      </c>
      <c r="M577" s="1">
        <v>127.0</v>
      </c>
      <c r="N577" s="1">
        <v>36.0</v>
      </c>
      <c r="O577" s="1">
        <v>0.0</v>
      </c>
      <c r="P577" s="1">
        <v>0.0</v>
      </c>
      <c r="Q577" s="1">
        <v>1.0</v>
      </c>
      <c r="R577" s="1">
        <v>0.0</v>
      </c>
      <c r="S577" s="1">
        <v>-2.0</v>
      </c>
      <c r="T577" s="1">
        <v>29.0</v>
      </c>
      <c r="U577" s="1">
        <v>0.0</v>
      </c>
    </row>
    <row r="578" ht="12.75" customHeight="1">
      <c r="A578" s="1" t="s">
        <v>589</v>
      </c>
      <c r="B578" s="1">
        <f t="shared" si="3"/>
        <v>564</v>
      </c>
      <c r="C578" s="1" t="str">
        <f>IFERROR(__xludf.DUMMYFUNCTION("split(A578, ""\"")"),"Colin Wilson")</f>
        <v>Colin Wilson</v>
      </c>
      <c r="D578" s="1" t="str">
        <f>IFERROR(__xludf.DUMMYFUNCTION("""COMPUTED_VALUE"""),"wilsoco01")</f>
        <v>wilsoco01</v>
      </c>
      <c r="E578" s="1" t="s">
        <v>31</v>
      </c>
      <c r="F578" s="1">
        <f t="shared" si="1"/>
        <v>132.8</v>
      </c>
      <c r="G578" s="1">
        <f t="shared" si="2"/>
        <v>2.37</v>
      </c>
      <c r="H578" s="1">
        <v>56.0</v>
      </c>
      <c r="I578" s="1">
        <v>6.0</v>
      </c>
      <c r="J578" s="1">
        <v>12.0</v>
      </c>
      <c r="K578" s="1">
        <v>18.0</v>
      </c>
      <c r="L578" s="1">
        <v>75.0</v>
      </c>
      <c r="M578" s="1">
        <v>38.0</v>
      </c>
      <c r="N578" s="1">
        <v>23.0</v>
      </c>
      <c r="O578" s="1">
        <v>1.0</v>
      </c>
      <c r="P578" s="1">
        <v>5.0</v>
      </c>
      <c r="Q578" s="1">
        <v>0.0</v>
      </c>
      <c r="R578" s="1">
        <v>0.0</v>
      </c>
      <c r="S578" s="1">
        <v>-5.0</v>
      </c>
      <c r="T578" s="1">
        <v>6.0</v>
      </c>
      <c r="U578" s="1">
        <v>1.0</v>
      </c>
    </row>
    <row r="579" ht="12.75" customHeight="1">
      <c r="A579" s="1" t="s">
        <v>576</v>
      </c>
      <c r="B579" s="1">
        <f t="shared" si="3"/>
        <v>565</v>
      </c>
      <c r="C579" s="1" t="str">
        <f>IFERROR(__xludf.DUMMYFUNCTION("split(A579, ""\"")"),"Marian Gaborik")</f>
        <v>Marian Gaborik</v>
      </c>
      <c r="D579" s="1" t="str">
        <f>IFERROR(__xludf.DUMMYFUNCTION("""COMPUTED_VALUE"""),"gaborma01")</f>
        <v>gaborma01</v>
      </c>
      <c r="E579" s="1" t="s">
        <v>36</v>
      </c>
      <c r="F579" s="1">
        <f t="shared" si="1"/>
        <v>131.2</v>
      </c>
      <c r="G579" s="1">
        <f t="shared" si="2"/>
        <v>2.85</v>
      </c>
      <c r="H579" s="1">
        <v>46.0</v>
      </c>
      <c r="I579" s="1">
        <v>11.0</v>
      </c>
      <c r="J579" s="1">
        <v>10.0</v>
      </c>
      <c r="K579" s="1">
        <v>21.0</v>
      </c>
      <c r="L579" s="1">
        <v>80.0</v>
      </c>
      <c r="M579" s="1">
        <v>12.0</v>
      </c>
      <c r="N579" s="1">
        <v>9.0</v>
      </c>
      <c r="O579" s="1">
        <v>3.0</v>
      </c>
      <c r="P579" s="1">
        <v>3.0</v>
      </c>
      <c r="Q579" s="1">
        <v>0.0</v>
      </c>
      <c r="R579" s="1">
        <v>0.0</v>
      </c>
      <c r="S579" s="1">
        <v>2.0</v>
      </c>
      <c r="T579" s="1">
        <v>24.0</v>
      </c>
      <c r="U579" s="1">
        <v>0.0</v>
      </c>
    </row>
    <row r="580" ht="12.75" customHeight="1">
      <c r="A580" s="1" t="s">
        <v>496</v>
      </c>
      <c r="B580" s="1">
        <f t="shared" si="3"/>
        <v>566</v>
      </c>
      <c r="C580" s="1" t="str">
        <f>IFERROR(__xludf.DUMMYFUNCTION("split(A580, ""\"")"),"Anders Nilsson")</f>
        <v>Anders Nilsson</v>
      </c>
      <c r="D580" s="2" t="str">
        <f>IFERROR(__xludf.DUMMYFUNCTION("""COMPUTED_VALUE"""),"nilssan01")</f>
        <v>nilssan01</v>
      </c>
      <c r="E580" s="1" t="s">
        <v>5</v>
      </c>
      <c r="F580" s="1">
        <f t="shared" si="1"/>
        <v>130.8</v>
      </c>
      <c r="G580" s="1">
        <f t="shared" si="2"/>
        <v>4.84</v>
      </c>
      <c r="H580" s="1">
        <v>27.0</v>
      </c>
      <c r="V580" s="1">
        <v>24.0</v>
      </c>
      <c r="W580" s="1">
        <v>7.0</v>
      </c>
      <c r="X580" s="1">
        <v>14.0</v>
      </c>
      <c r="Y580" s="1">
        <v>84.0</v>
      </c>
      <c r="Z580" s="1">
        <v>850.0</v>
      </c>
      <c r="AA580" s="1">
        <v>766.0</v>
      </c>
      <c r="AB580" s="1">
        <v>2.0</v>
      </c>
    </row>
    <row r="581" ht="12.75" customHeight="1">
      <c r="A581" s="1" t="s">
        <v>579</v>
      </c>
      <c r="B581" s="1">
        <f t="shared" si="3"/>
        <v>567</v>
      </c>
      <c r="C581" s="1" t="str">
        <f>IFERROR(__xludf.DUMMYFUNCTION("split(A581, ""\"")"),"Brad Hunt")</f>
        <v>Brad Hunt</v>
      </c>
      <c r="D581" s="1" t="str">
        <f>IFERROR(__xludf.DUMMYFUNCTION("""COMPUTED_VALUE"""),"huntbr01")</f>
        <v>huntbr01</v>
      </c>
      <c r="E581" s="1" t="s">
        <v>66</v>
      </c>
      <c r="F581" s="1">
        <f t="shared" si="1"/>
        <v>130.55</v>
      </c>
      <c r="G581" s="1">
        <f t="shared" si="2"/>
        <v>2.9</v>
      </c>
      <c r="H581" s="1">
        <v>45.0</v>
      </c>
      <c r="I581" s="1">
        <v>3.0</v>
      </c>
      <c r="J581" s="1">
        <v>15.0</v>
      </c>
      <c r="K581" s="1">
        <v>18.0</v>
      </c>
      <c r="L581" s="1">
        <v>80.0</v>
      </c>
      <c r="M581" s="1">
        <v>19.0</v>
      </c>
      <c r="N581" s="1">
        <v>36.0</v>
      </c>
      <c r="O581" s="1">
        <v>2.0</v>
      </c>
      <c r="P581" s="1">
        <v>10.0</v>
      </c>
      <c r="Q581" s="1">
        <v>0.0</v>
      </c>
      <c r="R581" s="1">
        <v>0.0</v>
      </c>
      <c r="S581" s="1">
        <v>-5.0</v>
      </c>
      <c r="T581" s="1">
        <v>6.0</v>
      </c>
      <c r="U581" s="1">
        <v>0.0</v>
      </c>
    </row>
    <row r="582" ht="12.75" customHeight="1">
      <c r="A582" s="1" t="s">
        <v>463</v>
      </c>
      <c r="B582" s="1">
        <f t="shared" si="3"/>
        <v>568</v>
      </c>
      <c r="C582" s="1" t="str">
        <f>IFERROR(__xludf.DUMMYFUNCTION("split(A582, ""\"")"),"Chad Johnson")</f>
        <v>Chad Johnson</v>
      </c>
      <c r="D582" s="2" t="str">
        <f>IFERROR(__xludf.DUMMYFUNCTION("""COMPUTED_VALUE"""),"johnsch02")</f>
        <v>johnsch02</v>
      </c>
      <c r="E582" s="1" t="s">
        <v>5</v>
      </c>
      <c r="F582" s="1">
        <f t="shared" si="1"/>
        <v>129.6</v>
      </c>
      <c r="G582" s="1">
        <f t="shared" si="2"/>
        <v>3.6</v>
      </c>
      <c r="H582" s="1">
        <v>36.0</v>
      </c>
      <c r="V582" s="1">
        <v>29.0</v>
      </c>
      <c r="W582" s="1">
        <v>10.0</v>
      </c>
      <c r="X582" s="1">
        <v>16.0</v>
      </c>
      <c r="Y582" s="1">
        <v>105.0</v>
      </c>
      <c r="Z582" s="1">
        <v>962.0</v>
      </c>
      <c r="AA582" s="1">
        <v>857.0</v>
      </c>
      <c r="AB582" s="1">
        <v>0.0</v>
      </c>
    </row>
    <row r="583" ht="12.75" customHeight="1">
      <c r="A583" s="1" t="s">
        <v>611</v>
      </c>
      <c r="B583" s="1">
        <f t="shared" si="3"/>
        <v>569</v>
      </c>
      <c r="C583" s="1" t="str">
        <f>IFERROR(__xludf.DUMMYFUNCTION("split(A583, ""\"")"),"Gustav Forsling")</f>
        <v>Gustav Forsling</v>
      </c>
      <c r="D583" s="1" t="str">
        <f>IFERROR(__xludf.DUMMYFUNCTION("""COMPUTED_VALUE"""),"forslgu02")</f>
        <v>forslgu02</v>
      </c>
      <c r="E583" s="1" t="s">
        <v>66</v>
      </c>
      <c r="F583" s="1">
        <f t="shared" si="1"/>
        <v>129.4</v>
      </c>
      <c r="G583" s="1">
        <f t="shared" si="2"/>
        <v>3.16</v>
      </c>
      <c r="H583" s="1">
        <v>41.0</v>
      </c>
      <c r="I583" s="1">
        <v>3.0</v>
      </c>
      <c r="J583" s="1">
        <v>10.0</v>
      </c>
      <c r="K583" s="1">
        <v>13.0</v>
      </c>
      <c r="L583" s="1">
        <v>82.0</v>
      </c>
      <c r="M583" s="1">
        <v>26.0</v>
      </c>
      <c r="N583" s="1">
        <v>56.0</v>
      </c>
      <c r="O583" s="1">
        <v>1.0</v>
      </c>
      <c r="P583" s="1">
        <v>3.0</v>
      </c>
      <c r="Q583" s="1">
        <v>0.0</v>
      </c>
      <c r="R583" s="1">
        <v>1.0</v>
      </c>
      <c r="S583" s="1">
        <v>-2.0</v>
      </c>
      <c r="T583" s="1">
        <v>8.0</v>
      </c>
      <c r="U583" s="1">
        <v>1.0</v>
      </c>
    </row>
    <row r="584" ht="12.75" customHeight="1">
      <c r="A584" s="1" t="s">
        <v>587</v>
      </c>
      <c r="B584" s="1">
        <f t="shared" si="3"/>
        <v>570</v>
      </c>
      <c r="C584" s="1" t="str">
        <f>IFERROR(__xludf.DUMMYFUNCTION("split(A584, ""\"")"),"Ben Lovejoy")</f>
        <v>Ben Lovejoy</v>
      </c>
      <c r="D584" s="1" t="str">
        <f>IFERROR(__xludf.DUMMYFUNCTION("""COMPUTED_VALUE"""),"lovejbe01")</f>
        <v>lovejbe01</v>
      </c>
      <c r="E584" s="1" t="s">
        <v>66</v>
      </c>
      <c r="F584" s="1">
        <f t="shared" si="1"/>
        <v>128</v>
      </c>
      <c r="G584" s="1">
        <f t="shared" si="2"/>
        <v>2.25</v>
      </c>
      <c r="H584" s="1">
        <v>57.0</v>
      </c>
      <c r="I584" s="1">
        <v>2.0</v>
      </c>
      <c r="J584" s="1">
        <v>6.0</v>
      </c>
      <c r="K584" s="1">
        <v>8.0</v>
      </c>
      <c r="L584" s="1">
        <v>74.0</v>
      </c>
      <c r="M584" s="1">
        <v>84.0</v>
      </c>
      <c r="N584" s="1">
        <v>86.0</v>
      </c>
      <c r="O584" s="1">
        <v>0.0</v>
      </c>
      <c r="P584" s="1">
        <v>0.0</v>
      </c>
      <c r="Q584" s="1">
        <v>0.0</v>
      </c>
      <c r="R584" s="1">
        <v>1.0</v>
      </c>
      <c r="S584" s="1">
        <v>7.0</v>
      </c>
      <c r="T584" s="1">
        <v>25.0</v>
      </c>
      <c r="U584" s="1">
        <v>0.0</v>
      </c>
    </row>
    <row r="585" ht="12.75" customHeight="1">
      <c r="A585" s="1" t="s">
        <v>596</v>
      </c>
      <c r="B585" s="1">
        <f t="shared" si="3"/>
        <v>571</v>
      </c>
      <c r="C585" s="1" t="str">
        <f>IFERROR(__xludf.DUMMYFUNCTION("split(A585, ""\"")"),"Tomas Nosek")</f>
        <v>Tomas Nosek</v>
      </c>
      <c r="D585" s="1" t="str">
        <f>IFERROR(__xludf.DUMMYFUNCTION("""COMPUTED_VALUE"""),"nosekto01")</f>
        <v>nosekto01</v>
      </c>
      <c r="E585" s="1" t="s">
        <v>31</v>
      </c>
      <c r="F585" s="1">
        <f t="shared" si="1"/>
        <v>127.95</v>
      </c>
      <c r="G585" s="1">
        <f t="shared" si="2"/>
        <v>1.91</v>
      </c>
      <c r="H585" s="1">
        <v>67.0</v>
      </c>
      <c r="I585" s="1">
        <v>7.0</v>
      </c>
      <c r="J585" s="1">
        <v>8.0</v>
      </c>
      <c r="K585" s="1">
        <v>15.0</v>
      </c>
      <c r="L585" s="1">
        <v>92.0</v>
      </c>
      <c r="M585" s="1">
        <v>53.0</v>
      </c>
      <c r="N585" s="1">
        <v>24.0</v>
      </c>
      <c r="O585" s="1">
        <v>0.0</v>
      </c>
      <c r="P585" s="1">
        <v>0.0</v>
      </c>
      <c r="Q585" s="1">
        <v>1.0</v>
      </c>
      <c r="R585" s="1">
        <v>1.0</v>
      </c>
      <c r="S585" s="1">
        <v>6.0</v>
      </c>
      <c r="T585" s="1">
        <v>14.0</v>
      </c>
      <c r="U585" s="1">
        <v>0.0</v>
      </c>
    </row>
    <row r="586" ht="12.75" customHeight="1">
      <c r="A586" s="1" t="s">
        <v>635</v>
      </c>
      <c r="B586" s="1">
        <f t="shared" si="3"/>
        <v>572</v>
      </c>
      <c r="C586" s="1" t="str">
        <f>IFERROR(__xludf.DUMMYFUNCTION("split(A586, ""\"")"),"Connor Brickley")</f>
        <v>Connor Brickley</v>
      </c>
      <c r="D586" s="1" t="str">
        <f>IFERROR(__xludf.DUMMYFUNCTION("""COMPUTED_VALUE"""),"brickco01")</f>
        <v>brickco01</v>
      </c>
      <c r="E586" s="1" t="s">
        <v>31</v>
      </c>
      <c r="F586" s="1">
        <f t="shared" si="1"/>
        <v>126.2</v>
      </c>
      <c r="G586" s="1">
        <f t="shared" si="2"/>
        <v>2.87</v>
      </c>
      <c r="H586" s="1">
        <v>44.0</v>
      </c>
      <c r="I586" s="1">
        <v>4.0</v>
      </c>
      <c r="J586" s="1">
        <v>8.0</v>
      </c>
      <c r="K586" s="1">
        <v>12.0</v>
      </c>
      <c r="L586" s="1">
        <v>62.0</v>
      </c>
      <c r="M586" s="1">
        <v>82.0</v>
      </c>
      <c r="N586" s="1">
        <v>28.0</v>
      </c>
      <c r="O586" s="1">
        <v>0.0</v>
      </c>
      <c r="P586" s="1">
        <v>0.0</v>
      </c>
      <c r="Q586" s="1">
        <v>0.0</v>
      </c>
      <c r="R586" s="1">
        <v>0.0</v>
      </c>
      <c r="S586" s="1">
        <v>-6.0</v>
      </c>
      <c r="T586" s="1">
        <v>19.0</v>
      </c>
      <c r="U586" s="1">
        <v>2.0</v>
      </c>
    </row>
    <row r="587" ht="12.75" customHeight="1">
      <c r="A587" s="1" t="s">
        <v>500</v>
      </c>
      <c r="B587" s="1">
        <f t="shared" si="3"/>
        <v>573</v>
      </c>
      <c r="C587" s="1" t="str">
        <f>IFERROR(__xludf.DUMMYFUNCTION("split(A587, ""\"")"),"Mike Condon")</f>
        <v>Mike Condon</v>
      </c>
      <c r="D587" s="2" t="str">
        <f>IFERROR(__xludf.DUMMYFUNCTION("""COMPUTED_VALUE"""),"condomi01")</f>
        <v>condomi01</v>
      </c>
      <c r="E587" s="1" t="s">
        <v>5</v>
      </c>
      <c r="F587" s="1">
        <f t="shared" si="1"/>
        <v>126</v>
      </c>
      <c r="G587" s="1">
        <f t="shared" si="2"/>
        <v>4.06</v>
      </c>
      <c r="H587" s="1">
        <v>31.0</v>
      </c>
      <c r="V587" s="1">
        <v>26.0</v>
      </c>
      <c r="W587" s="1">
        <v>5.0</v>
      </c>
      <c r="X587" s="1">
        <v>17.0</v>
      </c>
      <c r="Y587" s="1">
        <v>88.0</v>
      </c>
      <c r="Z587" s="1">
        <v>898.0</v>
      </c>
      <c r="AA587" s="1">
        <v>810.0</v>
      </c>
      <c r="AB587" s="1">
        <v>0.0</v>
      </c>
    </row>
    <row r="588" ht="12.75" customHeight="1">
      <c r="A588" s="1" t="s">
        <v>655</v>
      </c>
      <c r="B588" s="1">
        <f t="shared" si="3"/>
        <v>574</v>
      </c>
      <c r="C588" s="1" t="str">
        <f>IFERROR(__xludf.DUMMYFUNCTION("split(A588, ""\"")"),"Martin Hanzal")</f>
        <v>Martin Hanzal</v>
      </c>
      <c r="D588" s="1" t="str">
        <f>IFERROR(__xludf.DUMMYFUNCTION("""COMPUTED_VALUE"""),"hanzama01")</f>
        <v>hanzama01</v>
      </c>
      <c r="E588" s="1" t="s">
        <v>31</v>
      </c>
      <c r="F588" s="1">
        <f t="shared" si="1"/>
        <v>125.4</v>
      </c>
      <c r="G588" s="1">
        <f t="shared" si="2"/>
        <v>3.3</v>
      </c>
      <c r="H588" s="1">
        <v>38.0</v>
      </c>
      <c r="I588" s="1">
        <v>5.0</v>
      </c>
      <c r="J588" s="1">
        <v>5.0</v>
      </c>
      <c r="K588" s="1">
        <v>10.0</v>
      </c>
      <c r="L588" s="1">
        <v>62.0</v>
      </c>
      <c r="M588" s="1">
        <v>66.0</v>
      </c>
      <c r="N588" s="1">
        <v>21.0</v>
      </c>
      <c r="O588" s="1">
        <v>2.0</v>
      </c>
      <c r="P588" s="1">
        <v>1.0</v>
      </c>
      <c r="Q588" s="1">
        <v>0.0</v>
      </c>
      <c r="R588" s="1">
        <v>0.0</v>
      </c>
      <c r="S588" s="1">
        <v>-14.0</v>
      </c>
      <c r="T588" s="1">
        <v>23.0</v>
      </c>
      <c r="U588" s="1">
        <v>1.0</v>
      </c>
    </row>
    <row r="589" ht="12.75" customHeight="1">
      <c r="A589" s="1" t="s">
        <v>574</v>
      </c>
      <c r="B589" s="1">
        <f t="shared" si="3"/>
        <v>575</v>
      </c>
      <c r="C589" s="1" t="str">
        <f>IFERROR(__xludf.DUMMYFUNCTION("split(A589, ""\"")"),"Joakim Ryan")</f>
        <v>Joakim Ryan</v>
      </c>
      <c r="D589" s="1" t="str">
        <f>IFERROR(__xludf.DUMMYFUNCTION("""COMPUTED_VALUE"""),"ryanjo02")</f>
        <v>ryanjo02</v>
      </c>
      <c r="E589" s="1" t="s">
        <v>66</v>
      </c>
      <c r="F589" s="1">
        <f t="shared" si="1"/>
        <v>125.15</v>
      </c>
      <c r="G589" s="1">
        <f t="shared" si="2"/>
        <v>2.02</v>
      </c>
      <c r="H589" s="1">
        <v>62.0</v>
      </c>
      <c r="I589" s="1">
        <v>3.0</v>
      </c>
      <c r="J589" s="1">
        <v>9.0</v>
      </c>
      <c r="K589" s="1">
        <v>12.0</v>
      </c>
      <c r="L589" s="1">
        <v>79.0</v>
      </c>
      <c r="M589" s="1">
        <v>33.0</v>
      </c>
      <c r="N589" s="1">
        <v>98.0</v>
      </c>
      <c r="O589" s="1">
        <v>0.0</v>
      </c>
      <c r="P589" s="1">
        <v>0.0</v>
      </c>
      <c r="Q589" s="1">
        <v>0.0</v>
      </c>
      <c r="R589" s="1">
        <v>1.0</v>
      </c>
      <c r="S589" s="1">
        <v>13.0</v>
      </c>
      <c r="T589" s="1">
        <v>8.0</v>
      </c>
      <c r="U589" s="1">
        <v>1.0</v>
      </c>
    </row>
    <row r="590" ht="12.75" customHeight="1">
      <c r="A590" s="1" t="s">
        <v>616</v>
      </c>
      <c r="B590" s="1">
        <f t="shared" si="3"/>
        <v>576</v>
      </c>
      <c r="C590" s="1" t="str">
        <f>IFERROR(__xludf.DUMMYFUNCTION("split(A590, ""\"")"),"Barclay Goodrow")</f>
        <v>Barclay Goodrow</v>
      </c>
      <c r="D590" s="1" t="str">
        <f>IFERROR(__xludf.DUMMYFUNCTION("""COMPUTED_VALUE"""),"goodrba01")</f>
        <v>goodrba01</v>
      </c>
      <c r="E590" s="1" t="s">
        <v>36</v>
      </c>
      <c r="F590" s="1">
        <f t="shared" si="1"/>
        <v>124.9</v>
      </c>
      <c r="G590" s="1">
        <f t="shared" si="2"/>
        <v>2.66</v>
      </c>
      <c r="H590" s="1">
        <v>47.0</v>
      </c>
      <c r="I590" s="1">
        <v>7.0</v>
      </c>
      <c r="J590" s="1">
        <v>7.0</v>
      </c>
      <c r="K590" s="1">
        <v>14.0</v>
      </c>
      <c r="L590" s="1">
        <v>57.0</v>
      </c>
      <c r="M590" s="1">
        <v>68.0</v>
      </c>
      <c r="N590" s="1">
        <v>30.0</v>
      </c>
      <c r="O590" s="1">
        <v>0.0</v>
      </c>
      <c r="P590" s="1">
        <v>0.0</v>
      </c>
      <c r="Q590" s="1">
        <v>1.0</v>
      </c>
      <c r="R590" s="1">
        <v>0.0</v>
      </c>
      <c r="S590" s="1">
        <v>1.0</v>
      </c>
      <c r="T590" s="1">
        <v>28.0</v>
      </c>
      <c r="U590" s="1">
        <v>1.0</v>
      </c>
    </row>
    <row r="591" ht="12.75" customHeight="1">
      <c r="A591" s="1" t="s">
        <v>561</v>
      </c>
      <c r="B591" s="1">
        <f t="shared" si="3"/>
        <v>577</v>
      </c>
      <c r="C591" s="1" t="str">
        <f>IFERROR(__xludf.DUMMYFUNCTION("split(A591, ""\"")"),"Ben Chiarot")</f>
        <v>Ben Chiarot</v>
      </c>
      <c r="D591" s="1" t="str">
        <f>IFERROR(__xludf.DUMMYFUNCTION("""COMPUTED_VALUE"""),"chiarbe01")</f>
        <v>chiarbe01</v>
      </c>
      <c r="E591" s="1" t="s">
        <v>66</v>
      </c>
      <c r="F591" s="1">
        <f t="shared" si="1"/>
        <v>124.35</v>
      </c>
      <c r="G591" s="1">
        <f t="shared" si="2"/>
        <v>2.18</v>
      </c>
      <c r="H591" s="1">
        <v>57.0</v>
      </c>
      <c r="I591" s="1">
        <v>2.0</v>
      </c>
      <c r="J591" s="1">
        <v>12.0</v>
      </c>
      <c r="K591" s="1">
        <v>14.0</v>
      </c>
      <c r="L591" s="1">
        <v>57.0</v>
      </c>
      <c r="M591" s="1">
        <v>105.0</v>
      </c>
      <c r="N591" s="1">
        <v>75.0</v>
      </c>
      <c r="O591" s="1">
        <v>0.0</v>
      </c>
      <c r="P591" s="1">
        <v>0.0</v>
      </c>
      <c r="Q591" s="1">
        <v>0.0</v>
      </c>
      <c r="R591" s="1">
        <v>0.0</v>
      </c>
      <c r="S591" s="1">
        <v>15.0</v>
      </c>
      <c r="T591" s="1">
        <v>32.0</v>
      </c>
      <c r="U591" s="1">
        <v>0.0</v>
      </c>
    </row>
    <row r="592" ht="12.75" customHeight="1">
      <c r="A592" s="1" t="s">
        <v>521</v>
      </c>
      <c r="B592" s="1">
        <f t="shared" si="3"/>
        <v>578</v>
      </c>
      <c r="C592" s="1" t="str">
        <f>IFERROR(__xludf.DUMMYFUNCTION("split(A592, ""\"")"),"Malcolm Subban")</f>
        <v>Malcolm Subban</v>
      </c>
      <c r="D592" s="2" t="str">
        <f>IFERROR(__xludf.DUMMYFUNCTION("""COMPUTED_VALUE"""),"subbama01")</f>
        <v>subbama01</v>
      </c>
      <c r="E592" s="1" t="s">
        <v>5</v>
      </c>
      <c r="F592" s="1">
        <f t="shared" si="1"/>
        <v>124.2</v>
      </c>
      <c r="G592" s="1">
        <f t="shared" si="2"/>
        <v>5.65</v>
      </c>
      <c r="H592" s="1">
        <v>22.0</v>
      </c>
      <c r="V592" s="1">
        <v>19.0</v>
      </c>
      <c r="W592" s="1">
        <v>13.0</v>
      </c>
      <c r="X592" s="1">
        <v>4.0</v>
      </c>
      <c r="Y592" s="1">
        <v>55.0</v>
      </c>
      <c r="Z592" s="1">
        <v>614.0</v>
      </c>
      <c r="AA592" s="1">
        <v>559.0</v>
      </c>
      <c r="AB592" s="1">
        <v>0.0</v>
      </c>
    </row>
    <row r="593" ht="12.75" customHeight="1">
      <c r="A593" s="1" t="s">
        <v>528</v>
      </c>
      <c r="B593" s="1">
        <f t="shared" si="3"/>
        <v>579</v>
      </c>
      <c r="C593" s="1" t="str">
        <f>IFERROR(__xludf.DUMMYFUNCTION("split(A593, ""\"")"),"Antti Niemi")</f>
        <v>Antti Niemi</v>
      </c>
      <c r="D593" s="2" t="str">
        <f>IFERROR(__xludf.DUMMYFUNCTION("""COMPUTED_VALUE"""),"niemian02")</f>
        <v>niemian02</v>
      </c>
      <c r="E593" s="1" t="s">
        <v>5</v>
      </c>
      <c r="F593" s="1">
        <f t="shared" si="1"/>
        <v>123.6</v>
      </c>
      <c r="G593" s="1">
        <f t="shared" si="2"/>
        <v>5.15</v>
      </c>
      <c r="H593" s="1">
        <v>24.0</v>
      </c>
      <c r="V593" s="1">
        <v>20.0</v>
      </c>
      <c r="W593" s="1">
        <v>7.0</v>
      </c>
      <c r="X593" s="1">
        <v>9.0</v>
      </c>
      <c r="Y593" s="1">
        <v>63.0</v>
      </c>
      <c r="Z593" s="1">
        <v>710.0</v>
      </c>
      <c r="AA593" s="1">
        <v>647.0</v>
      </c>
      <c r="AB593" s="1">
        <v>1.0</v>
      </c>
    </row>
    <row r="594" ht="12.75" customHeight="1">
      <c r="A594" s="1" t="s">
        <v>695</v>
      </c>
      <c r="B594" s="1">
        <f t="shared" si="3"/>
        <v>580</v>
      </c>
      <c r="C594" s="1" t="str">
        <f>IFERROR(__xludf.DUMMYFUNCTION("split(A594, ""\"")"),"Cody McLeod")</f>
        <v>Cody McLeod</v>
      </c>
      <c r="D594" s="1" t="str">
        <f>IFERROR(__xludf.DUMMYFUNCTION("""COMPUTED_VALUE"""),"mcleoco01")</f>
        <v>mcleoco01</v>
      </c>
      <c r="E594" s="1" t="s">
        <v>28</v>
      </c>
      <c r="F594" s="1">
        <f t="shared" si="1"/>
        <v>123.55</v>
      </c>
      <c r="G594" s="1">
        <f t="shared" si="2"/>
        <v>2.57</v>
      </c>
      <c r="H594" s="1">
        <v>48.0</v>
      </c>
      <c r="I594" s="1">
        <v>1.0</v>
      </c>
      <c r="J594" s="1">
        <v>3.0</v>
      </c>
      <c r="K594" s="1">
        <v>4.0</v>
      </c>
      <c r="L594" s="1">
        <v>36.0</v>
      </c>
      <c r="M594" s="1">
        <v>131.0</v>
      </c>
      <c r="N594" s="1">
        <v>19.0</v>
      </c>
      <c r="O594" s="1">
        <v>0.0</v>
      </c>
      <c r="P594" s="1">
        <v>0.0</v>
      </c>
      <c r="Q594" s="1">
        <v>0.0</v>
      </c>
      <c r="R594" s="1">
        <v>0.0</v>
      </c>
      <c r="S594" s="1">
        <v>-11.0</v>
      </c>
      <c r="T594" s="1">
        <v>111.0</v>
      </c>
      <c r="U594" s="1">
        <v>0.0</v>
      </c>
    </row>
    <row r="595" ht="12.75" customHeight="1">
      <c r="A595" s="1" t="s">
        <v>666</v>
      </c>
      <c r="B595" s="1">
        <f t="shared" si="3"/>
        <v>581</v>
      </c>
      <c r="C595" s="1" t="str">
        <f>IFERROR(__xludf.DUMMYFUNCTION("split(A595, ""\"")"),"Justin Falk")</f>
        <v>Justin Falk</v>
      </c>
      <c r="D595" s="1" t="str">
        <f>IFERROR(__xludf.DUMMYFUNCTION("""COMPUTED_VALUE"""),"falkju01")</f>
        <v>falkju01</v>
      </c>
      <c r="E595" s="1" t="s">
        <v>66</v>
      </c>
      <c r="F595" s="1">
        <f t="shared" si="1"/>
        <v>122.15</v>
      </c>
      <c r="G595" s="1">
        <f t="shared" si="2"/>
        <v>2.66</v>
      </c>
      <c r="H595" s="1">
        <v>46.0</v>
      </c>
      <c r="I595" s="1">
        <v>1.0</v>
      </c>
      <c r="J595" s="1">
        <v>1.0</v>
      </c>
      <c r="K595" s="1">
        <v>2.0</v>
      </c>
      <c r="L595" s="1">
        <v>36.0</v>
      </c>
      <c r="M595" s="1">
        <v>121.0</v>
      </c>
      <c r="N595" s="1">
        <v>62.0</v>
      </c>
      <c r="O595" s="1">
        <v>0.0</v>
      </c>
      <c r="P595" s="1">
        <v>0.0</v>
      </c>
      <c r="Q595" s="1">
        <v>0.0</v>
      </c>
      <c r="R595" s="1">
        <v>1.0</v>
      </c>
      <c r="S595" s="1">
        <v>-16.0</v>
      </c>
      <c r="T595" s="1">
        <v>28.0</v>
      </c>
      <c r="U595" s="1">
        <v>0.0</v>
      </c>
    </row>
    <row r="596" ht="12.75" customHeight="1">
      <c r="A596" s="1" t="s">
        <v>612</v>
      </c>
      <c r="B596" s="1">
        <f t="shared" si="3"/>
        <v>582</v>
      </c>
      <c r="C596" s="1" t="str">
        <f>IFERROR(__xludf.DUMMYFUNCTION("split(A596, ""\"")"),"Brandon Carlo")</f>
        <v>Brandon Carlo</v>
      </c>
      <c r="D596" s="1" t="str">
        <f>IFERROR(__xludf.DUMMYFUNCTION("""COMPUTED_VALUE"""),"carlobr01")</f>
        <v>carlobr01</v>
      </c>
      <c r="E596" s="1" t="s">
        <v>66</v>
      </c>
      <c r="F596" s="1">
        <f t="shared" si="1"/>
        <v>121.75</v>
      </c>
      <c r="G596" s="1">
        <f t="shared" si="2"/>
        <v>1.6</v>
      </c>
      <c r="H596" s="1">
        <v>76.0</v>
      </c>
      <c r="I596" s="1">
        <v>0.0</v>
      </c>
      <c r="J596" s="1">
        <v>6.0</v>
      </c>
      <c r="K596" s="1">
        <v>6.0</v>
      </c>
      <c r="L596" s="1">
        <v>76.0</v>
      </c>
      <c r="M596" s="1">
        <v>89.0</v>
      </c>
      <c r="N596" s="1">
        <v>84.0</v>
      </c>
      <c r="O596" s="1">
        <v>0.0</v>
      </c>
      <c r="P596" s="1">
        <v>0.0</v>
      </c>
      <c r="Q596" s="1">
        <v>0.0</v>
      </c>
      <c r="R596" s="1">
        <v>1.0</v>
      </c>
      <c r="S596" s="1">
        <v>10.0</v>
      </c>
      <c r="T596" s="1">
        <v>45.0</v>
      </c>
      <c r="U596" s="1">
        <v>0.0</v>
      </c>
    </row>
    <row r="597" ht="12.75" customHeight="1">
      <c r="A597" s="1" t="s">
        <v>600</v>
      </c>
      <c r="B597" s="1">
        <f t="shared" si="3"/>
        <v>583</v>
      </c>
      <c r="C597" s="1" t="str">
        <f>IFERROR(__xludf.DUMMYFUNCTION("split(A597, ""\"")"),"Erik Gustafsson")</f>
        <v>Erik Gustafsson</v>
      </c>
      <c r="D597" s="1" t="str">
        <f>IFERROR(__xludf.DUMMYFUNCTION("""COMPUTED_VALUE"""),"gustaer02")</f>
        <v>gustaer02</v>
      </c>
      <c r="E597" s="1" t="s">
        <v>66</v>
      </c>
      <c r="F597" s="1">
        <f t="shared" si="1"/>
        <v>121.3</v>
      </c>
      <c r="G597" s="1">
        <f t="shared" si="2"/>
        <v>3.47</v>
      </c>
      <c r="H597" s="1">
        <v>35.0</v>
      </c>
      <c r="I597" s="1">
        <v>5.0</v>
      </c>
      <c r="J597" s="1">
        <v>11.0</v>
      </c>
      <c r="K597" s="1">
        <v>16.0</v>
      </c>
      <c r="L597" s="1">
        <v>71.0</v>
      </c>
      <c r="M597" s="1">
        <v>30.0</v>
      </c>
      <c r="N597" s="1">
        <v>45.0</v>
      </c>
      <c r="O597" s="1">
        <v>0.0</v>
      </c>
      <c r="P597" s="1">
        <v>4.0</v>
      </c>
      <c r="Q597" s="1">
        <v>0.0</v>
      </c>
      <c r="R597" s="1">
        <v>0.0</v>
      </c>
      <c r="S597" s="1">
        <v>1.0</v>
      </c>
      <c r="T597" s="1">
        <v>6.0</v>
      </c>
      <c r="U597" s="1">
        <v>0.0</v>
      </c>
    </row>
    <row r="598" ht="12.75" customHeight="1">
      <c r="A598" s="1" t="s">
        <v>601</v>
      </c>
      <c r="B598" s="1">
        <f t="shared" si="3"/>
        <v>584</v>
      </c>
      <c r="C598" s="1" t="str">
        <f>IFERROR(__xludf.DUMMYFUNCTION("split(A598, ""\"")"),"Remi Elie")</f>
        <v>Remi Elie</v>
      </c>
      <c r="D598" s="1" t="str">
        <f>IFERROR(__xludf.DUMMYFUNCTION("""COMPUTED_VALUE"""),"eliere01")</f>
        <v>eliere01</v>
      </c>
      <c r="E598" s="1" t="s">
        <v>28</v>
      </c>
      <c r="F598" s="1">
        <f t="shared" si="1"/>
        <v>121.15</v>
      </c>
      <c r="G598" s="1">
        <f t="shared" si="2"/>
        <v>1.68</v>
      </c>
      <c r="H598" s="1">
        <v>72.0</v>
      </c>
      <c r="I598" s="1">
        <v>6.0</v>
      </c>
      <c r="J598" s="1">
        <v>8.0</v>
      </c>
      <c r="K598" s="1">
        <v>14.0</v>
      </c>
      <c r="L598" s="1">
        <v>70.0</v>
      </c>
      <c r="M598" s="1">
        <v>101.0</v>
      </c>
      <c r="N598" s="1">
        <v>20.0</v>
      </c>
      <c r="O598" s="1">
        <v>0.0</v>
      </c>
      <c r="P598" s="1">
        <v>0.0</v>
      </c>
      <c r="Q598" s="1">
        <v>0.0</v>
      </c>
      <c r="R598" s="1">
        <v>0.0</v>
      </c>
      <c r="S598" s="1">
        <v>5.0</v>
      </c>
      <c r="T598" s="1">
        <v>18.0</v>
      </c>
      <c r="U598" s="1">
        <v>1.0</v>
      </c>
    </row>
    <row r="599" ht="12.75" customHeight="1">
      <c r="A599" s="1" t="s">
        <v>651</v>
      </c>
      <c r="B599" s="1">
        <f t="shared" si="3"/>
        <v>585</v>
      </c>
      <c r="C599" s="1" t="str">
        <f>IFERROR(__xludf.DUMMYFUNCTION("split(A599, ""\"")"),"Miikka Salomaki")</f>
        <v>Miikka Salomaki</v>
      </c>
      <c r="D599" s="1" t="str">
        <f>IFERROR(__xludf.DUMMYFUNCTION("""COMPUTED_VALUE"""),"salommi01")</f>
        <v>salommi01</v>
      </c>
      <c r="E599" s="1" t="s">
        <v>36</v>
      </c>
      <c r="F599" s="1">
        <f t="shared" si="1"/>
        <v>120.7</v>
      </c>
      <c r="G599" s="1">
        <f t="shared" si="2"/>
        <v>2.08</v>
      </c>
      <c r="H599" s="1">
        <v>58.0</v>
      </c>
      <c r="I599" s="1">
        <v>2.0</v>
      </c>
      <c r="J599" s="1">
        <v>6.0</v>
      </c>
      <c r="K599" s="1">
        <v>8.0</v>
      </c>
      <c r="L599" s="1">
        <v>51.0</v>
      </c>
      <c r="M599" s="1">
        <v>114.0</v>
      </c>
      <c r="N599" s="1">
        <v>35.0</v>
      </c>
      <c r="O599" s="1">
        <v>0.0</v>
      </c>
      <c r="P599" s="1">
        <v>0.0</v>
      </c>
      <c r="Q599" s="1">
        <v>0.0</v>
      </c>
      <c r="R599" s="1">
        <v>0.0</v>
      </c>
      <c r="S599" s="1">
        <v>-8.0</v>
      </c>
      <c r="T599" s="1">
        <v>34.0</v>
      </c>
      <c r="U599" s="1">
        <v>0.0</v>
      </c>
    </row>
    <row r="600" ht="12.75" customHeight="1">
      <c r="A600" s="1" t="s">
        <v>650</v>
      </c>
      <c r="B600" s="1">
        <f t="shared" si="3"/>
        <v>586</v>
      </c>
      <c r="C600" s="1" t="str">
        <f>IFERROR(__xludf.DUMMYFUNCTION("split(A600, ""\"")"),"Radim Vrbata")</f>
        <v>Radim Vrbata</v>
      </c>
      <c r="D600" s="1" t="str">
        <f>IFERROR(__xludf.DUMMYFUNCTION("""COMPUTED_VALUE"""),"vrbatra01")</f>
        <v>vrbatra01</v>
      </c>
      <c r="E600" s="1" t="s">
        <v>36</v>
      </c>
      <c r="F600" s="1">
        <f t="shared" si="1"/>
        <v>120.55</v>
      </c>
      <c r="G600" s="1">
        <f t="shared" si="2"/>
        <v>2.87</v>
      </c>
      <c r="H600" s="1">
        <v>42.0</v>
      </c>
      <c r="I600" s="1">
        <v>5.0</v>
      </c>
      <c r="J600" s="1">
        <v>9.0</v>
      </c>
      <c r="K600" s="1">
        <v>14.0</v>
      </c>
      <c r="L600" s="1">
        <v>88.0</v>
      </c>
      <c r="M600" s="1">
        <v>15.0</v>
      </c>
      <c r="N600" s="1">
        <v>16.0</v>
      </c>
      <c r="O600" s="1">
        <v>2.0</v>
      </c>
      <c r="P600" s="1">
        <v>2.0</v>
      </c>
      <c r="Q600" s="1">
        <v>0.0</v>
      </c>
      <c r="R600" s="1">
        <v>0.0</v>
      </c>
      <c r="S600" s="1">
        <v>-7.0</v>
      </c>
      <c r="T600" s="1">
        <v>16.0</v>
      </c>
      <c r="U600" s="1">
        <v>0.0</v>
      </c>
    </row>
    <row r="601" ht="12.75" customHeight="1">
      <c r="A601" s="1" t="s">
        <v>624</v>
      </c>
      <c r="B601" s="1">
        <f t="shared" si="3"/>
        <v>587</v>
      </c>
      <c r="C601" s="1" t="str">
        <f>IFERROR(__xludf.DUMMYFUNCTION("split(A601, ""\"")"),"Matt Martin")</f>
        <v>Matt Martin</v>
      </c>
      <c r="D601" s="1" t="str">
        <f>IFERROR(__xludf.DUMMYFUNCTION("""COMPUTED_VALUE"""),"martima02")</f>
        <v>martima02</v>
      </c>
      <c r="E601" s="1" t="s">
        <v>28</v>
      </c>
      <c r="F601" s="1">
        <f t="shared" si="1"/>
        <v>119.75</v>
      </c>
      <c r="G601" s="1">
        <f t="shared" si="2"/>
        <v>2.4</v>
      </c>
      <c r="H601" s="1">
        <v>50.0</v>
      </c>
      <c r="I601" s="1">
        <v>3.0</v>
      </c>
      <c r="J601" s="1">
        <v>9.0</v>
      </c>
      <c r="K601" s="1">
        <v>12.0</v>
      </c>
      <c r="L601" s="1">
        <v>46.0</v>
      </c>
      <c r="M601" s="1">
        <v>147.0</v>
      </c>
      <c r="N601" s="1">
        <v>9.0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50.0</v>
      </c>
      <c r="U601" s="1">
        <v>0.0</v>
      </c>
    </row>
    <row r="602" ht="12.75" customHeight="1">
      <c r="A602" s="1" t="s">
        <v>610</v>
      </c>
      <c r="B602" s="1">
        <f t="shared" si="3"/>
        <v>588</v>
      </c>
      <c r="C602" s="1" t="str">
        <f>IFERROR(__xludf.DUMMYFUNCTION("split(A602, ""\"")"),"MacKenzie Weegar")</f>
        <v>MacKenzie Weegar</v>
      </c>
      <c r="D602" s="1" t="str">
        <f>IFERROR(__xludf.DUMMYFUNCTION("""COMPUTED_VALUE"""),"weegama01")</f>
        <v>weegama01</v>
      </c>
      <c r="E602" s="1" t="s">
        <v>66</v>
      </c>
      <c r="F602" s="1">
        <f t="shared" si="1"/>
        <v>119.6</v>
      </c>
      <c r="G602" s="1">
        <f t="shared" si="2"/>
        <v>1.99</v>
      </c>
      <c r="H602" s="1">
        <v>60.0</v>
      </c>
      <c r="I602" s="1">
        <v>2.0</v>
      </c>
      <c r="J602" s="1">
        <v>6.0</v>
      </c>
      <c r="K602" s="1">
        <v>8.0</v>
      </c>
      <c r="L602" s="1">
        <v>58.0</v>
      </c>
      <c r="M602" s="1">
        <v>108.0</v>
      </c>
      <c r="N602" s="1">
        <v>69.0</v>
      </c>
      <c r="O602" s="1">
        <v>0.0</v>
      </c>
      <c r="P602" s="1">
        <v>0.0</v>
      </c>
      <c r="Q602" s="1">
        <v>0.0</v>
      </c>
      <c r="R602" s="1">
        <v>0.0</v>
      </c>
      <c r="S602" s="1">
        <v>5.0</v>
      </c>
      <c r="T602" s="1">
        <v>32.0</v>
      </c>
      <c r="U602" s="1">
        <v>0.0</v>
      </c>
    </row>
    <row r="603" ht="12.75" customHeight="1">
      <c r="A603" s="1" t="s">
        <v>648</v>
      </c>
      <c r="B603" s="1">
        <f t="shared" si="3"/>
        <v>589</v>
      </c>
      <c r="C603" s="1" t="str">
        <f>IFERROR(__xludf.DUMMYFUNCTION("split(A603, ""\"")"),"Matt Hunwick")</f>
        <v>Matt Hunwick</v>
      </c>
      <c r="D603" s="1" t="str">
        <f>IFERROR(__xludf.DUMMYFUNCTION("""COMPUTED_VALUE"""),"hunwima01")</f>
        <v>hunwima01</v>
      </c>
      <c r="E603" s="1" t="s">
        <v>66</v>
      </c>
      <c r="F603" s="1">
        <f t="shared" si="1"/>
        <v>118.55</v>
      </c>
      <c r="G603" s="1">
        <f t="shared" si="2"/>
        <v>2.82</v>
      </c>
      <c r="H603" s="1">
        <v>42.0</v>
      </c>
      <c r="I603" s="1">
        <v>4.0</v>
      </c>
      <c r="J603" s="1">
        <v>6.0</v>
      </c>
      <c r="K603" s="1">
        <v>10.0</v>
      </c>
      <c r="L603" s="1">
        <v>52.0</v>
      </c>
      <c r="M603" s="1">
        <v>51.0</v>
      </c>
      <c r="N603" s="1">
        <v>53.0</v>
      </c>
      <c r="O603" s="1">
        <v>0.0</v>
      </c>
      <c r="P603" s="1">
        <v>0.0</v>
      </c>
      <c r="Q603" s="1">
        <v>1.0</v>
      </c>
      <c r="R603" s="1">
        <v>0.0</v>
      </c>
      <c r="S603" s="1">
        <v>-4.0</v>
      </c>
      <c r="T603" s="1">
        <v>21.0</v>
      </c>
      <c r="U603" s="1">
        <v>1.0</v>
      </c>
    </row>
    <row r="604" ht="12.75" customHeight="1">
      <c r="A604" s="1" t="s">
        <v>631</v>
      </c>
      <c r="B604" s="1">
        <f t="shared" si="3"/>
        <v>590</v>
      </c>
      <c r="C604" s="1" t="str">
        <f>IFERROR(__xludf.DUMMYFUNCTION("split(A604, ""\"")"),"Johnny Oduya")</f>
        <v>Johnny Oduya</v>
      </c>
      <c r="D604" s="1" t="str">
        <f>IFERROR(__xludf.DUMMYFUNCTION("""COMPUTED_VALUE"""),"oduyajo01")</f>
        <v>oduyajo01</v>
      </c>
      <c r="E604" s="1" t="s">
        <v>66</v>
      </c>
      <c r="F604" s="1">
        <f t="shared" si="1"/>
        <v>118.1</v>
      </c>
      <c r="G604" s="1">
        <f t="shared" si="2"/>
        <v>2.27</v>
      </c>
      <c r="H604" s="1">
        <v>52.0</v>
      </c>
      <c r="I604" s="1">
        <v>4.0</v>
      </c>
      <c r="J604" s="1">
        <v>4.0</v>
      </c>
      <c r="K604" s="1">
        <v>8.0</v>
      </c>
      <c r="L604" s="1">
        <v>59.0</v>
      </c>
      <c r="M604" s="1">
        <v>50.0</v>
      </c>
      <c r="N604" s="1">
        <v>76.0</v>
      </c>
      <c r="O604" s="1">
        <v>0.0</v>
      </c>
      <c r="P604" s="1">
        <v>0.0</v>
      </c>
      <c r="Q604" s="1">
        <v>0.0</v>
      </c>
      <c r="R604" s="1">
        <v>0.0</v>
      </c>
      <c r="S604" s="1">
        <v>1.0</v>
      </c>
      <c r="T604" s="1">
        <v>32.0</v>
      </c>
      <c r="U604" s="1">
        <v>0.0</v>
      </c>
    </row>
    <row r="605" ht="12.75" customHeight="1">
      <c r="A605" s="1" t="s">
        <v>590</v>
      </c>
      <c r="B605" s="1">
        <f t="shared" si="3"/>
        <v>591</v>
      </c>
      <c r="C605" s="1" t="str">
        <f>IFERROR(__xludf.DUMMYFUNCTION("split(A605, ""\"")"),"Michal Kempny")</f>
        <v>Michal Kempny</v>
      </c>
      <c r="D605" s="1" t="str">
        <f>IFERROR(__xludf.DUMMYFUNCTION("""COMPUTED_VALUE"""),"kempnmi01")</f>
        <v>kempnmi01</v>
      </c>
      <c r="E605" s="1" t="s">
        <v>66</v>
      </c>
      <c r="F605" s="1">
        <f t="shared" si="1"/>
        <v>117.55</v>
      </c>
      <c r="G605" s="1">
        <f t="shared" si="2"/>
        <v>2.22</v>
      </c>
      <c r="H605" s="1">
        <v>53.0</v>
      </c>
      <c r="I605" s="1">
        <v>3.0</v>
      </c>
      <c r="J605" s="1">
        <v>7.0</v>
      </c>
      <c r="K605" s="1">
        <v>10.0</v>
      </c>
      <c r="L605" s="1">
        <v>82.0</v>
      </c>
      <c r="M605" s="1">
        <v>57.0</v>
      </c>
      <c r="N605" s="1">
        <v>82.0</v>
      </c>
      <c r="O605" s="1">
        <v>0.0</v>
      </c>
      <c r="P605" s="1">
        <v>0.0</v>
      </c>
      <c r="Q605" s="1">
        <v>0.0</v>
      </c>
      <c r="R605" s="1">
        <v>0.0</v>
      </c>
      <c r="S605" s="1">
        <v>14.0</v>
      </c>
      <c r="T605" s="1">
        <v>26.0</v>
      </c>
      <c r="U605" s="1">
        <v>0.0</v>
      </c>
    </row>
    <row r="606" ht="12.75" customHeight="1">
      <c r="A606" s="1" t="s">
        <v>628</v>
      </c>
      <c r="B606" s="1">
        <f t="shared" si="3"/>
        <v>592</v>
      </c>
      <c r="C606" s="1" t="str">
        <f>IFERROR(__xludf.DUMMYFUNCTION("split(A606, ""\"")"),"Niklas Hjalmarsson")</f>
        <v>Niklas Hjalmarsson</v>
      </c>
      <c r="D606" s="1" t="str">
        <f>IFERROR(__xludf.DUMMYFUNCTION("""COMPUTED_VALUE"""),"hjalmni01")</f>
        <v>hjalmni01</v>
      </c>
      <c r="E606" s="1" t="s">
        <v>66</v>
      </c>
      <c r="F606" s="1">
        <f t="shared" si="1"/>
        <v>117.4</v>
      </c>
      <c r="G606" s="1">
        <f t="shared" si="2"/>
        <v>2.45</v>
      </c>
      <c r="H606" s="1">
        <v>48.0</v>
      </c>
      <c r="I606" s="1">
        <v>1.0</v>
      </c>
      <c r="J606" s="1">
        <v>8.0</v>
      </c>
      <c r="K606" s="1">
        <v>9.0</v>
      </c>
      <c r="L606" s="1">
        <v>32.0</v>
      </c>
      <c r="M606" s="1">
        <v>16.0</v>
      </c>
      <c r="N606" s="1">
        <v>118.0</v>
      </c>
      <c r="O606" s="1">
        <v>0.0</v>
      </c>
      <c r="P606" s="1">
        <v>1.0</v>
      </c>
      <c r="Q606" s="1">
        <v>0.0</v>
      </c>
      <c r="R606" s="1">
        <v>0.0</v>
      </c>
      <c r="S606" s="1">
        <v>-3.0</v>
      </c>
      <c r="T606" s="1">
        <v>18.0</v>
      </c>
      <c r="U606" s="1">
        <v>0.0</v>
      </c>
    </row>
    <row r="607" ht="12.75" customHeight="1">
      <c r="A607" s="1" t="s">
        <v>607</v>
      </c>
      <c r="B607" s="1">
        <f t="shared" si="3"/>
        <v>593</v>
      </c>
      <c r="C607" s="1" t="str">
        <f>IFERROR(__xludf.DUMMYFUNCTION("split(A607, ""\"")"),"Dmitry Kulikov")</f>
        <v>Dmitry Kulikov</v>
      </c>
      <c r="D607" s="1" t="str">
        <f>IFERROR(__xludf.DUMMYFUNCTION("""COMPUTED_VALUE"""),"kulikdm01")</f>
        <v>kulikdm01</v>
      </c>
      <c r="E607" s="1" t="s">
        <v>66</v>
      </c>
      <c r="F607" s="1">
        <f t="shared" si="1"/>
        <v>117.35</v>
      </c>
      <c r="G607" s="1">
        <f t="shared" si="2"/>
        <v>1.89</v>
      </c>
      <c r="H607" s="1">
        <v>62.0</v>
      </c>
      <c r="I607" s="1">
        <v>3.0</v>
      </c>
      <c r="J607" s="1">
        <v>8.0</v>
      </c>
      <c r="K607" s="1">
        <v>11.0</v>
      </c>
      <c r="L607" s="1">
        <v>48.0</v>
      </c>
      <c r="M607" s="1">
        <v>69.0</v>
      </c>
      <c r="N607" s="1">
        <v>78.0</v>
      </c>
      <c r="O607" s="1">
        <v>0.0</v>
      </c>
      <c r="P607" s="1">
        <v>0.0</v>
      </c>
      <c r="Q607" s="1">
        <v>0.0</v>
      </c>
      <c r="R607" s="1">
        <v>0.0</v>
      </c>
      <c r="S607" s="1">
        <v>6.0</v>
      </c>
      <c r="T607" s="1">
        <v>22.0</v>
      </c>
      <c r="U607" s="1">
        <v>1.0</v>
      </c>
    </row>
    <row r="608" ht="12.75" customHeight="1">
      <c r="A608" s="1" t="s">
        <v>625</v>
      </c>
      <c r="B608" s="1">
        <f t="shared" si="3"/>
        <v>594</v>
      </c>
      <c r="C608" s="1" t="str">
        <f>IFERROR(__xludf.DUMMYFUNCTION("split(A608, ""\"")"),"Lance Bouma")</f>
        <v>Lance Bouma</v>
      </c>
      <c r="D608" s="1" t="str">
        <f>IFERROR(__xludf.DUMMYFUNCTION("""COMPUTED_VALUE"""),"boumala01")</f>
        <v>boumala01</v>
      </c>
      <c r="E608" s="1" t="s">
        <v>31</v>
      </c>
      <c r="F608" s="1">
        <f t="shared" si="1"/>
        <v>117.3</v>
      </c>
      <c r="G608" s="1">
        <f t="shared" si="2"/>
        <v>2.21</v>
      </c>
      <c r="H608" s="1">
        <v>53.0</v>
      </c>
      <c r="I608" s="1">
        <v>3.0</v>
      </c>
      <c r="J608" s="1">
        <v>6.0</v>
      </c>
      <c r="K608" s="1">
        <v>9.0</v>
      </c>
      <c r="L608" s="1">
        <v>56.0</v>
      </c>
      <c r="M608" s="1">
        <v>132.0</v>
      </c>
      <c r="N608" s="1">
        <v>27.0</v>
      </c>
      <c r="O608" s="1">
        <v>0.0</v>
      </c>
      <c r="P608" s="1">
        <v>1.0</v>
      </c>
      <c r="Q608" s="1">
        <v>0.0</v>
      </c>
      <c r="R608" s="1">
        <v>0.0</v>
      </c>
      <c r="S608" s="1">
        <v>1.0</v>
      </c>
      <c r="T608" s="1">
        <v>36.0</v>
      </c>
      <c r="U608" s="1">
        <v>1.0</v>
      </c>
    </row>
    <row r="609" ht="12.75" customHeight="1">
      <c r="A609" s="1" t="s">
        <v>674</v>
      </c>
      <c r="B609" s="1">
        <f t="shared" si="3"/>
        <v>595</v>
      </c>
      <c r="C609" s="1" t="str">
        <f>IFERROR(__xludf.DUMMYFUNCTION("split(A609, ""\"")"),"Anthony DeAngelo")</f>
        <v>Anthony DeAngelo</v>
      </c>
      <c r="D609" s="1" t="str">
        <f>IFERROR(__xludf.DUMMYFUNCTION("""COMPUTED_VALUE"""),"deangan01")</f>
        <v>deangan01</v>
      </c>
      <c r="E609" s="1" t="s">
        <v>66</v>
      </c>
      <c r="F609" s="1">
        <f t="shared" si="1"/>
        <v>117.05</v>
      </c>
      <c r="G609" s="1">
        <f t="shared" si="2"/>
        <v>3.66</v>
      </c>
      <c r="H609" s="1">
        <v>32.0</v>
      </c>
      <c r="I609" s="1">
        <v>0.0</v>
      </c>
      <c r="J609" s="1">
        <v>8.0</v>
      </c>
      <c r="K609" s="1">
        <v>8.0</v>
      </c>
      <c r="L609" s="1">
        <v>68.0</v>
      </c>
      <c r="M609" s="1">
        <v>31.0</v>
      </c>
      <c r="N609" s="1">
        <v>42.0</v>
      </c>
      <c r="O609" s="1">
        <v>0.0</v>
      </c>
      <c r="P609" s="1">
        <v>6.0</v>
      </c>
      <c r="Q609" s="1">
        <v>0.0</v>
      </c>
      <c r="R609" s="1">
        <v>0.0</v>
      </c>
      <c r="S609" s="1">
        <v>-18.0</v>
      </c>
      <c r="T609" s="1">
        <v>11.0</v>
      </c>
      <c r="U609" s="1">
        <v>0.0</v>
      </c>
    </row>
    <row r="610" ht="12.75" customHeight="1">
      <c r="A610" s="1" t="s">
        <v>653</v>
      </c>
      <c r="B610" s="1">
        <f t="shared" si="3"/>
        <v>596</v>
      </c>
      <c r="C610" s="1" t="str">
        <f>IFERROR(__xludf.DUMMYFUNCTION("split(A610, ""\"")"),"Torrey Mitchell")</f>
        <v>Torrey Mitchell</v>
      </c>
      <c r="D610" s="1" t="str">
        <f>IFERROR(__xludf.DUMMYFUNCTION("""COMPUTED_VALUE"""),"mitchto01")</f>
        <v>mitchto01</v>
      </c>
      <c r="E610" s="1" t="s">
        <v>31</v>
      </c>
      <c r="F610" s="1">
        <f t="shared" si="1"/>
        <v>116.75</v>
      </c>
      <c r="G610" s="1">
        <f t="shared" si="2"/>
        <v>1.95</v>
      </c>
      <c r="H610" s="1">
        <v>60.0</v>
      </c>
      <c r="I610" s="1">
        <v>6.0</v>
      </c>
      <c r="J610" s="1">
        <v>5.0</v>
      </c>
      <c r="K610" s="1">
        <v>11.0</v>
      </c>
      <c r="L610" s="1">
        <v>55.0</v>
      </c>
      <c r="M610" s="1">
        <v>53.0</v>
      </c>
      <c r="N610" s="1">
        <v>29.0</v>
      </c>
      <c r="O610" s="1">
        <v>0.0</v>
      </c>
      <c r="P610" s="1">
        <v>0.0</v>
      </c>
      <c r="Q610" s="1">
        <v>0.0</v>
      </c>
      <c r="R610" s="1">
        <v>1.0</v>
      </c>
      <c r="S610" s="1">
        <v>-5.0</v>
      </c>
      <c r="T610" s="1">
        <v>30.0</v>
      </c>
      <c r="U610" s="1">
        <v>0.0</v>
      </c>
    </row>
    <row r="611" ht="12.75" customHeight="1">
      <c r="A611" s="1" t="s">
        <v>595</v>
      </c>
      <c r="B611" s="1">
        <f t="shared" si="3"/>
        <v>597</v>
      </c>
      <c r="C611" s="1" t="str">
        <f>IFERROR(__xludf.DUMMYFUNCTION("split(A611, ""\"")"),"Marc Staal")</f>
        <v>Marc Staal</v>
      </c>
      <c r="D611" s="1" t="str">
        <f>IFERROR(__xludf.DUMMYFUNCTION("""COMPUTED_VALUE"""),"staalma01")</f>
        <v>staalma01</v>
      </c>
      <c r="E611" s="1" t="s">
        <v>66</v>
      </c>
      <c r="F611" s="1">
        <f t="shared" si="1"/>
        <v>115.4</v>
      </c>
      <c r="G611" s="1">
        <f t="shared" si="2"/>
        <v>1.6</v>
      </c>
      <c r="H611" s="1">
        <v>72.0</v>
      </c>
      <c r="I611" s="1">
        <v>1.0</v>
      </c>
      <c r="J611" s="1">
        <v>7.0</v>
      </c>
      <c r="K611" s="1">
        <v>8.0</v>
      </c>
      <c r="L611" s="1">
        <v>68.0</v>
      </c>
      <c r="M611" s="1">
        <v>76.0</v>
      </c>
      <c r="N611" s="1">
        <v>96.0</v>
      </c>
      <c r="O611" s="1">
        <v>0.0</v>
      </c>
      <c r="P611" s="1">
        <v>0.0</v>
      </c>
      <c r="Q611" s="1">
        <v>0.0</v>
      </c>
      <c r="R611" s="1">
        <v>0.0</v>
      </c>
      <c r="S611" s="1">
        <v>11.0</v>
      </c>
      <c r="T611" s="1">
        <v>18.0</v>
      </c>
      <c r="U611" s="1">
        <v>0.0</v>
      </c>
    </row>
    <row r="612" ht="12.75" customHeight="1">
      <c r="A612" s="1" t="s">
        <v>627</v>
      </c>
      <c r="B612" s="1">
        <f t="shared" si="3"/>
        <v>598</v>
      </c>
      <c r="C612" s="1" t="str">
        <f>IFERROR(__xludf.DUMMYFUNCTION("split(A612, ""\"")"),"Mark Barberio")</f>
        <v>Mark Barberio</v>
      </c>
      <c r="D612" s="1" t="str">
        <f>IFERROR(__xludf.DUMMYFUNCTION("""COMPUTED_VALUE"""),"barbema01")</f>
        <v>barbema01</v>
      </c>
      <c r="E612" s="1" t="s">
        <v>66</v>
      </c>
      <c r="F612" s="1">
        <f t="shared" si="1"/>
        <v>115.3</v>
      </c>
      <c r="G612" s="1">
        <f t="shared" si="2"/>
        <v>2.51</v>
      </c>
      <c r="H612" s="1">
        <v>46.0</v>
      </c>
      <c r="I612" s="1">
        <v>3.0</v>
      </c>
      <c r="J612" s="1">
        <v>10.0</v>
      </c>
      <c r="K612" s="1">
        <v>13.0</v>
      </c>
      <c r="L612" s="1">
        <v>52.0</v>
      </c>
      <c r="M612" s="1">
        <v>26.0</v>
      </c>
      <c r="N612" s="1">
        <v>62.0</v>
      </c>
      <c r="O612" s="1">
        <v>0.0</v>
      </c>
      <c r="P612" s="1">
        <v>1.0</v>
      </c>
      <c r="Q612" s="1">
        <v>1.0</v>
      </c>
      <c r="R612" s="1">
        <v>1.0</v>
      </c>
      <c r="S612" s="1">
        <v>6.0</v>
      </c>
      <c r="T612" s="1">
        <v>31.0</v>
      </c>
      <c r="U612" s="1">
        <v>1.0</v>
      </c>
    </row>
    <row r="613" ht="12.75" customHeight="1">
      <c r="A613" s="1" t="s">
        <v>632</v>
      </c>
      <c r="B613" s="1">
        <f t="shared" si="3"/>
        <v>599</v>
      </c>
      <c r="C613" s="1" t="str">
        <f>IFERROR(__xludf.DUMMYFUNCTION("split(A613, ""\"")"),"Phillip Di Giuseppe")</f>
        <v>Phillip Di Giuseppe</v>
      </c>
      <c r="D613" s="1" t="str">
        <f>IFERROR(__xludf.DUMMYFUNCTION("""COMPUTED_VALUE"""),"digiuph01")</f>
        <v>digiuph01</v>
      </c>
      <c r="E613" s="1" t="s">
        <v>28</v>
      </c>
      <c r="F613" s="1">
        <f t="shared" si="1"/>
        <v>114.6</v>
      </c>
      <c r="G613" s="1">
        <f t="shared" si="2"/>
        <v>2.34</v>
      </c>
      <c r="H613" s="1">
        <v>49.0</v>
      </c>
      <c r="I613" s="1">
        <v>5.0</v>
      </c>
      <c r="J613" s="1">
        <v>8.0</v>
      </c>
      <c r="K613" s="1">
        <v>13.0</v>
      </c>
      <c r="L613" s="1">
        <v>64.0</v>
      </c>
      <c r="M613" s="1">
        <v>88.0</v>
      </c>
      <c r="N613" s="1">
        <v>14.0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17.0</v>
      </c>
      <c r="U613" s="1">
        <v>1.0</v>
      </c>
    </row>
    <row r="614" ht="12.75" customHeight="1">
      <c r="A614" s="1" t="s">
        <v>644</v>
      </c>
      <c r="B614" s="1">
        <f t="shared" si="3"/>
        <v>600</v>
      </c>
      <c r="C614" s="1" t="str">
        <f>IFERROR(__xludf.DUMMYFUNCTION("split(A614, ""\"")"),"Anton Slepyshev")</f>
        <v>Anton Slepyshev</v>
      </c>
      <c r="D614" s="1" t="str">
        <f>IFERROR(__xludf.DUMMYFUNCTION("""COMPUTED_VALUE"""),"slepyan01")</f>
        <v>slepyan01</v>
      </c>
      <c r="E614" s="1" t="s">
        <v>28</v>
      </c>
      <c r="F614" s="1">
        <f t="shared" si="1"/>
        <v>114.15</v>
      </c>
      <c r="G614" s="1">
        <f t="shared" si="2"/>
        <v>2.28</v>
      </c>
      <c r="H614" s="1">
        <v>50.0</v>
      </c>
      <c r="I614" s="1">
        <v>6.0</v>
      </c>
      <c r="J614" s="1">
        <v>6.0</v>
      </c>
      <c r="K614" s="1">
        <v>12.0</v>
      </c>
      <c r="L614" s="1">
        <v>73.0</v>
      </c>
      <c r="M614" s="1">
        <v>61.0</v>
      </c>
      <c r="N614" s="1">
        <v>18.0</v>
      </c>
      <c r="O614" s="1">
        <v>0.0</v>
      </c>
      <c r="P614" s="1">
        <v>0.0</v>
      </c>
      <c r="Q614" s="1">
        <v>0.0</v>
      </c>
      <c r="R614" s="1">
        <v>0.0</v>
      </c>
      <c r="S614" s="1">
        <v>-4.0</v>
      </c>
      <c r="T614" s="1">
        <v>8.0</v>
      </c>
      <c r="U614" s="1">
        <v>0.0</v>
      </c>
    </row>
    <row r="615" ht="12.75" customHeight="1">
      <c r="A615" s="1" t="s">
        <v>622</v>
      </c>
      <c r="B615" s="1">
        <f t="shared" si="3"/>
        <v>601</v>
      </c>
      <c r="C615" s="1" t="str">
        <f>IFERROR(__xludf.DUMMYFUNCTION("split(A615, ""\"")"),"Jussi Jokinen")</f>
        <v>Jussi Jokinen</v>
      </c>
      <c r="D615" s="1" t="str">
        <f>IFERROR(__xludf.DUMMYFUNCTION("""COMPUTED_VALUE"""),"jokinju01")</f>
        <v>jokinju01</v>
      </c>
      <c r="E615" s="1" t="s">
        <v>31</v>
      </c>
      <c r="F615" s="1">
        <f t="shared" si="1"/>
        <v>113.85</v>
      </c>
      <c r="G615" s="1">
        <f t="shared" si="2"/>
        <v>1.9</v>
      </c>
      <c r="H615" s="1">
        <v>60.0</v>
      </c>
      <c r="I615" s="1">
        <v>5.0</v>
      </c>
      <c r="J615" s="1">
        <v>12.0</v>
      </c>
      <c r="K615" s="1">
        <v>17.0</v>
      </c>
      <c r="L615" s="1">
        <v>73.0</v>
      </c>
      <c r="M615" s="1">
        <v>21.0</v>
      </c>
      <c r="N615" s="1">
        <v>22.0</v>
      </c>
      <c r="O615" s="1">
        <v>0.0</v>
      </c>
      <c r="P615" s="1">
        <v>5.0</v>
      </c>
      <c r="Q615" s="1">
        <v>0.0</v>
      </c>
      <c r="R615" s="1">
        <v>0.0</v>
      </c>
      <c r="S615" s="1">
        <v>2.0</v>
      </c>
      <c r="T615" s="1">
        <v>12.0</v>
      </c>
      <c r="U615" s="1">
        <v>1.0</v>
      </c>
    </row>
    <row r="616" ht="12.75" customHeight="1">
      <c r="A616" s="1" t="s">
        <v>633</v>
      </c>
      <c r="B616" s="1">
        <f t="shared" si="3"/>
        <v>602</v>
      </c>
      <c r="C616" s="1" t="str">
        <f>IFERROR(__xludf.DUMMYFUNCTION("split(A616, ""\"")"),"Connor Carrick")</f>
        <v>Connor Carrick</v>
      </c>
      <c r="D616" s="1" t="str">
        <f>IFERROR(__xludf.DUMMYFUNCTION("""COMPUTED_VALUE"""),"carrico01")</f>
        <v>carrico01</v>
      </c>
      <c r="E616" s="1" t="s">
        <v>66</v>
      </c>
      <c r="F616" s="1">
        <f t="shared" si="1"/>
        <v>113.1</v>
      </c>
      <c r="G616" s="1">
        <f t="shared" si="2"/>
        <v>2.41</v>
      </c>
      <c r="H616" s="1">
        <v>47.0</v>
      </c>
      <c r="I616" s="1">
        <v>4.0</v>
      </c>
      <c r="J616" s="1">
        <v>8.0</v>
      </c>
      <c r="K616" s="1">
        <v>12.0</v>
      </c>
      <c r="L616" s="1">
        <v>55.0</v>
      </c>
      <c r="M616" s="1">
        <v>42.0</v>
      </c>
      <c r="N616" s="1">
        <v>53.0</v>
      </c>
      <c r="O616" s="1">
        <v>1.0</v>
      </c>
      <c r="P616" s="1">
        <v>1.0</v>
      </c>
      <c r="Q616" s="1">
        <v>0.0</v>
      </c>
      <c r="R616" s="1">
        <v>0.0</v>
      </c>
      <c r="S616" s="1">
        <v>5.0</v>
      </c>
      <c r="T616" s="1">
        <v>27.0</v>
      </c>
      <c r="U616" s="1">
        <v>3.0</v>
      </c>
    </row>
    <row r="617" ht="12.75" customHeight="1">
      <c r="A617" s="1" t="s">
        <v>636</v>
      </c>
      <c r="B617" s="1">
        <f t="shared" si="3"/>
        <v>603</v>
      </c>
      <c r="C617" s="1" t="str">
        <f>IFERROR(__xludf.DUMMYFUNCTION("split(A617, ""\"")"),"Matt Stajan")</f>
        <v>Matt Stajan</v>
      </c>
      <c r="D617" s="1" t="str">
        <f>IFERROR(__xludf.DUMMYFUNCTION("""COMPUTED_VALUE"""),"stajama01")</f>
        <v>stajama01</v>
      </c>
      <c r="E617" s="1" t="s">
        <v>31</v>
      </c>
      <c r="F617" s="1">
        <f t="shared" si="1"/>
        <v>112.9</v>
      </c>
      <c r="G617" s="1">
        <f t="shared" si="2"/>
        <v>1.66</v>
      </c>
      <c r="H617" s="1">
        <v>68.0</v>
      </c>
      <c r="I617" s="1">
        <v>4.0</v>
      </c>
      <c r="J617" s="1">
        <v>8.0</v>
      </c>
      <c r="K617" s="1">
        <v>12.0</v>
      </c>
      <c r="L617" s="1">
        <v>65.0</v>
      </c>
      <c r="M617" s="1">
        <v>74.0</v>
      </c>
      <c r="N617" s="1">
        <v>31.0</v>
      </c>
      <c r="O617" s="1">
        <v>0.0</v>
      </c>
      <c r="P617" s="1">
        <v>0.0</v>
      </c>
      <c r="Q617" s="1">
        <v>0.0</v>
      </c>
      <c r="R617" s="1">
        <v>0.0</v>
      </c>
      <c r="S617" s="1">
        <v>4.0</v>
      </c>
      <c r="T617" s="1">
        <v>28.0</v>
      </c>
      <c r="U617" s="1">
        <v>1.0</v>
      </c>
    </row>
    <row r="618" ht="12.75" customHeight="1">
      <c r="A618" s="1" t="s">
        <v>602</v>
      </c>
      <c r="B618" s="1">
        <f t="shared" si="3"/>
        <v>604</v>
      </c>
      <c r="C618" s="1" t="str">
        <f>IFERROR(__xludf.DUMMYFUNCTION("split(A618, ""\"")"),"Carl Gunnarsson")</f>
        <v>Carl Gunnarsson</v>
      </c>
      <c r="D618" s="1" t="str">
        <f>IFERROR(__xludf.DUMMYFUNCTION("""COMPUTED_VALUE"""),"gunnaca01")</f>
        <v>gunnaca01</v>
      </c>
      <c r="E618" s="1" t="s">
        <v>66</v>
      </c>
      <c r="F618" s="1">
        <f t="shared" si="1"/>
        <v>111.85</v>
      </c>
      <c r="G618" s="1">
        <f t="shared" si="2"/>
        <v>1.78</v>
      </c>
      <c r="H618" s="1">
        <v>63.0</v>
      </c>
      <c r="I618" s="1">
        <v>5.0</v>
      </c>
      <c r="J618" s="1">
        <v>4.0</v>
      </c>
      <c r="K618" s="1">
        <v>9.0</v>
      </c>
      <c r="L618" s="1">
        <v>59.0</v>
      </c>
      <c r="M618" s="1">
        <v>35.0</v>
      </c>
      <c r="N618" s="1">
        <v>102.0</v>
      </c>
      <c r="O618" s="1">
        <v>0.0</v>
      </c>
      <c r="P618" s="1">
        <v>0.0</v>
      </c>
      <c r="Q618" s="1">
        <v>0.0</v>
      </c>
      <c r="R618" s="1">
        <v>0.0</v>
      </c>
      <c r="S618" s="1">
        <v>15.0</v>
      </c>
      <c r="T618" s="1">
        <v>22.0</v>
      </c>
      <c r="U618" s="1">
        <v>2.0</v>
      </c>
    </row>
    <row r="619" ht="12.75" customHeight="1">
      <c r="A619" s="1" t="s">
        <v>665</v>
      </c>
      <c r="B619" s="1">
        <f t="shared" si="3"/>
        <v>604</v>
      </c>
      <c r="C619" s="1" t="str">
        <f>IFERROR(__xludf.DUMMYFUNCTION("split(A619, ""\"")"),"Brett Kulak")</f>
        <v>Brett Kulak</v>
      </c>
      <c r="D619" s="1" t="str">
        <f>IFERROR(__xludf.DUMMYFUNCTION("""COMPUTED_VALUE"""),"kulakbr01")</f>
        <v>kulakbr01</v>
      </c>
      <c r="E619" s="1" t="s">
        <v>66</v>
      </c>
      <c r="F619" s="1">
        <f t="shared" si="1"/>
        <v>111.85</v>
      </c>
      <c r="G619" s="1">
        <f t="shared" si="2"/>
        <v>1.58</v>
      </c>
      <c r="H619" s="1">
        <v>71.0</v>
      </c>
      <c r="I619" s="1">
        <v>2.0</v>
      </c>
      <c r="J619" s="1">
        <v>6.0</v>
      </c>
      <c r="K619" s="1">
        <v>8.0</v>
      </c>
      <c r="L619" s="1">
        <v>73.0</v>
      </c>
      <c r="M619" s="1">
        <v>45.0</v>
      </c>
      <c r="N619" s="1">
        <v>49.0</v>
      </c>
      <c r="O619" s="1">
        <v>0.0</v>
      </c>
      <c r="P619" s="1">
        <v>0.0</v>
      </c>
      <c r="Q619" s="1">
        <v>0.0</v>
      </c>
      <c r="R619" s="1">
        <v>0.0</v>
      </c>
      <c r="S619" s="1">
        <v>-3.0</v>
      </c>
      <c r="T619" s="1">
        <v>27.0</v>
      </c>
      <c r="U619" s="1">
        <v>0.0</v>
      </c>
    </row>
    <row r="620" ht="12.75" customHeight="1">
      <c r="A620" s="1" t="s">
        <v>619</v>
      </c>
      <c r="B620" s="1">
        <f t="shared" si="3"/>
        <v>606</v>
      </c>
      <c r="C620" s="1" t="str">
        <f>IFERROR(__xludf.DUMMYFUNCTION("split(A620, ""\"")"),"Andreas Borgman")</f>
        <v>Andreas Borgman</v>
      </c>
      <c r="D620" s="1" t="str">
        <f>IFERROR(__xludf.DUMMYFUNCTION("""COMPUTED_VALUE"""),"borgman01")</f>
        <v>borgman01</v>
      </c>
      <c r="E620" s="1" t="s">
        <v>66</v>
      </c>
      <c r="F620" s="1">
        <f t="shared" si="1"/>
        <v>111.15</v>
      </c>
      <c r="G620" s="1">
        <f t="shared" si="2"/>
        <v>2.32</v>
      </c>
      <c r="H620" s="1">
        <v>48.0</v>
      </c>
      <c r="I620" s="1">
        <v>3.0</v>
      </c>
      <c r="J620" s="1">
        <v>8.0</v>
      </c>
      <c r="K620" s="1">
        <v>11.0</v>
      </c>
      <c r="L620" s="1">
        <v>46.0</v>
      </c>
      <c r="M620" s="1">
        <v>121.0</v>
      </c>
      <c r="N620" s="1">
        <v>36.0</v>
      </c>
      <c r="O620" s="1">
        <v>0.0</v>
      </c>
      <c r="P620" s="1">
        <v>0.0</v>
      </c>
      <c r="Q620" s="1">
        <v>0.0</v>
      </c>
      <c r="R620" s="1">
        <v>0.0</v>
      </c>
      <c r="S620" s="1">
        <v>4.0</v>
      </c>
      <c r="T620" s="1">
        <v>28.0</v>
      </c>
      <c r="U620" s="1">
        <v>0.0</v>
      </c>
    </row>
    <row r="621" ht="12.75" customHeight="1">
      <c r="A621" s="1" t="s">
        <v>670</v>
      </c>
      <c r="B621" s="1">
        <f t="shared" si="3"/>
        <v>607</v>
      </c>
      <c r="C621" s="1" t="str">
        <f>IFERROR(__xludf.DUMMYFUNCTION("split(A621, ""\"")"),"Brendan Smith")</f>
        <v>Brendan Smith</v>
      </c>
      <c r="D621" s="1" t="str">
        <f>IFERROR(__xludf.DUMMYFUNCTION("""COMPUTED_VALUE"""),"smithbr05")</f>
        <v>smithbr05</v>
      </c>
      <c r="E621" s="1" t="s">
        <v>66</v>
      </c>
      <c r="F621" s="1">
        <f t="shared" si="1"/>
        <v>109.2</v>
      </c>
      <c r="G621" s="1">
        <f t="shared" si="2"/>
        <v>2.48</v>
      </c>
      <c r="H621" s="1">
        <v>44.0</v>
      </c>
      <c r="I621" s="1">
        <v>1.0</v>
      </c>
      <c r="J621" s="1">
        <v>7.0</v>
      </c>
      <c r="K621" s="1">
        <v>8.0</v>
      </c>
      <c r="L621" s="1">
        <v>66.0</v>
      </c>
      <c r="M621" s="1">
        <v>58.0</v>
      </c>
      <c r="N621" s="1">
        <v>37.0</v>
      </c>
      <c r="O621" s="1">
        <v>0.0</v>
      </c>
      <c r="P621" s="1">
        <v>1.0</v>
      </c>
      <c r="Q621" s="1">
        <v>0.0</v>
      </c>
      <c r="R621" s="1">
        <v>0.0</v>
      </c>
      <c r="S621" s="1">
        <v>2.0</v>
      </c>
      <c r="T621" s="1">
        <v>69.0</v>
      </c>
      <c r="U621" s="1">
        <v>0.0</v>
      </c>
    </row>
    <row r="622" ht="12.75" customHeight="1">
      <c r="A622" s="1" t="s">
        <v>630</v>
      </c>
      <c r="B622" s="1">
        <f t="shared" si="3"/>
        <v>608</v>
      </c>
      <c r="C622" s="1" t="str">
        <f>IFERROR(__xludf.DUMMYFUNCTION("split(A622, ""\"")"),"Neal Pionk")</f>
        <v>Neal Pionk</v>
      </c>
      <c r="D622" s="1" t="str">
        <f>IFERROR(__xludf.DUMMYFUNCTION("""COMPUTED_VALUE"""),"pionkne01")</f>
        <v>pionkne01</v>
      </c>
      <c r="E622" s="1" t="s">
        <v>66</v>
      </c>
      <c r="F622" s="1">
        <f t="shared" si="1"/>
        <v>108.35</v>
      </c>
      <c r="G622" s="1">
        <f t="shared" si="2"/>
        <v>3.87</v>
      </c>
      <c r="H622" s="1">
        <v>28.0</v>
      </c>
      <c r="I622" s="1">
        <v>1.0</v>
      </c>
      <c r="J622" s="1">
        <v>13.0</v>
      </c>
      <c r="K622" s="1">
        <v>14.0</v>
      </c>
      <c r="L622" s="1">
        <v>54.0</v>
      </c>
      <c r="M622" s="1">
        <v>49.0</v>
      </c>
      <c r="N622" s="1">
        <v>41.0</v>
      </c>
      <c r="O622" s="1">
        <v>0.0</v>
      </c>
      <c r="P622" s="1">
        <v>5.0</v>
      </c>
      <c r="Q622" s="1">
        <v>0.0</v>
      </c>
      <c r="R622" s="1">
        <v>0.0</v>
      </c>
      <c r="S622" s="1">
        <v>-1.0</v>
      </c>
      <c r="T622" s="1">
        <v>12.0</v>
      </c>
      <c r="U622" s="1">
        <v>0.0</v>
      </c>
    </row>
    <row r="623" ht="12.75" customHeight="1">
      <c r="A623" s="1" t="s">
        <v>675</v>
      </c>
      <c r="B623" s="1">
        <f t="shared" si="3"/>
        <v>609</v>
      </c>
      <c r="C623" s="1" t="str">
        <f>IFERROR(__xludf.DUMMYFUNCTION("split(A623, ""\"")"),"Nikolay Goldobin")</f>
        <v>Nikolay Goldobin</v>
      </c>
      <c r="D623" s="1" t="str">
        <f>IFERROR(__xludf.DUMMYFUNCTION("""COMPUTED_VALUE"""),"goldoni01")</f>
        <v>goldoni01</v>
      </c>
      <c r="E623" s="1" t="s">
        <v>28</v>
      </c>
      <c r="F623" s="1">
        <f t="shared" si="1"/>
        <v>108.3</v>
      </c>
      <c r="G623" s="1">
        <f t="shared" si="2"/>
        <v>2.85</v>
      </c>
      <c r="H623" s="1">
        <v>38.0</v>
      </c>
      <c r="I623" s="1">
        <v>8.0</v>
      </c>
      <c r="J623" s="1">
        <v>6.0</v>
      </c>
      <c r="K623" s="1">
        <v>14.0</v>
      </c>
      <c r="L623" s="1">
        <v>50.0</v>
      </c>
      <c r="M623" s="1">
        <v>12.0</v>
      </c>
      <c r="N623" s="1">
        <v>7.0</v>
      </c>
      <c r="O623" s="1">
        <v>2.0</v>
      </c>
      <c r="P623" s="1">
        <v>0.0</v>
      </c>
      <c r="Q623" s="1">
        <v>0.0</v>
      </c>
      <c r="R623" s="1">
        <v>0.0</v>
      </c>
      <c r="S623" s="1">
        <v>-14.0</v>
      </c>
      <c r="T623" s="1">
        <v>6.0</v>
      </c>
      <c r="U623" s="1">
        <v>0.0</v>
      </c>
    </row>
    <row r="624" ht="12.75" customHeight="1">
      <c r="A624" s="1" t="s">
        <v>677</v>
      </c>
      <c r="B624" s="1">
        <f t="shared" si="3"/>
        <v>610</v>
      </c>
      <c r="C624" s="1" t="str">
        <f>IFERROR(__xludf.DUMMYFUNCTION("split(A624, ""\"")"),"Travis Sanheim")</f>
        <v>Travis Sanheim</v>
      </c>
      <c r="D624" s="1" t="str">
        <f>IFERROR(__xludf.DUMMYFUNCTION("""COMPUTED_VALUE"""),"sanhetr01")</f>
        <v>sanhetr01</v>
      </c>
      <c r="E624" s="1" t="s">
        <v>66</v>
      </c>
      <c r="F624" s="1">
        <f t="shared" si="1"/>
        <v>108.25</v>
      </c>
      <c r="G624" s="1">
        <f t="shared" si="2"/>
        <v>2.21</v>
      </c>
      <c r="H624" s="1">
        <v>49.0</v>
      </c>
      <c r="I624" s="1">
        <v>2.0</v>
      </c>
      <c r="J624" s="1">
        <v>8.0</v>
      </c>
      <c r="K624" s="1">
        <v>10.0</v>
      </c>
      <c r="L624" s="1">
        <v>72.0</v>
      </c>
      <c r="M624" s="1">
        <v>27.0</v>
      </c>
      <c r="N624" s="1">
        <v>35.0</v>
      </c>
      <c r="O624" s="1">
        <v>0.0</v>
      </c>
      <c r="P624" s="1">
        <v>0.0</v>
      </c>
      <c r="Q624" s="1">
        <v>0.0</v>
      </c>
      <c r="R624" s="1">
        <v>0.0</v>
      </c>
      <c r="S624" s="1">
        <v>-6.0</v>
      </c>
      <c r="T624" s="1">
        <v>20.0</v>
      </c>
      <c r="U624" s="1">
        <v>0.0</v>
      </c>
    </row>
    <row r="625" ht="12.75" customHeight="1">
      <c r="A625" s="1" t="s">
        <v>691</v>
      </c>
      <c r="B625" s="1">
        <f t="shared" si="3"/>
        <v>611</v>
      </c>
      <c r="C625" s="1" t="str">
        <f>IFERROR(__xludf.DUMMYFUNCTION("split(A625, ""\"")"),"Casey Nelson")</f>
        <v>Casey Nelson</v>
      </c>
      <c r="D625" s="1" t="str">
        <f>IFERROR(__xludf.DUMMYFUNCTION("""COMPUTED_VALUE"""),"nelsoca01")</f>
        <v>nelsoca01</v>
      </c>
      <c r="E625" s="1" t="s">
        <v>66</v>
      </c>
      <c r="F625" s="1">
        <f t="shared" si="1"/>
        <v>108.15</v>
      </c>
      <c r="G625" s="1">
        <f t="shared" si="2"/>
        <v>2.92</v>
      </c>
      <c r="H625" s="1">
        <v>37.0</v>
      </c>
      <c r="I625" s="1">
        <v>3.0</v>
      </c>
      <c r="J625" s="1">
        <v>5.0</v>
      </c>
      <c r="K625" s="1">
        <v>8.0</v>
      </c>
      <c r="L625" s="1">
        <v>48.0</v>
      </c>
      <c r="M625" s="1">
        <v>31.0</v>
      </c>
      <c r="N625" s="1">
        <v>37.0</v>
      </c>
      <c r="O625" s="1">
        <v>0.0</v>
      </c>
      <c r="P625" s="1">
        <v>0.0</v>
      </c>
      <c r="Q625" s="1">
        <v>1.0</v>
      </c>
      <c r="R625" s="1">
        <v>1.0</v>
      </c>
      <c r="S625" s="1">
        <v>-14.0</v>
      </c>
      <c r="T625" s="1">
        <v>8.0</v>
      </c>
      <c r="U625" s="1">
        <v>0.0</v>
      </c>
    </row>
    <row r="626" ht="12.75" customHeight="1">
      <c r="A626" s="1" t="s">
        <v>570</v>
      </c>
      <c r="B626" s="1">
        <f t="shared" si="3"/>
        <v>612</v>
      </c>
      <c r="C626" s="1" t="str">
        <f>IFERROR(__xludf.DUMMYFUNCTION("split(A626, ""\"")"),"Michal Neuvirth")</f>
        <v>Michal Neuvirth</v>
      </c>
      <c r="D626" s="2" t="str">
        <f>IFERROR(__xludf.DUMMYFUNCTION("""COMPUTED_VALUE"""),"neuvimi01")</f>
        <v>neuvimi01</v>
      </c>
      <c r="E626" s="1" t="s">
        <v>5</v>
      </c>
      <c r="F626" s="1">
        <f t="shared" si="1"/>
        <v>108</v>
      </c>
      <c r="G626" s="1">
        <f t="shared" si="2"/>
        <v>4.91</v>
      </c>
      <c r="H626" s="1">
        <v>22.0</v>
      </c>
      <c r="V626" s="1">
        <v>18.0</v>
      </c>
      <c r="W626" s="1">
        <v>9.0</v>
      </c>
      <c r="X626" s="1">
        <v>7.0</v>
      </c>
      <c r="Y626" s="1">
        <v>45.0</v>
      </c>
      <c r="Z626" s="1">
        <v>530.0</v>
      </c>
      <c r="AA626" s="1">
        <v>485.0</v>
      </c>
      <c r="AB626" s="1">
        <v>1.0</v>
      </c>
    </row>
    <row r="627" ht="12.75" customHeight="1">
      <c r="A627" s="1" t="s">
        <v>684</v>
      </c>
      <c r="B627" s="1">
        <f t="shared" si="3"/>
        <v>613</v>
      </c>
      <c r="C627" s="1" t="str">
        <f>IFERROR(__xludf.DUMMYFUNCTION("split(A627, ""\"")"),"Andy Andreoff")</f>
        <v>Andy Andreoff</v>
      </c>
      <c r="D627" s="1" t="str">
        <f>IFERROR(__xludf.DUMMYFUNCTION("""COMPUTED_VALUE"""),"andrean01")</f>
        <v>andrean01</v>
      </c>
      <c r="E627" s="1" t="s">
        <v>28</v>
      </c>
      <c r="F627" s="1">
        <f t="shared" si="1"/>
        <v>107.75</v>
      </c>
      <c r="G627" s="1">
        <f t="shared" si="2"/>
        <v>2.39</v>
      </c>
      <c r="H627" s="1">
        <v>45.0</v>
      </c>
      <c r="I627" s="1">
        <v>3.0</v>
      </c>
      <c r="J627" s="1">
        <v>6.0</v>
      </c>
      <c r="K627" s="1">
        <v>9.0</v>
      </c>
      <c r="L627" s="1">
        <v>47.0</v>
      </c>
      <c r="M627" s="1">
        <v>77.0</v>
      </c>
      <c r="N627" s="1">
        <v>11.0</v>
      </c>
      <c r="O627" s="1">
        <v>0.0</v>
      </c>
      <c r="P627" s="1">
        <v>0.0</v>
      </c>
      <c r="Q627" s="1">
        <v>0.0</v>
      </c>
      <c r="R627" s="1">
        <v>0.0</v>
      </c>
      <c r="S627" s="1">
        <v>-6.0</v>
      </c>
      <c r="T627" s="1">
        <v>50.0</v>
      </c>
      <c r="U627" s="1">
        <v>2.0</v>
      </c>
    </row>
    <row r="628" ht="12.75" customHeight="1">
      <c r="A628" s="1" t="s">
        <v>640</v>
      </c>
      <c r="B628" s="1">
        <f t="shared" si="3"/>
        <v>614</v>
      </c>
      <c r="C628" s="1" t="str">
        <f>IFERROR(__xludf.DUMMYFUNCTION("split(A628, ""\"")"),"Ivan Barbashev")</f>
        <v>Ivan Barbashev</v>
      </c>
      <c r="D628" s="1" t="str">
        <f>IFERROR(__xludf.DUMMYFUNCTION("""COMPUTED_VALUE"""),"barbaiv01")</f>
        <v>barbaiv01</v>
      </c>
      <c r="E628" s="1" t="s">
        <v>31</v>
      </c>
      <c r="F628" s="1">
        <f t="shared" si="1"/>
        <v>106.7</v>
      </c>
      <c r="G628" s="1">
        <f t="shared" si="2"/>
        <v>2.01</v>
      </c>
      <c r="H628" s="1">
        <v>53.0</v>
      </c>
      <c r="I628" s="1">
        <v>7.0</v>
      </c>
      <c r="J628" s="1">
        <v>6.0</v>
      </c>
      <c r="K628" s="1">
        <v>13.0</v>
      </c>
      <c r="L628" s="1">
        <v>45.0</v>
      </c>
      <c r="M628" s="1">
        <v>70.0</v>
      </c>
      <c r="N628" s="1">
        <v>25.0</v>
      </c>
      <c r="O628" s="1">
        <v>0.0</v>
      </c>
      <c r="P628" s="1">
        <v>0.0</v>
      </c>
      <c r="Q628" s="1">
        <v>0.0</v>
      </c>
      <c r="R628" s="1">
        <v>0.0</v>
      </c>
      <c r="S628" s="1">
        <v>-1.0</v>
      </c>
      <c r="T628" s="1">
        <v>4.0</v>
      </c>
      <c r="U628" s="1">
        <v>1.0</v>
      </c>
    </row>
    <row r="629" ht="12.75" customHeight="1">
      <c r="A629" s="1" t="s">
        <v>678</v>
      </c>
      <c r="B629" s="1">
        <f t="shared" si="3"/>
        <v>615</v>
      </c>
      <c r="C629" s="1" t="str">
        <f>IFERROR(__xludf.DUMMYFUNCTION("split(A629, ""\"")"),"Chad Ruhwedel")</f>
        <v>Chad Ruhwedel</v>
      </c>
      <c r="D629" s="1" t="str">
        <f>IFERROR(__xludf.DUMMYFUNCTION("""COMPUTED_VALUE"""),"ruhwech01")</f>
        <v>ruhwech01</v>
      </c>
      <c r="E629" s="1" t="s">
        <v>66</v>
      </c>
      <c r="F629" s="1">
        <f t="shared" si="1"/>
        <v>106.55</v>
      </c>
      <c r="G629" s="1">
        <f t="shared" si="2"/>
        <v>2.42</v>
      </c>
      <c r="H629" s="1">
        <v>44.0</v>
      </c>
      <c r="I629" s="1">
        <v>2.0</v>
      </c>
      <c r="J629" s="1">
        <v>3.0</v>
      </c>
      <c r="K629" s="1">
        <v>5.0</v>
      </c>
      <c r="L629" s="1">
        <v>67.0</v>
      </c>
      <c r="M629" s="1">
        <v>67.0</v>
      </c>
      <c r="N629" s="1">
        <v>43.0</v>
      </c>
      <c r="O629" s="1">
        <v>0.0</v>
      </c>
      <c r="P629" s="1">
        <v>0.0</v>
      </c>
      <c r="Q629" s="1">
        <v>0.0</v>
      </c>
      <c r="R629" s="1">
        <v>0.0</v>
      </c>
      <c r="S629" s="1">
        <v>-8.0</v>
      </c>
      <c r="T629" s="1">
        <v>16.0</v>
      </c>
      <c r="U629" s="1">
        <v>0.0</v>
      </c>
    </row>
    <row r="630" ht="12.75" customHeight="1">
      <c r="A630" s="1" t="s">
        <v>657</v>
      </c>
      <c r="B630" s="1">
        <f t="shared" si="3"/>
        <v>616</v>
      </c>
      <c r="C630" s="1" t="str">
        <f>IFERROR(__xludf.DUMMYFUNCTION("split(A630, ""\"")"),"Tyler Motte")</f>
        <v>Tyler Motte</v>
      </c>
      <c r="D630" s="1" t="str">
        <f>IFERROR(__xludf.DUMMYFUNCTION("""COMPUTED_VALUE"""),"mottety01")</f>
        <v>mottety01</v>
      </c>
      <c r="E630" s="1" t="s">
        <v>31</v>
      </c>
      <c r="F630" s="1">
        <f t="shared" si="1"/>
        <v>105.05</v>
      </c>
      <c r="G630" s="1">
        <f t="shared" si="2"/>
        <v>2.28</v>
      </c>
      <c r="H630" s="1">
        <v>46.0</v>
      </c>
      <c r="I630" s="1">
        <v>5.0</v>
      </c>
      <c r="J630" s="1">
        <v>2.0</v>
      </c>
      <c r="K630" s="1">
        <v>7.0</v>
      </c>
      <c r="L630" s="1">
        <v>64.0</v>
      </c>
      <c r="M630" s="1">
        <v>93.0</v>
      </c>
      <c r="N630" s="1">
        <v>27.0</v>
      </c>
      <c r="O630" s="1">
        <v>0.0</v>
      </c>
      <c r="P630" s="1">
        <v>0.0</v>
      </c>
      <c r="Q630" s="1">
        <v>0.0</v>
      </c>
      <c r="R630" s="1">
        <v>0.0</v>
      </c>
      <c r="S630" s="1">
        <v>-4.0</v>
      </c>
      <c r="T630" s="1">
        <v>6.0</v>
      </c>
      <c r="U630" s="1">
        <v>0.0</v>
      </c>
    </row>
    <row r="631" ht="12.75" customHeight="1">
      <c r="A631" s="1" t="s">
        <v>603</v>
      </c>
      <c r="B631" s="1">
        <f t="shared" si="3"/>
        <v>617</v>
      </c>
      <c r="C631" s="1" t="str">
        <f>IFERROR(__xludf.DUMMYFUNCTION("split(A631, ""\"")"),"Jake Dotchin")</f>
        <v>Jake Dotchin</v>
      </c>
      <c r="D631" s="1" t="str">
        <f>IFERROR(__xludf.DUMMYFUNCTION("""COMPUTED_VALUE"""),"dotchja01")</f>
        <v>dotchja01</v>
      </c>
      <c r="E631" s="1" t="s">
        <v>66</v>
      </c>
      <c r="F631" s="1">
        <f t="shared" si="1"/>
        <v>104.65</v>
      </c>
      <c r="G631" s="1">
        <f t="shared" si="2"/>
        <v>2.18</v>
      </c>
      <c r="H631" s="1">
        <v>48.0</v>
      </c>
      <c r="I631" s="1">
        <v>3.0</v>
      </c>
      <c r="J631" s="1">
        <v>8.0</v>
      </c>
      <c r="K631" s="1">
        <v>11.0</v>
      </c>
      <c r="L631" s="1">
        <v>48.0</v>
      </c>
      <c r="M631" s="1">
        <v>95.0</v>
      </c>
      <c r="N631" s="1">
        <v>61.0</v>
      </c>
      <c r="O631" s="1">
        <v>0.0</v>
      </c>
      <c r="P631" s="1">
        <v>0.0</v>
      </c>
      <c r="Q631" s="1">
        <v>0.0</v>
      </c>
      <c r="R631" s="1">
        <v>1.0</v>
      </c>
      <c r="S631" s="1">
        <v>17.0</v>
      </c>
      <c r="T631" s="1">
        <v>38.0</v>
      </c>
      <c r="U631" s="1">
        <v>0.0</v>
      </c>
    </row>
    <row r="632" ht="12.75" customHeight="1">
      <c r="A632" s="1" t="s">
        <v>658</v>
      </c>
      <c r="B632" s="1">
        <f t="shared" si="3"/>
        <v>618</v>
      </c>
      <c r="C632" s="1" t="str">
        <f>IFERROR(__xludf.DUMMYFUNCTION("split(A632, ""\"")"),"Byron Froese")</f>
        <v>Byron Froese</v>
      </c>
      <c r="D632" s="1" t="str">
        <f>IFERROR(__xludf.DUMMYFUNCTION("""COMPUTED_VALUE"""),"froesby01")</f>
        <v>froesby01</v>
      </c>
      <c r="E632" s="1" t="s">
        <v>31</v>
      </c>
      <c r="F632" s="1">
        <f t="shared" si="1"/>
        <v>104.3</v>
      </c>
      <c r="G632" s="1">
        <f t="shared" si="2"/>
        <v>2.17</v>
      </c>
      <c r="H632" s="1">
        <v>48.0</v>
      </c>
      <c r="I632" s="1">
        <v>3.0</v>
      </c>
      <c r="J632" s="1">
        <v>8.0</v>
      </c>
      <c r="K632" s="1">
        <v>11.0</v>
      </c>
      <c r="L632" s="1">
        <v>49.0</v>
      </c>
      <c r="M632" s="1">
        <v>54.0</v>
      </c>
      <c r="N632" s="1">
        <v>42.0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26.0</v>
      </c>
      <c r="U632" s="1">
        <v>0.0</v>
      </c>
    </row>
    <row r="633" ht="12.75" customHeight="1">
      <c r="A633" s="1" t="s">
        <v>667</v>
      </c>
      <c r="B633" s="1">
        <f t="shared" si="3"/>
        <v>619</v>
      </c>
      <c r="C633" s="1" t="str">
        <f>IFERROR(__xludf.DUMMYFUNCTION("split(A633, ""\"")"),"Madison Bowey")</f>
        <v>Madison Bowey</v>
      </c>
      <c r="D633" s="1" t="str">
        <f>IFERROR(__xludf.DUMMYFUNCTION("""COMPUTED_VALUE"""),"boweyma01")</f>
        <v>boweyma01</v>
      </c>
      <c r="E633" s="1" t="s">
        <v>66</v>
      </c>
      <c r="F633" s="1">
        <f t="shared" si="1"/>
        <v>104.2</v>
      </c>
      <c r="G633" s="1">
        <f t="shared" si="2"/>
        <v>2.04</v>
      </c>
      <c r="H633" s="1">
        <v>51.0</v>
      </c>
      <c r="I633" s="1">
        <v>0.0</v>
      </c>
      <c r="J633" s="1">
        <v>12.0</v>
      </c>
      <c r="K633" s="1">
        <v>12.0</v>
      </c>
      <c r="L633" s="1">
        <v>47.0</v>
      </c>
      <c r="M633" s="1">
        <v>48.0</v>
      </c>
      <c r="N633" s="1">
        <v>42.0</v>
      </c>
      <c r="O633" s="1">
        <v>0.0</v>
      </c>
      <c r="P633" s="1">
        <v>0.0</v>
      </c>
      <c r="Q633" s="1">
        <v>0.0</v>
      </c>
      <c r="R633" s="1">
        <v>0.0</v>
      </c>
      <c r="S633" s="1">
        <v>-3.0</v>
      </c>
      <c r="T633" s="1">
        <v>24.0</v>
      </c>
      <c r="U633" s="1">
        <v>0.0</v>
      </c>
    </row>
    <row r="634" ht="12.75" customHeight="1">
      <c r="A634" s="1" t="s">
        <v>646</v>
      </c>
      <c r="B634" s="1">
        <f t="shared" si="3"/>
        <v>620</v>
      </c>
      <c r="C634" s="1" t="str">
        <f>IFERROR(__xludf.DUMMYFUNCTION("split(A634, ""\"")"),"Matt Irwin")</f>
        <v>Matt Irwin</v>
      </c>
      <c r="D634" s="1" t="str">
        <f>IFERROR(__xludf.DUMMYFUNCTION("""COMPUTED_VALUE"""),"irwinma01")</f>
        <v>irwinma01</v>
      </c>
      <c r="E634" s="1" t="s">
        <v>66</v>
      </c>
      <c r="F634" s="1">
        <f t="shared" si="1"/>
        <v>103.9</v>
      </c>
      <c r="G634" s="1">
        <f t="shared" si="2"/>
        <v>2.08</v>
      </c>
      <c r="H634" s="1">
        <v>50.0</v>
      </c>
      <c r="I634" s="1">
        <v>2.0</v>
      </c>
      <c r="J634" s="1">
        <v>6.0</v>
      </c>
      <c r="K634" s="1">
        <v>8.0</v>
      </c>
      <c r="L634" s="1">
        <v>62.0</v>
      </c>
      <c r="M634" s="1">
        <v>78.0</v>
      </c>
      <c r="N634" s="1">
        <v>54.0</v>
      </c>
      <c r="O634" s="1">
        <v>0.0</v>
      </c>
      <c r="P634" s="1">
        <v>0.0</v>
      </c>
      <c r="Q634" s="1">
        <v>0.0</v>
      </c>
      <c r="R634" s="1">
        <v>0.0</v>
      </c>
      <c r="S634" s="1">
        <v>2.0</v>
      </c>
      <c r="T634" s="1">
        <v>8.0</v>
      </c>
      <c r="U634" s="1">
        <v>0.0</v>
      </c>
    </row>
    <row r="635" ht="12.75" customHeight="1">
      <c r="A635" s="1" t="s">
        <v>682</v>
      </c>
      <c r="B635" s="1">
        <f t="shared" si="3"/>
        <v>621</v>
      </c>
      <c r="C635" s="1" t="str">
        <f>IFERROR(__xludf.DUMMYFUNCTION("split(A635, ""\"")"),"Adam McQuaid")</f>
        <v>Adam McQuaid</v>
      </c>
      <c r="D635" s="1" t="str">
        <f>IFERROR(__xludf.DUMMYFUNCTION("""COMPUTED_VALUE"""),"mcquaad01")</f>
        <v>mcquaad01</v>
      </c>
      <c r="E635" s="1" t="s">
        <v>66</v>
      </c>
      <c r="F635" s="1">
        <f t="shared" si="1"/>
        <v>103.1</v>
      </c>
      <c r="G635" s="1">
        <f t="shared" si="2"/>
        <v>2.71</v>
      </c>
      <c r="H635" s="1">
        <v>38.0</v>
      </c>
      <c r="I635" s="1">
        <v>1.0</v>
      </c>
      <c r="J635" s="1">
        <v>3.0</v>
      </c>
      <c r="K635" s="1">
        <v>4.0</v>
      </c>
      <c r="L635" s="1">
        <v>39.0</v>
      </c>
      <c r="M635" s="1">
        <v>80.0</v>
      </c>
      <c r="N635" s="1">
        <v>56.0</v>
      </c>
      <c r="O635" s="1">
        <v>0.0</v>
      </c>
      <c r="P635" s="1">
        <v>0.0</v>
      </c>
      <c r="Q635" s="1">
        <v>0.0</v>
      </c>
      <c r="R635" s="1">
        <v>0.0</v>
      </c>
      <c r="S635" s="1">
        <v>-1.0</v>
      </c>
      <c r="T635" s="1">
        <v>62.0</v>
      </c>
      <c r="U635" s="1">
        <v>1.0</v>
      </c>
    </row>
    <row r="636" ht="12.75" customHeight="1">
      <c r="A636" s="1" t="s">
        <v>698</v>
      </c>
      <c r="B636" s="1">
        <f t="shared" si="3"/>
        <v>622</v>
      </c>
      <c r="C636" s="1" t="str">
        <f>IFERROR(__xludf.DUMMYFUNCTION("split(A636, ""\"")"),"Nic Dowd")</f>
        <v>Nic Dowd</v>
      </c>
      <c r="D636" s="1" t="str">
        <f>IFERROR(__xludf.DUMMYFUNCTION("""COMPUTED_VALUE"""),"dowdni01")</f>
        <v>dowdni01</v>
      </c>
      <c r="E636" s="1" t="s">
        <v>31</v>
      </c>
      <c r="F636" s="1">
        <f t="shared" si="1"/>
        <v>102.65</v>
      </c>
      <c r="G636" s="1">
        <f t="shared" si="2"/>
        <v>1.83</v>
      </c>
      <c r="H636" s="1">
        <v>56.0</v>
      </c>
      <c r="I636" s="1">
        <v>3.0</v>
      </c>
      <c r="J636" s="1">
        <v>1.0</v>
      </c>
      <c r="K636" s="1">
        <v>4.0</v>
      </c>
      <c r="L636" s="1">
        <v>51.0</v>
      </c>
      <c r="M636" s="1">
        <v>81.0</v>
      </c>
      <c r="N636" s="1">
        <v>30.0</v>
      </c>
      <c r="O636" s="1">
        <v>1.0</v>
      </c>
      <c r="P636" s="1">
        <v>0.0</v>
      </c>
      <c r="Q636" s="1">
        <v>0.0</v>
      </c>
      <c r="R636" s="1">
        <v>0.0</v>
      </c>
      <c r="S636" s="1">
        <v>-10.0</v>
      </c>
      <c r="T636" s="1">
        <v>28.0</v>
      </c>
      <c r="U636" s="1">
        <v>1.0</v>
      </c>
    </row>
    <row r="637" ht="12.75" customHeight="1">
      <c r="A637" s="1" t="s">
        <v>664</v>
      </c>
      <c r="B637" s="1">
        <f t="shared" si="3"/>
        <v>623</v>
      </c>
      <c r="C637" s="1" t="str">
        <f>IFERROR(__xludf.DUMMYFUNCTION("split(A637, ""\"")"),"Frank Vatrano")</f>
        <v>Frank Vatrano</v>
      </c>
      <c r="D637" s="1" t="str">
        <f>IFERROR(__xludf.DUMMYFUNCTION("""COMPUTED_VALUE"""),"vatrafr01")</f>
        <v>vatrafr01</v>
      </c>
      <c r="E637" s="1" t="s">
        <v>28</v>
      </c>
      <c r="F637" s="1">
        <f t="shared" si="1"/>
        <v>102.45</v>
      </c>
      <c r="G637" s="1">
        <f t="shared" si="2"/>
        <v>2.5</v>
      </c>
      <c r="H637" s="1">
        <v>41.0</v>
      </c>
      <c r="I637" s="1">
        <v>7.0</v>
      </c>
      <c r="J637" s="1">
        <v>3.0</v>
      </c>
      <c r="K637" s="1">
        <v>10.0</v>
      </c>
      <c r="L637" s="1">
        <v>72.0</v>
      </c>
      <c r="M637" s="1">
        <v>51.0</v>
      </c>
      <c r="N637" s="1">
        <v>15.0</v>
      </c>
      <c r="O637" s="1">
        <v>0.0</v>
      </c>
      <c r="P637" s="1">
        <v>0.0</v>
      </c>
      <c r="Q637" s="1">
        <v>0.0</v>
      </c>
      <c r="R637" s="1">
        <v>0.0</v>
      </c>
      <c r="S637" s="1">
        <v>3.0</v>
      </c>
      <c r="T637" s="1">
        <v>34.0</v>
      </c>
      <c r="U637" s="1">
        <v>0.0</v>
      </c>
    </row>
    <row r="638" ht="12.75" customHeight="1">
      <c r="A638" s="1" t="s">
        <v>662</v>
      </c>
      <c r="B638" s="1">
        <f t="shared" si="3"/>
        <v>624</v>
      </c>
      <c r="C638" s="1" t="str">
        <f>IFERROR(__xludf.DUMMYFUNCTION("split(A638, ""\"")"),"Josh Archibald")</f>
        <v>Josh Archibald</v>
      </c>
      <c r="D638" s="1" t="str">
        <f>IFERROR(__xludf.DUMMYFUNCTION("""COMPUTED_VALUE"""),"archijo01")</f>
        <v>archijo01</v>
      </c>
      <c r="E638" s="1" t="s">
        <v>36</v>
      </c>
      <c r="F638" s="1">
        <f t="shared" si="1"/>
        <v>101.5</v>
      </c>
      <c r="G638" s="1">
        <f t="shared" si="2"/>
        <v>2.42</v>
      </c>
      <c r="H638" s="1">
        <v>42.0</v>
      </c>
      <c r="I638" s="1">
        <v>5.0</v>
      </c>
      <c r="J638" s="1">
        <v>6.0</v>
      </c>
      <c r="K638" s="1">
        <v>11.0</v>
      </c>
      <c r="L638" s="1">
        <v>42.0</v>
      </c>
      <c r="M638" s="1">
        <v>86.0</v>
      </c>
      <c r="N638" s="1">
        <v>16.0</v>
      </c>
      <c r="O638" s="1">
        <v>0.0</v>
      </c>
      <c r="P638" s="1">
        <v>0.0</v>
      </c>
      <c r="Q638" s="1">
        <v>0.0</v>
      </c>
      <c r="R638" s="1">
        <v>0.0</v>
      </c>
      <c r="S638" s="1">
        <v>-2.0</v>
      </c>
      <c r="T638" s="1">
        <v>25.0</v>
      </c>
      <c r="U638" s="1">
        <v>0.0</v>
      </c>
    </row>
    <row r="639" ht="12.75" customHeight="1">
      <c r="A639" s="1" t="s">
        <v>634</v>
      </c>
      <c r="B639" s="1">
        <f t="shared" si="3"/>
        <v>625</v>
      </c>
      <c r="C639" s="1" t="str">
        <f>IFERROR(__xludf.DUMMYFUNCTION("split(A639, ""\"")"),"Nate Prosser")</f>
        <v>Nate Prosser</v>
      </c>
      <c r="D639" s="1" t="str">
        <f>IFERROR(__xludf.DUMMYFUNCTION("""COMPUTED_VALUE"""),"prossna01")</f>
        <v>prossna01</v>
      </c>
      <c r="E639" s="1" t="s">
        <v>66</v>
      </c>
      <c r="F639" s="1">
        <f t="shared" si="1"/>
        <v>100.7</v>
      </c>
      <c r="G639" s="1">
        <f t="shared" si="2"/>
        <v>1.77</v>
      </c>
      <c r="H639" s="1">
        <v>57.0</v>
      </c>
      <c r="I639" s="1">
        <v>3.0</v>
      </c>
      <c r="J639" s="1">
        <v>6.0</v>
      </c>
      <c r="K639" s="1">
        <v>9.0</v>
      </c>
      <c r="L639" s="1">
        <v>27.0</v>
      </c>
      <c r="M639" s="1">
        <v>60.0</v>
      </c>
      <c r="N639" s="1">
        <v>84.0</v>
      </c>
      <c r="O639" s="1">
        <v>0.0</v>
      </c>
      <c r="P639" s="1">
        <v>0.0</v>
      </c>
      <c r="Q639" s="1">
        <v>1.0</v>
      </c>
      <c r="R639" s="1">
        <v>0.0</v>
      </c>
      <c r="S639" s="1">
        <v>8.0</v>
      </c>
      <c r="T639" s="1">
        <v>19.0</v>
      </c>
      <c r="U639" s="1">
        <v>1.0</v>
      </c>
    </row>
    <row r="640" ht="12.75" customHeight="1">
      <c r="A640" s="1" t="s">
        <v>668</v>
      </c>
      <c r="B640" s="1">
        <f t="shared" si="3"/>
        <v>626</v>
      </c>
      <c r="C640" s="1" t="str">
        <f>IFERROR(__xludf.DUMMYFUNCTION("split(A640, ""\"")"),"Jannik Hansen")</f>
        <v>Jannik Hansen</v>
      </c>
      <c r="D640" s="1" t="str">
        <f>IFERROR(__xludf.DUMMYFUNCTION("""COMPUTED_VALUE"""),"hanseja01")</f>
        <v>hanseja01</v>
      </c>
      <c r="E640" s="1" t="s">
        <v>28</v>
      </c>
      <c r="F640" s="1">
        <f t="shared" si="1"/>
        <v>99.5</v>
      </c>
      <c r="G640" s="1">
        <f t="shared" si="2"/>
        <v>2.16</v>
      </c>
      <c r="H640" s="1">
        <v>46.0</v>
      </c>
      <c r="I640" s="1">
        <v>2.0</v>
      </c>
      <c r="J640" s="1">
        <v>12.0</v>
      </c>
      <c r="K640" s="1">
        <v>14.0</v>
      </c>
      <c r="L640" s="1">
        <v>54.0</v>
      </c>
      <c r="M640" s="1">
        <v>38.0</v>
      </c>
      <c r="N640" s="1">
        <v>19.0</v>
      </c>
      <c r="O640" s="1">
        <v>0.0</v>
      </c>
      <c r="P640" s="1">
        <v>0.0</v>
      </c>
      <c r="Q640" s="1">
        <v>0.0</v>
      </c>
      <c r="R640" s="1">
        <v>1.0</v>
      </c>
      <c r="S640" s="1">
        <v>2.0</v>
      </c>
      <c r="T640" s="1">
        <v>15.0</v>
      </c>
      <c r="U640" s="1">
        <v>2.0</v>
      </c>
    </row>
    <row r="641" ht="12.75" customHeight="1">
      <c r="A641" s="1" t="s">
        <v>705</v>
      </c>
      <c r="B641" s="1">
        <f t="shared" si="3"/>
        <v>627</v>
      </c>
      <c r="C641" s="1" t="str">
        <f>IFERROR(__xludf.DUMMYFUNCTION("split(A641, ""\"")"),"Derek Dorsett")</f>
        <v>Derek Dorsett</v>
      </c>
      <c r="D641" s="1" t="str">
        <f>IFERROR(__xludf.DUMMYFUNCTION("""COMPUTED_VALUE"""),"dorsede01")</f>
        <v>dorsede01</v>
      </c>
      <c r="E641" s="1" t="s">
        <v>36</v>
      </c>
      <c r="F641" s="1">
        <f t="shared" si="1"/>
        <v>98.95</v>
      </c>
      <c r="G641" s="1">
        <f t="shared" si="2"/>
        <v>4.95</v>
      </c>
      <c r="H641" s="1">
        <v>20.0</v>
      </c>
      <c r="I641" s="1">
        <v>7.0</v>
      </c>
      <c r="J641" s="1">
        <v>2.0</v>
      </c>
      <c r="K641" s="1">
        <v>9.0</v>
      </c>
      <c r="L641" s="1">
        <v>26.0</v>
      </c>
      <c r="M641" s="1">
        <v>39.0</v>
      </c>
      <c r="N641" s="1">
        <v>14.0</v>
      </c>
      <c r="O641" s="1">
        <v>0.0</v>
      </c>
      <c r="P641" s="1">
        <v>0.0</v>
      </c>
      <c r="Q641" s="1">
        <v>2.0</v>
      </c>
      <c r="R641" s="1">
        <v>0.0</v>
      </c>
      <c r="S641" s="1">
        <v>-1.0</v>
      </c>
      <c r="T641" s="1">
        <v>74.0</v>
      </c>
      <c r="U641" s="1">
        <v>1.0</v>
      </c>
    </row>
    <row r="642" ht="12.75" customHeight="1">
      <c r="A642" s="1" t="s">
        <v>676</v>
      </c>
      <c r="B642" s="1">
        <f t="shared" si="3"/>
        <v>628</v>
      </c>
      <c r="C642" s="1" t="str">
        <f>IFERROR(__xludf.DUMMYFUNCTION("split(A642, ""\"")"),"Joel Ward")</f>
        <v>Joel Ward</v>
      </c>
      <c r="D642" s="1" t="str">
        <f>IFERROR(__xludf.DUMMYFUNCTION("""COMPUTED_VALUE"""),"wardjo02")</f>
        <v>wardjo02</v>
      </c>
      <c r="E642" s="1" t="s">
        <v>36</v>
      </c>
      <c r="F642" s="1">
        <f t="shared" si="1"/>
        <v>98.75</v>
      </c>
      <c r="G642" s="1">
        <f t="shared" si="2"/>
        <v>1.9</v>
      </c>
      <c r="H642" s="1">
        <v>52.0</v>
      </c>
      <c r="I642" s="1">
        <v>5.0</v>
      </c>
      <c r="J642" s="1">
        <v>7.0</v>
      </c>
      <c r="K642" s="1">
        <v>12.0</v>
      </c>
      <c r="L642" s="1">
        <v>40.0</v>
      </c>
      <c r="M642" s="1">
        <v>35.0</v>
      </c>
      <c r="N642" s="1">
        <v>27.0</v>
      </c>
      <c r="O642" s="1">
        <v>0.0</v>
      </c>
      <c r="P642" s="1">
        <v>0.0</v>
      </c>
      <c r="Q642" s="1">
        <v>0.0</v>
      </c>
      <c r="R642" s="1">
        <v>0.0</v>
      </c>
      <c r="S642" s="1">
        <v>-2.0</v>
      </c>
      <c r="T642" s="1">
        <v>20.0</v>
      </c>
      <c r="U642" s="1">
        <v>2.0</v>
      </c>
    </row>
    <row r="643" ht="12.75" customHeight="1">
      <c r="A643" s="1" t="s">
        <v>671</v>
      </c>
      <c r="B643" s="1">
        <f t="shared" si="3"/>
        <v>629</v>
      </c>
      <c r="C643" s="1" t="str">
        <f>IFERROR(__xludf.DUMMYFUNCTION("split(A643, ""\"")"),"Lukas Sedlak")</f>
        <v>Lukas Sedlak</v>
      </c>
      <c r="D643" s="1" t="str">
        <f>IFERROR(__xludf.DUMMYFUNCTION("""COMPUTED_VALUE"""),"sedlalu01")</f>
        <v>sedlalu01</v>
      </c>
      <c r="E643" s="1" t="s">
        <v>31</v>
      </c>
      <c r="F643" s="1">
        <f t="shared" si="1"/>
        <v>98.05</v>
      </c>
      <c r="G643" s="1">
        <f t="shared" si="2"/>
        <v>1.85</v>
      </c>
      <c r="H643" s="1">
        <v>53.0</v>
      </c>
      <c r="I643" s="1">
        <v>4.0</v>
      </c>
      <c r="J643" s="1">
        <v>4.0</v>
      </c>
      <c r="K643" s="1">
        <v>8.0</v>
      </c>
      <c r="L643" s="1">
        <v>50.0</v>
      </c>
      <c r="M643" s="1">
        <v>77.0</v>
      </c>
      <c r="N643" s="1">
        <v>26.0</v>
      </c>
      <c r="O643" s="1">
        <v>0.0</v>
      </c>
      <c r="P643" s="1">
        <v>0.0</v>
      </c>
      <c r="Q643" s="1">
        <v>0.0</v>
      </c>
      <c r="R643" s="1">
        <v>0.0</v>
      </c>
      <c r="S643" s="1">
        <v>-3.0</v>
      </c>
      <c r="T643" s="1">
        <v>21.0</v>
      </c>
      <c r="U643" s="1">
        <v>0.0</v>
      </c>
    </row>
    <row r="644" ht="12.75" customHeight="1">
      <c r="A644" s="1" t="s">
        <v>649</v>
      </c>
      <c r="B644" s="1">
        <f t="shared" si="3"/>
        <v>630</v>
      </c>
      <c r="C644" s="1" t="str">
        <f>IFERROR(__xludf.DUMMYFUNCTION("split(A644, ""\"")"),"Daniel Carr")</f>
        <v>Daniel Carr</v>
      </c>
      <c r="D644" s="1" t="str">
        <f>IFERROR(__xludf.DUMMYFUNCTION("""COMPUTED_VALUE"""),"carrda01")</f>
        <v>carrda01</v>
      </c>
      <c r="E644" s="1" t="s">
        <v>28</v>
      </c>
      <c r="F644" s="1">
        <f t="shared" si="1"/>
        <v>97.9</v>
      </c>
      <c r="G644" s="1">
        <f t="shared" si="2"/>
        <v>2.58</v>
      </c>
      <c r="H644" s="1">
        <v>38.0</v>
      </c>
      <c r="I644" s="1">
        <v>6.0</v>
      </c>
      <c r="J644" s="1">
        <v>10.0</v>
      </c>
      <c r="K644" s="1">
        <v>16.0</v>
      </c>
      <c r="L644" s="1">
        <v>52.0</v>
      </c>
      <c r="M644" s="1">
        <v>30.0</v>
      </c>
      <c r="N644" s="1">
        <v>16.0</v>
      </c>
      <c r="O644" s="1">
        <v>2.0</v>
      </c>
      <c r="P644" s="1">
        <v>1.0</v>
      </c>
      <c r="Q644" s="1">
        <v>0.0</v>
      </c>
      <c r="R644" s="1">
        <v>0.0</v>
      </c>
      <c r="S644" s="1">
        <v>2.0</v>
      </c>
      <c r="T644" s="1">
        <v>8.0</v>
      </c>
      <c r="U644" s="1">
        <v>0.0</v>
      </c>
    </row>
    <row r="645" ht="12.75" customHeight="1">
      <c r="A645" s="1" t="s">
        <v>605</v>
      </c>
      <c r="B645" s="1">
        <f t="shared" si="3"/>
        <v>631</v>
      </c>
      <c r="C645" s="1" t="str">
        <f>IFERROR(__xludf.DUMMYFUNCTION("split(A645, ""\"")"),"Matt Grzelcyk")</f>
        <v>Matt Grzelcyk</v>
      </c>
      <c r="D645" s="1" t="str">
        <f>IFERROR(__xludf.DUMMYFUNCTION("""COMPUTED_VALUE"""),"grzelma01")</f>
        <v>grzelma01</v>
      </c>
      <c r="E645" s="1" t="s">
        <v>66</v>
      </c>
      <c r="F645" s="1">
        <f t="shared" si="1"/>
        <v>97.85</v>
      </c>
      <c r="G645" s="1">
        <f t="shared" si="2"/>
        <v>1.6</v>
      </c>
      <c r="H645" s="1">
        <v>61.0</v>
      </c>
      <c r="I645" s="1">
        <v>3.0</v>
      </c>
      <c r="J645" s="1">
        <v>12.0</v>
      </c>
      <c r="K645" s="1">
        <v>15.0</v>
      </c>
      <c r="L645" s="1">
        <v>82.0</v>
      </c>
      <c r="M645" s="1">
        <v>45.0</v>
      </c>
      <c r="N645" s="1">
        <v>42.0</v>
      </c>
      <c r="O645" s="1">
        <v>0.0</v>
      </c>
      <c r="P645" s="1">
        <v>2.0</v>
      </c>
      <c r="Q645" s="1">
        <v>0.0</v>
      </c>
      <c r="R645" s="1">
        <v>0.0</v>
      </c>
      <c r="S645" s="1">
        <v>21.0</v>
      </c>
      <c r="T645" s="1">
        <v>22.0</v>
      </c>
      <c r="U645" s="1">
        <v>0.0</v>
      </c>
    </row>
    <row r="646" ht="12.75" customHeight="1">
      <c r="A646" s="1" t="s">
        <v>690</v>
      </c>
      <c r="B646" s="1">
        <f t="shared" si="3"/>
        <v>631</v>
      </c>
      <c r="C646" s="1" t="str">
        <f>IFERROR(__xludf.DUMMYFUNCTION("split(A646, ""\"")"),"David Kampf")</f>
        <v>David Kampf</v>
      </c>
      <c r="D646" s="1" t="str">
        <f>IFERROR(__xludf.DUMMYFUNCTION("""COMPUTED_VALUE"""),"kampfda01")</f>
        <v>kampfda01</v>
      </c>
      <c r="E646" s="1" t="s">
        <v>31</v>
      </c>
      <c r="F646" s="1">
        <f t="shared" si="1"/>
        <v>97.85</v>
      </c>
      <c r="G646" s="1">
        <f t="shared" si="2"/>
        <v>2.13</v>
      </c>
      <c r="H646" s="1">
        <v>46.0</v>
      </c>
      <c r="I646" s="1">
        <v>4.0</v>
      </c>
      <c r="J646" s="1">
        <v>7.0</v>
      </c>
      <c r="K646" s="1">
        <v>11.0</v>
      </c>
      <c r="L646" s="1">
        <v>46.0</v>
      </c>
      <c r="M646" s="1">
        <v>29.0</v>
      </c>
      <c r="N646" s="1">
        <v>23.0</v>
      </c>
      <c r="O646" s="1">
        <v>0.0</v>
      </c>
      <c r="P646" s="1">
        <v>0.0</v>
      </c>
      <c r="Q646" s="1">
        <v>0.0</v>
      </c>
      <c r="R646" s="1">
        <v>0.0</v>
      </c>
      <c r="S646" s="1">
        <v>-9.0</v>
      </c>
      <c r="T646" s="1">
        <v>12.0</v>
      </c>
      <c r="U646" s="1">
        <v>0.0</v>
      </c>
    </row>
    <row r="647" ht="12.75" customHeight="1">
      <c r="A647" s="1" t="s">
        <v>688</v>
      </c>
      <c r="B647" s="1">
        <f t="shared" si="3"/>
        <v>633</v>
      </c>
      <c r="C647" s="1" t="str">
        <f>IFERROR(__xludf.DUMMYFUNCTION("split(A647, ""\"")"),"Marcus Johansson")</f>
        <v>Marcus Johansson</v>
      </c>
      <c r="D647" s="1" t="str">
        <f>IFERROR(__xludf.DUMMYFUNCTION("""COMPUTED_VALUE"""),"johanma03")</f>
        <v>johanma03</v>
      </c>
      <c r="E647" s="1" t="s">
        <v>451</v>
      </c>
      <c r="F647" s="1">
        <f t="shared" si="1"/>
        <v>97.7</v>
      </c>
      <c r="G647" s="1">
        <f t="shared" si="2"/>
        <v>3.37</v>
      </c>
      <c r="H647" s="1">
        <v>29.0</v>
      </c>
      <c r="I647" s="1">
        <v>5.0</v>
      </c>
      <c r="J647" s="1">
        <v>9.0</v>
      </c>
      <c r="K647" s="1">
        <v>14.0</v>
      </c>
      <c r="L647" s="1">
        <v>42.0</v>
      </c>
      <c r="M647" s="1">
        <v>8.0</v>
      </c>
      <c r="N647" s="1">
        <v>9.0</v>
      </c>
      <c r="O647" s="1">
        <v>1.0</v>
      </c>
      <c r="P647" s="1">
        <v>2.0</v>
      </c>
      <c r="Q647" s="1">
        <v>0.0</v>
      </c>
      <c r="R647" s="1">
        <v>0.0</v>
      </c>
      <c r="S647" s="1">
        <v>-11.0</v>
      </c>
      <c r="T647" s="1">
        <v>14.0</v>
      </c>
      <c r="U647" s="1">
        <v>0.0</v>
      </c>
    </row>
    <row r="648" ht="12.75" customHeight="1">
      <c r="A648" s="1" t="s">
        <v>701</v>
      </c>
      <c r="B648" s="1">
        <f t="shared" si="3"/>
        <v>634</v>
      </c>
      <c r="C648" s="1" t="str">
        <f>IFERROR(__xludf.DUMMYFUNCTION("split(A648, ""\"")"),"Chris Thorburn")</f>
        <v>Chris Thorburn</v>
      </c>
      <c r="D648" s="1" t="str">
        <f>IFERROR(__xludf.DUMMYFUNCTION("""COMPUTED_VALUE"""),"thorbch01")</f>
        <v>thorbch01</v>
      </c>
      <c r="E648" s="1" t="s">
        <v>36</v>
      </c>
      <c r="F648" s="1">
        <f t="shared" si="1"/>
        <v>96.75</v>
      </c>
      <c r="G648" s="1">
        <f t="shared" si="2"/>
        <v>1.94</v>
      </c>
      <c r="H648" s="1">
        <v>50.0</v>
      </c>
      <c r="I648" s="1">
        <v>1.0</v>
      </c>
      <c r="J648" s="1">
        <v>6.0</v>
      </c>
      <c r="K648" s="1">
        <v>7.0</v>
      </c>
      <c r="L648" s="1">
        <v>35.0</v>
      </c>
      <c r="M648" s="1">
        <v>99.0</v>
      </c>
      <c r="N648" s="1">
        <v>16.0</v>
      </c>
      <c r="O648" s="1">
        <v>0.0</v>
      </c>
      <c r="P648" s="1">
        <v>0.0</v>
      </c>
      <c r="Q648" s="1">
        <v>0.0</v>
      </c>
      <c r="R648" s="1">
        <v>0.0</v>
      </c>
      <c r="S648" s="1">
        <v>-4.0</v>
      </c>
      <c r="T648" s="1">
        <v>60.0</v>
      </c>
      <c r="U648" s="1">
        <v>0.0</v>
      </c>
    </row>
    <row r="649" ht="12.75" customHeight="1">
      <c r="A649" s="1" t="s">
        <v>672</v>
      </c>
      <c r="B649" s="1">
        <f t="shared" si="3"/>
        <v>635</v>
      </c>
      <c r="C649" s="1" t="str">
        <f>IFERROR(__xludf.DUMMYFUNCTION("split(A649, ""\"")"),"Cory Conacher")</f>
        <v>Cory Conacher</v>
      </c>
      <c r="D649" s="1" t="str">
        <f>IFERROR(__xludf.DUMMYFUNCTION("""COMPUTED_VALUE"""),"conacco01")</f>
        <v>conacco01</v>
      </c>
      <c r="E649" s="1" t="s">
        <v>28</v>
      </c>
      <c r="F649" s="1">
        <f t="shared" si="1"/>
        <v>96.7</v>
      </c>
      <c r="G649" s="1">
        <f t="shared" si="2"/>
        <v>2.69</v>
      </c>
      <c r="H649" s="1">
        <v>36.0</v>
      </c>
      <c r="I649" s="1">
        <v>8.0</v>
      </c>
      <c r="J649" s="1">
        <v>4.0</v>
      </c>
      <c r="K649" s="1">
        <v>12.0</v>
      </c>
      <c r="L649" s="1">
        <v>45.0</v>
      </c>
      <c r="M649" s="1">
        <v>32.0</v>
      </c>
      <c r="N649" s="1">
        <v>14.0</v>
      </c>
      <c r="O649" s="1">
        <v>1.0</v>
      </c>
      <c r="P649" s="1">
        <v>0.0</v>
      </c>
      <c r="Q649" s="1">
        <v>0.0</v>
      </c>
      <c r="R649" s="1">
        <v>0.0</v>
      </c>
      <c r="S649" s="1">
        <v>0.0</v>
      </c>
      <c r="T649" s="1">
        <v>24.0</v>
      </c>
      <c r="U649" s="1">
        <v>2.0</v>
      </c>
    </row>
    <row r="650" ht="12.75" customHeight="1">
      <c r="A650" s="1" t="s">
        <v>652</v>
      </c>
      <c r="B650" s="1">
        <f t="shared" si="3"/>
        <v>636</v>
      </c>
      <c r="C650" s="1" t="str">
        <f>IFERROR(__xludf.DUMMYFUNCTION("split(A650, ""\"")"),"Ryan Murray")</f>
        <v>Ryan Murray</v>
      </c>
      <c r="D650" s="1" t="str">
        <f>IFERROR(__xludf.DUMMYFUNCTION("""COMPUTED_VALUE"""),"murrary01")</f>
        <v>murrary01</v>
      </c>
      <c r="E650" s="1" t="s">
        <v>66</v>
      </c>
      <c r="F650" s="1">
        <f t="shared" si="1"/>
        <v>96.15</v>
      </c>
      <c r="G650" s="1">
        <f t="shared" si="2"/>
        <v>2.19</v>
      </c>
      <c r="H650" s="1">
        <v>44.0</v>
      </c>
      <c r="I650" s="1">
        <v>1.0</v>
      </c>
      <c r="J650" s="1">
        <v>11.0</v>
      </c>
      <c r="K650" s="1">
        <v>12.0</v>
      </c>
      <c r="L650" s="1">
        <v>34.0</v>
      </c>
      <c r="M650" s="1">
        <v>31.0</v>
      </c>
      <c r="N650" s="1">
        <v>75.0</v>
      </c>
      <c r="O650" s="1">
        <v>0.0</v>
      </c>
      <c r="P650" s="1">
        <v>0.0</v>
      </c>
      <c r="Q650" s="1">
        <v>0.0</v>
      </c>
      <c r="R650" s="1">
        <v>0.0</v>
      </c>
      <c r="S650" s="1">
        <v>4.0</v>
      </c>
      <c r="T650" s="1">
        <v>8.0</v>
      </c>
      <c r="U650" s="1">
        <v>0.0</v>
      </c>
    </row>
    <row r="651" ht="12.75" customHeight="1">
      <c r="A651" s="1" t="s">
        <v>687</v>
      </c>
      <c r="B651" s="1">
        <f t="shared" si="3"/>
        <v>637</v>
      </c>
      <c r="C651" s="1" t="str">
        <f>IFERROR(__xludf.DUMMYFUNCTION("split(A651, ""\"")"),"Dale Weise")</f>
        <v>Dale Weise</v>
      </c>
      <c r="D651" s="1" t="str">
        <f>IFERROR(__xludf.DUMMYFUNCTION("""COMPUTED_VALUE"""),"weiseda01")</f>
        <v>weiseda01</v>
      </c>
      <c r="E651" s="1" t="s">
        <v>36</v>
      </c>
      <c r="F651" s="1">
        <f t="shared" si="1"/>
        <v>95.05</v>
      </c>
      <c r="G651" s="1">
        <f t="shared" si="2"/>
        <v>2.07</v>
      </c>
      <c r="H651" s="1">
        <v>46.0</v>
      </c>
      <c r="I651" s="1">
        <v>4.0</v>
      </c>
      <c r="J651" s="1">
        <v>4.0</v>
      </c>
      <c r="K651" s="1">
        <v>8.0</v>
      </c>
      <c r="L651" s="1">
        <v>44.0</v>
      </c>
      <c r="M651" s="1">
        <v>77.0</v>
      </c>
      <c r="N651" s="1">
        <v>14.0</v>
      </c>
      <c r="O651" s="1">
        <v>0.0</v>
      </c>
      <c r="P651" s="1">
        <v>0.0</v>
      </c>
      <c r="Q651" s="1">
        <v>0.0</v>
      </c>
      <c r="R651" s="1">
        <v>0.0</v>
      </c>
      <c r="S651" s="1">
        <v>-7.0</v>
      </c>
      <c r="T651" s="1">
        <v>21.0</v>
      </c>
      <c r="U651" s="1">
        <v>0.0</v>
      </c>
    </row>
    <row r="652" ht="12.75" customHeight="1">
      <c r="A652" s="1" t="s">
        <v>715</v>
      </c>
      <c r="B652" s="1">
        <f t="shared" si="3"/>
        <v>638</v>
      </c>
      <c r="C652" s="1" t="str">
        <f>IFERROR(__xludf.DUMMYFUNCTION("split(A652, ""\"")"),"Tage Thompson")</f>
        <v>Tage Thompson</v>
      </c>
      <c r="D652" s="1" t="str">
        <f>IFERROR(__xludf.DUMMYFUNCTION("""COMPUTED_VALUE"""),"thompta01")</f>
        <v>thompta01</v>
      </c>
      <c r="E652" s="1" t="s">
        <v>31</v>
      </c>
      <c r="F652" s="1">
        <f t="shared" si="1"/>
        <v>94.85</v>
      </c>
      <c r="G652" s="1">
        <f t="shared" si="2"/>
        <v>2.31</v>
      </c>
      <c r="H652" s="1">
        <v>41.0</v>
      </c>
      <c r="I652" s="1">
        <v>3.0</v>
      </c>
      <c r="J652" s="1">
        <v>6.0</v>
      </c>
      <c r="K652" s="1">
        <v>9.0</v>
      </c>
      <c r="L652" s="1">
        <v>55.0</v>
      </c>
      <c r="M652" s="1">
        <v>39.0</v>
      </c>
      <c r="N652" s="1">
        <v>9.0</v>
      </c>
      <c r="O652" s="1">
        <v>0.0</v>
      </c>
      <c r="P652" s="1">
        <v>1.0</v>
      </c>
      <c r="Q652" s="1">
        <v>0.0</v>
      </c>
      <c r="R652" s="1">
        <v>0.0</v>
      </c>
      <c r="S652" s="1">
        <v>-12.0</v>
      </c>
      <c r="T652" s="1">
        <v>12.0</v>
      </c>
      <c r="U652" s="1">
        <v>0.0</v>
      </c>
    </row>
    <row r="653" ht="12.75" customHeight="1">
      <c r="A653" s="1" t="s">
        <v>660</v>
      </c>
      <c r="B653" s="1">
        <f t="shared" si="3"/>
        <v>639</v>
      </c>
      <c r="C653" s="1" t="str">
        <f>IFERROR(__xludf.DUMMYFUNCTION("split(A653, ""\"")"),"Pontus Aberg")</f>
        <v>Pontus Aberg</v>
      </c>
      <c r="D653" s="1" t="str">
        <f>IFERROR(__xludf.DUMMYFUNCTION("""COMPUTED_VALUE"""),"abergpo01")</f>
        <v>abergpo01</v>
      </c>
      <c r="E653" s="1" t="s">
        <v>28</v>
      </c>
      <c r="F653" s="1">
        <f t="shared" si="1"/>
        <v>94.5</v>
      </c>
      <c r="G653" s="1">
        <f t="shared" si="2"/>
        <v>1.78</v>
      </c>
      <c r="H653" s="1">
        <v>53.0</v>
      </c>
      <c r="I653" s="1">
        <v>4.0</v>
      </c>
      <c r="J653" s="1">
        <v>12.0</v>
      </c>
      <c r="K653" s="1">
        <v>16.0</v>
      </c>
      <c r="L653" s="1">
        <v>70.0</v>
      </c>
      <c r="M653" s="1">
        <v>24.0</v>
      </c>
      <c r="N653" s="1">
        <v>8.0</v>
      </c>
      <c r="O653" s="1">
        <v>0.0</v>
      </c>
      <c r="P653" s="1">
        <v>1.0</v>
      </c>
      <c r="Q653" s="1">
        <v>0.0</v>
      </c>
      <c r="R653" s="1">
        <v>0.0</v>
      </c>
      <c r="S653" s="1">
        <v>9.0</v>
      </c>
      <c r="T653" s="1">
        <v>10.0</v>
      </c>
      <c r="U653" s="1">
        <v>3.0</v>
      </c>
    </row>
    <row r="654" ht="12.75" customHeight="1">
      <c r="A654" s="1" t="s">
        <v>702</v>
      </c>
      <c r="B654" s="1">
        <f t="shared" si="3"/>
        <v>640</v>
      </c>
      <c r="C654" s="1" t="str">
        <f>IFERROR(__xludf.DUMMYFUNCTION("split(A654, ""\"")"),"Jori Lehtera")</f>
        <v>Jori Lehtera</v>
      </c>
      <c r="D654" s="1" t="str">
        <f>IFERROR(__xludf.DUMMYFUNCTION("""COMPUTED_VALUE"""),"lehtejo01")</f>
        <v>lehtejo01</v>
      </c>
      <c r="E654" s="1" t="s">
        <v>31</v>
      </c>
      <c r="F654" s="1">
        <f t="shared" si="1"/>
        <v>94.45</v>
      </c>
      <c r="G654" s="1">
        <f t="shared" si="2"/>
        <v>1.52</v>
      </c>
      <c r="H654" s="1">
        <v>62.0</v>
      </c>
      <c r="I654" s="1">
        <v>3.0</v>
      </c>
      <c r="J654" s="1">
        <v>5.0</v>
      </c>
      <c r="K654" s="1">
        <v>8.0</v>
      </c>
      <c r="L654" s="1">
        <v>45.0</v>
      </c>
      <c r="M654" s="1">
        <v>55.0</v>
      </c>
      <c r="N654" s="1">
        <v>21.0</v>
      </c>
      <c r="O654" s="1">
        <v>0.0</v>
      </c>
      <c r="P654" s="1">
        <v>0.0</v>
      </c>
      <c r="Q654" s="1">
        <v>1.0</v>
      </c>
      <c r="R654" s="1">
        <v>0.0</v>
      </c>
      <c r="S654" s="1">
        <v>-8.0</v>
      </c>
      <c r="T654" s="1">
        <v>14.0</v>
      </c>
      <c r="U654" s="1">
        <v>0.0</v>
      </c>
    </row>
    <row r="655" ht="12.75" customHeight="1">
      <c r="A655" s="1" t="s">
        <v>717</v>
      </c>
      <c r="B655" s="1">
        <f t="shared" si="3"/>
        <v>641</v>
      </c>
      <c r="C655" s="1" t="str">
        <f>IFERROR(__xludf.DUMMYFUNCTION("split(A655, ""\"")"),"Andrej Sekera")</f>
        <v>Andrej Sekera</v>
      </c>
      <c r="D655" s="1" t="str">
        <f>IFERROR(__xludf.DUMMYFUNCTION("""COMPUTED_VALUE"""),"sekeran01")</f>
        <v>sekeran01</v>
      </c>
      <c r="E655" s="1" t="s">
        <v>66</v>
      </c>
      <c r="F655" s="1">
        <f t="shared" si="1"/>
        <v>94.05</v>
      </c>
      <c r="G655" s="1">
        <f t="shared" si="2"/>
        <v>2.61</v>
      </c>
      <c r="H655" s="1">
        <v>36.0</v>
      </c>
      <c r="I655" s="1">
        <v>0.0</v>
      </c>
      <c r="J655" s="1">
        <v>8.0</v>
      </c>
      <c r="K655" s="1">
        <v>8.0</v>
      </c>
      <c r="L655" s="1">
        <v>36.0</v>
      </c>
      <c r="M655" s="1">
        <v>27.0</v>
      </c>
      <c r="N655" s="1">
        <v>42.0</v>
      </c>
      <c r="O655" s="1">
        <v>0.0</v>
      </c>
      <c r="P655" s="1">
        <v>2.0</v>
      </c>
      <c r="Q655" s="1">
        <v>0.0</v>
      </c>
      <c r="R655" s="1">
        <v>0.0</v>
      </c>
      <c r="S655" s="1">
        <v>-15.0</v>
      </c>
      <c r="T655" s="1">
        <v>6.0</v>
      </c>
      <c r="U655" s="1">
        <v>0.0</v>
      </c>
    </row>
    <row r="656" ht="12.75" customHeight="1">
      <c r="A656" s="1" t="s">
        <v>708</v>
      </c>
      <c r="B656" s="1">
        <f t="shared" si="3"/>
        <v>642</v>
      </c>
      <c r="C656" s="1" t="str">
        <f>IFERROR(__xludf.DUMMYFUNCTION("split(A656, ""\"")"),"Ian McCoshen")</f>
        <v>Ian McCoshen</v>
      </c>
      <c r="D656" s="1" t="str">
        <f>IFERROR(__xludf.DUMMYFUNCTION("""COMPUTED_VALUE"""),"mccosia01")</f>
        <v>mccosia01</v>
      </c>
      <c r="E656" s="1" t="s">
        <v>66</v>
      </c>
      <c r="F656" s="1">
        <f t="shared" si="1"/>
        <v>93.25</v>
      </c>
      <c r="G656" s="1">
        <f t="shared" si="2"/>
        <v>2.45</v>
      </c>
      <c r="H656" s="1">
        <v>38.0</v>
      </c>
      <c r="I656" s="1">
        <v>3.0</v>
      </c>
      <c r="J656" s="1">
        <v>1.0</v>
      </c>
      <c r="K656" s="1">
        <v>4.0</v>
      </c>
      <c r="L656" s="1">
        <v>26.0</v>
      </c>
      <c r="M656" s="1">
        <v>71.0</v>
      </c>
      <c r="N656" s="1">
        <v>43.0</v>
      </c>
      <c r="O656" s="1">
        <v>0.0</v>
      </c>
      <c r="P656" s="1">
        <v>0.0</v>
      </c>
      <c r="Q656" s="1">
        <v>0.0</v>
      </c>
      <c r="R656" s="1">
        <v>0.0</v>
      </c>
      <c r="S656" s="1">
        <v>-10.0</v>
      </c>
      <c r="T656" s="1">
        <v>25.0</v>
      </c>
      <c r="U656" s="1">
        <v>1.0</v>
      </c>
    </row>
    <row r="657" ht="12.75" customHeight="1">
      <c r="A657" s="1" t="s">
        <v>639</v>
      </c>
      <c r="B657" s="1">
        <f t="shared" si="3"/>
        <v>643</v>
      </c>
      <c r="C657" s="1" t="str">
        <f>IFERROR(__xludf.DUMMYFUNCTION("split(A657, ""\"")"),"Christian Djoos")</f>
        <v>Christian Djoos</v>
      </c>
      <c r="D657" s="1" t="str">
        <f>IFERROR(__xludf.DUMMYFUNCTION("""COMPUTED_VALUE"""),"djoosch01")</f>
        <v>djoosch01</v>
      </c>
      <c r="E657" s="1" t="s">
        <v>66</v>
      </c>
      <c r="F657" s="1">
        <f t="shared" si="1"/>
        <v>93</v>
      </c>
      <c r="G657" s="1">
        <f t="shared" si="2"/>
        <v>1.48</v>
      </c>
      <c r="H657" s="1">
        <v>63.0</v>
      </c>
      <c r="I657" s="1">
        <v>3.0</v>
      </c>
      <c r="J657" s="1">
        <v>11.0</v>
      </c>
      <c r="K657" s="1">
        <v>14.0</v>
      </c>
      <c r="L657" s="1">
        <v>60.0</v>
      </c>
      <c r="M657" s="1">
        <v>22.0</v>
      </c>
      <c r="N657" s="1">
        <v>55.0</v>
      </c>
      <c r="O657" s="1">
        <v>0.0</v>
      </c>
      <c r="P657" s="1">
        <v>0.0</v>
      </c>
      <c r="Q657" s="1">
        <v>0.0</v>
      </c>
      <c r="R657" s="1">
        <v>0.0</v>
      </c>
      <c r="S657" s="1">
        <v>13.0</v>
      </c>
      <c r="T657" s="1">
        <v>10.0</v>
      </c>
      <c r="U657" s="1">
        <v>0.0</v>
      </c>
    </row>
    <row r="658" ht="12.75" customHeight="1">
      <c r="A658" s="1" t="s">
        <v>645</v>
      </c>
      <c r="B658" s="1">
        <f t="shared" si="3"/>
        <v>643</v>
      </c>
      <c r="C658" s="1" t="str">
        <f>IFERROR(__xludf.DUMMYFUNCTION("split(A658, ""\"")"),"Luca Sbisa")</f>
        <v>Luca Sbisa</v>
      </c>
      <c r="D658" s="1" t="str">
        <f>IFERROR(__xludf.DUMMYFUNCTION("""COMPUTED_VALUE"""),"sbisalu01")</f>
        <v>sbisalu01</v>
      </c>
      <c r="E658" s="1" t="s">
        <v>66</v>
      </c>
      <c r="F658" s="1">
        <f t="shared" si="1"/>
        <v>93</v>
      </c>
      <c r="G658" s="1">
        <f t="shared" si="2"/>
        <v>3.1</v>
      </c>
      <c r="H658" s="1">
        <v>30.0</v>
      </c>
      <c r="I658" s="1">
        <v>2.0</v>
      </c>
      <c r="J658" s="1">
        <v>12.0</v>
      </c>
      <c r="K658" s="1">
        <v>14.0</v>
      </c>
      <c r="L658" s="1">
        <v>26.0</v>
      </c>
      <c r="M658" s="1">
        <v>50.0</v>
      </c>
      <c r="N658" s="1">
        <v>54.0</v>
      </c>
      <c r="O658" s="1">
        <v>0.0</v>
      </c>
      <c r="P658" s="1">
        <v>0.0</v>
      </c>
      <c r="Q658" s="1">
        <v>0.0</v>
      </c>
      <c r="R658" s="1">
        <v>1.0</v>
      </c>
      <c r="S658" s="1">
        <v>8.0</v>
      </c>
      <c r="T658" s="1">
        <v>15.0</v>
      </c>
      <c r="U658" s="1">
        <v>0.0</v>
      </c>
    </row>
    <row r="659" ht="12.75" customHeight="1">
      <c r="A659" s="1" t="s">
        <v>709</v>
      </c>
      <c r="B659" s="1">
        <f t="shared" si="3"/>
        <v>645</v>
      </c>
      <c r="C659" s="1" t="str">
        <f>IFERROR(__xludf.DUMMYFUNCTION("split(A659, ""\"")"),"Victor Antipin")</f>
        <v>Victor Antipin</v>
      </c>
      <c r="D659" s="1" t="str">
        <f>IFERROR(__xludf.DUMMYFUNCTION("""COMPUTED_VALUE"""),"antipvi01")</f>
        <v>antipvi01</v>
      </c>
      <c r="E659" s="1" t="s">
        <v>66</v>
      </c>
      <c r="F659" s="1">
        <f t="shared" si="1"/>
        <v>92.9</v>
      </c>
      <c r="G659" s="1">
        <f t="shared" si="2"/>
        <v>1.98</v>
      </c>
      <c r="H659" s="1">
        <v>47.0</v>
      </c>
      <c r="I659" s="1">
        <v>0.0</v>
      </c>
      <c r="J659" s="1">
        <v>10.0</v>
      </c>
      <c r="K659" s="1">
        <v>10.0</v>
      </c>
      <c r="L659" s="1">
        <v>40.0</v>
      </c>
      <c r="M659" s="1">
        <v>14.0</v>
      </c>
      <c r="N659" s="1">
        <v>41.0</v>
      </c>
      <c r="O659" s="1">
        <v>0.0</v>
      </c>
      <c r="P659" s="1">
        <v>1.0</v>
      </c>
      <c r="Q659" s="1">
        <v>0.0</v>
      </c>
      <c r="R659" s="1">
        <v>0.0</v>
      </c>
      <c r="S659" s="1">
        <v>-9.0</v>
      </c>
      <c r="T659" s="1">
        <v>18.0</v>
      </c>
      <c r="U659" s="1">
        <v>0.0</v>
      </c>
    </row>
    <row r="660" ht="12.75" customHeight="1">
      <c r="A660" s="1" t="s">
        <v>680</v>
      </c>
      <c r="B660" s="1">
        <f t="shared" si="3"/>
        <v>646</v>
      </c>
      <c r="C660" s="1" t="str">
        <f>IFERROR(__xludf.DUMMYFUNCTION("split(A660, ""\"")"),"Kasperi Kapanen")</f>
        <v>Kasperi Kapanen</v>
      </c>
      <c r="D660" s="1" t="str">
        <f>IFERROR(__xludf.DUMMYFUNCTION("""COMPUTED_VALUE"""),"kapanka01")</f>
        <v>kapanka01</v>
      </c>
      <c r="E660" s="1" t="s">
        <v>36</v>
      </c>
      <c r="F660" s="1">
        <f t="shared" si="1"/>
        <v>91.45</v>
      </c>
      <c r="G660" s="1">
        <f t="shared" si="2"/>
        <v>2.41</v>
      </c>
      <c r="H660" s="1">
        <v>38.0</v>
      </c>
      <c r="I660" s="1">
        <v>7.0</v>
      </c>
      <c r="J660" s="1">
        <v>2.0</v>
      </c>
      <c r="K660" s="1">
        <v>9.0</v>
      </c>
      <c r="L660" s="1">
        <v>55.0</v>
      </c>
      <c r="M660" s="1">
        <v>57.0</v>
      </c>
      <c r="N660" s="1">
        <v>9.0</v>
      </c>
      <c r="O660" s="1">
        <v>0.0</v>
      </c>
      <c r="P660" s="1">
        <v>0.0</v>
      </c>
      <c r="Q660" s="1">
        <v>1.0</v>
      </c>
      <c r="R660" s="1">
        <v>0.0</v>
      </c>
      <c r="S660" s="1">
        <v>-1.0</v>
      </c>
      <c r="T660" s="1">
        <v>4.0</v>
      </c>
      <c r="U660" s="1">
        <v>1.0</v>
      </c>
    </row>
    <row r="661" ht="12.75" customHeight="1">
      <c r="A661" s="1" t="s">
        <v>731</v>
      </c>
      <c r="B661" s="1">
        <f t="shared" si="3"/>
        <v>646</v>
      </c>
      <c r="C661" s="1" t="str">
        <f>IFERROR(__xludf.DUMMYFUNCTION("split(A661, ""\"")"),"John Gilmour")</f>
        <v>John Gilmour</v>
      </c>
      <c r="D661" s="1" t="str">
        <f>IFERROR(__xludf.DUMMYFUNCTION("""COMPUTED_VALUE"""),"gilmojo01")</f>
        <v>gilmojo01</v>
      </c>
      <c r="E661" s="1" t="s">
        <v>66</v>
      </c>
      <c r="F661" s="1">
        <f t="shared" si="1"/>
        <v>91.45</v>
      </c>
      <c r="G661" s="1">
        <f t="shared" si="2"/>
        <v>3.27</v>
      </c>
      <c r="H661" s="1">
        <v>28.0</v>
      </c>
      <c r="I661" s="1">
        <v>2.0</v>
      </c>
      <c r="J661" s="1">
        <v>3.0</v>
      </c>
      <c r="K661" s="1">
        <v>5.0</v>
      </c>
      <c r="L661" s="1">
        <v>61.0</v>
      </c>
      <c r="M661" s="1">
        <v>27.0</v>
      </c>
      <c r="N661" s="1">
        <v>27.0</v>
      </c>
      <c r="O661" s="1">
        <v>1.0</v>
      </c>
      <c r="P661" s="1">
        <v>0.0</v>
      </c>
      <c r="Q661" s="1">
        <v>0.0</v>
      </c>
      <c r="R661" s="1">
        <v>0.0</v>
      </c>
      <c r="S661" s="1">
        <v>-11.0</v>
      </c>
      <c r="T661" s="1">
        <v>14.0</v>
      </c>
      <c r="U661" s="1">
        <v>1.0</v>
      </c>
    </row>
    <row r="662" ht="12.75" customHeight="1">
      <c r="A662" s="1" t="s">
        <v>669</v>
      </c>
      <c r="B662" s="1">
        <f t="shared" si="3"/>
        <v>648</v>
      </c>
      <c r="C662" s="1" t="str">
        <f>IFERROR(__xludf.DUMMYFUNCTION("split(A662, ""\"")"),"Dominic Moore")</f>
        <v>Dominic Moore</v>
      </c>
      <c r="D662" s="1" t="str">
        <f>IFERROR(__xludf.DUMMYFUNCTION("""COMPUTED_VALUE"""),"mooredo01")</f>
        <v>mooredo01</v>
      </c>
      <c r="E662" s="1" t="s">
        <v>31</v>
      </c>
      <c r="F662" s="1">
        <f t="shared" si="1"/>
        <v>91.05</v>
      </c>
      <c r="G662" s="1">
        <f t="shared" si="2"/>
        <v>1.82</v>
      </c>
      <c r="H662" s="1">
        <v>50.0</v>
      </c>
      <c r="I662" s="1">
        <v>6.0</v>
      </c>
      <c r="J662" s="1">
        <v>6.0</v>
      </c>
      <c r="K662" s="1">
        <v>12.0</v>
      </c>
      <c r="L662" s="1">
        <v>46.0</v>
      </c>
      <c r="M662" s="1">
        <v>41.0</v>
      </c>
      <c r="N662" s="1">
        <v>19.0</v>
      </c>
      <c r="O662" s="1">
        <v>0.0</v>
      </c>
      <c r="P662" s="1">
        <v>0.0</v>
      </c>
      <c r="Q662" s="1">
        <v>0.0</v>
      </c>
      <c r="R662" s="1">
        <v>1.0</v>
      </c>
      <c r="S662" s="1">
        <v>3.0</v>
      </c>
      <c r="T662" s="1">
        <v>16.0</v>
      </c>
      <c r="U662" s="1">
        <v>0.0</v>
      </c>
    </row>
    <row r="663" ht="12.75" customHeight="1">
      <c r="A663" s="1" t="s">
        <v>704</v>
      </c>
      <c r="B663" s="1">
        <f t="shared" si="3"/>
        <v>649</v>
      </c>
      <c r="C663" s="1" t="str">
        <f>IFERROR(__xludf.DUMMYFUNCTION("split(A663, ""\"")"),"J.T. Brown")</f>
        <v>J.T. Brown</v>
      </c>
      <c r="D663" s="1" t="str">
        <f>IFERROR(__xludf.DUMMYFUNCTION("""COMPUTED_VALUE"""),"brownjt01")</f>
        <v>brownjt01</v>
      </c>
      <c r="E663" s="1" t="s">
        <v>36</v>
      </c>
      <c r="F663" s="1">
        <f t="shared" si="1"/>
        <v>89.95</v>
      </c>
      <c r="G663" s="1">
        <f t="shared" si="2"/>
        <v>1.91</v>
      </c>
      <c r="H663" s="1">
        <v>47.0</v>
      </c>
      <c r="I663" s="1">
        <v>2.0</v>
      </c>
      <c r="J663" s="1">
        <v>5.0</v>
      </c>
      <c r="K663" s="1">
        <v>7.0</v>
      </c>
      <c r="L663" s="1">
        <v>40.0</v>
      </c>
      <c r="M663" s="1">
        <v>71.0</v>
      </c>
      <c r="N663" s="1">
        <v>23.0</v>
      </c>
      <c r="O663" s="1">
        <v>0.0</v>
      </c>
      <c r="P663" s="1">
        <v>0.0</v>
      </c>
      <c r="Q663" s="1">
        <v>0.0</v>
      </c>
      <c r="R663" s="1">
        <v>0.0</v>
      </c>
      <c r="S663" s="1">
        <v>-5.0</v>
      </c>
      <c r="T663" s="1">
        <v>24.0</v>
      </c>
      <c r="U663" s="1">
        <v>1.0</v>
      </c>
    </row>
    <row r="664" ht="12.75" customHeight="1">
      <c r="A664" s="1" t="s">
        <v>661</v>
      </c>
      <c r="B664" s="1">
        <f t="shared" si="3"/>
        <v>650</v>
      </c>
      <c r="C664" s="1" t="str">
        <f>IFERROR(__xludf.DUMMYFUNCTION("split(A664, ""\"")"),"Chris Tanev")</f>
        <v>Chris Tanev</v>
      </c>
      <c r="D664" s="1" t="str">
        <f>IFERROR(__xludf.DUMMYFUNCTION("""COMPUTED_VALUE"""),"tanevch01")</f>
        <v>tanevch01</v>
      </c>
      <c r="E664" s="1" t="s">
        <v>66</v>
      </c>
      <c r="F664" s="1">
        <f t="shared" si="1"/>
        <v>89.65</v>
      </c>
      <c r="G664" s="1">
        <f t="shared" si="2"/>
        <v>2.13</v>
      </c>
      <c r="H664" s="1">
        <v>42.0</v>
      </c>
      <c r="I664" s="1">
        <v>2.0</v>
      </c>
      <c r="J664" s="1">
        <v>9.0</v>
      </c>
      <c r="K664" s="1">
        <v>11.0</v>
      </c>
      <c r="L664" s="1">
        <v>31.0</v>
      </c>
      <c r="M664" s="1">
        <v>21.0</v>
      </c>
      <c r="N664" s="1">
        <v>70.0</v>
      </c>
      <c r="O664" s="1">
        <v>0.0</v>
      </c>
      <c r="P664" s="1">
        <v>0.0</v>
      </c>
      <c r="Q664" s="1">
        <v>0.0</v>
      </c>
      <c r="R664" s="1">
        <v>2.0</v>
      </c>
      <c r="S664" s="1">
        <v>7.0</v>
      </c>
      <c r="T664" s="1">
        <v>8.0</v>
      </c>
      <c r="U664" s="1">
        <v>0.0</v>
      </c>
    </row>
    <row r="665" ht="12.75" customHeight="1">
      <c r="A665" s="1" t="s">
        <v>613</v>
      </c>
      <c r="B665" s="1">
        <f t="shared" si="3"/>
        <v>651</v>
      </c>
      <c r="C665" s="1" t="str">
        <f>IFERROR(__xludf.DUMMYFUNCTION("split(A665, ""\"")"),"David Rittich")</f>
        <v>David Rittich</v>
      </c>
      <c r="D665" s="2" t="str">
        <f>IFERROR(__xludf.DUMMYFUNCTION("""COMPUTED_VALUE"""),"rittida01")</f>
        <v>rittida01</v>
      </c>
      <c r="E665" s="1" t="s">
        <v>5</v>
      </c>
      <c r="F665" s="1">
        <f t="shared" si="1"/>
        <v>89.4</v>
      </c>
      <c r="G665" s="1">
        <f t="shared" si="2"/>
        <v>4.26</v>
      </c>
      <c r="H665" s="1">
        <v>21.0</v>
      </c>
      <c r="V665" s="1">
        <v>16.0</v>
      </c>
      <c r="W665" s="1">
        <v>8.0</v>
      </c>
      <c r="X665" s="1">
        <v>6.0</v>
      </c>
      <c r="Y665" s="1">
        <v>49.0</v>
      </c>
      <c r="Z665" s="1">
        <v>512.0</v>
      </c>
      <c r="AA665" s="1">
        <v>463.0</v>
      </c>
      <c r="AB665" s="1">
        <v>0.0</v>
      </c>
    </row>
    <row r="666" ht="12.75" customHeight="1">
      <c r="A666" s="1" t="s">
        <v>643</v>
      </c>
      <c r="B666" s="1">
        <f t="shared" si="3"/>
        <v>652</v>
      </c>
      <c r="C666" s="1" t="str">
        <f>IFERROR(__xludf.DUMMYFUNCTION("split(A666, ""\"")"),"Calvin de Haan")</f>
        <v>Calvin de Haan</v>
      </c>
      <c r="D666" s="1" t="str">
        <f>IFERROR(__xludf.DUMMYFUNCTION("""COMPUTED_VALUE"""),"dehaaca01")</f>
        <v>dehaaca01</v>
      </c>
      <c r="E666" s="1" t="s">
        <v>66</v>
      </c>
      <c r="F666" s="1">
        <f t="shared" si="1"/>
        <v>89.15</v>
      </c>
      <c r="G666" s="1">
        <f t="shared" si="2"/>
        <v>2.7</v>
      </c>
      <c r="H666" s="1">
        <v>33.0</v>
      </c>
      <c r="I666" s="1">
        <v>1.0</v>
      </c>
      <c r="J666" s="1">
        <v>11.0</v>
      </c>
      <c r="K666" s="1">
        <v>12.0</v>
      </c>
      <c r="L666" s="1">
        <v>44.0</v>
      </c>
      <c r="M666" s="1">
        <v>45.0</v>
      </c>
      <c r="N666" s="1">
        <v>65.0</v>
      </c>
      <c r="O666" s="1">
        <v>0.0</v>
      </c>
      <c r="P666" s="1">
        <v>0.0</v>
      </c>
      <c r="Q666" s="1">
        <v>0.0</v>
      </c>
      <c r="R666" s="1">
        <v>0.0</v>
      </c>
      <c r="S666" s="1">
        <v>11.0</v>
      </c>
      <c r="T666" s="1">
        <v>8.0</v>
      </c>
      <c r="U666" s="1">
        <v>0.0</v>
      </c>
    </row>
    <row r="667" ht="12.75" customHeight="1">
      <c r="A667" s="1" t="s">
        <v>762</v>
      </c>
      <c r="B667" s="1">
        <f t="shared" si="3"/>
        <v>653</v>
      </c>
      <c r="C667" s="1" t="str">
        <f>IFERROR(__xludf.DUMMYFUNCTION("split(A667, ""\"")"),"Ben Harpur")</f>
        <v>Ben Harpur</v>
      </c>
      <c r="D667" s="1" t="str">
        <f>IFERROR(__xludf.DUMMYFUNCTION("""COMPUTED_VALUE"""),"harpube01")</f>
        <v>harpube01</v>
      </c>
      <c r="E667" s="1" t="s">
        <v>66</v>
      </c>
      <c r="F667" s="1">
        <f t="shared" si="1"/>
        <v>89.05</v>
      </c>
      <c r="G667" s="1">
        <f t="shared" si="2"/>
        <v>2.17</v>
      </c>
      <c r="H667" s="1">
        <v>41.0</v>
      </c>
      <c r="I667" s="1">
        <v>0.0</v>
      </c>
      <c r="J667" s="1">
        <v>1.0</v>
      </c>
      <c r="K667" s="1">
        <v>1.0</v>
      </c>
      <c r="L667" s="1">
        <v>26.0</v>
      </c>
      <c r="M667" s="1">
        <v>71.0</v>
      </c>
      <c r="N667" s="1">
        <v>35.0</v>
      </c>
      <c r="O667" s="1">
        <v>0.0</v>
      </c>
      <c r="P667" s="1">
        <v>0.0</v>
      </c>
      <c r="Q667" s="1">
        <v>0.0</v>
      </c>
      <c r="R667" s="1">
        <v>0.0</v>
      </c>
      <c r="S667" s="1">
        <v>-21.0</v>
      </c>
      <c r="T667" s="1">
        <v>21.0</v>
      </c>
      <c r="U667" s="1">
        <v>0.0</v>
      </c>
    </row>
    <row r="668" ht="12.75" customHeight="1">
      <c r="A668" s="1" t="s">
        <v>679</v>
      </c>
      <c r="B668" s="1">
        <f t="shared" si="3"/>
        <v>654</v>
      </c>
      <c r="C668" s="1" t="str">
        <f>IFERROR(__xludf.DUMMYFUNCTION("split(A668, ""\"")"),"Tim Heed")</f>
        <v>Tim Heed</v>
      </c>
      <c r="D668" s="1" t="str">
        <f>IFERROR(__xludf.DUMMYFUNCTION("""COMPUTED_VALUE"""),"heedti01")</f>
        <v>heedti01</v>
      </c>
      <c r="E668" s="1" t="s">
        <v>66</v>
      </c>
      <c r="F668" s="1">
        <f t="shared" si="1"/>
        <v>88.9</v>
      </c>
      <c r="G668" s="1">
        <f t="shared" si="2"/>
        <v>3.07</v>
      </c>
      <c r="H668" s="1">
        <v>29.0</v>
      </c>
      <c r="I668" s="1">
        <v>3.0</v>
      </c>
      <c r="J668" s="1">
        <v>8.0</v>
      </c>
      <c r="K668" s="1">
        <v>11.0</v>
      </c>
      <c r="L668" s="1">
        <v>51.0</v>
      </c>
      <c r="M668" s="1">
        <v>8.0</v>
      </c>
      <c r="N668" s="1">
        <v>35.0</v>
      </c>
      <c r="O668" s="1">
        <v>2.0</v>
      </c>
      <c r="P668" s="1">
        <v>3.0</v>
      </c>
      <c r="Q668" s="1">
        <v>0.0</v>
      </c>
      <c r="R668" s="1">
        <v>0.0</v>
      </c>
      <c r="S668" s="1">
        <v>0.0</v>
      </c>
      <c r="T668" s="1">
        <v>8.0</v>
      </c>
      <c r="U668" s="1">
        <v>2.0</v>
      </c>
    </row>
    <row r="669" ht="12.75" customHeight="1">
      <c r="A669" s="1" t="s">
        <v>706</v>
      </c>
      <c r="B669" s="1">
        <f t="shared" si="3"/>
        <v>655</v>
      </c>
      <c r="C669" s="1" t="str">
        <f>IFERROR(__xludf.DUMMYFUNCTION("split(A669, ""\"")"),"Klas Dahlbeck")</f>
        <v>Klas Dahlbeck</v>
      </c>
      <c r="D669" s="1" t="str">
        <f>IFERROR(__xludf.DUMMYFUNCTION("""COMPUTED_VALUE"""),"dahlbkl01")</f>
        <v>dahlbkl01</v>
      </c>
      <c r="E669" s="1" t="s">
        <v>66</v>
      </c>
      <c r="F669" s="1">
        <f t="shared" si="1"/>
        <v>88.8</v>
      </c>
      <c r="G669" s="1">
        <f t="shared" si="2"/>
        <v>2.69</v>
      </c>
      <c r="H669" s="1">
        <v>33.0</v>
      </c>
      <c r="I669" s="1">
        <v>1.0</v>
      </c>
      <c r="J669" s="1">
        <v>4.0</v>
      </c>
      <c r="K669" s="1">
        <v>5.0</v>
      </c>
      <c r="L669" s="1">
        <v>43.0</v>
      </c>
      <c r="M669" s="1">
        <v>74.0</v>
      </c>
      <c r="N669" s="1">
        <v>34.0</v>
      </c>
      <c r="O669" s="1">
        <v>0.0</v>
      </c>
      <c r="P669" s="1">
        <v>0.0</v>
      </c>
      <c r="Q669" s="1">
        <v>0.0</v>
      </c>
      <c r="R669" s="1">
        <v>0.0</v>
      </c>
      <c r="S669" s="1">
        <v>-6.0</v>
      </c>
      <c r="T669" s="1">
        <v>21.0</v>
      </c>
      <c r="U669" s="1">
        <v>0.0</v>
      </c>
    </row>
    <row r="670" ht="12.75" customHeight="1">
      <c r="A670" s="1" t="s">
        <v>606</v>
      </c>
      <c r="B670" s="1">
        <f t="shared" si="3"/>
        <v>656</v>
      </c>
      <c r="C670" s="1" t="str">
        <f>IFERROR(__xludf.DUMMYFUNCTION("split(A670, ""\"")"),"Joonas Korpisalo")</f>
        <v>Joonas Korpisalo</v>
      </c>
      <c r="D670" s="2" t="str">
        <f>IFERROR(__xludf.DUMMYFUNCTION("""COMPUTED_VALUE"""),"korpijo01")</f>
        <v>korpijo01</v>
      </c>
      <c r="E670" s="1" t="s">
        <v>5</v>
      </c>
      <c r="F670" s="1">
        <f t="shared" si="1"/>
        <v>88.8</v>
      </c>
      <c r="G670" s="1">
        <f t="shared" si="2"/>
        <v>4.93</v>
      </c>
      <c r="H670" s="1">
        <v>18.0</v>
      </c>
      <c r="V670" s="1">
        <v>17.0</v>
      </c>
      <c r="W670" s="1">
        <v>8.0</v>
      </c>
      <c r="X670" s="1">
        <v>8.0</v>
      </c>
      <c r="Y670" s="1">
        <v>58.0</v>
      </c>
      <c r="Z670" s="1">
        <v>564.0</v>
      </c>
      <c r="AA670" s="1">
        <v>506.0</v>
      </c>
      <c r="AB670" s="1">
        <v>0.0</v>
      </c>
    </row>
    <row r="671" ht="12.75" customHeight="1">
      <c r="A671" s="1" t="s">
        <v>638</v>
      </c>
      <c r="B671" s="1">
        <f t="shared" si="3"/>
        <v>657</v>
      </c>
      <c r="C671" s="1" t="str">
        <f>IFERROR(__xludf.DUMMYFUNCTION("split(A671, ""\"")"),"Chandler Stephenson")</f>
        <v>Chandler Stephenson</v>
      </c>
      <c r="D671" s="1" t="str">
        <f>IFERROR(__xludf.DUMMYFUNCTION("""COMPUTED_VALUE"""),"stephch02")</f>
        <v>stephch02</v>
      </c>
      <c r="E671" s="1" t="s">
        <v>31</v>
      </c>
      <c r="F671" s="1">
        <f t="shared" si="1"/>
        <v>86.9</v>
      </c>
      <c r="G671" s="1">
        <f t="shared" si="2"/>
        <v>1.3</v>
      </c>
      <c r="H671" s="1">
        <v>67.0</v>
      </c>
      <c r="I671" s="1">
        <v>6.0</v>
      </c>
      <c r="J671" s="1">
        <v>12.0</v>
      </c>
      <c r="K671" s="1">
        <v>18.0</v>
      </c>
      <c r="L671" s="1">
        <v>36.0</v>
      </c>
      <c r="M671" s="1">
        <v>26.0</v>
      </c>
      <c r="N671" s="1">
        <v>33.0</v>
      </c>
      <c r="O671" s="1">
        <v>0.0</v>
      </c>
      <c r="P671" s="1">
        <v>0.0</v>
      </c>
      <c r="Q671" s="1">
        <v>0.0</v>
      </c>
      <c r="R671" s="1">
        <v>0.0</v>
      </c>
      <c r="S671" s="1">
        <v>13.0</v>
      </c>
      <c r="T671" s="1">
        <v>8.0</v>
      </c>
      <c r="U671" s="1">
        <v>0.0</v>
      </c>
    </row>
    <row r="672" ht="12.75" customHeight="1">
      <c r="A672" s="1" t="s">
        <v>721</v>
      </c>
      <c r="B672" s="1">
        <f t="shared" si="3"/>
        <v>658</v>
      </c>
      <c r="C672" s="1" t="str">
        <f>IFERROR(__xludf.DUMMYFUNCTION("split(A672, ""\"")"),"Dennis Seidenberg")</f>
        <v>Dennis Seidenberg</v>
      </c>
      <c r="D672" s="1" t="str">
        <f>IFERROR(__xludf.DUMMYFUNCTION("""COMPUTED_VALUE"""),"seidede01")</f>
        <v>seidede01</v>
      </c>
      <c r="E672" s="1" t="s">
        <v>66</v>
      </c>
      <c r="F672" s="1">
        <f t="shared" si="1"/>
        <v>86.85</v>
      </c>
      <c r="G672" s="1">
        <f t="shared" si="2"/>
        <v>3.1</v>
      </c>
      <c r="H672" s="1">
        <v>28.0</v>
      </c>
      <c r="I672" s="1">
        <v>0.0</v>
      </c>
      <c r="J672" s="1">
        <v>5.0</v>
      </c>
      <c r="K672" s="1">
        <v>5.0</v>
      </c>
      <c r="L672" s="1">
        <v>31.0</v>
      </c>
      <c r="M672" s="1">
        <v>65.0</v>
      </c>
      <c r="N672" s="1">
        <v>43.0</v>
      </c>
      <c r="O672" s="1">
        <v>0.0</v>
      </c>
      <c r="P672" s="1">
        <v>0.0</v>
      </c>
      <c r="Q672" s="1">
        <v>0.0</v>
      </c>
      <c r="R672" s="1">
        <v>0.0</v>
      </c>
      <c r="S672" s="1">
        <v>-9.0</v>
      </c>
      <c r="T672" s="1">
        <v>17.0</v>
      </c>
      <c r="U672" s="1">
        <v>0.0</v>
      </c>
    </row>
    <row r="673" ht="12.75" customHeight="1">
      <c r="A673" s="1" t="s">
        <v>703</v>
      </c>
      <c r="B673" s="1">
        <f t="shared" si="3"/>
        <v>659</v>
      </c>
      <c r="C673" s="1" t="str">
        <f>IFERROR(__xludf.DUMMYFUNCTION("split(A673, ""\"")"),"Xavier Ouellet")</f>
        <v>Xavier Ouellet</v>
      </c>
      <c r="D673" s="1" t="str">
        <f>IFERROR(__xludf.DUMMYFUNCTION("""COMPUTED_VALUE"""),"ouellxa01")</f>
        <v>ouellxa01</v>
      </c>
      <c r="E673" s="1" t="s">
        <v>66</v>
      </c>
      <c r="F673" s="1">
        <f t="shared" si="1"/>
        <v>86.3</v>
      </c>
      <c r="G673" s="1">
        <f t="shared" si="2"/>
        <v>1.92</v>
      </c>
      <c r="H673" s="1">
        <v>45.0</v>
      </c>
      <c r="I673" s="1">
        <v>0.0</v>
      </c>
      <c r="J673" s="1">
        <v>7.0</v>
      </c>
      <c r="K673" s="1">
        <v>7.0</v>
      </c>
      <c r="L673" s="1">
        <v>57.0</v>
      </c>
      <c r="M673" s="1">
        <v>36.0</v>
      </c>
      <c r="N673" s="1">
        <v>43.0</v>
      </c>
      <c r="O673" s="1">
        <v>0.0</v>
      </c>
      <c r="P673" s="1">
        <v>0.0</v>
      </c>
      <c r="Q673" s="1">
        <v>0.0</v>
      </c>
      <c r="R673" s="1">
        <v>0.0</v>
      </c>
      <c r="S673" s="1">
        <v>-3.0</v>
      </c>
      <c r="T673" s="1">
        <v>6.0</v>
      </c>
      <c r="U673" s="1">
        <v>0.0</v>
      </c>
    </row>
    <row r="674" ht="12.75" customHeight="1">
      <c r="A674" s="1" t="s">
        <v>637</v>
      </c>
      <c r="B674" s="1">
        <f t="shared" si="3"/>
        <v>660</v>
      </c>
      <c r="C674" s="1" t="str">
        <f>IFERROR(__xludf.DUMMYFUNCTION("split(A674, ""\"")"),"Ondrej Pavelec")</f>
        <v>Ondrej Pavelec</v>
      </c>
      <c r="D674" s="2" t="str">
        <f>IFERROR(__xludf.DUMMYFUNCTION("""COMPUTED_VALUE"""),"pavelon01")</f>
        <v>pavelon01</v>
      </c>
      <c r="E674" s="1" t="s">
        <v>5</v>
      </c>
      <c r="F674" s="1">
        <f t="shared" si="1"/>
        <v>85.2</v>
      </c>
      <c r="G674" s="1">
        <f t="shared" si="2"/>
        <v>4.48</v>
      </c>
      <c r="H674" s="1">
        <v>19.0</v>
      </c>
      <c r="V674" s="1">
        <v>12.0</v>
      </c>
      <c r="W674" s="1">
        <v>4.0</v>
      </c>
      <c r="X674" s="1">
        <v>9.0</v>
      </c>
      <c r="Y674" s="1">
        <v>46.0</v>
      </c>
      <c r="Z674" s="1">
        <v>510.0</v>
      </c>
      <c r="AA674" s="1">
        <v>464.0</v>
      </c>
      <c r="AB674" s="1">
        <v>1.0</v>
      </c>
    </row>
    <row r="675" ht="12.75" customHeight="1">
      <c r="A675" s="1" t="s">
        <v>617</v>
      </c>
      <c r="B675" s="1">
        <f t="shared" si="3"/>
        <v>661</v>
      </c>
      <c r="C675" s="1" t="str">
        <f>IFERROR(__xludf.DUMMYFUNCTION("split(A675, ""\"")"),"Louis Domingue")</f>
        <v>Louis Domingue</v>
      </c>
      <c r="D675" s="2" t="str">
        <f>IFERROR(__xludf.DUMMYFUNCTION("""COMPUTED_VALUE"""),"dominlo01")</f>
        <v>dominlo01</v>
      </c>
      <c r="E675" s="1" t="s">
        <v>5</v>
      </c>
      <c r="F675" s="1">
        <f t="shared" si="1"/>
        <v>84.6</v>
      </c>
      <c r="G675" s="1">
        <f t="shared" si="2"/>
        <v>4.45</v>
      </c>
      <c r="H675" s="1">
        <v>19.0</v>
      </c>
      <c r="V675" s="1">
        <v>16.0</v>
      </c>
      <c r="W675" s="1">
        <v>7.0</v>
      </c>
      <c r="X675" s="1">
        <v>9.0</v>
      </c>
      <c r="Y675" s="1">
        <v>61.0</v>
      </c>
      <c r="Z675" s="1">
        <v>578.0</v>
      </c>
      <c r="AA675" s="1">
        <v>517.0</v>
      </c>
      <c r="AB675" s="1">
        <v>0.0</v>
      </c>
    </row>
    <row r="676" ht="12.75" customHeight="1">
      <c r="A676" s="1" t="s">
        <v>693</v>
      </c>
      <c r="B676" s="1">
        <f t="shared" si="3"/>
        <v>662</v>
      </c>
      <c r="C676" s="1" t="str">
        <f>IFERROR(__xludf.DUMMYFUNCTION("split(A676, ""\"")"),"Jakub Jerabek")</f>
        <v>Jakub Jerabek</v>
      </c>
      <c r="D676" s="1" t="str">
        <f>IFERROR(__xludf.DUMMYFUNCTION("""COMPUTED_VALUE"""),"jerabja01")</f>
        <v>jerabja01</v>
      </c>
      <c r="E676" s="1" t="s">
        <v>66</v>
      </c>
      <c r="F676" s="1">
        <f t="shared" si="1"/>
        <v>82.8</v>
      </c>
      <c r="G676" s="1">
        <f t="shared" si="2"/>
        <v>2.3</v>
      </c>
      <c r="H676" s="1">
        <v>36.0</v>
      </c>
      <c r="I676" s="1">
        <v>2.0</v>
      </c>
      <c r="J676" s="1">
        <v>6.0</v>
      </c>
      <c r="K676" s="1">
        <v>8.0</v>
      </c>
      <c r="L676" s="1">
        <v>33.0</v>
      </c>
      <c r="M676" s="1">
        <v>42.0</v>
      </c>
      <c r="N676" s="1">
        <v>48.0</v>
      </c>
      <c r="O676" s="1">
        <v>0.0</v>
      </c>
      <c r="P676" s="1">
        <v>0.0</v>
      </c>
      <c r="Q676" s="1">
        <v>0.0</v>
      </c>
      <c r="R676" s="1">
        <v>0.0</v>
      </c>
      <c r="S676" s="1">
        <v>-2.0</v>
      </c>
      <c r="T676" s="1">
        <v>6.0</v>
      </c>
      <c r="U676" s="1">
        <v>0.0</v>
      </c>
    </row>
    <row r="677" ht="12.75" customHeight="1">
      <c r="A677" s="1" t="s">
        <v>686</v>
      </c>
      <c r="B677" s="1">
        <f t="shared" si="3"/>
        <v>663</v>
      </c>
      <c r="C677" s="1" t="str">
        <f>IFERROR(__xludf.DUMMYFUNCTION("split(A677, ""\"")"),"Darren Archibald")</f>
        <v>Darren Archibald</v>
      </c>
      <c r="D677" s="1" t="str">
        <f>IFERROR(__xludf.DUMMYFUNCTION("""COMPUTED_VALUE"""),"archida02")</f>
        <v>archida02</v>
      </c>
      <c r="E677" s="1" t="s">
        <v>36</v>
      </c>
      <c r="F677" s="1">
        <f t="shared" si="1"/>
        <v>82.7</v>
      </c>
      <c r="G677" s="1">
        <f t="shared" si="2"/>
        <v>3.06</v>
      </c>
      <c r="H677" s="1">
        <v>27.0</v>
      </c>
      <c r="I677" s="1">
        <v>4.0</v>
      </c>
      <c r="J677" s="1">
        <v>5.0</v>
      </c>
      <c r="K677" s="1">
        <v>9.0</v>
      </c>
      <c r="L677" s="1">
        <v>28.0</v>
      </c>
      <c r="M677" s="1">
        <v>80.0</v>
      </c>
      <c r="N677" s="1">
        <v>14.0</v>
      </c>
      <c r="O677" s="1">
        <v>0.0</v>
      </c>
      <c r="P677" s="1">
        <v>0.0</v>
      </c>
      <c r="Q677" s="1">
        <v>1.0</v>
      </c>
      <c r="R677" s="1">
        <v>0.0</v>
      </c>
      <c r="S677" s="1">
        <v>-1.0</v>
      </c>
      <c r="T677" s="1">
        <v>14.0</v>
      </c>
      <c r="U677" s="1">
        <v>0.0</v>
      </c>
    </row>
    <row r="678" ht="12.75" customHeight="1">
      <c r="A678" s="1" t="s">
        <v>728</v>
      </c>
      <c r="B678" s="1">
        <f t="shared" si="3"/>
        <v>663</v>
      </c>
      <c r="C678" s="1" t="str">
        <f>IFERROR(__xludf.DUMMYFUNCTION("split(A678, ""\"")"),"Carter Rowney")</f>
        <v>Carter Rowney</v>
      </c>
      <c r="D678" s="1" t="str">
        <f>IFERROR(__xludf.DUMMYFUNCTION("""COMPUTED_VALUE"""),"rowneca01")</f>
        <v>rowneca01</v>
      </c>
      <c r="E678" s="1" t="s">
        <v>36</v>
      </c>
      <c r="F678" s="1">
        <f t="shared" si="1"/>
        <v>82.7</v>
      </c>
      <c r="G678" s="1">
        <f t="shared" si="2"/>
        <v>1.88</v>
      </c>
      <c r="H678" s="1">
        <v>44.0</v>
      </c>
      <c r="I678" s="1">
        <v>2.0</v>
      </c>
      <c r="J678" s="1">
        <v>3.0</v>
      </c>
      <c r="K678" s="1">
        <v>5.0</v>
      </c>
      <c r="L678" s="1">
        <v>21.0</v>
      </c>
      <c r="M678" s="1">
        <v>74.0</v>
      </c>
      <c r="N678" s="1">
        <v>24.0</v>
      </c>
      <c r="O678" s="1">
        <v>0.0</v>
      </c>
      <c r="P678" s="1">
        <v>0.0</v>
      </c>
      <c r="Q678" s="1">
        <v>1.0</v>
      </c>
      <c r="R678" s="1">
        <v>0.0</v>
      </c>
      <c r="S678" s="1">
        <v>-13.0</v>
      </c>
      <c r="T678" s="1">
        <v>4.0</v>
      </c>
      <c r="U678" s="1">
        <v>0.0</v>
      </c>
    </row>
    <row r="679" ht="12.75" customHeight="1">
      <c r="A679" s="1" t="s">
        <v>733</v>
      </c>
      <c r="B679" s="1">
        <f t="shared" si="3"/>
        <v>665</v>
      </c>
      <c r="C679" s="1" t="str">
        <f>IFERROR(__xludf.DUMMYFUNCTION("split(A679, ""\"")"),"Josh Jooris")</f>
        <v>Josh Jooris</v>
      </c>
      <c r="D679" s="1" t="str">
        <f>IFERROR(__xludf.DUMMYFUNCTION("""COMPUTED_VALUE"""),"joorijo01")</f>
        <v>joorijo01</v>
      </c>
      <c r="E679" s="1" t="s">
        <v>31</v>
      </c>
      <c r="F679" s="1">
        <f t="shared" si="1"/>
        <v>81.05</v>
      </c>
      <c r="G679" s="1">
        <f t="shared" si="2"/>
        <v>2.03</v>
      </c>
      <c r="H679" s="1">
        <v>40.0</v>
      </c>
      <c r="I679" s="1">
        <v>3.0</v>
      </c>
      <c r="J679" s="1">
        <v>3.0</v>
      </c>
      <c r="K679" s="1">
        <v>6.0</v>
      </c>
      <c r="L679" s="1">
        <v>50.0</v>
      </c>
      <c r="M679" s="1">
        <v>51.0</v>
      </c>
      <c r="N679" s="1">
        <v>11.0</v>
      </c>
      <c r="O679" s="1">
        <v>0.0</v>
      </c>
      <c r="P679" s="1">
        <v>0.0</v>
      </c>
      <c r="Q679" s="1">
        <v>0.0</v>
      </c>
      <c r="R679" s="1">
        <v>0.0</v>
      </c>
      <c r="S679" s="1">
        <v>-7.0</v>
      </c>
      <c r="T679" s="1">
        <v>16.0</v>
      </c>
      <c r="U679" s="1">
        <v>0.0</v>
      </c>
    </row>
    <row r="680" ht="12.75" customHeight="1">
      <c r="A680" s="1" t="s">
        <v>722</v>
      </c>
      <c r="B680" s="1">
        <f t="shared" si="3"/>
        <v>666</v>
      </c>
      <c r="C680" s="1" t="str">
        <f>IFERROR(__xludf.DUMMYFUNCTION("split(A680, ""\"")"),"Lee Stempniak")</f>
        <v>Lee Stempniak</v>
      </c>
      <c r="D680" s="1" t="str">
        <f>IFERROR(__xludf.DUMMYFUNCTION("""COMPUTED_VALUE"""),"stemple01")</f>
        <v>stemple01</v>
      </c>
      <c r="E680" s="1" t="s">
        <v>36</v>
      </c>
      <c r="F680" s="1">
        <f t="shared" si="1"/>
        <v>80.7</v>
      </c>
      <c r="G680" s="1">
        <f t="shared" si="2"/>
        <v>2.18</v>
      </c>
      <c r="H680" s="1">
        <v>37.0</v>
      </c>
      <c r="I680" s="1">
        <v>3.0</v>
      </c>
      <c r="J680" s="1">
        <v>6.0</v>
      </c>
      <c r="K680" s="1">
        <v>9.0</v>
      </c>
      <c r="L680" s="1">
        <v>41.0</v>
      </c>
      <c r="M680" s="1">
        <v>40.0</v>
      </c>
      <c r="N680" s="1">
        <v>11.0</v>
      </c>
      <c r="O680" s="1">
        <v>1.0</v>
      </c>
      <c r="P680" s="1">
        <v>0.0</v>
      </c>
      <c r="Q680" s="1">
        <v>0.0</v>
      </c>
      <c r="R680" s="1">
        <v>0.0</v>
      </c>
      <c r="S680" s="1">
        <v>-8.0</v>
      </c>
      <c r="T680" s="1">
        <v>4.0</v>
      </c>
      <c r="U680" s="1">
        <v>0.0</v>
      </c>
    </row>
    <row r="681" ht="12.75" customHeight="1">
      <c r="A681" s="1" t="s">
        <v>629</v>
      </c>
      <c r="B681" s="1">
        <f t="shared" si="3"/>
        <v>667</v>
      </c>
      <c r="C681" s="1" t="str">
        <f>IFERROR(__xludf.DUMMYFUNCTION("split(A681, ""\"")"),"Scott Wedgewood")</f>
        <v>Scott Wedgewood</v>
      </c>
      <c r="D681" s="2" t="str">
        <f>IFERROR(__xludf.DUMMYFUNCTION("""COMPUTED_VALUE"""),"wedgesc01")</f>
        <v>wedgesc01</v>
      </c>
      <c r="E681" s="1" t="s">
        <v>5</v>
      </c>
      <c r="F681" s="1">
        <f t="shared" si="1"/>
        <v>80.7</v>
      </c>
      <c r="G681" s="1">
        <f t="shared" si="2"/>
        <v>4.04</v>
      </c>
      <c r="H681" s="1">
        <v>20.0</v>
      </c>
      <c r="V681" s="1">
        <v>17.0</v>
      </c>
      <c r="W681" s="1">
        <v>5.0</v>
      </c>
      <c r="X681" s="1">
        <v>9.0</v>
      </c>
      <c r="Y681" s="1">
        <v>63.0</v>
      </c>
      <c r="Z681" s="1">
        <v>587.0</v>
      </c>
      <c r="AA681" s="1">
        <v>524.0</v>
      </c>
      <c r="AB681" s="1">
        <v>1.0</v>
      </c>
    </row>
    <row r="682" ht="12.75" customHeight="1">
      <c r="A682" s="1" t="s">
        <v>685</v>
      </c>
      <c r="B682" s="1">
        <f t="shared" si="3"/>
        <v>668</v>
      </c>
      <c r="C682" s="1" t="str">
        <f>IFERROR(__xludf.DUMMYFUNCTION("split(A682, ""\"")"),"Jay Bouwmeester")</f>
        <v>Jay Bouwmeester</v>
      </c>
      <c r="D682" s="1" t="str">
        <f>IFERROR(__xludf.DUMMYFUNCTION("""COMPUTED_VALUE"""),"bouwmja01")</f>
        <v>bouwmja01</v>
      </c>
      <c r="E682" s="1" t="s">
        <v>66</v>
      </c>
      <c r="F682" s="1">
        <f t="shared" si="1"/>
        <v>80.05</v>
      </c>
      <c r="G682" s="1">
        <f t="shared" si="2"/>
        <v>2.29</v>
      </c>
      <c r="H682" s="1">
        <v>35.0</v>
      </c>
      <c r="I682" s="1">
        <v>2.0</v>
      </c>
      <c r="J682" s="1">
        <v>5.0</v>
      </c>
      <c r="K682" s="1">
        <v>7.0</v>
      </c>
      <c r="L682" s="1">
        <v>45.0</v>
      </c>
      <c r="M682" s="1">
        <v>29.0</v>
      </c>
      <c r="N682" s="1">
        <v>58.0</v>
      </c>
      <c r="O682" s="1">
        <v>0.0</v>
      </c>
      <c r="P682" s="1">
        <v>0.0</v>
      </c>
      <c r="Q682" s="1">
        <v>0.0</v>
      </c>
      <c r="R682" s="1">
        <v>0.0</v>
      </c>
      <c r="S682" s="1">
        <v>5.0</v>
      </c>
      <c r="T682" s="1">
        <v>16.0</v>
      </c>
      <c r="U682" s="1">
        <v>0.0</v>
      </c>
    </row>
    <row r="683" ht="12.75" customHeight="1">
      <c r="A683" s="1" t="s">
        <v>689</v>
      </c>
      <c r="B683" s="1">
        <f t="shared" si="3"/>
        <v>668</v>
      </c>
      <c r="C683" s="1" t="str">
        <f>IFERROR(__xludf.DUMMYFUNCTION("split(A683, ""\"")"),"Dominik Simon")</f>
        <v>Dominik Simon</v>
      </c>
      <c r="D683" s="1" t="str">
        <f>IFERROR(__xludf.DUMMYFUNCTION("""COMPUTED_VALUE"""),"simondo01")</f>
        <v>simondo01</v>
      </c>
      <c r="E683" s="1" t="s">
        <v>31</v>
      </c>
      <c r="F683" s="1">
        <f t="shared" si="1"/>
        <v>80.05</v>
      </c>
      <c r="G683" s="1">
        <f t="shared" si="2"/>
        <v>2.43</v>
      </c>
      <c r="H683" s="1">
        <v>33.0</v>
      </c>
      <c r="I683" s="1">
        <v>4.0</v>
      </c>
      <c r="J683" s="1">
        <v>8.0</v>
      </c>
      <c r="K683" s="1">
        <v>12.0</v>
      </c>
      <c r="L683" s="1">
        <v>36.0</v>
      </c>
      <c r="M683" s="1">
        <v>37.0</v>
      </c>
      <c r="N683" s="1">
        <v>18.0</v>
      </c>
      <c r="O683" s="1">
        <v>0.0</v>
      </c>
      <c r="P683" s="1">
        <v>0.0</v>
      </c>
      <c r="Q683" s="1">
        <v>0.0</v>
      </c>
      <c r="R683" s="1">
        <v>0.0</v>
      </c>
      <c r="S683" s="1">
        <v>2.0</v>
      </c>
      <c r="T683" s="1">
        <v>16.0</v>
      </c>
      <c r="U683" s="1">
        <v>0.0</v>
      </c>
    </row>
    <row r="684" ht="12.75" customHeight="1">
      <c r="A684" s="1" t="s">
        <v>719</v>
      </c>
      <c r="B684" s="1">
        <f t="shared" si="3"/>
        <v>670</v>
      </c>
      <c r="C684" s="1" t="str">
        <f>IFERROR(__xludf.DUMMYFUNCTION("split(A684, ""\"")"),"William Carrier")</f>
        <v>William Carrier</v>
      </c>
      <c r="D684" s="1" t="str">
        <f>IFERROR(__xludf.DUMMYFUNCTION("""COMPUTED_VALUE"""),"carriwi01")</f>
        <v>carriwi01</v>
      </c>
      <c r="E684" s="1" t="s">
        <v>28</v>
      </c>
      <c r="F684" s="1">
        <f t="shared" si="1"/>
        <v>79.95</v>
      </c>
      <c r="G684" s="1">
        <f t="shared" si="2"/>
        <v>2.16</v>
      </c>
      <c r="H684" s="1">
        <v>37.0</v>
      </c>
      <c r="I684" s="1">
        <v>1.0</v>
      </c>
      <c r="J684" s="1">
        <v>2.0</v>
      </c>
      <c r="K684" s="1">
        <v>3.0</v>
      </c>
      <c r="L684" s="1">
        <v>52.0</v>
      </c>
      <c r="M684" s="1">
        <v>113.0</v>
      </c>
      <c r="N684" s="1">
        <v>10.0</v>
      </c>
      <c r="O684" s="1">
        <v>0.0</v>
      </c>
      <c r="P684" s="1">
        <v>0.0</v>
      </c>
      <c r="Q684" s="1">
        <v>0.0</v>
      </c>
      <c r="R684" s="1">
        <v>0.0</v>
      </c>
      <c r="S684" s="1">
        <v>-3.0</v>
      </c>
      <c r="T684" s="1">
        <v>19.0</v>
      </c>
      <c r="U684" s="1">
        <v>0.0</v>
      </c>
    </row>
    <row r="685" ht="12.75" customHeight="1">
      <c r="A685" s="1" t="s">
        <v>700</v>
      </c>
      <c r="B685" s="1">
        <f t="shared" si="3"/>
        <v>671</v>
      </c>
      <c r="C685" s="1" t="str">
        <f>IFERROR(__xludf.DUMMYFUNCTION("split(A685, ""\"")"),"Yohann Auvitu")</f>
        <v>Yohann Auvitu</v>
      </c>
      <c r="D685" s="1" t="str">
        <f>IFERROR(__xludf.DUMMYFUNCTION("""COMPUTED_VALUE"""),"auvityo01")</f>
        <v>auvityo01</v>
      </c>
      <c r="E685" s="1" t="s">
        <v>66</v>
      </c>
      <c r="F685" s="1">
        <f t="shared" si="1"/>
        <v>79.9</v>
      </c>
      <c r="G685" s="1">
        <f t="shared" si="2"/>
        <v>2.42</v>
      </c>
      <c r="H685" s="1">
        <v>33.0</v>
      </c>
      <c r="I685" s="1">
        <v>3.0</v>
      </c>
      <c r="J685" s="1">
        <v>6.0</v>
      </c>
      <c r="K685" s="1">
        <v>9.0</v>
      </c>
      <c r="L685" s="1">
        <v>69.0</v>
      </c>
      <c r="M685" s="1">
        <v>18.0</v>
      </c>
      <c r="N685" s="1">
        <v>26.0</v>
      </c>
      <c r="O685" s="1">
        <v>0.0</v>
      </c>
      <c r="P685" s="1">
        <v>0.0</v>
      </c>
      <c r="Q685" s="1">
        <v>0.0</v>
      </c>
      <c r="R685" s="1">
        <v>0.0</v>
      </c>
      <c r="S685" s="1">
        <v>4.0</v>
      </c>
      <c r="T685" s="1">
        <v>8.0</v>
      </c>
      <c r="U685" s="1">
        <v>0.0</v>
      </c>
    </row>
    <row r="686" ht="12.75" customHeight="1">
      <c r="A686" s="1" t="s">
        <v>656</v>
      </c>
      <c r="B686" s="1">
        <f t="shared" si="3"/>
        <v>672</v>
      </c>
      <c r="C686" s="1" t="str">
        <f>IFERROR(__xludf.DUMMYFUNCTION("split(A686, ""\"")"),"Charlie Lindgren")</f>
        <v>Charlie Lindgren</v>
      </c>
      <c r="D686" s="2" t="str">
        <f>IFERROR(__xludf.DUMMYFUNCTION("""COMPUTED_VALUE"""),"lindgch01")</f>
        <v>lindgch01</v>
      </c>
      <c r="E686" s="1" t="s">
        <v>5</v>
      </c>
      <c r="F686" s="1">
        <f t="shared" si="1"/>
        <v>79.5</v>
      </c>
      <c r="G686" s="1">
        <f t="shared" si="2"/>
        <v>5.68</v>
      </c>
      <c r="H686" s="1">
        <v>14.0</v>
      </c>
      <c r="V686" s="1">
        <v>14.0</v>
      </c>
      <c r="W686" s="1">
        <v>4.0</v>
      </c>
      <c r="X686" s="1">
        <v>8.0</v>
      </c>
      <c r="Y686" s="1">
        <v>42.0</v>
      </c>
      <c r="Z686" s="1">
        <v>457.0</v>
      </c>
      <c r="AA686" s="1">
        <v>415.0</v>
      </c>
      <c r="AB686" s="1">
        <v>2.0</v>
      </c>
    </row>
    <row r="687" ht="12.75" customHeight="1">
      <c r="A687" s="1" t="s">
        <v>683</v>
      </c>
      <c r="B687" s="1">
        <f t="shared" si="3"/>
        <v>673</v>
      </c>
      <c r="C687" s="1" t="str">
        <f>IFERROR(__xludf.DUMMYFUNCTION("split(A687, ""\"")"),"David Schlemko")</f>
        <v>David Schlemko</v>
      </c>
      <c r="D687" s="1" t="str">
        <f>IFERROR(__xludf.DUMMYFUNCTION("""COMPUTED_VALUE"""),"schleda01")</f>
        <v>schleda01</v>
      </c>
      <c r="E687" s="1" t="s">
        <v>66</v>
      </c>
      <c r="F687" s="1">
        <f t="shared" si="1"/>
        <v>79.05</v>
      </c>
      <c r="G687" s="1">
        <f t="shared" si="2"/>
        <v>2.14</v>
      </c>
      <c r="H687" s="1">
        <v>37.0</v>
      </c>
      <c r="I687" s="1">
        <v>1.0</v>
      </c>
      <c r="J687" s="1">
        <v>4.0</v>
      </c>
      <c r="K687" s="1">
        <v>5.0</v>
      </c>
      <c r="L687" s="1">
        <v>38.0</v>
      </c>
      <c r="M687" s="1">
        <v>33.0</v>
      </c>
      <c r="N687" s="1">
        <v>72.0</v>
      </c>
      <c r="O687" s="1">
        <v>0.0</v>
      </c>
      <c r="P687" s="1">
        <v>2.0</v>
      </c>
      <c r="Q687" s="1">
        <v>0.0</v>
      </c>
      <c r="R687" s="1">
        <v>0.0</v>
      </c>
      <c r="S687" s="1">
        <v>3.0</v>
      </c>
      <c r="T687" s="1">
        <v>6.0</v>
      </c>
      <c r="U687" s="1">
        <v>1.0</v>
      </c>
    </row>
    <row r="688" ht="12.75" customHeight="1">
      <c r="A688" s="1" t="s">
        <v>740</v>
      </c>
      <c r="B688" s="1">
        <f t="shared" si="3"/>
        <v>674</v>
      </c>
      <c r="C688" s="1" t="str">
        <f>IFERROR(__xludf.DUMMYFUNCTION("split(A688, ""\"")"),"Kurtis MacDermid")</f>
        <v>Kurtis MacDermid</v>
      </c>
      <c r="D688" s="1" t="str">
        <f>IFERROR(__xludf.DUMMYFUNCTION("""COMPUTED_VALUE"""),"macdeku01")</f>
        <v>macdeku01</v>
      </c>
      <c r="E688" s="1" t="s">
        <v>66</v>
      </c>
      <c r="F688" s="1">
        <f t="shared" si="1"/>
        <v>78.85</v>
      </c>
      <c r="G688" s="1">
        <f t="shared" si="2"/>
        <v>2.32</v>
      </c>
      <c r="H688" s="1">
        <v>34.0</v>
      </c>
      <c r="I688" s="1">
        <v>1.0</v>
      </c>
      <c r="J688" s="1">
        <v>3.0</v>
      </c>
      <c r="K688" s="1">
        <v>4.0</v>
      </c>
      <c r="L688" s="1">
        <v>19.0</v>
      </c>
      <c r="M688" s="1">
        <v>77.0</v>
      </c>
      <c r="N688" s="1">
        <v>27.0</v>
      </c>
      <c r="O688" s="1">
        <v>0.0</v>
      </c>
      <c r="P688" s="1">
        <v>0.0</v>
      </c>
      <c r="Q688" s="1">
        <v>0.0</v>
      </c>
      <c r="R688" s="1">
        <v>0.0</v>
      </c>
      <c r="S688" s="1">
        <v>-4.0</v>
      </c>
      <c r="T688" s="1">
        <v>57.0</v>
      </c>
      <c r="U688" s="1">
        <v>0.0</v>
      </c>
    </row>
    <row r="689" ht="12.75" customHeight="1">
      <c r="A689" s="1" t="s">
        <v>738</v>
      </c>
      <c r="B689" s="1">
        <f t="shared" si="3"/>
        <v>675</v>
      </c>
      <c r="C689" s="1" t="str">
        <f>IFERROR(__xludf.DUMMYFUNCTION("split(A689, ""\"")"),"Andrej Sustr")</f>
        <v>Andrej Sustr</v>
      </c>
      <c r="D689" s="1" t="str">
        <f>IFERROR(__xludf.DUMMYFUNCTION("""COMPUTED_VALUE"""),"sustran01")</f>
        <v>sustran01</v>
      </c>
      <c r="E689" s="1" t="s">
        <v>66</v>
      </c>
      <c r="F689" s="1">
        <f t="shared" si="1"/>
        <v>78.15</v>
      </c>
      <c r="G689" s="1">
        <f t="shared" si="2"/>
        <v>1.78</v>
      </c>
      <c r="H689" s="1">
        <v>44.0</v>
      </c>
      <c r="I689" s="1">
        <v>2.0</v>
      </c>
      <c r="J689" s="1">
        <v>5.0</v>
      </c>
      <c r="K689" s="1">
        <v>7.0</v>
      </c>
      <c r="L689" s="1">
        <v>45.0</v>
      </c>
      <c r="M689" s="1">
        <v>9.0</v>
      </c>
      <c r="N689" s="1">
        <v>33.0</v>
      </c>
      <c r="O689" s="1">
        <v>0.0</v>
      </c>
      <c r="P689" s="1">
        <v>0.0</v>
      </c>
      <c r="Q689" s="1">
        <v>0.0</v>
      </c>
      <c r="R689" s="1">
        <v>0.0</v>
      </c>
      <c r="S689" s="1">
        <v>-5.0</v>
      </c>
      <c r="T689" s="1">
        <v>18.0</v>
      </c>
      <c r="U689" s="1">
        <v>0.0</v>
      </c>
    </row>
    <row r="690" ht="12.75" customHeight="1">
      <c r="A690" s="1" t="s">
        <v>663</v>
      </c>
      <c r="B690" s="1">
        <f t="shared" si="3"/>
        <v>676</v>
      </c>
      <c r="C690" s="1" t="str">
        <f>IFERROR(__xludf.DUMMYFUNCTION("split(A690, ""\"")"),"Casey DeSmith")</f>
        <v>Casey DeSmith</v>
      </c>
      <c r="D690" s="2" t="str">
        <f>IFERROR(__xludf.DUMMYFUNCTION("""COMPUTED_VALUE"""),"desmica01")</f>
        <v>desmica01</v>
      </c>
      <c r="E690" s="1" t="s">
        <v>5</v>
      </c>
      <c r="F690" s="1">
        <f t="shared" si="1"/>
        <v>77.4</v>
      </c>
      <c r="G690" s="1">
        <f t="shared" si="2"/>
        <v>5.53</v>
      </c>
      <c r="H690" s="1">
        <v>14.0</v>
      </c>
      <c r="V690" s="1">
        <v>11.0</v>
      </c>
      <c r="W690" s="1">
        <v>6.0</v>
      </c>
      <c r="X690" s="1">
        <v>4.0</v>
      </c>
      <c r="Y690" s="1">
        <v>28.0</v>
      </c>
      <c r="Z690" s="1">
        <v>356.0</v>
      </c>
      <c r="AA690" s="1">
        <v>328.0</v>
      </c>
      <c r="AB690" s="1">
        <v>1.0</v>
      </c>
    </row>
    <row r="691" ht="12.75" customHeight="1">
      <c r="A691" s="1" t="s">
        <v>713</v>
      </c>
      <c r="B691" s="1">
        <f t="shared" si="3"/>
        <v>677</v>
      </c>
      <c r="C691" s="1" t="str">
        <f>IFERROR(__xludf.DUMMYFUNCTION("split(A691, ""\"")"),"Tomas Jurco")</f>
        <v>Tomas Jurco</v>
      </c>
      <c r="D691" s="1" t="str">
        <f>IFERROR(__xludf.DUMMYFUNCTION("""COMPUTED_VALUE"""),"jurcoto01")</f>
        <v>jurcoto01</v>
      </c>
      <c r="E691" s="1" t="s">
        <v>36</v>
      </c>
      <c r="F691" s="1">
        <f t="shared" si="1"/>
        <v>76.6</v>
      </c>
      <c r="G691" s="1">
        <f t="shared" si="2"/>
        <v>2.64</v>
      </c>
      <c r="H691" s="1">
        <v>29.0</v>
      </c>
      <c r="I691" s="1">
        <v>6.0</v>
      </c>
      <c r="J691" s="1">
        <v>4.0</v>
      </c>
      <c r="K691" s="1">
        <v>10.0</v>
      </c>
      <c r="L691" s="1">
        <v>44.0</v>
      </c>
      <c r="M691" s="1">
        <v>22.0</v>
      </c>
      <c r="N691" s="1">
        <v>12.0</v>
      </c>
      <c r="O691" s="1">
        <v>0.0</v>
      </c>
      <c r="P691" s="1">
        <v>0.0</v>
      </c>
      <c r="Q691" s="1">
        <v>0.0</v>
      </c>
      <c r="R691" s="1">
        <v>0.0</v>
      </c>
      <c r="S691" s="1">
        <v>1.0</v>
      </c>
      <c r="T691" s="1">
        <v>12.0</v>
      </c>
      <c r="U691" s="1">
        <v>1.0</v>
      </c>
    </row>
    <row r="692" ht="12.75" customHeight="1">
      <c r="A692" s="1" t="s">
        <v>659</v>
      </c>
      <c r="B692" s="1">
        <f t="shared" si="3"/>
        <v>678</v>
      </c>
      <c r="C692" s="1" t="str">
        <f>IFERROR(__xludf.DUMMYFUNCTION("split(A692, ""\"")"),"Travis Dermott")</f>
        <v>Travis Dermott</v>
      </c>
      <c r="D692" s="1" t="str">
        <f>IFERROR(__xludf.DUMMYFUNCTION("""COMPUTED_VALUE"""),"dermotr01")</f>
        <v>dermotr01</v>
      </c>
      <c r="E692" s="1" t="s">
        <v>66</v>
      </c>
      <c r="F692" s="1">
        <f t="shared" si="1"/>
        <v>75.9</v>
      </c>
      <c r="G692" s="1">
        <f t="shared" si="2"/>
        <v>2.05</v>
      </c>
      <c r="H692" s="1">
        <v>37.0</v>
      </c>
      <c r="I692" s="1">
        <v>1.0</v>
      </c>
      <c r="J692" s="1">
        <v>12.0</v>
      </c>
      <c r="K692" s="1">
        <v>13.0</v>
      </c>
      <c r="L692" s="1">
        <v>54.0</v>
      </c>
      <c r="M692" s="1">
        <v>48.0</v>
      </c>
      <c r="N692" s="1">
        <v>36.0</v>
      </c>
      <c r="O692" s="1">
        <v>0.0</v>
      </c>
      <c r="P692" s="1">
        <v>0.0</v>
      </c>
      <c r="Q692" s="1">
        <v>0.0</v>
      </c>
      <c r="R692" s="1">
        <v>0.0</v>
      </c>
      <c r="S692" s="1">
        <v>16.0</v>
      </c>
      <c r="T692" s="1">
        <v>8.0</v>
      </c>
      <c r="U692" s="1">
        <v>0.0</v>
      </c>
    </row>
    <row r="693" ht="12.75" customHeight="1">
      <c r="A693" s="1" t="s">
        <v>699</v>
      </c>
      <c r="B693" s="1">
        <f t="shared" si="3"/>
        <v>679</v>
      </c>
      <c r="C693" s="1" t="str">
        <f>IFERROR(__xludf.DUMMYFUNCTION("split(A693, ""\"")"),"Gemel Smith")</f>
        <v>Gemel Smith</v>
      </c>
      <c r="D693" s="1" t="str">
        <f>IFERROR(__xludf.DUMMYFUNCTION("""COMPUTED_VALUE"""),"smithge02")</f>
        <v>smithge02</v>
      </c>
      <c r="E693" s="1" t="s">
        <v>31</v>
      </c>
      <c r="F693" s="1">
        <f t="shared" si="1"/>
        <v>75.35</v>
      </c>
      <c r="G693" s="1">
        <f t="shared" si="2"/>
        <v>1.64</v>
      </c>
      <c r="H693" s="1">
        <v>46.0</v>
      </c>
      <c r="I693" s="1">
        <v>6.0</v>
      </c>
      <c r="J693" s="1">
        <v>5.0</v>
      </c>
      <c r="K693" s="1">
        <v>11.0</v>
      </c>
      <c r="L693" s="1">
        <v>42.0</v>
      </c>
      <c r="M693" s="1">
        <v>33.0</v>
      </c>
      <c r="N693" s="1">
        <v>13.0</v>
      </c>
      <c r="O693" s="1">
        <v>0.0</v>
      </c>
      <c r="P693" s="1">
        <v>0.0</v>
      </c>
      <c r="Q693" s="1">
        <v>0.0</v>
      </c>
      <c r="R693" s="1">
        <v>0.0</v>
      </c>
      <c r="S693" s="1">
        <v>5.0</v>
      </c>
      <c r="T693" s="1">
        <v>17.0</v>
      </c>
      <c r="U693" s="1">
        <v>0.0</v>
      </c>
    </row>
    <row r="694" ht="12.75" customHeight="1">
      <c r="A694" s="1" t="s">
        <v>724</v>
      </c>
      <c r="B694" s="1">
        <f t="shared" si="3"/>
        <v>680</v>
      </c>
      <c r="C694" s="1" t="str">
        <f>IFERROR(__xludf.DUMMYFUNCTION("split(A694, ""\"")"),"Jimmy Hayes")</f>
        <v>Jimmy Hayes</v>
      </c>
      <c r="D694" s="1" t="str">
        <f>IFERROR(__xludf.DUMMYFUNCTION("""COMPUTED_VALUE"""),"hayesji01")</f>
        <v>hayesji01</v>
      </c>
      <c r="E694" s="1" t="s">
        <v>36</v>
      </c>
      <c r="F694" s="1">
        <f t="shared" si="1"/>
        <v>74.3</v>
      </c>
      <c r="G694" s="1">
        <f t="shared" si="2"/>
        <v>2.25</v>
      </c>
      <c r="H694" s="1">
        <v>33.0</v>
      </c>
      <c r="I694" s="1">
        <v>3.0</v>
      </c>
      <c r="J694" s="1">
        <v>6.0</v>
      </c>
      <c r="K694" s="1">
        <v>9.0</v>
      </c>
      <c r="L694" s="1">
        <v>37.0</v>
      </c>
      <c r="M694" s="1">
        <v>50.0</v>
      </c>
      <c r="N694" s="1">
        <v>6.0</v>
      </c>
      <c r="O694" s="1">
        <v>1.0</v>
      </c>
      <c r="P694" s="1">
        <v>0.0</v>
      </c>
      <c r="Q694" s="1">
        <v>0.0</v>
      </c>
      <c r="R694" s="1">
        <v>0.0</v>
      </c>
      <c r="S694" s="1">
        <v>-2.0</v>
      </c>
      <c r="T694" s="1">
        <v>6.0</v>
      </c>
      <c r="U694" s="1">
        <v>2.0</v>
      </c>
    </row>
    <row r="695" ht="12.75" customHeight="1">
      <c r="A695" s="1" t="s">
        <v>725</v>
      </c>
      <c r="B695" s="1">
        <f t="shared" si="3"/>
        <v>681</v>
      </c>
      <c r="C695" s="1" t="str">
        <f>IFERROR(__xludf.DUMMYFUNCTION("split(A695, ""\"")"),"Brendan Gaunce")</f>
        <v>Brendan Gaunce</v>
      </c>
      <c r="D695" s="1" t="str">
        <f>IFERROR(__xludf.DUMMYFUNCTION("""COMPUTED_VALUE"""),"gauncbr01")</f>
        <v>gauncbr01</v>
      </c>
      <c r="E695" s="1" t="s">
        <v>31</v>
      </c>
      <c r="F695" s="1">
        <f t="shared" si="1"/>
        <v>74</v>
      </c>
      <c r="G695" s="1">
        <f t="shared" si="2"/>
        <v>2</v>
      </c>
      <c r="H695" s="1">
        <v>37.0</v>
      </c>
      <c r="I695" s="1">
        <v>4.0</v>
      </c>
      <c r="J695" s="1">
        <v>2.0</v>
      </c>
      <c r="K695" s="1">
        <v>6.0</v>
      </c>
      <c r="L695" s="1">
        <v>55.0</v>
      </c>
      <c r="M695" s="1">
        <v>48.0</v>
      </c>
      <c r="N695" s="1">
        <v>11.0</v>
      </c>
      <c r="O695" s="1">
        <v>1.0</v>
      </c>
      <c r="P695" s="1">
        <v>0.0</v>
      </c>
      <c r="Q695" s="1">
        <v>0.0</v>
      </c>
      <c r="R695" s="1">
        <v>0.0</v>
      </c>
      <c r="S695" s="1">
        <v>0.0</v>
      </c>
      <c r="T695" s="1">
        <v>10.0</v>
      </c>
      <c r="U695" s="1">
        <v>1.0</v>
      </c>
    </row>
    <row r="696" ht="12.75" customHeight="1">
      <c r="A696" s="1" t="s">
        <v>711</v>
      </c>
      <c r="B696" s="1">
        <f t="shared" si="3"/>
        <v>682</v>
      </c>
      <c r="C696" s="1" t="str">
        <f>IFERROR(__xludf.DUMMYFUNCTION("split(A696, ""\"")"),"Slater Koekkoek")</f>
        <v>Slater Koekkoek</v>
      </c>
      <c r="D696" s="1" t="str">
        <f>IFERROR(__xludf.DUMMYFUNCTION("""COMPUTED_VALUE"""),"koekksl01")</f>
        <v>koekksl01</v>
      </c>
      <c r="E696" s="1" t="s">
        <v>66</v>
      </c>
      <c r="F696" s="1">
        <f t="shared" si="1"/>
        <v>73.9</v>
      </c>
      <c r="G696" s="1">
        <f t="shared" si="2"/>
        <v>2.11</v>
      </c>
      <c r="H696" s="1">
        <v>35.0</v>
      </c>
      <c r="I696" s="1">
        <v>4.0</v>
      </c>
      <c r="J696" s="1">
        <v>4.0</v>
      </c>
      <c r="K696" s="1">
        <v>8.0</v>
      </c>
      <c r="L696" s="1">
        <v>43.0</v>
      </c>
      <c r="M696" s="1">
        <v>36.0</v>
      </c>
      <c r="N696" s="1">
        <v>24.0</v>
      </c>
      <c r="O696" s="1">
        <v>0.0</v>
      </c>
      <c r="P696" s="1">
        <v>0.0</v>
      </c>
      <c r="Q696" s="1">
        <v>0.0</v>
      </c>
      <c r="R696" s="1">
        <v>0.0</v>
      </c>
      <c r="S696" s="1">
        <v>4.0</v>
      </c>
      <c r="T696" s="1">
        <v>18.0</v>
      </c>
      <c r="U696" s="1">
        <v>1.0</v>
      </c>
    </row>
    <row r="697" ht="12.75" customHeight="1">
      <c r="A697" s="1" t="s">
        <v>747</v>
      </c>
      <c r="B697" s="1">
        <f t="shared" si="3"/>
        <v>682</v>
      </c>
      <c r="C697" s="1" t="str">
        <f>IFERROR(__xludf.DUMMYFUNCTION("split(A697, ""\"")"),"Marcus Kruger")</f>
        <v>Marcus Kruger</v>
      </c>
      <c r="D697" s="1" t="str">
        <f>IFERROR(__xludf.DUMMYFUNCTION("""COMPUTED_VALUE"""),"krugema01")</f>
        <v>krugema01</v>
      </c>
      <c r="E697" s="1" t="s">
        <v>31</v>
      </c>
      <c r="F697" s="1">
        <f t="shared" si="1"/>
        <v>73.9</v>
      </c>
      <c r="G697" s="1">
        <f t="shared" si="2"/>
        <v>1.54</v>
      </c>
      <c r="H697" s="1">
        <v>48.0</v>
      </c>
      <c r="I697" s="1">
        <v>1.0</v>
      </c>
      <c r="J697" s="1">
        <v>5.0</v>
      </c>
      <c r="K697" s="1">
        <v>6.0</v>
      </c>
      <c r="L697" s="1">
        <v>30.0</v>
      </c>
      <c r="M697" s="1">
        <v>56.0</v>
      </c>
      <c r="N697" s="1">
        <v>16.0</v>
      </c>
      <c r="O697" s="1">
        <v>0.0</v>
      </c>
      <c r="P697" s="1">
        <v>0.0</v>
      </c>
      <c r="Q697" s="1">
        <v>0.0</v>
      </c>
      <c r="R697" s="1">
        <v>0.0</v>
      </c>
      <c r="S697" s="1">
        <v>-6.0</v>
      </c>
      <c r="T697" s="1">
        <v>28.0</v>
      </c>
      <c r="U697" s="1">
        <v>0.0</v>
      </c>
    </row>
    <row r="698" ht="12.75" customHeight="1">
      <c r="A698" s="1" t="s">
        <v>720</v>
      </c>
      <c r="B698" s="1">
        <f t="shared" si="3"/>
        <v>684</v>
      </c>
      <c r="C698" s="1" t="str">
        <f>IFERROR(__xludf.DUMMYFUNCTION("split(A698, ""\"")"),"Tanner Fritz")</f>
        <v>Tanner Fritz</v>
      </c>
      <c r="D698" s="1" t="str">
        <f>IFERROR(__xludf.DUMMYFUNCTION("""COMPUTED_VALUE"""),"fritzta01")</f>
        <v>fritzta01</v>
      </c>
      <c r="E698" s="1" t="s">
        <v>31</v>
      </c>
      <c r="F698" s="1">
        <f t="shared" si="1"/>
        <v>73.65</v>
      </c>
      <c r="G698" s="1">
        <f t="shared" si="2"/>
        <v>2.17</v>
      </c>
      <c r="H698" s="1">
        <v>34.0</v>
      </c>
      <c r="I698" s="1">
        <v>3.0</v>
      </c>
      <c r="J698" s="1">
        <v>4.0</v>
      </c>
      <c r="K698" s="1">
        <v>7.0</v>
      </c>
      <c r="L698" s="1">
        <v>27.0</v>
      </c>
      <c r="M698" s="1">
        <v>59.0</v>
      </c>
      <c r="N698" s="1">
        <v>26.0</v>
      </c>
      <c r="O698" s="1">
        <v>0.0</v>
      </c>
      <c r="P698" s="1">
        <v>0.0</v>
      </c>
      <c r="Q698" s="1">
        <v>0.0</v>
      </c>
      <c r="R698" s="1">
        <v>0.0</v>
      </c>
      <c r="S698" s="1">
        <v>-3.0</v>
      </c>
      <c r="T698" s="1">
        <v>8.0</v>
      </c>
      <c r="U698" s="1">
        <v>0.0</v>
      </c>
    </row>
    <row r="699" ht="12.75" customHeight="1">
      <c r="A699" s="1" t="s">
        <v>741</v>
      </c>
      <c r="B699" s="1">
        <f t="shared" si="3"/>
        <v>685</v>
      </c>
      <c r="C699" s="1" t="str">
        <f>IFERROR(__xludf.DUMMYFUNCTION("split(A699, ""\"")"),"Kris Versteeg")</f>
        <v>Kris Versteeg</v>
      </c>
      <c r="D699" s="1" t="str">
        <f>IFERROR(__xludf.DUMMYFUNCTION("""COMPUTED_VALUE"""),"verstkr01")</f>
        <v>verstkr01</v>
      </c>
      <c r="E699" s="1" t="s">
        <v>36</v>
      </c>
      <c r="F699" s="1">
        <f t="shared" si="1"/>
        <v>73.3</v>
      </c>
      <c r="G699" s="1">
        <f t="shared" si="2"/>
        <v>3.05</v>
      </c>
      <c r="H699" s="1">
        <v>24.0</v>
      </c>
      <c r="I699" s="1">
        <v>3.0</v>
      </c>
      <c r="J699" s="1">
        <v>5.0</v>
      </c>
      <c r="K699" s="1">
        <v>8.0</v>
      </c>
      <c r="L699" s="1">
        <v>49.0</v>
      </c>
      <c r="M699" s="1">
        <v>6.0</v>
      </c>
      <c r="N699" s="1">
        <v>6.0</v>
      </c>
      <c r="O699" s="1">
        <v>1.0</v>
      </c>
      <c r="P699" s="1">
        <v>4.0</v>
      </c>
      <c r="Q699" s="1">
        <v>0.0</v>
      </c>
      <c r="R699" s="1">
        <v>0.0</v>
      </c>
      <c r="S699" s="1">
        <v>-8.0</v>
      </c>
      <c r="T699" s="1">
        <v>6.0</v>
      </c>
      <c r="U699" s="1">
        <v>1.0</v>
      </c>
    </row>
    <row r="700" ht="12.75" customHeight="1">
      <c r="A700" s="1" t="s">
        <v>697</v>
      </c>
      <c r="B700" s="1">
        <f t="shared" si="3"/>
        <v>686</v>
      </c>
      <c r="C700" s="1" t="str">
        <f>IFERROR(__xludf.DUMMYFUNCTION("split(A700, ""\"")"),"Jack Roslovic")</f>
        <v>Jack Roslovic</v>
      </c>
      <c r="D700" s="1" t="str">
        <f>IFERROR(__xludf.DUMMYFUNCTION("""COMPUTED_VALUE"""),"rosloja01")</f>
        <v>rosloja01</v>
      </c>
      <c r="E700" s="1" t="s">
        <v>31</v>
      </c>
      <c r="F700" s="1">
        <f t="shared" si="1"/>
        <v>73.1</v>
      </c>
      <c r="G700" s="1">
        <f t="shared" si="2"/>
        <v>2.36</v>
      </c>
      <c r="H700" s="1">
        <v>31.0</v>
      </c>
      <c r="I700" s="1">
        <v>5.0</v>
      </c>
      <c r="J700" s="1">
        <v>9.0</v>
      </c>
      <c r="K700" s="1">
        <v>14.0</v>
      </c>
      <c r="L700" s="1">
        <v>38.0</v>
      </c>
      <c r="M700" s="1">
        <v>20.0</v>
      </c>
      <c r="N700" s="1">
        <v>9.0</v>
      </c>
      <c r="O700" s="1">
        <v>0.0</v>
      </c>
      <c r="P700" s="1">
        <v>0.0</v>
      </c>
      <c r="Q700" s="1">
        <v>0.0</v>
      </c>
      <c r="R700" s="1">
        <v>0.0</v>
      </c>
      <c r="S700" s="1">
        <v>5.0</v>
      </c>
      <c r="T700" s="1">
        <v>2.0</v>
      </c>
      <c r="U700" s="1">
        <v>1.0</v>
      </c>
    </row>
    <row r="701" ht="12.75" customHeight="1">
      <c r="A701" s="1" t="s">
        <v>753</v>
      </c>
      <c r="B701" s="1">
        <f t="shared" si="3"/>
        <v>687</v>
      </c>
      <c r="C701" s="1" t="str">
        <f>IFERROR(__xludf.DUMMYFUNCTION("split(A701, ""\"")"),"Max McCormick")</f>
        <v>Max McCormick</v>
      </c>
      <c r="D701" s="1" t="str">
        <f>IFERROR(__xludf.DUMMYFUNCTION("""COMPUTED_VALUE"""),"mccorma01")</f>
        <v>mccorma01</v>
      </c>
      <c r="E701" s="1" t="s">
        <v>28</v>
      </c>
      <c r="F701" s="1">
        <f t="shared" si="1"/>
        <v>72.6</v>
      </c>
      <c r="G701" s="1">
        <f t="shared" si="2"/>
        <v>2.42</v>
      </c>
      <c r="H701" s="1">
        <v>30.0</v>
      </c>
      <c r="I701" s="1">
        <v>3.0</v>
      </c>
      <c r="J701" s="1">
        <v>2.0</v>
      </c>
      <c r="K701" s="1">
        <v>5.0</v>
      </c>
      <c r="L701" s="1">
        <v>33.0</v>
      </c>
      <c r="M701" s="1">
        <v>56.0</v>
      </c>
      <c r="N701" s="1">
        <v>8.0</v>
      </c>
      <c r="O701" s="1">
        <v>0.0</v>
      </c>
      <c r="P701" s="1">
        <v>0.0</v>
      </c>
      <c r="Q701" s="1">
        <v>0.0</v>
      </c>
      <c r="R701" s="1">
        <v>0.0</v>
      </c>
      <c r="S701" s="1">
        <v>-5.0</v>
      </c>
      <c r="T701" s="1">
        <v>37.0</v>
      </c>
      <c r="U701" s="1">
        <v>0.0</v>
      </c>
    </row>
    <row r="702" ht="12.75" customHeight="1">
      <c r="A702" s="1" t="s">
        <v>694</v>
      </c>
      <c r="B702" s="1">
        <f t="shared" si="3"/>
        <v>688</v>
      </c>
      <c r="C702" s="1" t="str">
        <f>IFERROR(__xludf.DUMMYFUNCTION("split(A702, ""\"")"),"Victor Mete")</f>
        <v>Victor Mete</v>
      </c>
      <c r="D702" s="1" t="str">
        <f>IFERROR(__xludf.DUMMYFUNCTION("""COMPUTED_VALUE"""),"metevi01")</f>
        <v>metevi01</v>
      </c>
      <c r="E702" s="1" t="s">
        <v>66</v>
      </c>
      <c r="F702" s="1">
        <f t="shared" si="1"/>
        <v>71.95</v>
      </c>
      <c r="G702" s="1">
        <f t="shared" si="2"/>
        <v>1.47</v>
      </c>
      <c r="H702" s="1">
        <v>49.0</v>
      </c>
      <c r="I702" s="1">
        <v>0.0</v>
      </c>
      <c r="J702" s="1">
        <v>7.0</v>
      </c>
      <c r="K702" s="1">
        <v>7.0</v>
      </c>
      <c r="L702" s="1">
        <v>43.0</v>
      </c>
      <c r="M702" s="1">
        <v>1.0</v>
      </c>
      <c r="N702" s="1">
        <v>71.0</v>
      </c>
      <c r="O702" s="1">
        <v>0.0</v>
      </c>
      <c r="P702" s="1">
        <v>4.0</v>
      </c>
      <c r="Q702" s="1">
        <v>0.0</v>
      </c>
      <c r="R702" s="1">
        <v>0.0</v>
      </c>
      <c r="S702" s="1">
        <v>5.0</v>
      </c>
      <c r="T702" s="1">
        <v>4.0</v>
      </c>
      <c r="U702" s="1">
        <v>0.0</v>
      </c>
    </row>
    <row r="703" ht="12.75" customHeight="1">
      <c r="A703" s="1" t="s">
        <v>696</v>
      </c>
      <c r="B703" s="1">
        <f t="shared" si="3"/>
        <v>689</v>
      </c>
      <c r="C703" s="1" t="str">
        <f>IFERROR(__xludf.DUMMYFUNCTION("split(A703, ""\"")"),"Anton Lindholm")</f>
        <v>Anton Lindholm</v>
      </c>
      <c r="D703" s="1" t="str">
        <f>IFERROR(__xludf.DUMMYFUNCTION("""COMPUTED_VALUE"""),"lindhan01")</f>
        <v>lindhan01</v>
      </c>
      <c r="E703" s="1" t="s">
        <v>66</v>
      </c>
      <c r="F703" s="1">
        <f t="shared" si="1"/>
        <v>71.45</v>
      </c>
      <c r="G703" s="1">
        <f t="shared" si="2"/>
        <v>1.49</v>
      </c>
      <c r="H703" s="1">
        <v>48.0</v>
      </c>
      <c r="I703" s="1">
        <v>0.0</v>
      </c>
      <c r="J703" s="1">
        <v>4.0</v>
      </c>
      <c r="K703" s="1">
        <v>4.0</v>
      </c>
      <c r="L703" s="1">
        <v>22.0</v>
      </c>
      <c r="M703" s="1">
        <v>99.0</v>
      </c>
      <c r="N703" s="1">
        <v>51.0</v>
      </c>
      <c r="O703" s="1">
        <v>0.0</v>
      </c>
      <c r="P703" s="1">
        <v>0.0</v>
      </c>
      <c r="Q703" s="1">
        <v>0.0</v>
      </c>
      <c r="R703" s="1">
        <v>0.0</v>
      </c>
      <c r="S703" s="1">
        <v>4.0</v>
      </c>
      <c r="T703" s="1">
        <v>14.0</v>
      </c>
      <c r="U703" s="1">
        <v>0.0</v>
      </c>
    </row>
    <row r="704" ht="12.75" customHeight="1">
      <c r="A704" s="1" t="s">
        <v>716</v>
      </c>
      <c r="B704" s="1">
        <f t="shared" si="3"/>
        <v>690</v>
      </c>
      <c r="C704" s="1" t="str">
        <f>IFERROR(__xludf.DUMMYFUNCTION("split(A704, ""\"")"),"Christopher Didomenico")</f>
        <v>Christopher Didomenico</v>
      </c>
      <c r="D704" s="1" t="str">
        <f>IFERROR(__xludf.DUMMYFUNCTION("""COMPUTED_VALUE"""),"didomch01")</f>
        <v>didomch01</v>
      </c>
      <c r="E704" s="1" t="s">
        <v>31</v>
      </c>
      <c r="F704" s="1">
        <f t="shared" si="1"/>
        <v>71.15</v>
      </c>
      <c r="G704" s="1">
        <f t="shared" si="2"/>
        <v>2.96</v>
      </c>
      <c r="H704" s="1">
        <v>24.0</v>
      </c>
      <c r="I704" s="1">
        <v>6.0</v>
      </c>
      <c r="J704" s="1">
        <v>4.0</v>
      </c>
      <c r="K704" s="1">
        <v>10.0</v>
      </c>
      <c r="L704" s="1">
        <v>23.0</v>
      </c>
      <c r="M704" s="1">
        <v>21.0</v>
      </c>
      <c r="N704" s="1">
        <v>14.0</v>
      </c>
      <c r="O704" s="1">
        <v>2.0</v>
      </c>
      <c r="P704" s="1">
        <v>2.0</v>
      </c>
      <c r="Q704" s="1">
        <v>0.0</v>
      </c>
      <c r="R704" s="1">
        <v>0.0</v>
      </c>
      <c r="S704" s="1">
        <v>-4.0</v>
      </c>
      <c r="T704" s="1">
        <v>8.0</v>
      </c>
      <c r="U704" s="1">
        <v>0.0</v>
      </c>
    </row>
    <row r="705" ht="12.75" customHeight="1">
      <c r="A705" s="1" t="s">
        <v>727</v>
      </c>
      <c r="B705" s="1">
        <f t="shared" si="3"/>
        <v>691</v>
      </c>
      <c r="C705" s="1" t="str">
        <f>IFERROR(__xludf.DUMMYFUNCTION("split(A705, ""\"")"),"Scott Harrington")</f>
        <v>Scott Harrington</v>
      </c>
      <c r="D705" s="1" t="str">
        <f>IFERROR(__xludf.DUMMYFUNCTION("""COMPUTED_VALUE"""),"harrisc01")</f>
        <v>harrisc01</v>
      </c>
      <c r="E705" s="1" t="s">
        <v>66</v>
      </c>
      <c r="F705" s="1">
        <f t="shared" si="1"/>
        <v>70.15</v>
      </c>
      <c r="G705" s="1">
        <f t="shared" si="2"/>
        <v>2.19</v>
      </c>
      <c r="H705" s="1">
        <v>32.0</v>
      </c>
      <c r="I705" s="1">
        <v>2.0</v>
      </c>
      <c r="J705" s="1">
        <v>3.0</v>
      </c>
      <c r="K705" s="1">
        <v>5.0</v>
      </c>
      <c r="L705" s="1">
        <v>28.0</v>
      </c>
      <c r="M705" s="1">
        <v>35.0</v>
      </c>
      <c r="N705" s="1">
        <v>44.0</v>
      </c>
      <c r="O705" s="1">
        <v>0.0</v>
      </c>
      <c r="P705" s="1">
        <v>0.0</v>
      </c>
      <c r="Q705" s="1">
        <v>0.0</v>
      </c>
      <c r="R705" s="1">
        <v>1.0</v>
      </c>
      <c r="S705" s="1">
        <v>0.0</v>
      </c>
      <c r="T705" s="1">
        <v>8.0</v>
      </c>
      <c r="U705" s="1">
        <v>1.0</v>
      </c>
    </row>
    <row r="706" ht="12.75" customHeight="1">
      <c r="A706" s="1" t="s">
        <v>726</v>
      </c>
      <c r="B706" s="1">
        <f t="shared" si="3"/>
        <v>692</v>
      </c>
      <c r="C706" s="1" t="str">
        <f>IFERROR(__xludf.DUMMYFUNCTION("split(A706, ""\"")"),"Yannick Weber")</f>
        <v>Yannick Weber</v>
      </c>
      <c r="D706" s="1" t="str">
        <f>IFERROR(__xludf.DUMMYFUNCTION("""COMPUTED_VALUE"""),"weberya01")</f>
        <v>weberya01</v>
      </c>
      <c r="E706" s="1" t="s">
        <v>66</v>
      </c>
      <c r="F706" s="1">
        <f t="shared" si="1"/>
        <v>69.05</v>
      </c>
      <c r="G706" s="1">
        <f t="shared" si="2"/>
        <v>1.47</v>
      </c>
      <c r="H706" s="1">
        <v>47.0</v>
      </c>
      <c r="I706" s="1">
        <v>2.0</v>
      </c>
      <c r="J706" s="1">
        <v>3.0</v>
      </c>
      <c r="K706" s="1">
        <v>5.0</v>
      </c>
      <c r="L706" s="1">
        <v>40.0</v>
      </c>
      <c r="M706" s="1">
        <v>47.0</v>
      </c>
      <c r="N706" s="1">
        <v>35.0</v>
      </c>
      <c r="O706" s="1">
        <v>0.0</v>
      </c>
      <c r="P706" s="1">
        <v>0.0</v>
      </c>
      <c r="Q706" s="1">
        <v>0.0</v>
      </c>
      <c r="R706" s="1">
        <v>0.0</v>
      </c>
      <c r="S706" s="1">
        <v>2.0</v>
      </c>
      <c r="T706" s="1">
        <v>16.0</v>
      </c>
      <c r="U706" s="1">
        <v>0.0</v>
      </c>
    </row>
    <row r="707" ht="12.75" customHeight="1">
      <c r="A707" s="1" t="s">
        <v>673</v>
      </c>
      <c r="B707" s="1">
        <f t="shared" si="3"/>
        <v>693</v>
      </c>
      <c r="C707" s="1" t="str">
        <f>IFERROR(__xludf.DUMMYFUNCTION("split(A707, ""\"")"),"Steve Mason")</f>
        <v>Steve Mason</v>
      </c>
      <c r="D707" s="2" t="str">
        <f>IFERROR(__xludf.DUMMYFUNCTION("""COMPUTED_VALUE"""),"masonst01")</f>
        <v>masonst01</v>
      </c>
      <c r="E707" s="1" t="s">
        <v>5</v>
      </c>
      <c r="F707" s="1">
        <f t="shared" si="1"/>
        <v>69</v>
      </c>
      <c r="G707" s="1">
        <f t="shared" si="2"/>
        <v>5.31</v>
      </c>
      <c r="H707" s="1">
        <v>13.0</v>
      </c>
      <c r="V707" s="1">
        <v>12.0</v>
      </c>
      <c r="W707" s="1">
        <v>5.0</v>
      </c>
      <c r="X707" s="1">
        <v>6.0</v>
      </c>
      <c r="Y707" s="1">
        <v>37.0</v>
      </c>
      <c r="Z707" s="1">
        <v>392.0</v>
      </c>
      <c r="AA707" s="1">
        <v>355.0</v>
      </c>
      <c r="AB707" s="1">
        <v>1.0</v>
      </c>
    </row>
    <row r="708" ht="12.75" customHeight="1">
      <c r="A708" s="1" t="s">
        <v>736</v>
      </c>
      <c r="B708" s="1">
        <f t="shared" si="3"/>
        <v>694</v>
      </c>
      <c r="C708" s="1" t="str">
        <f>IFERROR(__xludf.DUMMYFUNCTION("split(A708, ""\"")"),"Josh Gorges")</f>
        <v>Josh Gorges</v>
      </c>
      <c r="D708" s="1" t="str">
        <f>IFERROR(__xludf.DUMMYFUNCTION("""COMPUTED_VALUE"""),"gorgejo01")</f>
        <v>gorgejo01</v>
      </c>
      <c r="E708" s="1" t="s">
        <v>66</v>
      </c>
      <c r="F708" s="1">
        <f t="shared" si="1"/>
        <v>68.85</v>
      </c>
      <c r="G708" s="1">
        <f t="shared" si="2"/>
        <v>2.03</v>
      </c>
      <c r="H708" s="1">
        <v>34.0</v>
      </c>
      <c r="I708" s="1">
        <v>0.0</v>
      </c>
      <c r="J708" s="1">
        <v>2.0</v>
      </c>
      <c r="K708" s="1">
        <v>2.0</v>
      </c>
      <c r="L708" s="1">
        <v>15.0</v>
      </c>
      <c r="M708" s="1">
        <v>69.0</v>
      </c>
      <c r="N708" s="1">
        <v>54.0</v>
      </c>
      <c r="O708" s="1">
        <v>0.0</v>
      </c>
      <c r="P708" s="1">
        <v>0.0</v>
      </c>
      <c r="Q708" s="1">
        <v>0.0</v>
      </c>
      <c r="R708" s="1">
        <v>0.0</v>
      </c>
      <c r="S708" s="1">
        <v>-4.0</v>
      </c>
      <c r="T708" s="1">
        <v>17.0</v>
      </c>
      <c r="U708" s="1">
        <v>0.0</v>
      </c>
    </row>
    <row r="709" ht="12.75" customHeight="1">
      <c r="A709" s="1" t="s">
        <v>743</v>
      </c>
      <c r="B709" s="1">
        <f t="shared" si="3"/>
        <v>695</v>
      </c>
      <c r="C709" s="1" t="str">
        <f>IFERROR(__xludf.DUMMYFUNCTION("split(A709, ""\"")"),"Nikita Scherbak")</f>
        <v>Nikita Scherbak</v>
      </c>
      <c r="D709" s="1" t="str">
        <f>IFERROR(__xludf.DUMMYFUNCTION("""COMPUTED_VALUE"""),"scherni01")</f>
        <v>scherni01</v>
      </c>
      <c r="E709" s="1" t="s">
        <v>36</v>
      </c>
      <c r="F709" s="1">
        <f t="shared" si="1"/>
        <v>68.4</v>
      </c>
      <c r="G709" s="1">
        <f t="shared" si="2"/>
        <v>2.63</v>
      </c>
      <c r="H709" s="1">
        <v>26.0</v>
      </c>
      <c r="I709" s="1">
        <v>4.0</v>
      </c>
      <c r="J709" s="1">
        <v>2.0</v>
      </c>
      <c r="K709" s="1">
        <v>6.0</v>
      </c>
      <c r="L709" s="1">
        <v>39.0</v>
      </c>
      <c r="M709" s="1">
        <v>18.0</v>
      </c>
      <c r="N709" s="1">
        <v>15.0</v>
      </c>
      <c r="O709" s="1">
        <v>1.0</v>
      </c>
      <c r="P709" s="1">
        <v>2.0</v>
      </c>
      <c r="Q709" s="1">
        <v>1.0</v>
      </c>
      <c r="R709" s="1">
        <v>0.0</v>
      </c>
      <c r="S709" s="1">
        <v>-5.0</v>
      </c>
      <c r="T709" s="1">
        <v>8.0</v>
      </c>
      <c r="U709" s="1">
        <v>0.0</v>
      </c>
    </row>
    <row r="710" ht="12.75" customHeight="1">
      <c r="A710" s="1" t="s">
        <v>765</v>
      </c>
      <c r="B710" s="1">
        <f t="shared" si="3"/>
        <v>696</v>
      </c>
      <c r="C710" s="1" t="str">
        <f>IFERROR(__xludf.DUMMYFUNCTION("split(A710, ""\"")"),"Ross Johnston")</f>
        <v>Ross Johnston</v>
      </c>
      <c r="D710" s="1" t="str">
        <f>IFERROR(__xludf.DUMMYFUNCTION("""COMPUTED_VALUE"""),"johnsro02")</f>
        <v>johnsro02</v>
      </c>
      <c r="E710" s="1" t="s">
        <v>28</v>
      </c>
      <c r="F710" s="1">
        <f t="shared" si="1"/>
        <v>67.6</v>
      </c>
      <c r="G710" s="1">
        <f t="shared" si="2"/>
        <v>2.82</v>
      </c>
      <c r="H710" s="1">
        <v>24.0</v>
      </c>
      <c r="I710" s="1">
        <v>3.0</v>
      </c>
      <c r="J710" s="1">
        <v>3.0</v>
      </c>
      <c r="K710" s="1">
        <v>6.0</v>
      </c>
      <c r="L710" s="1">
        <v>19.0</v>
      </c>
      <c r="M710" s="1">
        <v>46.0</v>
      </c>
      <c r="N710" s="1">
        <v>11.0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62.0</v>
      </c>
      <c r="U710" s="1">
        <v>0.0</v>
      </c>
    </row>
    <row r="711" ht="12.75" customHeight="1">
      <c r="A711" s="1" t="s">
        <v>759</v>
      </c>
      <c r="B711" s="1">
        <f t="shared" si="3"/>
        <v>697</v>
      </c>
      <c r="C711" s="1" t="str">
        <f>IFERROR(__xludf.DUMMYFUNCTION("split(A711, ""\"")"),"Oskar Sundqvist")</f>
        <v>Oskar Sundqvist</v>
      </c>
      <c r="D711" s="1" t="str">
        <f>IFERROR(__xludf.DUMMYFUNCTION("""COMPUTED_VALUE"""),"sundqos01")</f>
        <v>sundqos01</v>
      </c>
      <c r="E711" s="1" t="s">
        <v>31</v>
      </c>
      <c r="F711" s="1">
        <f t="shared" si="1"/>
        <v>67.45</v>
      </c>
      <c r="G711" s="1">
        <f t="shared" si="2"/>
        <v>1.61</v>
      </c>
      <c r="H711" s="1">
        <v>42.0</v>
      </c>
      <c r="I711" s="1">
        <v>1.0</v>
      </c>
      <c r="J711" s="1">
        <v>4.0</v>
      </c>
      <c r="K711" s="1">
        <v>5.0</v>
      </c>
      <c r="L711" s="1">
        <v>41.0</v>
      </c>
      <c r="M711" s="1">
        <v>47.0</v>
      </c>
      <c r="N711" s="1">
        <v>14.0</v>
      </c>
      <c r="O711" s="1">
        <v>0.0</v>
      </c>
      <c r="P711" s="1">
        <v>0.0</v>
      </c>
      <c r="Q711" s="1">
        <v>0.0</v>
      </c>
      <c r="R711" s="1">
        <v>0.0</v>
      </c>
      <c r="S711" s="1">
        <v>-5.0</v>
      </c>
      <c r="T711" s="1">
        <v>14.0</v>
      </c>
      <c r="U711" s="1">
        <v>0.0</v>
      </c>
    </row>
    <row r="712" ht="12.75" customHeight="1">
      <c r="A712" s="1" t="s">
        <v>771</v>
      </c>
      <c r="B712" s="1">
        <f t="shared" si="3"/>
        <v>698</v>
      </c>
      <c r="C712" s="1" t="str">
        <f>IFERROR(__xludf.DUMMYFUNCTION("split(A712, ""\"")"),"Steven Kampfer")</f>
        <v>Steven Kampfer</v>
      </c>
      <c r="D712" s="1" t="str">
        <f>IFERROR(__xludf.DUMMYFUNCTION("""COMPUTED_VALUE"""),"kampfst01")</f>
        <v>kampfst01</v>
      </c>
      <c r="E712" s="1" t="s">
        <v>66</v>
      </c>
      <c r="F712" s="1">
        <f t="shared" si="1"/>
        <v>67</v>
      </c>
      <c r="G712" s="1">
        <f t="shared" si="2"/>
        <v>3.05</v>
      </c>
      <c r="H712" s="1">
        <v>22.0</v>
      </c>
      <c r="I712" s="1">
        <v>0.0</v>
      </c>
      <c r="J712" s="1">
        <v>1.0</v>
      </c>
      <c r="K712" s="1">
        <v>1.0</v>
      </c>
      <c r="L712" s="1">
        <v>31.0</v>
      </c>
      <c r="M712" s="1">
        <v>46.0</v>
      </c>
      <c r="N712" s="1">
        <v>41.0</v>
      </c>
      <c r="O712" s="1">
        <v>0.0</v>
      </c>
      <c r="P712" s="1">
        <v>0.0</v>
      </c>
      <c r="Q712" s="1">
        <v>0.0</v>
      </c>
      <c r="R712" s="1">
        <v>0.0</v>
      </c>
      <c r="S712" s="1">
        <v>-7.0</v>
      </c>
      <c r="T712" s="1">
        <v>20.0</v>
      </c>
      <c r="U712" s="1">
        <v>0.0</v>
      </c>
    </row>
    <row r="713" ht="12.75" customHeight="1">
      <c r="A713" s="1" t="s">
        <v>734</v>
      </c>
      <c r="B713" s="1">
        <f t="shared" si="3"/>
        <v>699</v>
      </c>
      <c r="C713" s="1" t="str">
        <f>IFERROR(__xludf.DUMMYFUNCTION("split(A713, ""\"")"),"Gustav Olofsson")</f>
        <v>Gustav Olofsson</v>
      </c>
      <c r="D713" s="1" t="str">
        <f>IFERROR(__xludf.DUMMYFUNCTION("""COMPUTED_VALUE"""),"olofsgu01")</f>
        <v>olofsgu01</v>
      </c>
      <c r="E713" s="1" t="s">
        <v>66</v>
      </c>
      <c r="F713" s="1">
        <f t="shared" si="1"/>
        <v>66.95</v>
      </c>
      <c r="G713" s="1">
        <f t="shared" si="2"/>
        <v>1.63</v>
      </c>
      <c r="H713" s="1">
        <v>41.0</v>
      </c>
      <c r="I713" s="1">
        <v>0.0</v>
      </c>
      <c r="J713" s="1">
        <v>8.0</v>
      </c>
      <c r="K713" s="1">
        <v>8.0</v>
      </c>
      <c r="L713" s="1">
        <v>22.0</v>
      </c>
      <c r="M713" s="1">
        <v>23.0</v>
      </c>
      <c r="N713" s="1">
        <v>44.0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14.0</v>
      </c>
      <c r="U713" s="1">
        <v>0.0</v>
      </c>
    </row>
    <row r="714" ht="12.75" customHeight="1">
      <c r="A714" s="1" t="s">
        <v>710</v>
      </c>
      <c r="B714" s="1">
        <f t="shared" si="3"/>
        <v>700</v>
      </c>
      <c r="C714" s="1" t="str">
        <f>IFERROR(__xludf.DUMMYFUNCTION("split(A714, ""\"")"),"Anders Bjork")</f>
        <v>Anders Bjork</v>
      </c>
      <c r="D714" s="1" t="str">
        <f>IFERROR(__xludf.DUMMYFUNCTION("""COMPUTED_VALUE"""),"bjorkan01")</f>
        <v>bjorkan01</v>
      </c>
      <c r="E714" s="1" t="s">
        <v>28</v>
      </c>
      <c r="F714" s="1">
        <f t="shared" si="1"/>
        <v>66.05</v>
      </c>
      <c r="G714" s="1">
        <f t="shared" si="2"/>
        <v>2.2</v>
      </c>
      <c r="H714" s="1">
        <v>30.0</v>
      </c>
      <c r="I714" s="1">
        <v>4.0</v>
      </c>
      <c r="J714" s="1">
        <v>8.0</v>
      </c>
      <c r="K714" s="1">
        <v>12.0</v>
      </c>
      <c r="L714" s="1">
        <v>30.0</v>
      </c>
      <c r="M714" s="1">
        <v>19.0</v>
      </c>
      <c r="N714" s="1">
        <v>11.0</v>
      </c>
      <c r="O714" s="1">
        <v>2.0</v>
      </c>
      <c r="P714" s="1">
        <v>1.0</v>
      </c>
      <c r="Q714" s="1">
        <v>0.0</v>
      </c>
      <c r="R714" s="1">
        <v>0.0</v>
      </c>
      <c r="S714" s="1">
        <v>2.0</v>
      </c>
      <c r="T714" s="1">
        <v>6.0</v>
      </c>
      <c r="U714" s="1">
        <v>0.0</v>
      </c>
    </row>
    <row r="715" ht="12.75" customHeight="1">
      <c r="A715" s="1" t="s">
        <v>712</v>
      </c>
      <c r="B715" s="1">
        <f t="shared" si="3"/>
        <v>700</v>
      </c>
      <c r="C715" s="1" t="str">
        <f>IFERROR(__xludf.DUMMYFUNCTION("split(A715, ""\"")"),"Oscar Fantenberg")</f>
        <v>Oscar Fantenberg</v>
      </c>
      <c r="D715" s="1" t="str">
        <f>IFERROR(__xludf.DUMMYFUNCTION("""COMPUTED_VALUE"""),"fanteos01")</f>
        <v>fanteos01</v>
      </c>
      <c r="E715" s="1" t="s">
        <v>66</v>
      </c>
      <c r="F715" s="1">
        <f t="shared" si="1"/>
        <v>66.05</v>
      </c>
      <c r="G715" s="1">
        <f t="shared" si="2"/>
        <v>2.45</v>
      </c>
      <c r="H715" s="1">
        <v>27.0</v>
      </c>
      <c r="I715" s="1">
        <v>2.0</v>
      </c>
      <c r="J715" s="1">
        <v>7.0</v>
      </c>
      <c r="K715" s="1">
        <v>9.0</v>
      </c>
      <c r="L715" s="1">
        <v>33.0</v>
      </c>
      <c r="M715" s="1">
        <v>43.0</v>
      </c>
      <c r="N715" s="1">
        <v>17.0</v>
      </c>
      <c r="O715" s="1">
        <v>0.0</v>
      </c>
      <c r="P715" s="1">
        <v>4.0</v>
      </c>
      <c r="Q715" s="1">
        <v>0.0</v>
      </c>
      <c r="R715" s="1">
        <v>0.0</v>
      </c>
      <c r="S715" s="1">
        <v>2.0</v>
      </c>
      <c r="T715" s="1">
        <v>11.0</v>
      </c>
      <c r="U715" s="1">
        <v>0.0</v>
      </c>
    </row>
    <row r="716" ht="12.75" customHeight="1">
      <c r="A716" s="1" t="s">
        <v>749</v>
      </c>
      <c r="B716" s="1">
        <f t="shared" si="3"/>
        <v>702</v>
      </c>
      <c r="C716" s="1" t="str">
        <f>IFERROR(__xludf.DUMMYFUNCTION("split(A716, ""\"")"),"Marcus Sorensen")</f>
        <v>Marcus Sorensen</v>
      </c>
      <c r="D716" s="1" t="str">
        <f>IFERROR(__xludf.DUMMYFUNCTION("""COMPUTED_VALUE"""),"sorenma01")</f>
        <v>sorenma01</v>
      </c>
      <c r="E716" s="1" t="s">
        <v>36</v>
      </c>
      <c r="F716" s="1">
        <f t="shared" si="1"/>
        <v>66</v>
      </c>
      <c r="G716" s="1">
        <f t="shared" si="2"/>
        <v>2.06</v>
      </c>
      <c r="H716" s="1">
        <v>32.0</v>
      </c>
      <c r="I716" s="1">
        <v>5.0</v>
      </c>
      <c r="J716" s="1">
        <v>2.0</v>
      </c>
      <c r="K716" s="1">
        <v>7.0</v>
      </c>
      <c r="L716" s="1">
        <v>25.0</v>
      </c>
      <c r="M716" s="1">
        <v>26.0</v>
      </c>
      <c r="N716" s="1">
        <v>15.0</v>
      </c>
      <c r="O716" s="1">
        <v>0.0</v>
      </c>
      <c r="P716" s="1">
        <v>0.0</v>
      </c>
      <c r="Q716" s="1">
        <v>0.0</v>
      </c>
      <c r="R716" s="1">
        <v>0.0</v>
      </c>
      <c r="S716" s="1">
        <v>-5.0</v>
      </c>
      <c r="T716" s="1">
        <v>5.0</v>
      </c>
      <c r="U716" s="1">
        <v>1.0</v>
      </c>
    </row>
    <row r="717" ht="12.75" customHeight="1">
      <c r="A717" s="1" t="s">
        <v>737</v>
      </c>
      <c r="B717" s="1">
        <f t="shared" si="3"/>
        <v>703</v>
      </c>
      <c r="C717" s="1" t="str">
        <f>IFERROR(__xludf.DUMMYFUNCTION("split(A717, ""\"")"),"Cody Franson")</f>
        <v>Cody Franson</v>
      </c>
      <c r="D717" s="1" t="str">
        <f>IFERROR(__xludf.DUMMYFUNCTION("""COMPUTED_VALUE"""),"fransco01")</f>
        <v>fransco01</v>
      </c>
      <c r="E717" s="1" t="s">
        <v>66</v>
      </c>
      <c r="F717" s="1">
        <f t="shared" si="1"/>
        <v>65.4</v>
      </c>
      <c r="G717" s="1">
        <f t="shared" si="2"/>
        <v>2.84</v>
      </c>
      <c r="H717" s="1">
        <v>23.0</v>
      </c>
      <c r="I717" s="1">
        <v>1.0</v>
      </c>
      <c r="J717" s="1">
        <v>6.0</v>
      </c>
      <c r="K717" s="1">
        <v>7.0</v>
      </c>
      <c r="L717" s="1">
        <v>51.0</v>
      </c>
      <c r="M717" s="1">
        <v>18.0</v>
      </c>
      <c r="N717" s="1">
        <v>18.0</v>
      </c>
      <c r="O717" s="1">
        <v>0.0</v>
      </c>
      <c r="P717" s="1">
        <v>4.0</v>
      </c>
      <c r="Q717" s="1">
        <v>0.0</v>
      </c>
      <c r="R717" s="1">
        <v>0.0</v>
      </c>
      <c r="S717" s="1">
        <v>-1.0</v>
      </c>
      <c r="T717" s="1">
        <v>8.0</v>
      </c>
      <c r="U717" s="1">
        <v>0.0</v>
      </c>
    </row>
    <row r="718" ht="12.75" customHeight="1">
      <c r="A718" s="1" t="s">
        <v>777</v>
      </c>
      <c r="B718" s="1">
        <f t="shared" si="3"/>
        <v>704</v>
      </c>
      <c r="C718" s="1" t="str">
        <f>IFERROR(__xludf.DUMMYFUNCTION("split(A718, ""\"")"),"Taylor Leier")</f>
        <v>Taylor Leier</v>
      </c>
      <c r="D718" s="1" t="str">
        <f>IFERROR(__xludf.DUMMYFUNCTION("""COMPUTED_VALUE"""),"leierta01")</f>
        <v>leierta01</v>
      </c>
      <c r="E718" s="1" t="s">
        <v>28</v>
      </c>
      <c r="F718" s="1">
        <f t="shared" si="1"/>
        <v>64.8</v>
      </c>
      <c r="G718" s="1">
        <f t="shared" si="2"/>
        <v>1.66</v>
      </c>
      <c r="H718" s="1">
        <v>39.0</v>
      </c>
      <c r="I718" s="1">
        <v>1.0</v>
      </c>
      <c r="J718" s="1">
        <v>4.0</v>
      </c>
      <c r="K718" s="1">
        <v>5.0</v>
      </c>
      <c r="L718" s="1">
        <v>48.0</v>
      </c>
      <c r="M718" s="1">
        <v>10.0</v>
      </c>
      <c r="N718" s="1">
        <v>19.0</v>
      </c>
      <c r="O718" s="1">
        <v>0.0</v>
      </c>
      <c r="P718" s="1">
        <v>0.0</v>
      </c>
      <c r="Q718" s="1">
        <v>0.0</v>
      </c>
      <c r="R718" s="1">
        <v>0.0</v>
      </c>
      <c r="S718" s="1">
        <v>-7.0</v>
      </c>
      <c r="T718" s="1">
        <v>6.0</v>
      </c>
      <c r="U718" s="1">
        <v>0.0</v>
      </c>
    </row>
    <row r="719" ht="12.75" customHeight="1">
      <c r="A719" s="1" t="s">
        <v>761</v>
      </c>
      <c r="B719" s="1">
        <f t="shared" si="3"/>
        <v>705</v>
      </c>
      <c r="C719" s="1" t="str">
        <f>IFERROR(__xludf.DUMMYFUNCTION("split(A719, ""\"")"),"Rob O'Gara")</f>
        <v>Rob O'Gara</v>
      </c>
      <c r="D719" s="1" t="str">
        <f>IFERROR(__xludf.DUMMYFUNCTION("""COMPUTED_VALUE"""),"ogararo01")</f>
        <v>ogararo01</v>
      </c>
      <c r="E719" s="1" t="s">
        <v>66</v>
      </c>
      <c r="F719" s="1">
        <f t="shared" si="1"/>
        <v>64.3</v>
      </c>
      <c r="G719" s="1">
        <f t="shared" si="2"/>
        <v>2.14</v>
      </c>
      <c r="H719" s="1">
        <v>30.0</v>
      </c>
      <c r="I719" s="1">
        <v>0.0</v>
      </c>
      <c r="J719" s="1">
        <v>3.0</v>
      </c>
      <c r="K719" s="1">
        <v>3.0</v>
      </c>
      <c r="L719" s="1">
        <v>21.0</v>
      </c>
      <c r="M719" s="1">
        <v>42.0</v>
      </c>
      <c r="N719" s="1">
        <v>44.0</v>
      </c>
      <c r="O719" s="1">
        <v>0.0</v>
      </c>
      <c r="P719" s="1">
        <v>0.0</v>
      </c>
      <c r="Q719" s="1">
        <v>0.0</v>
      </c>
      <c r="R719" s="1">
        <v>0.0</v>
      </c>
      <c r="S719" s="1">
        <v>-7.0</v>
      </c>
      <c r="T719" s="1">
        <v>6.0</v>
      </c>
      <c r="U719" s="1">
        <v>0.0</v>
      </c>
    </row>
    <row r="720" ht="12.75" customHeight="1">
      <c r="A720" s="1" t="s">
        <v>770</v>
      </c>
      <c r="B720" s="1">
        <f t="shared" si="3"/>
        <v>706</v>
      </c>
      <c r="C720" s="1" t="str">
        <f>IFERROR(__xludf.DUMMYFUNCTION("split(A720, ""\"")"),"Nicholas Baptiste")</f>
        <v>Nicholas Baptiste</v>
      </c>
      <c r="D720" s="1" t="str">
        <f>IFERROR(__xludf.DUMMYFUNCTION("""COMPUTED_VALUE"""),"baptini01")</f>
        <v>baptini01</v>
      </c>
      <c r="E720" s="1" t="s">
        <v>36</v>
      </c>
      <c r="F720" s="1">
        <f t="shared" si="1"/>
        <v>64.2</v>
      </c>
      <c r="G720" s="1">
        <f t="shared" si="2"/>
        <v>1.95</v>
      </c>
      <c r="H720" s="1">
        <v>33.0</v>
      </c>
      <c r="I720" s="1">
        <v>4.0</v>
      </c>
      <c r="J720" s="1">
        <v>2.0</v>
      </c>
      <c r="K720" s="1">
        <v>6.0</v>
      </c>
      <c r="L720" s="1">
        <v>45.0</v>
      </c>
      <c r="M720" s="1">
        <v>16.0</v>
      </c>
      <c r="N720" s="1">
        <v>3.0</v>
      </c>
      <c r="O720" s="1">
        <v>0.0</v>
      </c>
      <c r="P720" s="1">
        <v>1.0</v>
      </c>
      <c r="Q720" s="1">
        <v>0.0</v>
      </c>
      <c r="R720" s="1">
        <v>0.0</v>
      </c>
      <c r="S720" s="1">
        <v>-4.0</v>
      </c>
      <c r="T720" s="1">
        <v>14.0</v>
      </c>
      <c r="U720" s="1">
        <v>1.0</v>
      </c>
    </row>
    <row r="721" ht="12.75" customHeight="1">
      <c r="A721" s="1" t="s">
        <v>735</v>
      </c>
      <c r="B721" s="1">
        <f t="shared" si="3"/>
        <v>707</v>
      </c>
      <c r="C721" s="1" t="str">
        <f>IFERROR(__xludf.DUMMYFUNCTION("split(A721, ""\"")"),"Iiro Pakarinen")</f>
        <v>Iiro Pakarinen</v>
      </c>
      <c r="D721" s="1" t="str">
        <f>IFERROR(__xludf.DUMMYFUNCTION("""COMPUTED_VALUE"""),"pakarii01")</f>
        <v>pakarii01</v>
      </c>
      <c r="E721" s="1" t="s">
        <v>36</v>
      </c>
      <c r="F721" s="1">
        <f t="shared" si="1"/>
        <v>63.8</v>
      </c>
      <c r="G721" s="1">
        <f t="shared" si="2"/>
        <v>1.6</v>
      </c>
      <c r="H721" s="1">
        <v>40.0</v>
      </c>
      <c r="I721" s="1">
        <v>2.0</v>
      </c>
      <c r="J721" s="1">
        <v>1.0</v>
      </c>
      <c r="K721" s="1">
        <v>3.0</v>
      </c>
      <c r="L721" s="1">
        <v>50.0</v>
      </c>
      <c r="M721" s="1">
        <v>72.0</v>
      </c>
      <c r="N721" s="1">
        <v>17.0</v>
      </c>
      <c r="O721" s="1">
        <v>0.0</v>
      </c>
      <c r="P721" s="1">
        <v>0.0</v>
      </c>
      <c r="Q721" s="1">
        <v>0.0</v>
      </c>
      <c r="R721" s="1">
        <v>0.0</v>
      </c>
      <c r="S721" s="1">
        <v>1.0</v>
      </c>
      <c r="T721" s="1">
        <v>6.0</v>
      </c>
      <c r="U721" s="1">
        <v>0.0</v>
      </c>
    </row>
    <row r="722" ht="12.75" customHeight="1">
      <c r="A722" s="1" t="s">
        <v>760</v>
      </c>
      <c r="B722" s="1">
        <f t="shared" si="3"/>
        <v>708</v>
      </c>
      <c r="C722" s="1" t="str">
        <f>IFERROR(__xludf.DUMMYFUNCTION("split(A722, ""\"")"),"Jacob Josefson")</f>
        <v>Jacob Josefson</v>
      </c>
      <c r="D722" s="1" t="str">
        <f>IFERROR(__xludf.DUMMYFUNCTION("""COMPUTED_VALUE"""),"josefja01")</f>
        <v>josefja01</v>
      </c>
      <c r="E722" s="1" t="s">
        <v>31</v>
      </c>
      <c r="F722" s="1">
        <f t="shared" si="1"/>
        <v>63.3</v>
      </c>
      <c r="G722" s="1">
        <f t="shared" si="2"/>
        <v>1.62</v>
      </c>
      <c r="H722" s="1">
        <v>39.0</v>
      </c>
      <c r="I722" s="1">
        <v>2.0</v>
      </c>
      <c r="J722" s="1">
        <v>2.0</v>
      </c>
      <c r="K722" s="1">
        <v>4.0</v>
      </c>
      <c r="L722" s="1">
        <v>35.0</v>
      </c>
      <c r="M722" s="1">
        <v>26.0</v>
      </c>
      <c r="N722" s="1">
        <v>33.0</v>
      </c>
      <c r="O722" s="1">
        <v>0.0</v>
      </c>
      <c r="P722" s="1">
        <v>0.0</v>
      </c>
      <c r="Q722" s="1">
        <v>0.0</v>
      </c>
      <c r="R722" s="1">
        <v>0.0</v>
      </c>
      <c r="S722" s="1">
        <v>-4.0</v>
      </c>
      <c r="T722" s="1">
        <v>6.0</v>
      </c>
      <c r="U722" s="1">
        <v>0.0</v>
      </c>
    </row>
    <row r="723" ht="12.75" customHeight="1">
      <c r="A723" s="1" t="s">
        <v>779</v>
      </c>
      <c r="B723" s="1">
        <f t="shared" si="3"/>
        <v>709</v>
      </c>
      <c r="C723" s="1" t="str">
        <f>IFERROR(__xludf.DUMMYFUNCTION("split(A723, ""\"")"),"Luke Witkowski")</f>
        <v>Luke Witkowski</v>
      </c>
      <c r="D723" s="1" t="str">
        <f>IFERROR(__xludf.DUMMYFUNCTION("""COMPUTED_VALUE"""),"witkolu01")</f>
        <v>witkolu01</v>
      </c>
      <c r="E723" s="1" t="s">
        <v>66</v>
      </c>
      <c r="F723" s="1">
        <f t="shared" si="1"/>
        <v>63.15</v>
      </c>
      <c r="G723" s="1">
        <f t="shared" si="2"/>
        <v>2.04</v>
      </c>
      <c r="H723" s="1">
        <v>31.0</v>
      </c>
      <c r="I723" s="1">
        <v>1.0</v>
      </c>
      <c r="J723" s="1">
        <v>3.0</v>
      </c>
      <c r="K723" s="1">
        <v>4.0</v>
      </c>
      <c r="L723" s="1">
        <v>16.0</v>
      </c>
      <c r="M723" s="1">
        <v>57.0</v>
      </c>
      <c r="N723" s="1">
        <v>11.0</v>
      </c>
      <c r="O723" s="1">
        <v>0.0</v>
      </c>
      <c r="P723" s="1">
        <v>0.0</v>
      </c>
      <c r="Q723" s="1">
        <v>0.0</v>
      </c>
      <c r="R723" s="1">
        <v>0.0</v>
      </c>
      <c r="S723" s="1">
        <v>-1.0</v>
      </c>
      <c r="T723" s="1">
        <v>68.0</v>
      </c>
      <c r="U723" s="1">
        <v>0.0</v>
      </c>
    </row>
    <row r="724" ht="12.75" customHeight="1">
      <c r="A724" s="1" t="s">
        <v>786</v>
      </c>
      <c r="B724" s="1">
        <f t="shared" si="3"/>
        <v>710</v>
      </c>
      <c r="C724" s="1" t="str">
        <f>IFERROR(__xludf.DUMMYFUNCTION("split(A724, ""\"")"),"Reid Boucher")</f>
        <v>Reid Boucher</v>
      </c>
      <c r="D724" s="1" t="str">
        <f>IFERROR(__xludf.DUMMYFUNCTION("""COMPUTED_VALUE"""),"bouchre01")</f>
        <v>bouchre01</v>
      </c>
      <c r="E724" s="1" t="s">
        <v>31</v>
      </c>
      <c r="F724" s="1">
        <f t="shared" si="1"/>
        <v>62.75</v>
      </c>
      <c r="G724" s="1">
        <f t="shared" si="2"/>
        <v>3.14</v>
      </c>
      <c r="H724" s="1">
        <v>20.0</v>
      </c>
      <c r="I724" s="1">
        <v>3.0</v>
      </c>
      <c r="J724" s="1">
        <v>2.0</v>
      </c>
      <c r="K724" s="1">
        <v>5.0</v>
      </c>
      <c r="L724" s="1">
        <v>37.0</v>
      </c>
      <c r="M724" s="1">
        <v>13.0</v>
      </c>
      <c r="N724" s="1">
        <v>3.0</v>
      </c>
      <c r="O724" s="1">
        <v>1.0</v>
      </c>
      <c r="P724" s="1">
        <v>1.0</v>
      </c>
      <c r="Q724" s="1">
        <v>0.0</v>
      </c>
      <c r="R724" s="1">
        <v>0.0</v>
      </c>
      <c r="S724" s="1">
        <v>-12.0</v>
      </c>
      <c r="T724" s="1">
        <v>0.0</v>
      </c>
      <c r="U724" s="1">
        <v>1.0</v>
      </c>
    </row>
    <row r="725" ht="12.75" customHeight="1">
      <c r="A725" s="1" t="s">
        <v>692</v>
      </c>
      <c r="B725" s="1">
        <f t="shared" si="3"/>
        <v>711</v>
      </c>
      <c r="C725" s="1" t="str">
        <f>IFERROR(__xludf.DUMMYFUNCTION("split(A725, ""\"")"),"Alexandar Georgiev")</f>
        <v>Alexandar Georgiev</v>
      </c>
      <c r="D725" s="2" t="str">
        <f>IFERROR(__xludf.DUMMYFUNCTION("""COMPUTED_VALUE"""),"georgal01")</f>
        <v>georgal01</v>
      </c>
      <c r="E725" s="1" t="s">
        <v>5</v>
      </c>
      <c r="F725" s="1">
        <f t="shared" si="1"/>
        <v>62.7</v>
      </c>
      <c r="G725" s="1">
        <f t="shared" si="2"/>
        <v>6.27</v>
      </c>
      <c r="H725" s="1">
        <v>10.0</v>
      </c>
      <c r="V725" s="1">
        <v>9.0</v>
      </c>
      <c r="W725" s="1">
        <v>4.0</v>
      </c>
      <c r="X725" s="1">
        <v>4.0</v>
      </c>
      <c r="Y725" s="1">
        <v>27.0</v>
      </c>
      <c r="Z725" s="1">
        <v>331.0</v>
      </c>
      <c r="AA725" s="1">
        <v>304.0</v>
      </c>
      <c r="AB725" s="1">
        <v>0.0</v>
      </c>
    </row>
    <row r="726" ht="12.75" customHeight="1">
      <c r="A726" s="1" t="s">
        <v>681</v>
      </c>
      <c r="B726" s="1">
        <f t="shared" si="3"/>
        <v>712</v>
      </c>
      <c r="C726" s="1" t="str">
        <f>IFERROR(__xludf.DUMMYFUNCTION("split(A726, ""\"")"),"Jeff Glass")</f>
        <v>Jeff Glass</v>
      </c>
      <c r="D726" s="2" t="str">
        <f>IFERROR(__xludf.DUMMYFUNCTION("""COMPUTED_VALUE"""),"glassje01")</f>
        <v>glassje01</v>
      </c>
      <c r="E726" s="1" t="s">
        <v>5</v>
      </c>
      <c r="F726" s="1">
        <f t="shared" si="1"/>
        <v>61.8</v>
      </c>
      <c r="G726" s="1">
        <f t="shared" si="2"/>
        <v>4.12</v>
      </c>
      <c r="H726" s="1">
        <v>15.0</v>
      </c>
      <c r="V726" s="1">
        <v>13.0</v>
      </c>
      <c r="W726" s="1">
        <v>3.0</v>
      </c>
      <c r="X726" s="1">
        <v>7.0</v>
      </c>
      <c r="Y726" s="1">
        <v>46.0</v>
      </c>
      <c r="Z726" s="1">
        <v>452.0</v>
      </c>
      <c r="AA726" s="1">
        <v>406.0</v>
      </c>
      <c r="AB726" s="1">
        <v>0.0</v>
      </c>
    </row>
    <row r="727" ht="12.75" customHeight="1">
      <c r="A727" s="1" t="s">
        <v>739</v>
      </c>
      <c r="B727" s="1">
        <f t="shared" si="3"/>
        <v>713</v>
      </c>
      <c r="C727" s="1" t="str">
        <f>IFERROR(__xludf.DUMMYFUNCTION("split(A727, ""\"")"),"Jonny Brodzinski")</f>
        <v>Jonny Brodzinski</v>
      </c>
      <c r="D727" s="1" t="str">
        <f>IFERROR(__xludf.DUMMYFUNCTION("""COMPUTED_VALUE"""),"brodzjo01")</f>
        <v>brodzjo01</v>
      </c>
      <c r="E727" s="1" t="s">
        <v>31</v>
      </c>
      <c r="F727" s="1">
        <f t="shared" si="1"/>
        <v>61.55</v>
      </c>
      <c r="G727" s="1">
        <f t="shared" si="2"/>
        <v>1.76</v>
      </c>
      <c r="H727" s="1">
        <v>35.0</v>
      </c>
      <c r="I727" s="1">
        <v>4.0</v>
      </c>
      <c r="J727" s="1">
        <v>2.0</v>
      </c>
      <c r="K727" s="1">
        <v>6.0</v>
      </c>
      <c r="L727" s="1">
        <v>53.0</v>
      </c>
      <c r="M727" s="1">
        <v>35.0</v>
      </c>
      <c r="N727" s="1">
        <v>9.0</v>
      </c>
      <c r="O727" s="1">
        <v>0.0</v>
      </c>
      <c r="P727" s="1">
        <v>0.0</v>
      </c>
      <c r="Q727" s="1">
        <v>0.0</v>
      </c>
      <c r="R727" s="1">
        <v>0.0</v>
      </c>
      <c r="S727" s="1">
        <v>4.0</v>
      </c>
      <c r="T727" s="1">
        <v>6.0</v>
      </c>
      <c r="U727" s="1">
        <v>1.0</v>
      </c>
    </row>
    <row r="728" ht="12.75" customHeight="1">
      <c r="A728" s="1" t="s">
        <v>714</v>
      </c>
      <c r="B728" s="1">
        <f t="shared" si="3"/>
        <v>714</v>
      </c>
      <c r="C728" s="1" t="str">
        <f>IFERROR(__xludf.DUMMYFUNCTION("split(A728, ""\"")"),"Marc Methot")</f>
        <v>Marc Methot</v>
      </c>
      <c r="D728" s="1" t="str">
        <f>IFERROR(__xludf.DUMMYFUNCTION("""COMPUTED_VALUE"""),"methoma01")</f>
        <v>methoma01</v>
      </c>
      <c r="E728" s="1" t="s">
        <v>66</v>
      </c>
      <c r="F728" s="1">
        <f t="shared" si="1"/>
        <v>61.05</v>
      </c>
      <c r="G728" s="1">
        <f t="shared" si="2"/>
        <v>1.7</v>
      </c>
      <c r="H728" s="1">
        <v>36.0</v>
      </c>
      <c r="I728" s="1">
        <v>1.0</v>
      </c>
      <c r="J728" s="1">
        <v>2.0</v>
      </c>
      <c r="K728" s="1">
        <v>3.0</v>
      </c>
      <c r="L728" s="1">
        <v>25.0</v>
      </c>
      <c r="M728" s="1">
        <v>77.0</v>
      </c>
      <c r="N728" s="1">
        <v>52.0</v>
      </c>
      <c r="O728" s="1">
        <v>0.0</v>
      </c>
      <c r="P728" s="1">
        <v>0.0</v>
      </c>
      <c r="Q728" s="1">
        <v>0.0</v>
      </c>
      <c r="R728" s="1">
        <v>0.0</v>
      </c>
      <c r="S728" s="1">
        <v>11.0</v>
      </c>
      <c r="T728" s="1">
        <v>31.0</v>
      </c>
      <c r="U728" s="1">
        <v>0.0</v>
      </c>
    </row>
    <row r="729" ht="12.75" customHeight="1">
      <c r="A729" s="1" t="s">
        <v>782</v>
      </c>
      <c r="B729" s="1">
        <f t="shared" si="3"/>
        <v>715</v>
      </c>
      <c r="C729" s="1" t="str">
        <f>IFERROR(__xludf.DUMMYFUNCTION("split(A729, ""\"")"),"Ethan Bear")</f>
        <v>Ethan Bear</v>
      </c>
      <c r="D729" s="1" t="str">
        <f>IFERROR(__xludf.DUMMYFUNCTION("""COMPUTED_VALUE"""),"bearet01")</f>
        <v>bearet01</v>
      </c>
      <c r="E729" s="1" t="s">
        <v>66</v>
      </c>
      <c r="F729" s="1">
        <f t="shared" si="1"/>
        <v>60.5</v>
      </c>
      <c r="G729" s="1">
        <f t="shared" si="2"/>
        <v>3.36</v>
      </c>
      <c r="H729" s="1">
        <v>18.0</v>
      </c>
      <c r="I729" s="1">
        <v>1.0</v>
      </c>
      <c r="J729" s="1">
        <v>3.0</v>
      </c>
      <c r="K729" s="1">
        <v>4.0</v>
      </c>
      <c r="L729" s="1">
        <v>20.0</v>
      </c>
      <c r="M729" s="1">
        <v>14.0</v>
      </c>
      <c r="N729" s="1">
        <v>28.0</v>
      </c>
      <c r="O729" s="1">
        <v>1.0</v>
      </c>
      <c r="P729" s="1">
        <v>1.0</v>
      </c>
      <c r="Q729" s="1">
        <v>0.0</v>
      </c>
      <c r="R729" s="1">
        <v>0.0</v>
      </c>
      <c r="S729" s="1">
        <v>-11.0</v>
      </c>
      <c r="T729" s="1">
        <v>10.0</v>
      </c>
      <c r="U729" s="1">
        <v>0.0</v>
      </c>
    </row>
    <row r="730" ht="12.75" customHeight="1">
      <c r="A730" s="1" t="s">
        <v>767</v>
      </c>
      <c r="B730" s="1">
        <f t="shared" si="3"/>
        <v>716</v>
      </c>
      <c r="C730" s="1" t="str">
        <f>IFERROR(__xludf.DUMMYFUNCTION("split(A730, ""\"")"),"Joshua Ho-Sang")</f>
        <v>Joshua Ho-Sang</v>
      </c>
      <c r="D730" s="1" t="str">
        <f>IFERROR(__xludf.DUMMYFUNCTION("""COMPUTED_VALUE"""),"hosanjo01")</f>
        <v>hosanjo01</v>
      </c>
      <c r="E730" s="1" t="s">
        <v>42</v>
      </c>
      <c r="F730" s="1">
        <f t="shared" si="1"/>
        <v>60.35</v>
      </c>
      <c r="G730" s="1">
        <f t="shared" si="2"/>
        <v>2.74</v>
      </c>
      <c r="H730" s="1">
        <v>22.0</v>
      </c>
      <c r="I730" s="1">
        <v>2.0</v>
      </c>
      <c r="J730" s="1">
        <v>10.0</v>
      </c>
      <c r="K730" s="1">
        <v>12.0</v>
      </c>
      <c r="L730" s="1">
        <v>18.0</v>
      </c>
      <c r="M730" s="1">
        <v>3.0</v>
      </c>
      <c r="N730" s="1">
        <v>1.0</v>
      </c>
      <c r="O730" s="1">
        <v>0.0</v>
      </c>
      <c r="P730" s="1">
        <v>1.0</v>
      </c>
      <c r="Q730" s="1">
        <v>0.0</v>
      </c>
      <c r="R730" s="1">
        <v>0.0</v>
      </c>
      <c r="S730" s="1">
        <v>-7.0</v>
      </c>
      <c r="T730" s="1">
        <v>2.0</v>
      </c>
      <c r="U730" s="1">
        <v>0.0</v>
      </c>
    </row>
    <row r="731" ht="12.75" customHeight="1">
      <c r="A731" s="1" t="s">
        <v>774</v>
      </c>
      <c r="B731" s="1">
        <f t="shared" si="3"/>
        <v>717</v>
      </c>
      <c r="C731" s="1" t="str">
        <f>IFERROR(__xludf.DUMMYFUNCTION("split(A731, ""\"")"),"Anthony Bitetto")</f>
        <v>Anthony Bitetto</v>
      </c>
      <c r="D731" s="1" t="str">
        <f>IFERROR(__xludf.DUMMYFUNCTION("""COMPUTED_VALUE"""),"bitetan01")</f>
        <v>bitetan01</v>
      </c>
      <c r="E731" s="1" t="s">
        <v>66</v>
      </c>
      <c r="F731" s="1">
        <f t="shared" si="1"/>
        <v>60.1</v>
      </c>
      <c r="G731" s="1">
        <f t="shared" si="2"/>
        <v>1.88</v>
      </c>
      <c r="H731" s="1">
        <v>32.0</v>
      </c>
      <c r="I731" s="1">
        <v>1.0</v>
      </c>
      <c r="J731" s="1">
        <v>2.0</v>
      </c>
      <c r="K731" s="1">
        <v>3.0</v>
      </c>
      <c r="L731" s="1">
        <v>25.0</v>
      </c>
      <c r="M731" s="1">
        <v>40.0</v>
      </c>
      <c r="N731" s="1">
        <v>31.0</v>
      </c>
      <c r="O731" s="1">
        <v>0.0</v>
      </c>
      <c r="P731" s="1">
        <v>0.0</v>
      </c>
      <c r="Q731" s="1">
        <v>0.0</v>
      </c>
      <c r="R731" s="1">
        <v>0.0</v>
      </c>
      <c r="S731" s="1">
        <v>-1.0</v>
      </c>
      <c r="T731" s="1">
        <v>27.0</v>
      </c>
      <c r="U731" s="1">
        <v>1.0</v>
      </c>
    </row>
    <row r="732" ht="12.75" customHeight="1">
      <c r="A732" s="1" t="s">
        <v>758</v>
      </c>
      <c r="B732" s="1">
        <f t="shared" si="3"/>
        <v>718</v>
      </c>
      <c r="C732" s="1" t="str">
        <f>IFERROR(__xludf.DUMMYFUNCTION("split(A732, ""\"")"),"Markus Hannikainen")</f>
        <v>Markus Hannikainen</v>
      </c>
      <c r="D732" s="1" t="str">
        <f>IFERROR(__xludf.DUMMYFUNCTION("""COMPUTED_VALUE"""),"hannima01")</f>
        <v>hannima01</v>
      </c>
      <c r="E732" s="1" t="s">
        <v>28</v>
      </c>
      <c r="F732" s="1">
        <f t="shared" si="1"/>
        <v>59.55</v>
      </c>
      <c r="G732" s="1">
        <f t="shared" si="2"/>
        <v>1.8</v>
      </c>
      <c r="H732" s="1">
        <v>33.0</v>
      </c>
      <c r="I732" s="1">
        <v>3.0</v>
      </c>
      <c r="J732" s="1">
        <v>3.0</v>
      </c>
      <c r="K732" s="1">
        <v>6.0</v>
      </c>
      <c r="L732" s="1">
        <v>31.0</v>
      </c>
      <c r="M732" s="1">
        <v>31.0</v>
      </c>
      <c r="N732" s="1">
        <v>15.0</v>
      </c>
      <c r="O732" s="1">
        <v>0.0</v>
      </c>
      <c r="P732" s="1">
        <v>0.0</v>
      </c>
      <c r="Q732" s="1">
        <v>0.0</v>
      </c>
      <c r="R732" s="1">
        <v>1.0</v>
      </c>
      <c r="S732" s="1">
        <v>-1.0</v>
      </c>
      <c r="T732" s="1">
        <v>6.0</v>
      </c>
      <c r="U732" s="1">
        <v>0.0</v>
      </c>
    </row>
    <row r="733" ht="12.75" customHeight="1">
      <c r="A733" s="1" t="s">
        <v>730</v>
      </c>
      <c r="B733" s="1">
        <f t="shared" si="3"/>
        <v>719</v>
      </c>
      <c r="C733" s="1" t="str">
        <f>IFERROR(__xludf.DUMMYFUNCTION("split(A733, ""\"")"),"Toby Enstrom")</f>
        <v>Toby Enstrom</v>
      </c>
      <c r="D733" s="1" t="str">
        <f>IFERROR(__xludf.DUMMYFUNCTION("""COMPUTED_VALUE"""),"enstrto01")</f>
        <v>enstrto01</v>
      </c>
      <c r="E733" s="1" t="s">
        <v>66</v>
      </c>
      <c r="F733" s="1">
        <f t="shared" si="1"/>
        <v>59.5</v>
      </c>
      <c r="G733" s="1">
        <f t="shared" si="2"/>
        <v>1.38</v>
      </c>
      <c r="H733" s="1">
        <v>43.0</v>
      </c>
      <c r="I733" s="1">
        <v>1.0</v>
      </c>
      <c r="J733" s="1">
        <v>5.0</v>
      </c>
      <c r="K733" s="1">
        <v>6.0</v>
      </c>
      <c r="L733" s="1">
        <v>31.0</v>
      </c>
      <c r="M733" s="1">
        <v>20.0</v>
      </c>
      <c r="N733" s="1">
        <v>51.0</v>
      </c>
      <c r="O733" s="1">
        <v>0.0</v>
      </c>
      <c r="P733" s="1">
        <v>0.0</v>
      </c>
      <c r="Q733" s="1">
        <v>0.0</v>
      </c>
      <c r="R733" s="1">
        <v>0.0</v>
      </c>
      <c r="S733" s="1">
        <v>8.0</v>
      </c>
      <c r="T733" s="1">
        <v>20.0</v>
      </c>
      <c r="U733" s="1">
        <v>0.0</v>
      </c>
    </row>
    <row r="734" ht="12.75" customHeight="1">
      <c r="A734" s="1" t="s">
        <v>769</v>
      </c>
      <c r="B734" s="1">
        <f t="shared" si="3"/>
        <v>720</v>
      </c>
      <c r="C734" s="1" t="str">
        <f>IFERROR(__xludf.DUMMYFUNCTION("split(A734, ""\"")"),"Julius Honka")</f>
        <v>Julius Honka</v>
      </c>
      <c r="D734" s="1" t="str">
        <f>IFERROR(__xludf.DUMMYFUNCTION("""COMPUTED_VALUE"""),"honkaju01")</f>
        <v>honkaju01</v>
      </c>
      <c r="E734" s="1" t="s">
        <v>66</v>
      </c>
      <c r="F734" s="1">
        <f t="shared" si="1"/>
        <v>59.2</v>
      </c>
      <c r="G734" s="1">
        <f t="shared" si="2"/>
        <v>1.41</v>
      </c>
      <c r="H734" s="1">
        <v>42.0</v>
      </c>
      <c r="I734" s="1">
        <v>1.0</v>
      </c>
      <c r="J734" s="1">
        <v>3.0</v>
      </c>
      <c r="K734" s="1">
        <v>4.0</v>
      </c>
      <c r="L734" s="1">
        <v>42.0</v>
      </c>
      <c r="M734" s="1">
        <v>20.0</v>
      </c>
      <c r="N734" s="1">
        <v>28.0</v>
      </c>
      <c r="O734" s="1">
        <v>0.0</v>
      </c>
      <c r="P734" s="1">
        <v>1.0</v>
      </c>
      <c r="Q734" s="1">
        <v>0.0</v>
      </c>
      <c r="R734" s="1">
        <v>0.0</v>
      </c>
      <c r="S734" s="1">
        <v>-1.0</v>
      </c>
      <c r="T734" s="1">
        <v>14.0</v>
      </c>
      <c r="U734" s="1">
        <v>0.0</v>
      </c>
    </row>
    <row r="735" ht="12.75" customHeight="1">
      <c r="A735" s="1" t="s">
        <v>748</v>
      </c>
      <c r="B735" s="1">
        <f t="shared" si="3"/>
        <v>721</v>
      </c>
      <c r="C735" s="1" t="str">
        <f>IFERROR(__xludf.DUMMYFUNCTION("split(A735, ""\"")"),"Michael Amadio")</f>
        <v>Michael Amadio</v>
      </c>
      <c r="D735" s="1" t="str">
        <f>IFERROR(__xludf.DUMMYFUNCTION("""COMPUTED_VALUE"""),"amadimi01")</f>
        <v>amadimi01</v>
      </c>
      <c r="E735" s="1" t="s">
        <v>31</v>
      </c>
      <c r="F735" s="1">
        <f t="shared" si="1"/>
        <v>58.4</v>
      </c>
      <c r="G735" s="1">
        <f t="shared" si="2"/>
        <v>1.58</v>
      </c>
      <c r="H735" s="1">
        <v>37.0</v>
      </c>
      <c r="I735" s="1">
        <v>4.0</v>
      </c>
      <c r="J735" s="1">
        <v>4.0</v>
      </c>
      <c r="K735" s="1">
        <v>8.0</v>
      </c>
      <c r="L735" s="1">
        <v>28.0</v>
      </c>
      <c r="M735" s="1">
        <v>18.0</v>
      </c>
      <c r="N735" s="1">
        <v>9.0</v>
      </c>
      <c r="O735" s="1">
        <v>1.0</v>
      </c>
      <c r="P735" s="1">
        <v>2.0</v>
      </c>
      <c r="Q735" s="1">
        <v>0.0</v>
      </c>
      <c r="R735" s="1">
        <v>0.0</v>
      </c>
      <c r="S735" s="1">
        <v>-2.0</v>
      </c>
      <c r="T735" s="1">
        <v>8.0</v>
      </c>
      <c r="U735" s="1">
        <v>0.0</v>
      </c>
    </row>
    <row r="736" ht="12.75" customHeight="1">
      <c r="A736" s="1" t="s">
        <v>742</v>
      </c>
      <c r="B736" s="1">
        <f t="shared" si="3"/>
        <v>722</v>
      </c>
      <c r="C736" s="1" t="str">
        <f>IFERROR(__xludf.DUMMYFUNCTION("split(A736, ""\"")"),"Noah Juulsen")</f>
        <v>Noah Juulsen</v>
      </c>
      <c r="D736" s="1" t="str">
        <f>IFERROR(__xludf.DUMMYFUNCTION("""COMPUTED_VALUE"""),"juulsno01")</f>
        <v>juulsno01</v>
      </c>
      <c r="E736" s="1" t="s">
        <v>66</v>
      </c>
      <c r="F736" s="1">
        <f t="shared" si="1"/>
        <v>58.2</v>
      </c>
      <c r="G736" s="1">
        <f t="shared" si="2"/>
        <v>2.53</v>
      </c>
      <c r="H736" s="1">
        <v>23.0</v>
      </c>
      <c r="I736" s="1">
        <v>1.0</v>
      </c>
      <c r="J736" s="1">
        <v>2.0</v>
      </c>
      <c r="K736" s="1">
        <v>3.0</v>
      </c>
      <c r="L736" s="1">
        <v>33.0</v>
      </c>
      <c r="M736" s="1">
        <v>58.0</v>
      </c>
      <c r="N736" s="1">
        <v>34.0</v>
      </c>
      <c r="O736" s="1">
        <v>0.0</v>
      </c>
      <c r="P736" s="1">
        <v>0.0</v>
      </c>
      <c r="Q736" s="1">
        <v>0.0</v>
      </c>
      <c r="R736" s="1">
        <v>0.0</v>
      </c>
      <c r="S736" s="1">
        <v>1.0</v>
      </c>
      <c r="T736" s="1">
        <v>4.0</v>
      </c>
      <c r="U736" s="1">
        <v>0.0</v>
      </c>
    </row>
    <row r="737" ht="12.75" customHeight="1">
      <c r="A737" s="1" t="s">
        <v>798</v>
      </c>
      <c r="B737" s="1">
        <f t="shared" si="3"/>
        <v>723</v>
      </c>
      <c r="C737" s="1" t="str">
        <f>IFERROR(__xludf.DUMMYFUNCTION("split(A737, ""\"")"),"Peter Holland")</f>
        <v>Peter Holland</v>
      </c>
      <c r="D737" s="1" t="str">
        <f>IFERROR(__xludf.DUMMYFUNCTION("""COMPUTED_VALUE"""),"hollape01")</f>
        <v>hollape01</v>
      </c>
      <c r="E737" s="1" t="s">
        <v>31</v>
      </c>
      <c r="F737" s="1">
        <f t="shared" si="1"/>
        <v>58.1</v>
      </c>
      <c r="G737" s="1">
        <f t="shared" si="2"/>
        <v>2.53</v>
      </c>
      <c r="H737" s="1">
        <v>23.0</v>
      </c>
      <c r="I737" s="1">
        <v>1.0</v>
      </c>
      <c r="J737" s="1">
        <v>3.0</v>
      </c>
      <c r="K737" s="1">
        <v>4.0</v>
      </c>
      <c r="L737" s="1">
        <v>30.0</v>
      </c>
      <c r="M737" s="1">
        <v>14.0</v>
      </c>
      <c r="N737" s="1">
        <v>12.0</v>
      </c>
      <c r="O737" s="1">
        <v>0.0</v>
      </c>
      <c r="P737" s="1">
        <v>0.0</v>
      </c>
      <c r="Q737" s="1">
        <v>0.0</v>
      </c>
      <c r="R737" s="1">
        <v>1.0</v>
      </c>
      <c r="S737" s="1">
        <v>-10.0</v>
      </c>
      <c r="T737" s="1">
        <v>7.0</v>
      </c>
      <c r="U737" s="1">
        <v>0.0</v>
      </c>
    </row>
    <row r="738" ht="12.75" customHeight="1">
      <c r="A738" s="1" t="s">
        <v>776</v>
      </c>
      <c r="B738" s="1">
        <f t="shared" si="3"/>
        <v>724</v>
      </c>
      <c r="C738" s="1" t="str">
        <f>IFERROR(__xludf.DUMMYFUNCTION("split(A738, ""\"")"),"David Booth")</f>
        <v>David Booth</v>
      </c>
      <c r="D738" s="1" t="str">
        <f>IFERROR(__xludf.DUMMYFUNCTION("""COMPUTED_VALUE"""),"boothda01")</f>
        <v>boothda01</v>
      </c>
      <c r="E738" s="1" t="s">
        <v>28</v>
      </c>
      <c r="F738" s="1">
        <f t="shared" si="1"/>
        <v>57.25</v>
      </c>
      <c r="G738" s="1">
        <f t="shared" si="2"/>
        <v>2.04</v>
      </c>
      <c r="H738" s="1">
        <v>28.0</v>
      </c>
      <c r="I738" s="1">
        <v>4.0</v>
      </c>
      <c r="J738" s="1">
        <v>1.0</v>
      </c>
      <c r="K738" s="1">
        <v>5.0</v>
      </c>
      <c r="L738" s="1">
        <v>33.0</v>
      </c>
      <c r="M738" s="1">
        <v>23.0</v>
      </c>
      <c r="N738" s="1">
        <v>7.0</v>
      </c>
      <c r="O738" s="1">
        <v>0.0</v>
      </c>
      <c r="P738" s="1">
        <v>1.0</v>
      </c>
      <c r="Q738" s="1">
        <v>0.0</v>
      </c>
      <c r="R738" s="1">
        <v>0.0</v>
      </c>
      <c r="S738" s="1">
        <v>-5.0</v>
      </c>
      <c r="T738" s="1">
        <v>10.0</v>
      </c>
      <c r="U738" s="1">
        <v>0.0</v>
      </c>
    </row>
    <row r="739" ht="12.75" customHeight="1">
      <c r="A739" s="1" t="s">
        <v>793</v>
      </c>
      <c r="B739" s="1">
        <f t="shared" si="3"/>
        <v>725</v>
      </c>
      <c r="C739" s="1" t="str">
        <f>IFERROR(__xludf.DUMMYFUNCTION("split(A739, ""\"")"),"Vinni Lettieri")</f>
        <v>Vinni Lettieri</v>
      </c>
      <c r="D739" s="1" t="str">
        <f>IFERROR(__xludf.DUMMYFUNCTION("""COMPUTED_VALUE"""),"lettivi01")</f>
        <v>lettivi01</v>
      </c>
      <c r="E739" s="1" t="s">
        <v>31</v>
      </c>
      <c r="F739" s="1">
        <f t="shared" si="1"/>
        <v>57</v>
      </c>
      <c r="G739" s="1">
        <f t="shared" si="2"/>
        <v>3</v>
      </c>
      <c r="H739" s="1">
        <v>19.0</v>
      </c>
      <c r="I739" s="1">
        <v>1.0</v>
      </c>
      <c r="J739" s="1">
        <v>4.0</v>
      </c>
      <c r="K739" s="1">
        <v>5.0</v>
      </c>
      <c r="L739" s="1">
        <v>28.0</v>
      </c>
      <c r="M739" s="1">
        <v>22.0</v>
      </c>
      <c r="N739" s="1">
        <v>6.0</v>
      </c>
      <c r="O739" s="1">
        <v>0.0</v>
      </c>
      <c r="P739" s="1">
        <v>1.0</v>
      </c>
      <c r="Q739" s="1">
        <v>0.0</v>
      </c>
      <c r="R739" s="1">
        <v>0.0</v>
      </c>
      <c r="S739" s="1">
        <v>-12.0</v>
      </c>
      <c r="T739" s="1">
        <v>0.0</v>
      </c>
      <c r="U739" s="1">
        <v>0.0</v>
      </c>
    </row>
    <row r="740" ht="12.75" customHeight="1">
      <c r="A740" s="1" t="s">
        <v>754</v>
      </c>
      <c r="B740" s="1">
        <f t="shared" si="3"/>
        <v>726</v>
      </c>
      <c r="C740" s="1" t="str">
        <f>IFERROR(__xludf.DUMMYFUNCTION("split(A740, ""\"")"),"Ty Rattie")</f>
        <v>Ty Rattie</v>
      </c>
      <c r="D740" s="1" t="str">
        <f>IFERROR(__xludf.DUMMYFUNCTION("""COMPUTED_VALUE"""),"rattity01")</f>
        <v>rattity01</v>
      </c>
      <c r="E740" s="1" t="s">
        <v>36</v>
      </c>
      <c r="F740" s="1">
        <f t="shared" si="1"/>
        <v>56.35</v>
      </c>
      <c r="G740" s="1">
        <f t="shared" si="2"/>
        <v>4.03</v>
      </c>
      <c r="H740" s="1">
        <v>14.0</v>
      </c>
      <c r="I740" s="1">
        <v>5.0</v>
      </c>
      <c r="J740" s="1">
        <v>4.0</v>
      </c>
      <c r="K740" s="1">
        <v>9.0</v>
      </c>
      <c r="L740" s="1">
        <v>32.0</v>
      </c>
      <c r="M740" s="1">
        <v>11.0</v>
      </c>
      <c r="N740" s="1">
        <v>4.0</v>
      </c>
      <c r="O740" s="1">
        <v>0.0</v>
      </c>
      <c r="P740" s="1">
        <v>0.0</v>
      </c>
      <c r="Q740" s="1">
        <v>0.0</v>
      </c>
      <c r="R740" s="1">
        <v>0.0</v>
      </c>
      <c r="S740" s="1">
        <v>1.0</v>
      </c>
      <c r="T740" s="1">
        <v>2.0</v>
      </c>
      <c r="U740" s="1">
        <v>1.0</v>
      </c>
    </row>
    <row r="741" ht="12.75" customHeight="1">
      <c r="A741" s="1" t="s">
        <v>763</v>
      </c>
      <c r="B741" s="1">
        <f t="shared" si="3"/>
        <v>726</v>
      </c>
      <c r="C741" s="1" t="str">
        <f>IFERROR(__xludf.DUMMYFUNCTION("split(A741, ""\"")"),"Brian Gionta")</f>
        <v>Brian Gionta</v>
      </c>
      <c r="D741" s="1" t="str">
        <f>IFERROR(__xludf.DUMMYFUNCTION("""COMPUTED_VALUE"""),"giontbr01")</f>
        <v>giontbr01</v>
      </c>
      <c r="E741" s="1" t="s">
        <v>36</v>
      </c>
      <c r="F741" s="1">
        <f t="shared" si="1"/>
        <v>56.35</v>
      </c>
      <c r="G741" s="1">
        <f t="shared" si="2"/>
        <v>2.82</v>
      </c>
      <c r="H741" s="1">
        <v>20.0</v>
      </c>
      <c r="I741" s="1">
        <v>2.0</v>
      </c>
      <c r="J741" s="1">
        <v>5.0</v>
      </c>
      <c r="K741" s="1">
        <v>7.0</v>
      </c>
      <c r="L741" s="1">
        <v>42.0</v>
      </c>
      <c r="M741" s="1">
        <v>17.0</v>
      </c>
      <c r="N741" s="1">
        <v>6.0</v>
      </c>
      <c r="O741" s="1">
        <v>1.0</v>
      </c>
      <c r="P741" s="1">
        <v>2.0</v>
      </c>
      <c r="Q741" s="1">
        <v>0.0</v>
      </c>
      <c r="R741" s="1">
        <v>0.0</v>
      </c>
      <c r="S741" s="1">
        <v>-1.0</v>
      </c>
      <c r="T741" s="1">
        <v>2.0</v>
      </c>
      <c r="U741" s="1">
        <v>1.0</v>
      </c>
    </row>
    <row r="742" ht="12.75" customHeight="1">
      <c r="A742" s="1" t="s">
        <v>780</v>
      </c>
      <c r="B742" s="1">
        <f t="shared" si="3"/>
        <v>728</v>
      </c>
      <c r="C742" s="1" t="str">
        <f>IFERROR(__xludf.DUMMYFUNCTION("split(A742, ""\"")"),"Luke Kunin")</f>
        <v>Luke Kunin</v>
      </c>
      <c r="D742" s="1" t="str">
        <f>IFERROR(__xludf.DUMMYFUNCTION("""COMPUTED_VALUE"""),"kuninlu01")</f>
        <v>kuninlu01</v>
      </c>
      <c r="E742" s="1" t="s">
        <v>31</v>
      </c>
      <c r="F742" s="1">
        <f t="shared" si="1"/>
        <v>54.9</v>
      </c>
      <c r="G742" s="1">
        <f t="shared" si="2"/>
        <v>2.89</v>
      </c>
      <c r="H742" s="1">
        <v>19.0</v>
      </c>
      <c r="I742" s="1">
        <v>2.0</v>
      </c>
      <c r="J742" s="1">
        <v>2.0</v>
      </c>
      <c r="K742" s="1">
        <v>4.0</v>
      </c>
      <c r="L742" s="1">
        <v>32.0</v>
      </c>
      <c r="M742" s="1">
        <v>34.0</v>
      </c>
      <c r="N742" s="1">
        <v>8.0</v>
      </c>
      <c r="O742" s="1">
        <v>0.0</v>
      </c>
      <c r="P742" s="1">
        <v>0.0</v>
      </c>
      <c r="Q742" s="1">
        <v>1.0</v>
      </c>
      <c r="R742" s="1">
        <v>0.0</v>
      </c>
      <c r="S742" s="1">
        <v>-3.0</v>
      </c>
      <c r="T742" s="1">
        <v>13.0</v>
      </c>
      <c r="U742" s="1">
        <v>0.0</v>
      </c>
    </row>
    <row r="743" ht="12.75" customHeight="1">
      <c r="A743" s="1" t="s">
        <v>817</v>
      </c>
      <c r="B743" s="1">
        <f t="shared" si="3"/>
        <v>729</v>
      </c>
      <c r="C743" s="1" t="str">
        <f>IFERROR(__xludf.DUMMYFUNCTION("split(A743, ""\"")"),"Zach Bogosian")</f>
        <v>Zach Bogosian</v>
      </c>
      <c r="D743" s="1" t="str">
        <f>IFERROR(__xludf.DUMMYFUNCTION("""COMPUTED_VALUE"""),"bogosza01")</f>
        <v>bogosza01</v>
      </c>
      <c r="E743" s="1" t="s">
        <v>66</v>
      </c>
      <c r="F743" s="1">
        <f t="shared" si="1"/>
        <v>54</v>
      </c>
      <c r="G743" s="1">
        <f t="shared" si="2"/>
        <v>3</v>
      </c>
      <c r="H743" s="1">
        <v>18.0</v>
      </c>
      <c r="I743" s="1">
        <v>0.0</v>
      </c>
      <c r="J743" s="1">
        <v>1.0</v>
      </c>
      <c r="K743" s="1">
        <v>1.0</v>
      </c>
      <c r="L743" s="1">
        <v>29.0</v>
      </c>
      <c r="M743" s="1">
        <v>22.0</v>
      </c>
      <c r="N743" s="1">
        <v>23.0</v>
      </c>
      <c r="O743" s="1">
        <v>0.0</v>
      </c>
      <c r="P743" s="1">
        <v>0.0</v>
      </c>
      <c r="Q743" s="1">
        <v>0.0</v>
      </c>
      <c r="R743" s="1">
        <v>0.0</v>
      </c>
      <c r="S743" s="1">
        <v>-9.0</v>
      </c>
      <c r="T743" s="1">
        <v>20.0</v>
      </c>
      <c r="U743" s="1">
        <v>0.0</v>
      </c>
    </row>
    <row r="744" ht="12.75" customHeight="1">
      <c r="A744" s="1" t="s">
        <v>757</v>
      </c>
      <c r="B744" s="1">
        <f t="shared" si="3"/>
        <v>730</v>
      </c>
      <c r="C744" s="1" t="str">
        <f>IFERROR(__xludf.DUMMYFUNCTION("split(A744, ""\"")"),"Jonathon Merrill")</f>
        <v>Jonathon Merrill</v>
      </c>
      <c r="D744" s="1" t="str">
        <f>IFERROR(__xludf.DUMMYFUNCTION("""COMPUTED_VALUE"""),"merrijo01")</f>
        <v>merrijo01</v>
      </c>
      <c r="E744" s="1" t="s">
        <v>66</v>
      </c>
      <c r="F744" s="1">
        <f t="shared" si="1"/>
        <v>53.35</v>
      </c>
      <c r="G744" s="1">
        <f t="shared" si="2"/>
        <v>1.57</v>
      </c>
      <c r="H744" s="1">
        <v>34.0</v>
      </c>
      <c r="I744" s="1">
        <v>1.0</v>
      </c>
      <c r="J744" s="1">
        <v>2.0</v>
      </c>
      <c r="K744" s="1">
        <v>3.0</v>
      </c>
      <c r="L744" s="1">
        <v>30.0</v>
      </c>
      <c r="M744" s="1">
        <v>35.0</v>
      </c>
      <c r="N744" s="1">
        <v>42.0</v>
      </c>
      <c r="O744" s="1">
        <v>0.0</v>
      </c>
      <c r="P744" s="1">
        <v>0.0</v>
      </c>
      <c r="Q744" s="1">
        <v>0.0</v>
      </c>
      <c r="R744" s="1">
        <v>0.0</v>
      </c>
      <c r="S744" s="1">
        <v>7.0</v>
      </c>
      <c r="T744" s="1">
        <v>22.0</v>
      </c>
      <c r="U744" s="1">
        <v>1.0</v>
      </c>
    </row>
    <row r="745" ht="12.75" customHeight="1">
      <c r="A745" s="1" t="s">
        <v>707</v>
      </c>
      <c r="B745" s="1">
        <f t="shared" si="3"/>
        <v>731</v>
      </c>
      <c r="C745" s="1" t="str">
        <f>IFERROR(__xludf.DUMMYFUNCTION("split(A745, ""\"")"),"Jean-Francois Berube")</f>
        <v>Jean-Francois Berube</v>
      </c>
      <c r="D745" s="2" t="str">
        <f>IFERROR(__xludf.DUMMYFUNCTION("""COMPUTED_VALUE"""),"berubje02")</f>
        <v>berubje02</v>
      </c>
      <c r="E745" s="1" t="s">
        <v>5</v>
      </c>
      <c r="F745" s="1">
        <f t="shared" si="1"/>
        <v>52.8</v>
      </c>
      <c r="G745" s="1">
        <f t="shared" si="2"/>
        <v>4.06</v>
      </c>
      <c r="H745" s="1">
        <v>13.0</v>
      </c>
      <c r="V745" s="1">
        <v>10.0</v>
      </c>
      <c r="W745" s="1">
        <v>3.0</v>
      </c>
      <c r="X745" s="1">
        <v>6.0</v>
      </c>
      <c r="Y745" s="1">
        <v>42.0</v>
      </c>
      <c r="Z745" s="1">
        <v>398.0</v>
      </c>
      <c r="AA745" s="1">
        <v>356.0</v>
      </c>
      <c r="AB745" s="1">
        <v>0.0</v>
      </c>
    </row>
    <row r="746" ht="12.75" customHeight="1">
      <c r="A746" s="1" t="s">
        <v>750</v>
      </c>
      <c r="B746" s="1">
        <f t="shared" si="3"/>
        <v>732</v>
      </c>
      <c r="C746" s="1" t="str">
        <f>IFERROR(__xludf.DUMMYFUNCTION("split(A746, ""\"")"),"Dylan Strome")</f>
        <v>Dylan Strome</v>
      </c>
      <c r="D746" s="1" t="str">
        <f>IFERROR(__xludf.DUMMYFUNCTION("""COMPUTED_VALUE"""),"stromdy01")</f>
        <v>stromdy01</v>
      </c>
      <c r="E746" s="1" t="s">
        <v>31</v>
      </c>
      <c r="F746" s="1">
        <f t="shared" si="1"/>
        <v>52.15</v>
      </c>
      <c r="G746" s="1">
        <f t="shared" si="2"/>
        <v>2.48</v>
      </c>
      <c r="H746" s="1">
        <v>21.0</v>
      </c>
      <c r="I746" s="1">
        <v>4.0</v>
      </c>
      <c r="J746" s="1">
        <v>5.0</v>
      </c>
      <c r="K746" s="1">
        <v>9.0</v>
      </c>
      <c r="L746" s="1">
        <v>30.0</v>
      </c>
      <c r="M746" s="1">
        <v>7.0</v>
      </c>
      <c r="N746" s="1">
        <v>12.0</v>
      </c>
      <c r="O746" s="1">
        <v>1.0</v>
      </c>
      <c r="P746" s="1">
        <v>0.0</v>
      </c>
      <c r="Q746" s="1">
        <v>0.0</v>
      </c>
      <c r="R746" s="1">
        <v>0.0</v>
      </c>
      <c r="S746" s="1">
        <v>4.0</v>
      </c>
      <c r="T746" s="1">
        <v>8.0</v>
      </c>
      <c r="U746" s="1">
        <v>0.0</v>
      </c>
    </row>
    <row r="747" ht="12.75" customHeight="1">
      <c r="A747" s="1" t="s">
        <v>804</v>
      </c>
      <c r="B747" s="1">
        <f t="shared" si="3"/>
        <v>733</v>
      </c>
      <c r="C747" s="1" t="str">
        <f>IFERROR(__xludf.DUMMYFUNCTION("split(A747, ""\"")"),"Brendan Guhle")</f>
        <v>Brendan Guhle</v>
      </c>
      <c r="D747" s="1" t="str">
        <f>IFERROR(__xludf.DUMMYFUNCTION("""COMPUTED_VALUE"""),"guhlebr01")</f>
        <v>guhlebr01</v>
      </c>
      <c r="E747" s="1" t="s">
        <v>66</v>
      </c>
      <c r="F747" s="1">
        <f t="shared" si="1"/>
        <v>52</v>
      </c>
      <c r="G747" s="1">
        <f t="shared" si="2"/>
        <v>2.89</v>
      </c>
      <c r="H747" s="1">
        <v>18.0</v>
      </c>
      <c r="I747" s="1">
        <v>0.0</v>
      </c>
      <c r="J747" s="1">
        <v>5.0</v>
      </c>
      <c r="K747" s="1">
        <v>5.0</v>
      </c>
      <c r="L747" s="1">
        <v>37.0</v>
      </c>
      <c r="M747" s="1">
        <v>10.0</v>
      </c>
      <c r="N747" s="1">
        <v>8.0</v>
      </c>
      <c r="O747" s="1">
        <v>0.0</v>
      </c>
      <c r="P747" s="1">
        <v>0.0</v>
      </c>
      <c r="Q747" s="1">
        <v>0.0</v>
      </c>
      <c r="R747" s="1">
        <v>0.0</v>
      </c>
      <c r="S747" s="1">
        <v>-6.0</v>
      </c>
      <c r="T747" s="1">
        <v>10.0</v>
      </c>
      <c r="U747" s="1">
        <v>0.0</v>
      </c>
    </row>
    <row r="748" ht="12.75" customHeight="1">
      <c r="A748" s="1" t="s">
        <v>775</v>
      </c>
      <c r="B748" s="1">
        <f t="shared" si="3"/>
        <v>734</v>
      </c>
      <c r="C748" s="1" t="str">
        <f>IFERROR(__xludf.DUMMYFUNCTION("split(A748, ""\"")"),"Mirco Mueller")</f>
        <v>Mirco Mueller</v>
      </c>
      <c r="D748" s="1" t="str">
        <f>IFERROR(__xludf.DUMMYFUNCTION("""COMPUTED_VALUE"""),"muellmi01")</f>
        <v>muellmi01</v>
      </c>
      <c r="E748" s="1" t="s">
        <v>66</v>
      </c>
      <c r="F748" s="1">
        <f t="shared" si="1"/>
        <v>51.95</v>
      </c>
      <c r="G748" s="1">
        <f t="shared" si="2"/>
        <v>1.86</v>
      </c>
      <c r="H748" s="1">
        <v>28.0</v>
      </c>
      <c r="I748" s="1">
        <v>0.0</v>
      </c>
      <c r="J748" s="1">
        <v>4.0</v>
      </c>
      <c r="K748" s="1">
        <v>4.0</v>
      </c>
      <c r="L748" s="1">
        <v>19.0</v>
      </c>
      <c r="M748" s="1">
        <v>15.0</v>
      </c>
      <c r="N748" s="1">
        <v>42.0</v>
      </c>
      <c r="O748" s="1">
        <v>0.0</v>
      </c>
      <c r="P748" s="1">
        <v>0.0</v>
      </c>
      <c r="Q748" s="1">
        <v>0.0</v>
      </c>
      <c r="R748" s="1">
        <v>2.0</v>
      </c>
      <c r="S748" s="1">
        <v>1.0</v>
      </c>
      <c r="T748" s="1">
        <v>4.0</v>
      </c>
      <c r="U748" s="1">
        <v>0.0</v>
      </c>
    </row>
    <row r="749" ht="12.75" customHeight="1">
      <c r="A749" s="1" t="s">
        <v>744</v>
      </c>
      <c r="B749" s="1">
        <f t="shared" si="3"/>
        <v>735</v>
      </c>
      <c r="C749" s="1" t="str">
        <f>IFERROR(__xludf.DUMMYFUNCTION("split(A749, ""\"")"),"Boo Nieves")</f>
        <v>Boo Nieves</v>
      </c>
      <c r="D749" s="1" t="str">
        <f>IFERROR(__xludf.DUMMYFUNCTION("""COMPUTED_VALUE"""),"nievecr01")</f>
        <v>nievecr01</v>
      </c>
      <c r="E749" s="1" t="s">
        <v>31</v>
      </c>
      <c r="F749" s="1">
        <f t="shared" si="1"/>
        <v>51.6</v>
      </c>
      <c r="G749" s="1">
        <f t="shared" si="2"/>
        <v>1.84</v>
      </c>
      <c r="H749" s="1">
        <v>28.0</v>
      </c>
      <c r="I749" s="1">
        <v>1.0</v>
      </c>
      <c r="J749" s="1">
        <v>8.0</v>
      </c>
      <c r="K749" s="1">
        <v>9.0</v>
      </c>
      <c r="L749" s="1">
        <v>23.0</v>
      </c>
      <c r="M749" s="1">
        <v>30.0</v>
      </c>
      <c r="N749" s="1">
        <v>19.0</v>
      </c>
      <c r="O749" s="1">
        <v>0.0</v>
      </c>
      <c r="P749" s="1">
        <v>0.0</v>
      </c>
      <c r="Q749" s="1">
        <v>0.0</v>
      </c>
      <c r="R749" s="1">
        <v>0.0</v>
      </c>
      <c r="S749" s="1">
        <v>6.0</v>
      </c>
      <c r="T749" s="1">
        <v>12.0</v>
      </c>
      <c r="U749" s="1">
        <v>0.0</v>
      </c>
    </row>
    <row r="750" ht="12.75" customHeight="1">
      <c r="A750" s="1" t="s">
        <v>778</v>
      </c>
      <c r="B750" s="1">
        <f t="shared" si="3"/>
        <v>736</v>
      </c>
      <c r="C750" s="1" t="str">
        <f>IFERROR(__xludf.DUMMYFUNCTION("split(A750, ""\"")"),"Adam Erne")</f>
        <v>Adam Erne</v>
      </c>
      <c r="D750" s="1" t="str">
        <f>IFERROR(__xludf.DUMMYFUNCTION("""COMPUTED_VALUE"""),"ernead01")</f>
        <v>ernead01</v>
      </c>
      <c r="E750" s="1" t="s">
        <v>28</v>
      </c>
      <c r="F750" s="1">
        <f t="shared" si="1"/>
        <v>51.05</v>
      </c>
      <c r="G750" s="1">
        <f t="shared" si="2"/>
        <v>2.22</v>
      </c>
      <c r="H750" s="1">
        <v>23.0</v>
      </c>
      <c r="I750" s="1">
        <v>3.0</v>
      </c>
      <c r="J750" s="1">
        <v>1.0</v>
      </c>
      <c r="K750" s="1">
        <v>4.0</v>
      </c>
      <c r="L750" s="1">
        <v>29.0</v>
      </c>
      <c r="M750" s="1">
        <v>37.0</v>
      </c>
      <c r="N750" s="1">
        <v>8.0</v>
      </c>
      <c r="O750" s="1">
        <v>0.0</v>
      </c>
      <c r="P750" s="1">
        <v>0.0</v>
      </c>
      <c r="Q750" s="1">
        <v>0.0</v>
      </c>
      <c r="R750" s="1">
        <v>0.0</v>
      </c>
      <c r="S750" s="1">
        <v>-1.0</v>
      </c>
      <c r="T750" s="1">
        <v>11.0</v>
      </c>
      <c r="U750" s="1">
        <v>1.0</v>
      </c>
    </row>
    <row r="751" ht="12.75" customHeight="1">
      <c r="A751" s="1" t="s">
        <v>766</v>
      </c>
      <c r="B751" s="1">
        <f t="shared" si="3"/>
        <v>737</v>
      </c>
      <c r="C751" s="1" t="str">
        <f>IFERROR(__xludf.DUMMYFUNCTION("split(A751, ""\"")"),"Oskar Lindblom")</f>
        <v>Oskar Lindblom</v>
      </c>
      <c r="D751" s="1" t="str">
        <f>IFERROR(__xludf.DUMMYFUNCTION("""COMPUTED_VALUE"""),"lindbos01")</f>
        <v>lindbos01</v>
      </c>
      <c r="E751" s="1" t="s">
        <v>28</v>
      </c>
      <c r="F751" s="1">
        <f t="shared" si="1"/>
        <v>50.65</v>
      </c>
      <c r="G751" s="1">
        <f t="shared" si="2"/>
        <v>2.2</v>
      </c>
      <c r="H751" s="1">
        <v>23.0</v>
      </c>
      <c r="I751" s="1">
        <v>2.0</v>
      </c>
      <c r="J751" s="1">
        <v>4.0</v>
      </c>
      <c r="K751" s="1">
        <v>6.0</v>
      </c>
      <c r="L751" s="1">
        <v>36.0</v>
      </c>
      <c r="M751" s="1">
        <v>27.0</v>
      </c>
      <c r="N751" s="1">
        <v>13.0</v>
      </c>
      <c r="O751" s="1">
        <v>0.0</v>
      </c>
      <c r="P751" s="1">
        <v>1.0</v>
      </c>
      <c r="Q751" s="1">
        <v>0.0</v>
      </c>
      <c r="R751" s="1">
        <v>0.0</v>
      </c>
      <c r="S751" s="1">
        <v>4.0</v>
      </c>
      <c r="T751" s="1">
        <v>8.0</v>
      </c>
      <c r="U751" s="1">
        <v>1.0</v>
      </c>
    </row>
    <row r="752" ht="12.75" customHeight="1">
      <c r="A752" s="1" t="s">
        <v>756</v>
      </c>
      <c r="B752" s="1">
        <f t="shared" si="3"/>
        <v>738</v>
      </c>
      <c r="C752" s="1" t="str">
        <f>IFERROR(__xludf.DUMMYFUNCTION("split(A752, ""\"")"),"Zach Aston-Reese")</f>
        <v>Zach Aston-Reese</v>
      </c>
      <c r="D752" s="1" t="str">
        <f>IFERROR(__xludf.DUMMYFUNCTION("""COMPUTED_VALUE"""),"astonza01")</f>
        <v>astonza01</v>
      </c>
      <c r="E752" s="1" t="s">
        <v>31</v>
      </c>
      <c r="F752" s="1">
        <f t="shared" si="1"/>
        <v>50.35</v>
      </c>
      <c r="G752" s="1">
        <f t="shared" si="2"/>
        <v>3.15</v>
      </c>
      <c r="H752" s="1">
        <v>16.0</v>
      </c>
      <c r="I752" s="1">
        <v>4.0</v>
      </c>
      <c r="J752" s="1">
        <v>2.0</v>
      </c>
      <c r="K752" s="1">
        <v>6.0</v>
      </c>
      <c r="L752" s="1">
        <v>20.0</v>
      </c>
      <c r="M752" s="1">
        <v>55.0</v>
      </c>
      <c r="N752" s="1">
        <v>6.0</v>
      </c>
      <c r="O752" s="1">
        <v>0.0</v>
      </c>
      <c r="P752" s="1">
        <v>0.0</v>
      </c>
      <c r="Q752" s="1">
        <v>0.0</v>
      </c>
      <c r="R752" s="1">
        <v>0.0</v>
      </c>
      <c r="S752" s="1">
        <v>2.0</v>
      </c>
      <c r="T752" s="1">
        <v>2.0</v>
      </c>
      <c r="U752" s="1">
        <v>1.0</v>
      </c>
    </row>
    <row r="753" ht="12.75" customHeight="1">
      <c r="A753" s="1" t="s">
        <v>772</v>
      </c>
      <c r="B753" s="1">
        <f t="shared" si="3"/>
        <v>739</v>
      </c>
      <c r="C753" s="1" t="str">
        <f>IFERROR(__xludf.DUMMYFUNCTION("split(A753, ""\"")"),"Gabriel Dumont")</f>
        <v>Gabriel Dumont</v>
      </c>
      <c r="D753" s="1" t="str">
        <f>IFERROR(__xludf.DUMMYFUNCTION("""COMPUTED_VALUE"""),"dumonga01")</f>
        <v>dumonga01</v>
      </c>
      <c r="E753" s="1" t="s">
        <v>31</v>
      </c>
      <c r="F753" s="1">
        <f t="shared" si="1"/>
        <v>50.3</v>
      </c>
      <c r="G753" s="1">
        <f t="shared" si="2"/>
        <v>1.68</v>
      </c>
      <c r="H753" s="1">
        <v>30.0</v>
      </c>
      <c r="I753" s="1">
        <v>1.0</v>
      </c>
      <c r="J753" s="1">
        <v>1.0</v>
      </c>
      <c r="K753" s="1">
        <v>2.0</v>
      </c>
      <c r="L753" s="1">
        <v>38.0</v>
      </c>
      <c r="M753" s="1">
        <v>62.0</v>
      </c>
      <c r="N753" s="1">
        <v>16.0</v>
      </c>
      <c r="O753" s="1">
        <v>0.0</v>
      </c>
      <c r="P753" s="1">
        <v>0.0</v>
      </c>
      <c r="Q753" s="1">
        <v>0.0</v>
      </c>
      <c r="R753" s="1">
        <v>0.0</v>
      </c>
      <c r="S753" s="1">
        <v>1.0</v>
      </c>
      <c r="T753" s="1">
        <v>6.0</v>
      </c>
      <c r="U753" s="1">
        <v>0.0</v>
      </c>
    </row>
    <row r="754" ht="12.75" customHeight="1">
      <c r="A754" s="1" t="s">
        <v>729</v>
      </c>
      <c r="B754" s="1">
        <f t="shared" si="3"/>
        <v>740</v>
      </c>
      <c r="C754" s="1" t="str">
        <f>IFERROR(__xludf.DUMMYFUNCTION("split(A754, ""\"")"),"Harri Sateri")</f>
        <v>Harri Sateri</v>
      </c>
      <c r="D754" s="2" t="str">
        <f>IFERROR(__xludf.DUMMYFUNCTION("""COMPUTED_VALUE"""),"saterha01")</f>
        <v>saterha01</v>
      </c>
      <c r="E754" s="1" t="s">
        <v>5</v>
      </c>
      <c r="F754" s="1">
        <f t="shared" si="1"/>
        <v>50.1</v>
      </c>
      <c r="G754" s="1">
        <f t="shared" si="2"/>
        <v>5.57</v>
      </c>
      <c r="H754" s="1">
        <v>9.0</v>
      </c>
      <c r="V754" s="1">
        <v>7.0</v>
      </c>
      <c r="W754" s="1">
        <v>4.0</v>
      </c>
      <c r="X754" s="1">
        <v>4.0</v>
      </c>
      <c r="Y754" s="1">
        <v>24.0</v>
      </c>
      <c r="Z754" s="1">
        <v>271.0</v>
      </c>
      <c r="AA754" s="1">
        <v>247.0</v>
      </c>
      <c r="AB754" s="1">
        <v>0.0</v>
      </c>
    </row>
    <row r="755" ht="12.75" customHeight="1">
      <c r="A755" s="1" t="s">
        <v>723</v>
      </c>
      <c r="B755" s="1">
        <f t="shared" si="3"/>
        <v>741</v>
      </c>
      <c r="C755" s="1" t="str">
        <f>IFERROR(__xludf.DUMMYFUNCTION("split(A755, ""\"")"),"Al Montoya")</f>
        <v>Al Montoya</v>
      </c>
      <c r="D755" s="2" t="str">
        <f>IFERROR(__xludf.DUMMYFUNCTION("""COMPUTED_VALUE"""),"montoal01")</f>
        <v>montoal01</v>
      </c>
      <c r="E755" s="1" t="s">
        <v>5</v>
      </c>
      <c r="F755" s="1">
        <f t="shared" si="1"/>
        <v>49.2</v>
      </c>
      <c r="G755" s="1">
        <f t="shared" si="2"/>
        <v>3.78</v>
      </c>
      <c r="H755" s="1">
        <v>13.0</v>
      </c>
      <c r="V755" s="1">
        <v>8.0</v>
      </c>
      <c r="W755" s="1">
        <v>4.0</v>
      </c>
      <c r="X755" s="1">
        <v>3.0</v>
      </c>
      <c r="Y755" s="1">
        <v>37.0</v>
      </c>
      <c r="Z755" s="1">
        <v>346.0</v>
      </c>
      <c r="AA755" s="1">
        <v>309.0</v>
      </c>
      <c r="AB755" s="1">
        <v>0.0</v>
      </c>
    </row>
    <row r="756" ht="12.75" customHeight="1">
      <c r="A756" s="1" t="s">
        <v>732</v>
      </c>
      <c r="B756" s="1">
        <f t="shared" si="3"/>
        <v>742</v>
      </c>
      <c r="C756" s="1" t="str">
        <f>IFERROR(__xludf.DUMMYFUNCTION("split(A756, ""\"")"),"Anthony Cirelli")</f>
        <v>Anthony Cirelli</v>
      </c>
      <c r="D756" s="1" t="str">
        <f>IFERROR(__xludf.DUMMYFUNCTION("""COMPUTED_VALUE"""),"cirelan01")</f>
        <v>cirelan01</v>
      </c>
      <c r="E756" s="1" t="s">
        <v>31</v>
      </c>
      <c r="F756" s="1">
        <f t="shared" si="1"/>
        <v>49.05</v>
      </c>
      <c r="G756" s="1">
        <f t="shared" si="2"/>
        <v>2.73</v>
      </c>
      <c r="H756" s="1">
        <v>18.0</v>
      </c>
      <c r="I756" s="1">
        <v>5.0</v>
      </c>
      <c r="J756" s="1">
        <v>6.0</v>
      </c>
      <c r="K756" s="1">
        <v>11.0</v>
      </c>
      <c r="L756" s="1">
        <v>26.0</v>
      </c>
      <c r="M756" s="1">
        <v>17.0</v>
      </c>
      <c r="N756" s="1">
        <v>6.0</v>
      </c>
      <c r="O756" s="1">
        <v>0.0</v>
      </c>
      <c r="P756" s="1">
        <v>0.0</v>
      </c>
      <c r="Q756" s="1">
        <v>0.0</v>
      </c>
      <c r="R756" s="1">
        <v>1.0</v>
      </c>
      <c r="S756" s="1">
        <v>11.0</v>
      </c>
      <c r="T756" s="1">
        <v>6.0</v>
      </c>
      <c r="U756" s="1">
        <v>0.0</v>
      </c>
    </row>
    <row r="757" ht="12.75" customHeight="1">
      <c r="A757" s="1" t="s">
        <v>773</v>
      </c>
      <c r="B757" s="1">
        <f t="shared" si="3"/>
        <v>743</v>
      </c>
      <c r="C757" s="1" t="str">
        <f>IFERROR(__xludf.DUMMYFUNCTION("split(A757, ""\"")"),"Maxim Mamin")</f>
        <v>Maxim Mamin</v>
      </c>
      <c r="D757" s="1" t="str">
        <f>IFERROR(__xludf.DUMMYFUNCTION("""COMPUTED_VALUE"""),"maminma01")</f>
        <v>maminma01</v>
      </c>
      <c r="E757" s="1" t="s">
        <v>42</v>
      </c>
      <c r="F757" s="1">
        <f t="shared" si="1"/>
        <v>48.85</v>
      </c>
      <c r="G757" s="1">
        <f t="shared" si="2"/>
        <v>1.88</v>
      </c>
      <c r="H757" s="1">
        <v>26.0</v>
      </c>
      <c r="I757" s="1">
        <v>3.0</v>
      </c>
      <c r="J757" s="1">
        <v>1.0</v>
      </c>
      <c r="K757" s="1">
        <v>4.0</v>
      </c>
      <c r="L757" s="1">
        <v>28.0</v>
      </c>
      <c r="M757" s="1">
        <v>51.0</v>
      </c>
      <c r="N757" s="1">
        <v>9.0</v>
      </c>
      <c r="O757" s="1">
        <v>0.0</v>
      </c>
      <c r="P757" s="1">
        <v>0.0</v>
      </c>
      <c r="Q757" s="1">
        <v>0.0</v>
      </c>
      <c r="R757" s="1">
        <v>0.0</v>
      </c>
      <c r="S757" s="1">
        <v>2.0</v>
      </c>
      <c r="T757" s="1">
        <v>7.0</v>
      </c>
      <c r="U757" s="1">
        <v>1.0</v>
      </c>
    </row>
    <row r="758" ht="12.75" customHeight="1">
      <c r="A758" s="1" t="s">
        <v>768</v>
      </c>
      <c r="B758" s="1">
        <f t="shared" si="3"/>
        <v>744</v>
      </c>
      <c r="C758" s="1" t="str">
        <f>IFERROR(__xludf.DUMMYFUNCTION("split(A758, ""\"")"),"Kevin Roy")</f>
        <v>Kevin Roy</v>
      </c>
      <c r="D758" s="1" t="str">
        <f>IFERROR(__xludf.DUMMYFUNCTION("""COMPUTED_VALUE"""),"royke01")</f>
        <v>royke01</v>
      </c>
      <c r="E758" s="1" t="s">
        <v>31</v>
      </c>
      <c r="F758" s="1">
        <f t="shared" si="1"/>
        <v>48.55</v>
      </c>
      <c r="G758" s="1">
        <f t="shared" si="2"/>
        <v>1.94</v>
      </c>
      <c r="H758" s="1">
        <v>25.0</v>
      </c>
      <c r="I758" s="1">
        <v>6.0</v>
      </c>
      <c r="J758" s="1">
        <v>1.0</v>
      </c>
      <c r="K758" s="1">
        <v>7.0</v>
      </c>
      <c r="L758" s="1">
        <v>26.0</v>
      </c>
      <c r="M758" s="1">
        <v>11.0</v>
      </c>
      <c r="N758" s="1">
        <v>7.0</v>
      </c>
      <c r="O758" s="1">
        <v>1.0</v>
      </c>
      <c r="P758" s="1">
        <v>0.0</v>
      </c>
      <c r="Q758" s="1">
        <v>0.0</v>
      </c>
      <c r="R758" s="1">
        <v>0.0</v>
      </c>
      <c r="S758" s="1">
        <v>3.0</v>
      </c>
      <c r="T758" s="1">
        <v>6.0</v>
      </c>
      <c r="U758" s="1">
        <v>1.0</v>
      </c>
    </row>
    <row r="759" ht="12.75" customHeight="1">
      <c r="A759" s="1" t="s">
        <v>791</v>
      </c>
      <c r="B759" s="1">
        <f t="shared" si="3"/>
        <v>745</v>
      </c>
      <c r="C759" s="1" t="str">
        <f>IFERROR(__xludf.DUMMYFUNCTION("split(A759, ""\"")"),"Alexander Burmistrov")</f>
        <v>Alexander Burmistrov</v>
      </c>
      <c r="D759" s="1" t="str">
        <f>IFERROR(__xludf.DUMMYFUNCTION("""COMPUTED_VALUE"""),"burmial01")</f>
        <v>burmial01</v>
      </c>
      <c r="E759" s="1" t="s">
        <v>31</v>
      </c>
      <c r="F759" s="1">
        <f t="shared" si="1"/>
        <v>48.1</v>
      </c>
      <c r="G759" s="1">
        <f t="shared" si="2"/>
        <v>2</v>
      </c>
      <c r="H759" s="1">
        <v>24.0</v>
      </c>
      <c r="I759" s="1">
        <v>2.0</v>
      </c>
      <c r="J759" s="1">
        <v>4.0</v>
      </c>
      <c r="K759" s="1">
        <v>6.0</v>
      </c>
      <c r="L759" s="1">
        <v>18.0</v>
      </c>
      <c r="M759" s="1">
        <v>20.0</v>
      </c>
      <c r="N759" s="1">
        <v>4.0</v>
      </c>
      <c r="O759" s="1">
        <v>1.0</v>
      </c>
      <c r="P759" s="1">
        <v>1.0</v>
      </c>
      <c r="Q759" s="1">
        <v>0.0</v>
      </c>
      <c r="R759" s="1">
        <v>0.0</v>
      </c>
      <c r="S759" s="1">
        <v>-5.0</v>
      </c>
      <c r="T759" s="1">
        <v>12.0</v>
      </c>
      <c r="U759" s="1">
        <v>0.0</v>
      </c>
    </row>
    <row r="760" ht="12.75" customHeight="1">
      <c r="A760" s="1" t="s">
        <v>801</v>
      </c>
      <c r="B760" s="1">
        <f t="shared" si="3"/>
        <v>746</v>
      </c>
      <c r="C760" s="1" t="str">
        <f>IFERROR(__xludf.DUMMYFUNCTION("split(A760, ""\"")"),"Greg McKegg")</f>
        <v>Greg McKegg</v>
      </c>
      <c r="D760" s="1" t="str">
        <f>IFERROR(__xludf.DUMMYFUNCTION("""COMPUTED_VALUE"""),"mckeggr01")</f>
        <v>mckeggr01</v>
      </c>
      <c r="E760" s="1" t="s">
        <v>31</v>
      </c>
      <c r="F760" s="1">
        <f t="shared" si="1"/>
        <v>46.65</v>
      </c>
      <c r="G760" s="1">
        <f t="shared" si="2"/>
        <v>1.79</v>
      </c>
      <c r="H760" s="1">
        <v>26.0</v>
      </c>
      <c r="I760" s="1">
        <v>2.0</v>
      </c>
      <c r="J760" s="1">
        <v>2.0</v>
      </c>
      <c r="K760" s="1">
        <v>4.0</v>
      </c>
      <c r="L760" s="1">
        <v>21.0</v>
      </c>
      <c r="M760" s="1">
        <v>19.0</v>
      </c>
      <c r="N760" s="1">
        <v>10.0</v>
      </c>
      <c r="O760" s="1">
        <v>0.0</v>
      </c>
      <c r="P760" s="1">
        <v>0.0</v>
      </c>
      <c r="Q760" s="1">
        <v>1.0</v>
      </c>
      <c r="R760" s="1">
        <v>0.0</v>
      </c>
      <c r="S760" s="1">
        <v>-4.0</v>
      </c>
      <c r="T760" s="1">
        <v>8.0</v>
      </c>
      <c r="U760" s="1">
        <v>0.0</v>
      </c>
    </row>
    <row r="761" ht="12.75" customHeight="1">
      <c r="A761" s="1" t="s">
        <v>755</v>
      </c>
      <c r="B761" s="1">
        <f t="shared" si="3"/>
        <v>747</v>
      </c>
      <c r="C761" s="1" t="str">
        <f>IFERROR(__xludf.DUMMYFUNCTION("split(A761, ""\"")"),"Ryan Donato")</f>
        <v>Ryan Donato</v>
      </c>
      <c r="D761" s="1" t="str">
        <f>IFERROR(__xludf.DUMMYFUNCTION("""COMPUTED_VALUE"""),"donatry01")</f>
        <v>donatry01</v>
      </c>
      <c r="E761" s="1" t="s">
        <v>31</v>
      </c>
      <c r="F761" s="1">
        <f t="shared" si="1"/>
        <v>46.6</v>
      </c>
      <c r="G761" s="1">
        <f t="shared" si="2"/>
        <v>3.88</v>
      </c>
      <c r="H761" s="1">
        <v>12.0</v>
      </c>
      <c r="I761" s="1">
        <v>5.0</v>
      </c>
      <c r="J761" s="1">
        <v>4.0</v>
      </c>
      <c r="K761" s="1">
        <v>9.0</v>
      </c>
      <c r="L761" s="1">
        <v>24.0</v>
      </c>
      <c r="M761" s="1">
        <v>6.0</v>
      </c>
      <c r="N761" s="1">
        <v>2.0</v>
      </c>
      <c r="O761" s="1">
        <v>2.0</v>
      </c>
      <c r="P761" s="1">
        <v>2.0</v>
      </c>
      <c r="Q761" s="1">
        <v>0.0</v>
      </c>
      <c r="R761" s="1">
        <v>0.0</v>
      </c>
      <c r="S761" s="1">
        <v>2.0</v>
      </c>
      <c r="T761" s="1">
        <v>2.0</v>
      </c>
      <c r="U761" s="1">
        <v>0.0</v>
      </c>
    </row>
    <row r="762" ht="12.75" customHeight="1">
      <c r="A762" s="1" t="s">
        <v>783</v>
      </c>
      <c r="B762" s="1">
        <f t="shared" si="3"/>
        <v>748</v>
      </c>
      <c r="C762" s="1" t="str">
        <f>IFERROR(__xludf.DUMMYFUNCTION("split(A762, ""\"")"),"Colin White")</f>
        <v>Colin White</v>
      </c>
      <c r="D762" s="1" t="str">
        <f>IFERROR(__xludf.DUMMYFUNCTION("""COMPUTED_VALUE"""),"whiteco02")</f>
        <v>whiteco02</v>
      </c>
      <c r="E762" s="1" t="s">
        <v>31</v>
      </c>
      <c r="F762" s="1">
        <f t="shared" si="1"/>
        <v>46.4</v>
      </c>
      <c r="G762" s="1">
        <f t="shared" si="2"/>
        <v>2.21</v>
      </c>
      <c r="H762" s="1">
        <v>21.0</v>
      </c>
      <c r="I762" s="1">
        <v>2.0</v>
      </c>
      <c r="J762" s="1">
        <v>4.0</v>
      </c>
      <c r="K762" s="1">
        <v>6.0</v>
      </c>
      <c r="L762" s="1">
        <v>24.0</v>
      </c>
      <c r="M762" s="1">
        <v>12.0</v>
      </c>
      <c r="N762" s="1">
        <v>15.0</v>
      </c>
      <c r="O762" s="1">
        <v>0.0</v>
      </c>
      <c r="P762" s="1">
        <v>0.0</v>
      </c>
      <c r="Q762" s="1">
        <v>0.0</v>
      </c>
      <c r="R762" s="1">
        <v>0.0</v>
      </c>
      <c r="S762" s="1">
        <v>1.0</v>
      </c>
      <c r="T762" s="1">
        <v>8.0</v>
      </c>
      <c r="U762" s="1">
        <v>1.0</v>
      </c>
    </row>
    <row r="763" ht="12.75" customHeight="1">
      <c r="A763" s="1" t="s">
        <v>785</v>
      </c>
      <c r="B763" s="1">
        <f t="shared" si="3"/>
        <v>749</v>
      </c>
      <c r="C763" s="1" t="str">
        <f>IFERROR(__xludf.DUMMYFUNCTION("split(A763, ""\"")"),"Zack Mitchell")</f>
        <v>Zack Mitchell</v>
      </c>
      <c r="D763" s="1" t="str">
        <f>IFERROR(__xludf.DUMMYFUNCTION("""COMPUTED_VALUE"""),"mitchza01")</f>
        <v>mitchza01</v>
      </c>
      <c r="E763" s="1" t="s">
        <v>36</v>
      </c>
      <c r="F763" s="1">
        <f t="shared" si="1"/>
        <v>45.7</v>
      </c>
      <c r="G763" s="1">
        <f t="shared" si="2"/>
        <v>1.99</v>
      </c>
      <c r="H763" s="1">
        <v>23.0</v>
      </c>
      <c r="I763" s="1">
        <v>3.0</v>
      </c>
      <c r="J763" s="1">
        <v>2.0</v>
      </c>
      <c r="K763" s="1">
        <v>5.0</v>
      </c>
      <c r="L763" s="1">
        <v>17.0</v>
      </c>
      <c r="M763" s="1">
        <v>26.0</v>
      </c>
      <c r="N763" s="1">
        <v>10.0</v>
      </c>
      <c r="O763" s="1">
        <v>1.0</v>
      </c>
      <c r="P763" s="1">
        <v>0.0</v>
      </c>
      <c r="Q763" s="1">
        <v>0.0</v>
      </c>
      <c r="R763" s="1">
        <v>0.0</v>
      </c>
      <c r="S763" s="1">
        <v>-2.0</v>
      </c>
      <c r="T763" s="1">
        <v>4.0</v>
      </c>
      <c r="U763" s="1">
        <v>1.0</v>
      </c>
    </row>
    <row r="764" ht="12.75" customHeight="1">
      <c r="A764" s="1" t="s">
        <v>799</v>
      </c>
      <c r="B764" s="1">
        <f t="shared" si="3"/>
        <v>750</v>
      </c>
      <c r="C764" s="1" t="str">
        <f>IFERROR(__xludf.DUMMYFUNCTION("split(A764, ""\"")"),"Brett Lernout")</f>
        <v>Brett Lernout</v>
      </c>
      <c r="D764" s="1" t="str">
        <f>IFERROR(__xludf.DUMMYFUNCTION("""COMPUTED_VALUE"""),"lernobr01")</f>
        <v>lernobr01</v>
      </c>
      <c r="E764" s="1" t="s">
        <v>66</v>
      </c>
      <c r="F764" s="1">
        <f t="shared" si="1"/>
        <v>45.3</v>
      </c>
      <c r="G764" s="1">
        <f t="shared" si="2"/>
        <v>2.52</v>
      </c>
      <c r="H764" s="1">
        <v>18.0</v>
      </c>
      <c r="I764" s="1">
        <v>0.0</v>
      </c>
      <c r="J764" s="1">
        <v>1.0</v>
      </c>
      <c r="K764" s="1">
        <v>1.0</v>
      </c>
      <c r="L764" s="1">
        <v>14.0</v>
      </c>
      <c r="M764" s="1">
        <v>56.0</v>
      </c>
      <c r="N764" s="1">
        <v>18.0</v>
      </c>
      <c r="O764" s="1">
        <v>0.0</v>
      </c>
      <c r="P764" s="1">
        <v>0.0</v>
      </c>
      <c r="Q764" s="1">
        <v>0.0</v>
      </c>
      <c r="R764" s="1">
        <v>1.0</v>
      </c>
      <c r="S764" s="1">
        <v>-5.0</v>
      </c>
      <c r="T764" s="1">
        <v>6.0</v>
      </c>
      <c r="U764" s="1">
        <v>0.0</v>
      </c>
    </row>
    <row r="765" ht="12.75" customHeight="1">
      <c r="A765" s="1" t="s">
        <v>818</v>
      </c>
      <c r="B765" s="1">
        <f t="shared" si="3"/>
        <v>751</v>
      </c>
      <c r="C765" s="1" t="str">
        <f>IFERROR(__xludf.DUMMYFUNCTION("split(A765, ""\"")"),"Duncan Siemens")</f>
        <v>Duncan Siemens</v>
      </c>
      <c r="D765" s="1" t="str">
        <f>IFERROR(__xludf.DUMMYFUNCTION("""COMPUTED_VALUE"""),"siemedu01")</f>
        <v>siemedu01</v>
      </c>
      <c r="E765" s="1" t="s">
        <v>66</v>
      </c>
      <c r="F765" s="1">
        <f t="shared" si="1"/>
        <v>44.9</v>
      </c>
      <c r="G765" s="1">
        <f t="shared" si="2"/>
        <v>2.81</v>
      </c>
      <c r="H765" s="1">
        <v>16.0</v>
      </c>
      <c r="I765" s="1">
        <v>1.0</v>
      </c>
      <c r="J765" s="1">
        <v>1.0</v>
      </c>
      <c r="K765" s="1">
        <v>2.0</v>
      </c>
      <c r="L765" s="1">
        <v>14.0</v>
      </c>
      <c r="M765" s="1">
        <v>22.0</v>
      </c>
      <c r="N765" s="1">
        <v>21.0</v>
      </c>
      <c r="O765" s="1">
        <v>0.0</v>
      </c>
      <c r="P765" s="1">
        <v>0.0</v>
      </c>
      <c r="Q765" s="1">
        <v>0.0</v>
      </c>
      <c r="R765" s="1">
        <v>0.0</v>
      </c>
      <c r="S765" s="1">
        <v>-5.0</v>
      </c>
      <c r="T765" s="1">
        <v>23.0</v>
      </c>
      <c r="U765" s="1">
        <v>0.0</v>
      </c>
    </row>
    <row r="766" ht="12.75" customHeight="1">
      <c r="A766" s="1" t="s">
        <v>807</v>
      </c>
      <c r="B766" s="1">
        <f t="shared" si="3"/>
        <v>752</v>
      </c>
      <c r="C766" s="1" t="str">
        <f>IFERROR(__xludf.DUMMYFUNCTION("split(A766, ""\"")"),"Ryan Sproul")</f>
        <v>Ryan Sproul</v>
      </c>
      <c r="D766" s="1" t="str">
        <f>IFERROR(__xludf.DUMMYFUNCTION("""COMPUTED_VALUE"""),"sproury01")</f>
        <v>sproury01</v>
      </c>
      <c r="E766" s="1" t="s">
        <v>66</v>
      </c>
      <c r="F766" s="1">
        <f t="shared" si="1"/>
        <v>44.8</v>
      </c>
      <c r="G766" s="1">
        <f t="shared" si="2"/>
        <v>2.8</v>
      </c>
      <c r="H766" s="1">
        <v>16.0</v>
      </c>
      <c r="I766" s="1">
        <v>1.0</v>
      </c>
      <c r="J766" s="1">
        <v>4.0</v>
      </c>
      <c r="K766" s="1">
        <v>5.0</v>
      </c>
      <c r="L766" s="1">
        <v>15.0</v>
      </c>
      <c r="M766" s="1">
        <v>6.0</v>
      </c>
      <c r="N766" s="1">
        <v>17.0</v>
      </c>
      <c r="O766" s="1">
        <v>0.0</v>
      </c>
      <c r="P766" s="1">
        <v>1.0</v>
      </c>
      <c r="Q766" s="1">
        <v>0.0</v>
      </c>
      <c r="R766" s="1">
        <v>0.0</v>
      </c>
      <c r="S766" s="1">
        <v>-6.0</v>
      </c>
      <c r="T766" s="1">
        <v>6.0</v>
      </c>
      <c r="U766" s="1">
        <v>0.0</v>
      </c>
    </row>
    <row r="767" ht="12.75" customHeight="1">
      <c r="A767" s="1" t="s">
        <v>800</v>
      </c>
      <c r="B767" s="1">
        <f t="shared" si="3"/>
        <v>753</v>
      </c>
      <c r="C767" s="1" t="str">
        <f>IFERROR(__xludf.DUMMYFUNCTION("split(A767, ""\"")"),"Filip Chlapik")</f>
        <v>Filip Chlapik</v>
      </c>
      <c r="D767" s="1" t="str">
        <f>IFERROR(__xludf.DUMMYFUNCTION("""COMPUTED_VALUE"""),"chlapfi01")</f>
        <v>chlapfi01</v>
      </c>
      <c r="E767" s="1" t="s">
        <v>31</v>
      </c>
      <c r="F767" s="1">
        <f t="shared" si="1"/>
        <v>44.45</v>
      </c>
      <c r="G767" s="1">
        <f t="shared" si="2"/>
        <v>2.22</v>
      </c>
      <c r="H767" s="1">
        <v>20.0</v>
      </c>
      <c r="I767" s="1">
        <v>1.0</v>
      </c>
      <c r="J767" s="1">
        <v>3.0</v>
      </c>
      <c r="K767" s="1">
        <v>4.0</v>
      </c>
      <c r="L767" s="1">
        <v>21.0</v>
      </c>
      <c r="M767" s="1">
        <v>19.0</v>
      </c>
      <c r="N767" s="1">
        <v>14.0</v>
      </c>
      <c r="O767" s="1">
        <v>0.0</v>
      </c>
      <c r="P767" s="1">
        <v>1.0</v>
      </c>
      <c r="Q767" s="1">
        <v>0.0</v>
      </c>
      <c r="R767" s="1">
        <v>0.0</v>
      </c>
      <c r="S767" s="1">
        <v>-5.0</v>
      </c>
      <c r="T767" s="1">
        <v>4.0</v>
      </c>
      <c r="U767" s="1">
        <v>0.0</v>
      </c>
    </row>
    <row r="768" ht="12.75" customHeight="1">
      <c r="A768" s="1" t="s">
        <v>718</v>
      </c>
      <c r="B768" s="1">
        <f t="shared" si="3"/>
        <v>754</v>
      </c>
      <c r="C768" s="1" t="str">
        <f>IFERROR(__xludf.DUMMYFUNCTION("split(A768, ""\"")"),"Maxime Lagace")</f>
        <v>Maxime Lagace</v>
      </c>
      <c r="D768" s="2" t="str">
        <f>IFERROR(__xludf.DUMMYFUNCTION("""COMPUTED_VALUE"""),"lagacma01")</f>
        <v>lagacma01</v>
      </c>
      <c r="E768" s="1" t="s">
        <v>5</v>
      </c>
      <c r="F768" s="1">
        <f t="shared" si="1"/>
        <v>44.4</v>
      </c>
      <c r="G768" s="1">
        <f t="shared" si="2"/>
        <v>2.78</v>
      </c>
      <c r="H768" s="1">
        <v>16.0</v>
      </c>
      <c r="V768" s="1">
        <v>14.0</v>
      </c>
      <c r="W768" s="1">
        <v>6.0</v>
      </c>
      <c r="X768" s="1">
        <v>7.0</v>
      </c>
      <c r="Y768" s="1">
        <v>57.0</v>
      </c>
      <c r="Z768" s="1">
        <v>430.0</v>
      </c>
      <c r="AA768" s="1">
        <v>373.0</v>
      </c>
      <c r="AB768" s="1">
        <v>0.0</v>
      </c>
    </row>
    <row r="769" ht="12.75" customHeight="1">
      <c r="A769" s="1" t="s">
        <v>746</v>
      </c>
      <c r="B769" s="1">
        <f t="shared" si="3"/>
        <v>754</v>
      </c>
      <c r="C769" s="1" t="str">
        <f>IFERROR(__xludf.DUMMYFUNCTION("split(A769, ""\"")"),"Christopher Gibson")</f>
        <v>Christopher Gibson</v>
      </c>
      <c r="D769" s="2" t="str">
        <f>IFERROR(__xludf.DUMMYFUNCTION("""COMPUTED_VALUE"""),"gibsoch01")</f>
        <v>gibsoch01</v>
      </c>
      <c r="E769" s="1" t="s">
        <v>5</v>
      </c>
      <c r="F769" s="1">
        <f t="shared" si="1"/>
        <v>44.4</v>
      </c>
      <c r="G769" s="1">
        <f t="shared" si="2"/>
        <v>5.55</v>
      </c>
      <c r="H769" s="1">
        <v>8.0</v>
      </c>
      <c r="V769" s="1">
        <v>8.0</v>
      </c>
      <c r="W769" s="1">
        <v>2.0</v>
      </c>
      <c r="X769" s="1">
        <v>3.0</v>
      </c>
      <c r="Y769" s="1">
        <v>26.0</v>
      </c>
      <c r="Z769" s="1">
        <v>284.0</v>
      </c>
      <c r="AA769" s="1">
        <v>258.0</v>
      </c>
      <c r="AB769" s="1">
        <v>0.0</v>
      </c>
    </row>
    <row r="770" ht="12.75" customHeight="1">
      <c r="A770" s="1" t="s">
        <v>806</v>
      </c>
      <c r="B770" s="1">
        <f t="shared" si="3"/>
        <v>756</v>
      </c>
      <c r="C770" s="1" t="str">
        <f>IFERROR(__xludf.DUMMYFUNCTION("split(A770, ""\"")"),"Michael McCarron")</f>
        <v>Michael McCarron</v>
      </c>
      <c r="D770" s="1" t="str">
        <f>IFERROR(__xludf.DUMMYFUNCTION("""COMPUTED_VALUE"""),"mccarmi01")</f>
        <v>mccarmi01</v>
      </c>
      <c r="E770" s="1" t="s">
        <v>36</v>
      </c>
      <c r="F770" s="1">
        <f t="shared" si="1"/>
        <v>43.85</v>
      </c>
      <c r="G770" s="1">
        <f t="shared" si="2"/>
        <v>2.44</v>
      </c>
      <c r="H770" s="1">
        <v>18.0</v>
      </c>
      <c r="I770" s="1">
        <v>0.0</v>
      </c>
      <c r="J770" s="1">
        <v>1.0</v>
      </c>
      <c r="K770" s="1">
        <v>1.0</v>
      </c>
      <c r="L770" s="1">
        <v>15.0</v>
      </c>
      <c r="M770" s="1">
        <v>61.0</v>
      </c>
      <c r="N770" s="1">
        <v>14.0</v>
      </c>
      <c r="O770" s="1">
        <v>0.0</v>
      </c>
      <c r="P770" s="1">
        <v>0.0</v>
      </c>
      <c r="Q770" s="1">
        <v>0.0</v>
      </c>
      <c r="R770" s="1">
        <v>0.0</v>
      </c>
      <c r="S770" s="1">
        <v>-1.0</v>
      </c>
      <c r="T770" s="1">
        <v>32.0</v>
      </c>
      <c r="U770" s="1">
        <v>0.0</v>
      </c>
    </row>
    <row r="771" ht="12.75" customHeight="1">
      <c r="A771" s="1" t="s">
        <v>810</v>
      </c>
      <c r="B771" s="1">
        <f t="shared" si="3"/>
        <v>757</v>
      </c>
      <c r="C771" s="1" t="str">
        <f>IFERROR(__xludf.DUMMYFUNCTION("split(A771, ""\"")"),"Sebastian Aho")</f>
        <v>Sebastian Aho</v>
      </c>
      <c r="D771" s="1" t="str">
        <f>IFERROR(__xludf.DUMMYFUNCTION("""COMPUTED_VALUE"""),"ahose02")</f>
        <v>ahose02</v>
      </c>
      <c r="E771" s="1" t="s">
        <v>66</v>
      </c>
      <c r="F771" s="1">
        <f t="shared" si="1"/>
        <v>43.8</v>
      </c>
      <c r="G771" s="1">
        <f t="shared" si="2"/>
        <v>1.99</v>
      </c>
      <c r="H771" s="1">
        <v>22.0</v>
      </c>
      <c r="I771" s="1">
        <v>1.0</v>
      </c>
      <c r="J771" s="1">
        <v>3.0</v>
      </c>
      <c r="K771" s="1">
        <v>4.0</v>
      </c>
      <c r="L771" s="1">
        <v>24.0</v>
      </c>
      <c r="M771" s="1">
        <v>10.0</v>
      </c>
      <c r="N771" s="1">
        <v>13.0</v>
      </c>
      <c r="O771" s="1">
        <v>1.0</v>
      </c>
      <c r="P771" s="1">
        <v>0.0</v>
      </c>
      <c r="Q771" s="1">
        <v>0.0</v>
      </c>
      <c r="R771" s="1">
        <v>0.0</v>
      </c>
      <c r="S771" s="1">
        <v>-5.0</v>
      </c>
      <c r="T771" s="1">
        <v>6.0</v>
      </c>
      <c r="U771" s="1">
        <v>0.0</v>
      </c>
    </row>
    <row r="772" ht="12.75" customHeight="1">
      <c r="A772" s="1" t="s">
        <v>764</v>
      </c>
      <c r="B772" s="1">
        <f t="shared" si="3"/>
        <v>758</v>
      </c>
      <c r="C772" s="1" t="str">
        <f>IFERROR(__xludf.DUMMYFUNCTION("split(A772, ""\"")"),"Chris Wideman")</f>
        <v>Chris Wideman</v>
      </c>
      <c r="D772" s="1" t="str">
        <f>IFERROR(__xludf.DUMMYFUNCTION("""COMPUTED_VALUE"""),"widemch01")</f>
        <v>widemch01</v>
      </c>
      <c r="E772" s="1" t="s">
        <v>66</v>
      </c>
      <c r="F772" s="1">
        <f t="shared" si="1"/>
        <v>43.55</v>
      </c>
      <c r="G772" s="1">
        <f t="shared" si="2"/>
        <v>2.72</v>
      </c>
      <c r="H772" s="1">
        <v>16.0</v>
      </c>
      <c r="I772" s="1">
        <v>3.0</v>
      </c>
      <c r="J772" s="1">
        <v>5.0</v>
      </c>
      <c r="K772" s="1">
        <v>8.0</v>
      </c>
      <c r="L772" s="1">
        <v>24.0</v>
      </c>
      <c r="M772" s="1">
        <v>17.0</v>
      </c>
      <c r="N772" s="1">
        <v>9.0</v>
      </c>
      <c r="O772" s="1">
        <v>2.0</v>
      </c>
      <c r="P772" s="1">
        <v>0.0</v>
      </c>
      <c r="Q772" s="1">
        <v>0.0</v>
      </c>
      <c r="R772" s="1">
        <v>0.0</v>
      </c>
      <c r="S772" s="1">
        <v>5.0</v>
      </c>
      <c r="T772" s="1">
        <v>6.0</v>
      </c>
      <c r="U772" s="1">
        <v>0.0</v>
      </c>
    </row>
    <row r="773" ht="12.75" customHeight="1">
      <c r="A773" s="1" t="s">
        <v>824</v>
      </c>
      <c r="B773" s="1">
        <f t="shared" si="3"/>
        <v>759</v>
      </c>
      <c r="C773" s="1" t="str">
        <f>IFERROR(__xludf.DUMMYFUNCTION("split(A773, ""\"")"),"Kyle Quincey")</f>
        <v>Kyle Quincey</v>
      </c>
      <c r="D773" s="1" t="str">
        <f>IFERROR(__xludf.DUMMYFUNCTION("""COMPUTED_VALUE"""),"quincky01")</f>
        <v>quincky01</v>
      </c>
      <c r="E773" s="1" t="s">
        <v>66</v>
      </c>
      <c r="F773" s="1">
        <f t="shared" si="1"/>
        <v>43.15</v>
      </c>
      <c r="G773" s="1">
        <f t="shared" si="2"/>
        <v>2.4</v>
      </c>
      <c r="H773" s="1">
        <v>18.0</v>
      </c>
      <c r="I773" s="1">
        <v>0.0</v>
      </c>
      <c r="J773" s="1">
        <v>3.0</v>
      </c>
      <c r="K773" s="1">
        <v>3.0</v>
      </c>
      <c r="L773" s="1">
        <v>11.0</v>
      </c>
      <c r="M773" s="1">
        <v>21.0</v>
      </c>
      <c r="N773" s="1">
        <v>18.0</v>
      </c>
      <c r="O773" s="1">
        <v>0.0</v>
      </c>
      <c r="P773" s="1">
        <v>0.0</v>
      </c>
      <c r="Q773" s="1">
        <v>0.0</v>
      </c>
      <c r="R773" s="1">
        <v>0.0</v>
      </c>
      <c r="S773" s="1">
        <v>-4.0</v>
      </c>
      <c r="T773" s="1">
        <v>28.0</v>
      </c>
      <c r="U773" s="1">
        <v>0.0</v>
      </c>
    </row>
    <row r="774" ht="12.75" customHeight="1">
      <c r="A774" s="1" t="s">
        <v>788</v>
      </c>
      <c r="B774" s="1">
        <f t="shared" si="3"/>
        <v>760</v>
      </c>
      <c r="C774" s="1" t="str">
        <f>IFERROR(__xludf.DUMMYFUNCTION("split(A774, ""\"")"),"Eric Gryba")</f>
        <v>Eric Gryba</v>
      </c>
      <c r="D774" s="1" t="str">
        <f>IFERROR(__xludf.DUMMYFUNCTION("""COMPUTED_VALUE"""),"grybaer01")</f>
        <v>grybaer01</v>
      </c>
      <c r="E774" s="1" t="s">
        <v>66</v>
      </c>
      <c r="F774" s="1">
        <f t="shared" si="1"/>
        <v>42.55</v>
      </c>
      <c r="G774" s="1">
        <f t="shared" si="2"/>
        <v>2.03</v>
      </c>
      <c r="H774" s="1">
        <v>21.0</v>
      </c>
      <c r="I774" s="1">
        <v>0.0</v>
      </c>
      <c r="J774" s="1">
        <v>2.0</v>
      </c>
      <c r="K774" s="1">
        <v>2.0</v>
      </c>
      <c r="L774" s="1">
        <v>19.0</v>
      </c>
      <c r="M774" s="1">
        <v>57.0</v>
      </c>
      <c r="N774" s="1">
        <v>19.0</v>
      </c>
      <c r="O774" s="1">
        <v>0.0</v>
      </c>
      <c r="P774" s="1">
        <v>0.0</v>
      </c>
      <c r="Q774" s="1">
        <v>0.0</v>
      </c>
      <c r="R774" s="1">
        <v>0.0</v>
      </c>
      <c r="S774" s="1">
        <v>4.0</v>
      </c>
      <c r="T774" s="1">
        <v>31.0</v>
      </c>
      <c r="U774" s="1">
        <v>0.0</v>
      </c>
    </row>
    <row r="775" ht="12.75" customHeight="1">
      <c r="A775" s="1" t="s">
        <v>752</v>
      </c>
      <c r="B775" s="1">
        <f t="shared" si="3"/>
        <v>761</v>
      </c>
      <c r="C775" s="1" t="str">
        <f>IFERROR(__xludf.DUMMYFUNCTION("split(A775, ""\"")"),"Alex Lyon")</f>
        <v>Alex Lyon</v>
      </c>
      <c r="D775" s="2" t="str">
        <f>IFERROR(__xludf.DUMMYFUNCTION("""COMPUTED_VALUE"""),"lyonal01")</f>
        <v>lyonal01</v>
      </c>
      <c r="E775" s="1" t="s">
        <v>5</v>
      </c>
      <c r="F775" s="1">
        <f t="shared" si="1"/>
        <v>42</v>
      </c>
      <c r="G775" s="1">
        <f t="shared" si="2"/>
        <v>3.82</v>
      </c>
      <c r="H775" s="1">
        <v>11.0</v>
      </c>
      <c r="V775" s="1">
        <v>7.0</v>
      </c>
      <c r="W775" s="1">
        <v>4.0</v>
      </c>
      <c r="X775" s="1">
        <v>2.0</v>
      </c>
      <c r="Y775" s="1">
        <v>22.0</v>
      </c>
      <c r="Z775" s="1">
        <v>232.0</v>
      </c>
      <c r="AA775" s="1">
        <v>210.0</v>
      </c>
      <c r="AB775" s="1">
        <v>0.0</v>
      </c>
    </row>
    <row r="776" ht="12.75" customHeight="1">
      <c r="A776" s="1" t="s">
        <v>816</v>
      </c>
      <c r="B776" s="1">
        <f t="shared" si="3"/>
        <v>762</v>
      </c>
      <c r="C776" s="1" t="str">
        <f>IFERROR(__xludf.DUMMYFUNCTION("split(A776, ""\"")"),"Marko Dano")</f>
        <v>Marko Dano</v>
      </c>
      <c r="D776" s="1" t="str">
        <f>IFERROR(__xludf.DUMMYFUNCTION("""COMPUTED_VALUE"""),"danoma01")</f>
        <v>danoma01</v>
      </c>
      <c r="E776" s="1" t="s">
        <v>31</v>
      </c>
      <c r="F776" s="1">
        <f t="shared" si="1"/>
        <v>41.8</v>
      </c>
      <c r="G776" s="1">
        <f t="shared" si="2"/>
        <v>1.82</v>
      </c>
      <c r="H776" s="1">
        <v>23.0</v>
      </c>
      <c r="I776" s="1">
        <v>2.0</v>
      </c>
      <c r="J776" s="1">
        <v>1.0</v>
      </c>
      <c r="K776" s="1">
        <v>3.0</v>
      </c>
      <c r="L776" s="1">
        <v>22.0</v>
      </c>
      <c r="M776" s="1">
        <v>26.0</v>
      </c>
      <c r="N776" s="1">
        <v>7.0</v>
      </c>
      <c r="O776" s="1">
        <v>0.0</v>
      </c>
      <c r="P776" s="1">
        <v>0.0</v>
      </c>
      <c r="Q776" s="1">
        <v>0.0</v>
      </c>
      <c r="R776" s="1">
        <v>0.0</v>
      </c>
      <c r="S776" s="1">
        <v>-2.0</v>
      </c>
      <c r="T776" s="1">
        <v>6.0</v>
      </c>
      <c r="U776" s="1">
        <v>2.0</v>
      </c>
    </row>
    <row r="777" ht="12.75" customHeight="1">
      <c r="A777" s="1" t="s">
        <v>751</v>
      </c>
      <c r="B777" s="1">
        <f t="shared" si="3"/>
        <v>763</v>
      </c>
      <c r="C777" s="1" t="str">
        <f>IFERROR(__xludf.DUMMYFUNCTION("split(A777, ""\"")"),"Jon Gillies")</f>
        <v>Jon Gillies</v>
      </c>
      <c r="D777" s="2" t="str">
        <f>IFERROR(__xludf.DUMMYFUNCTION("""COMPUTED_VALUE"""),"gillijo01")</f>
        <v>gillijo01</v>
      </c>
      <c r="E777" s="1" t="s">
        <v>5</v>
      </c>
      <c r="F777" s="1">
        <f t="shared" si="1"/>
        <v>40.8</v>
      </c>
      <c r="G777" s="1">
        <f t="shared" si="2"/>
        <v>3.71</v>
      </c>
      <c r="H777" s="1">
        <v>11.0</v>
      </c>
      <c r="V777" s="1">
        <v>9.0</v>
      </c>
      <c r="W777" s="1">
        <v>3.0</v>
      </c>
      <c r="X777" s="1">
        <v>5.0</v>
      </c>
      <c r="Y777" s="1">
        <v>29.0</v>
      </c>
      <c r="Z777" s="1">
        <v>280.0</v>
      </c>
      <c r="AA777" s="1">
        <v>251.0</v>
      </c>
      <c r="AB777" s="1">
        <v>0.0</v>
      </c>
    </row>
    <row r="778" ht="12.75" customHeight="1">
      <c r="A778" s="1" t="s">
        <v>809</v>
      </c>
      <c r="B778" s="1">
        <f t="shared" si="3"/>
        <v>764</v>
      </c>
      <c r="C778" s="1" t="str">
        <f>IFERROR(__xludf.DUMMYFUNCTION("split(A778, ""\"")"),"Shawn Matthias")</f>
        <v>Shawn Matthias</v>
      </c>
      <c r="D778" s="1" t="str">
        <f>IFERROR(__xludf.DUMMYFUNCTION("""COMPUTED_VALUE"""),"matthsh01")</f>
        <v>matthsh01</v>
      </c>
      <c r="E778" s="1" t="s">
        <v>31</v>
      </c>
      <c r="F778" s="1">
        <f t="shared" si="1"/>
        <v>40.5</v>
      </c>
      <c r="G778" s="1">
        <f t="shared" si="2"/>
        <v>1.5</v>
      </c>
      <c r="H778" s="1">
        <v>27.0</v>
      </c>
      <c r="I778" s="1">
        <v>1.0</v>
      </c>
      <c r="J778" s="1">
        <v>2.0</v>
      </c>
      <c r="K778" s="1">
        <v>3.0</v>
      </c>
      <c r="L778" s="1">
        <v>26.0</v>
      </c>
      <c r="M778" s="1">
        <v>22.0</v>
      </c>
      <c r="N778" s="1">
        <v>14.0</v>
      </c>
      <c r="O778" s="1">
        <v>0.0</v>
      </c>
      <c r="P778" s="1">
        <v>0.0</v>
      </c>
      <c r="Q778" s="1">
        <v>0.0</v>
      </c>
      <c r="R778" s="1">
        <v>0.0</v>
      </c>
      <c r="S778" s="1">
        <v>-1.0</v>
      </c>
      <c r="T778" s="1">
        <v>10.0</v>
      </c>
      <c r="U778" s="1">
        <v>0.0</v>
      </c>
    </row>
    <row r="779" ht="12.75" customHeight="1">
      <c r="A779" s="1" t="s">
        <v>745</v>
      </c>
      <c r="B779" s="1">
        <f t="shared" si="3"/>
        <v>765</v>
      </c>
      <c r="C779" s="1" t="str">
        <f>IFERROR(__xludf.DUMMYFUNCTION("split(A779, ""\"")"),"Laurent Brossoit")</f>
        <v>Laurent Brossoit</v>
      </c>
      <c r="D779" s="2" t="str">
        <f>IFERROR(__xludf.DUMMYFUNCTION("""COMPUTED_VALUE"""),"brossla01")</f>
        <v>brossla01</v>
      </c>
      <c r="E779" s="1" t="s">
        <v>5</v>
      </c>
      <c r="F779" s="1">
        <f t="shared" si="1"/>
        <v>39.9</v>
      </c>
      <c r="G779" s="1">
        <f t="shared" si="2"/>
        <v>2.85</v>
      </c>
      <c r="H779" s="1">
        <v>14.0</v>
      </c>
      <c r="V779" s="1">
        <v>10.0</v>
      </c>
      <c r="W779" s="1">
        <v>3.0</v>
      </c>
      <c r="X779" s="1">
        <v>7.0</v>
      </c>
      <c r="Y779" s="1">
        <v>40.0</v>
      </c>
      <c r="Z779" s="1">
        <v>343.0</v>
      </c>
      <c r="AA779" s="1">
        <v>303.0</v>
      </c>
      <c r="AB779" s="1">
        <v>0.0</v>
      </c>
    </row>
    <row r="780" ht="12.75" customHeight="1">
      <c r="A780" s="1" t="s">
        <v>797</v>
      </c>
      <c r="B780" s="1">
        <f t="shared" si="3"/>
        <v>766</v>
      </c>
      <c r="C780" s="1" t="str">
        <f>IFERROR(__xludf.DUMMYFUNCTION("split(A780, ""\"")"),"Mike Fisher")</f>
        <v>Mike Fisher</v>
      </c>
      <c r="D780" s="1" t="str">
        <f>IFERROR(__xludf.DUMMYFUNCTION("""COMPUTED_VALUE"""),"fishemi01")</f>
        <v>fishemi01</v>
      </c>
      <c r="E780" s="1" t="s">
        <v>31</v>
      </c>
      <c r="F780" s="1">
        <f t="shared" si="1"/>
        <v>39.65</v>
      </c>
      <c r="G780" s="1">
        <f t="shared" si="2"/>
        <v>2.48</v>
      </c>
      <c r="H780" s="1">
        <v>16.0</v>
      </c>
      <c r="I780" s="1">
        <v>2.0</v>
      </c>
      <c r="J780" s="1">
        <v>2.0</v>
      </c>
      <c r="K780" s="1">
        <v>4.0</v>
      </c>
      <c r="L780" s="1">
        <v>14.0</v>
      </c>
      <c r="M780" s="1">
        <v>25.0</v>
      </c>
      <c r="N780" s="1">
        <v>14.0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8.0</v>
      </c>
      <c r="U780" s="1">
        <v>1.0</v>
      </c>
    </row>
    <row r="781" ht="12.75" customHeight="1">
      <c r="A781" s="1" t="s">
        <v>814</v>
      </c>
      <c r="B781" s="1">
        <f t="shared" si="3"/>
        <v>767</v>
      </c>
      <c r="C781" s="1" t="str">
        <f>IFERROR(__xludf.DUMMYFUNCTION("split(A781, ""\"")"),"Matt Bartkowski")</f>
        <v>Matt Bartkowski</v>
      </c>
      <c r="D781" s="1" t="str">
        <f>IFERROR(__xludf.DUMMYFUNCTION("""COMPUTED_VALUE"""),"bartkma01")</f>
        <v>bartkma01</v>
      </c>
      <c r="E781" s="1" t="s">
        <v>66</v>
      </c>
      <c r="F781" s="1">
        <f t="shared" si="1"/>
        <v>39.45</v>
      </c>
      <c r="G781" s="1">
        <f t="shared" si="2"/>
        <v>2.19</v>
      </c>
      <c r="H781" s="1">
        <v>18.0</v>
      </c>
      <c r="I781" s="1">
        <v>0.0</v>
      </c>
      <c r="J781" s="1">
        <v>3.0</v>
      </c>
      <c r="K781" s="1">
        <v>3.0</v>
      </c>
      <c r="L781" s="1">
        <v>21.0</v>
      </c>
      <c r="M781" s="1">
        <v>31.0</v>
      </c>
      <c r="N781" s="1">
        <v>13.0</v>
      </c>
      <c r="O781" s="1">
        <v>0.0</v>
      </c>
      <c r="P781" s="1">
        <v>0.0</v>
      </c>
      <c r="Q781" s="1">
        <v>0.0</v>
      </c>
      <c r="R781" s="1">
        <v>0.0</v>
      </c>
      <c r="S781" s="1">
        <v>-3.0</v>
      </c>
      <c r="T781" s="1">
        <v>4.0</v>
      </c>
      <c r="U781" s="1">
        <v>0.0</v>
      </c>
    </row>
    <row r="782" ht="12.75" customHeight="1">
      <c r="A782" s="1" t="s">
        <v>865</v>
      </c>
      <c r="B782" s="1">
        <f t="shared" si="3"/>
        <v>768</v>
      </c>
      <c r="C782" s="1" t="str">
        <f>IFERROR(__xludf.DUMMYFUNCTION("split(A782, ""\"")"),"Matt Beleskey")</f>
        <v>Matt Beleskey</v>
      </c>
      <c r="D782" s="1" t="str">
        <f>IFERROR(__xludf.DUMMYFUNCTION("""COMPUTED_VALUE"""),"belesma01")</f>
        <v>belesma01</v>
      </c>
      <c r="E782" s="1" t="s">
        <v>28</v>
      </c>
      <c r="F782" s="1">
        <f t="shared" si="1"/>
        <v>39.3</v>
      </c>
      <c r="G782" s="1">
        <f t="shared" si="2"/>
        <v>2.62</v>
      </c>
      <c r="H782" s="1">
        <v>15.0</v>
      </c>
      <c r="I782" s="1">
        <v>0.0</v>
      </c>
      <c r="J782" s="1">
        <v>0.0</v>
      </c>
      <c r="K782" s="1">
        <v>0.0</v>
      </c>
      <c r="L782" s="1">
        <v>17.0</v>
      </c>
      <c r="M782" s="1">
        <v>34.0</v>
      </c>
      <c r="N782" s="1">
        <v>5.0</v>
      </c>
      <c r="O782" s="1">
        <v>0.0</v>
      </c>
      <c r="P782" s="1">
        <v>0.0</v>
      </c>
      <c r="Q782" s="1">
        <v>0.0</v>
      </c>
      <c r="R782" s="1">
        <v>0.0</v>
      </c>
      <c r="S782" s="1">
        <v>-9.0</v>
      </c>
      <c r="T782" s="1">
        <v>21.0</v>
      </c>
      <c r="U782" s="1">
        <v>0.0</v>
      </c>
    </row>
    <row r="783" ht="12.75" customHeight="1">
      <c r="A783" s="1" t="s">
        <v>803</v>
      </c>
      <c r="B783" s="1">
        <f t="shared" si="3"/>
        <v>769</v>
      </c>
      <c r="C783" s="1" t="str">
        <f>IFERROR(__xludf.DUMMYFUNCTION("split(A783, ""\"")"),"Justin Bailey")</f>
        <v>Justin Bailey</v>
      </c>
      <c r="D783" s="1" t="str">
        <f>IFERROR(__xludf.DUMMYFUNCTION("""COMPUTED_VALUE"""),"baileju01")</f>
        <v>baileju01</v>
      </c>
      <c r="E783" s="1" t="s">
        <v>36</v>
      </c>
      <c r="F783" s="1">
        <f t="shared" si="1"/>
        <v>38.85</v>
      </c>
      <c r="G783" s="1">
        <f t="shared" si="2"/>
        <v>3.24</v>
      </c>
      <c r="H783" s="1">
        <v>12.0</v>
      </c>
      <c r="I783" s="1">
        <v>3.0</v>
      </c>
      <c r="J783" s="1">
        <v>1.0</v>
      </c>
      <c r="K783" s="1">
        <v>4.0</v>
      </c>
      <c r="L783" s="1">
        <v>19.0</v>
      </c>
      <c r="M783" s="1">
        <v>19.0</v>
      </c>
      <c r="N783" s="1">
        <v>9.0</v>
      </c>
      <c r="O783" s="1">
        <v>0.0</v>
      </c>
      <c r="P783" s="1">
        <v>0.0</v>
      </c>
      <c r="Q783" s="1">
        <v>0.0</v>
      </c>
      <c r="R783" s="1">
        <v>0.0</v>
      </c>
      <c r="S783" s="1">
        <v>-2.0</v>
      </c>
      <c r="T783" s="1">
        <v>2.0</v>
      </c>
      <c r="U783" s="1">
        <v>0.0</v>
      </c>
    </row>
    <row r="784" ht="12.75" customHeight="1">
      <c r="A784" s="1" t="s">
        <v>805</v>
      </c>
      <c r="B784" s="1">
        <f t="shared" si="3"/>
        <v>770</v>
      </c>
      <c r="C784" s="1" t="str">
        <f>IFERROR(__xludf.DUMMYFUNCTION("split(A784, ""\"")"),"Mario Kempe")</f>
        <v>Mario Kempe</v>
      </c>
      <c r="D784" s="1" t="str">
        <f>IFERROR(__xludf.DUMMYFUNCTION("""COMPUTED_VALUE"""),"kempema01")</f>
        <v>kempema01</v>
      </c>
      <c r="E784" s="1" t="s">
        <v>31</v>
      </c>
      <c r="F784" s="1">
        <f t="shared" si="1"/>
        <v>38.2</v>
      </c>
      <c r="G784" s="1">
        <f t="shared" si="2"/>
        <v>2.12</v>
      </c>
      <c r="H784" s="1">
        <v>18.0</v>
      </c>
      <c r="I784" s="1">
        <v>2.0</v>
      </c>
      <c r="J784" s="1">
        <v>2.0</v>
      </c>
      <c r="K784" s="1">
        <v>4.0</v>
      </c>
      <c r="L784" s="1">
        <v>20.0</v>
      </c>
      <c r="M784" s="1">
        <v>20.0</v>
      </c>
      <c r="N784" s="1">
        <v>11.0</v>
      </c>
      <c r="O784" s="1">
        <v>0.0</v>
      </c>
      <c r="P784" s="1">
        <v>0.0</v>
      </c>
      <c r="Q784" s="1">
        <v>0.0</v>
      </c>
      <c r="R784" s="1">
        <v>0.0</v>
      </c>
      <c r="S784" s="1">
        <v>-1.0</v>
      </c>
      <c r="T784" s="1">
        <v>4.0</v>
      </c>
      <c r="U784" s="1">
        <v>0.0</v>
      </c>
    </row>
    <row r="785" ht="12.75" customHeight="1">
      <c r="A785" s="1" t="s">
        <v>790</v>
      </c>
      <c r="B785" s="1">
        <f t="shared" si="3"/>
        <v>771</v>
      </c>
      <c r="C785" s="1" t="str">
        <f>IFERROR(__xludf.DUMMYFUNCTION("split(A785, ""\"")"),"Jaromir Jagr")</f>
        <v>Jaromir Jagr</v>
      </c>
      <c r="D785" s="1" t="str">
        <f>IFERROR(__xludf.DUMMYFUNCTION("""COMPUTED_VALUE"""),"jagrja01")</f>
        <v>jagrja01</v>
      </c>
      <c r="E785" s="1" t="s">
        <v>36</v>
      </c>
      <c r="F785" s="1">
        <f t="shared" si="1"/>
        <v>36.75</v>
      </c>
      <c r="G785" s="1">
        <f t="shared" si="2"/>
        <v>1.67</v>
      </c>
      <c r="H785" s="1">
        <v>22.0</v>
      </c>
      <c r="I785" s="1">
        <v>1.0</v>
      </c>
      <c r="J785" s="1">
        <v>6.0</v>
      </c>
      <c r="K785" s="1">
        <v>7.0</v>
      </c>
      <c r="L785" s="1">
        <v>32.0</v>
      </c>
      <c r="M785" s="1">
        <v>1.0</v>
      </c>
      <c r="N785" s="1">
        <v>8.0</v>
      </c>
      <c r="O785" s="1">
        <v>0.0</v>
      </c>
      <c r="P785" s="1">
        <v>1.0</v>
      </c>
      <c r="Q785" s="1">
        <v>0.0</v>
      </c>
      <c r="R785" s="1">
        <v>0.0</v>
      </c>
      <c r="S785" s="1">
        <v>6.0</v>
      </c>
      <c r="T785" s="1">
        <v>10.0</v>
      </c>
      <c r="U785" s="1">
        <v>0.0</v>
      </c>
    </row>
    <row r="786" ht="12.75" customHeight="1">
      <c r="A786" s="1" t="s">
        <v>825</v>
      </c>
      <c r="B786" s="1">
        <f t="shared" si="3"/>
        <v>772</v>
      </c>
      <c r="C786" s="1" t="str">
        <f>IFERROR(__xludf.DUMMYFUNCTION("split(A786, ""\"")"),"Jason Dickinson")</f>
        <v>Jason Dickinson</v>
      </c>
      <c r="D786" s="1" t="str">
        <f>IFERROR(__xludf.DUMMYFUNCTION("""COMPUTED_VALUE"""),"dickija01")</f>
        <v>dickija01</v>
      </c>
      <c r="E786" s="1" t="s">
        <v>31</v>
      </c>
      <c r="F786" s="1">
        <f t="shared" si="1"/>
        <v>35.85</v>
      </c>
      <c r="G786" s="1">
        <f t="shared" si="2"/>
        <v>1.33</v>
      </c>
      <c r="H786" s="1">
        <v>27.0</v>
      </c>
      <c r="I786" s="1">
        <v>0.0</v>
      </c>
      <c r="J786" s="1">
        <v>2.0</v>
      </c>
      <c r="K786" s="1">
        <v>2.0</v>
      </c>
      <c r="L786" s="1">
        <v>16.0</v>
      </c>
      <c r="M786" s="1">
        <v>45.0</v>
      </c>
      <c r="N786" s="1">
        <v>5.0</v>
      </c>
      <c r="O786" s="1">
        <v>0.0</v>
      </c>
      <c r="P786" s="1">
        <v>0.0</v>
      </c>
      <c r="Q786" s="1">
        <v>0.0</v>
      </c>
      <c r="R786" s="1">
        <v>0.0</v>
      </c>
      <c r="S786" s="1">
        <v>-2.0</v>
      </c>
      <c r="T786" s="1">
        <v>17.0</v>
      </c>
      <c r="U786" s="1">
        <v>0.0</v>
      </c>
    </row>
    <row r="787" ht="12.75" customHeight="1">
      <c r="A787" s="1" t="s">
        <v>870</v>
      </c>
      <c r="B787" s="1">
        <f t="shared" si="3"/>
        <v>773</v>
      </c>
      <c r="C787" s="1" t="str">
        <f>IFERROR(__xludf.DUMMYFUNCTION("split(A787, ""\"")"),"Matt Tennyson")</f>
        <v>Matt Tennyson</v>
      </c>
      <c r="D787" s="1" t="str">
        <f>IFERROR(__xludf.DUMMYFUNCTION("""COMPUTED_VALUE"""),"tennyma01")</f>
        <v>tennyma01</v>
      </c>
      <c r="E787" s="1" t="s">
        <v>66</v>
      </c>
      <c r="F787" s="1">
        <f t="shared" si="1"/>
        <v>35.65</v>
      </c>
      <c r="G787" s="1">
        <f t="shared" si="2"/>
        <v>2.38</v>
      </c>
      <c r="H787" s="1">
        <v>15.0</v>
      </c>
      <c r="I787" s="1">
        <v>0.0</v>
      </c>
      <c r="J787" s="1">
        <v>0.0</v>
      </c>
      <c r="K787" s="1">
        <v>0.0</v>
      </c>
      <c r="L787" s="1">
        <v>25.0</v>
      </c>
      <c r="M787" s="1">
        <v>13.0</v>
      </c>
      <c r="N787" s="1">
        <v>11.0</v>
      </c>
      <c r="O787" s="1">
        <v>0.0</v>
      </c>
      <c r="P787" s="1">
        <v>0.0</v>
      </c>
      <c r="Q787" s="1">
        <v>0.0</v>
      </c>
      <c r="R787" s="1">
        <v>0.0</v>
      </c>
      <c r="S787" s="1">
        <v>-8.0</v>
      </c>
      <c r="T787" s="1">
        <v>8.0</v>
      </c>
      <c r="U787" s="1">
        <v>0.0</v>
      </c>
    </row>
    <row r="788" ht="12.75" customHeight="1">
      <c r="A788" s="1" t="s">
        <v>820</v>
      </c>
      <c r="B788" s="1">
        <f t="shared" si="3"/>
        <v>774</v>
      </c>
      <c r="C788" s="1" t="str">
        <f>IFERROR(__xludf.DUMMYFUNCTION("split(A788, ""\"")"),"Kevin Gravel")</f>
        <v>Kevin Gravel</v>
      </c>
      <c r="D788" s="1" t="str">
        <f>IFERROR(__xludf.DUMMYFUNCTION("""COMPUTED_VALUE"""),"graveke01")</f>
        <v>graveke01</v>
      </c>
      <c r="E788" s="1" t="s">
        <v>66</v>
      </c>
      <c r="F788" s="1">
        <f t="shared" si="1"/>
        <v>35.6</v>
      </c>
      <c r="G788" s="1">
        <f t="shared" si="2"/>
        <v>2.23</v>
      </c>
      <c r="H788" s="1">
        <v>16.0</v>
      </c>
      <c r="I788" s="1">
        <v>0.0</v>
      </c>
      <c r="J788" s="1">
        <v>3.0</v>
      </c>
      <c r="K788" s="1">
        <v>3.0</v>
      </c>
      <c r="L788" s="1">
        <v>20.0</v>
      </c>
      <c r="M788" s="1">
        <v>16.0</v>
      </c>
      <c r="N788" s="1">
        <v>15.0</v>
      </c>
      <c r="O788" s="1">
        <v>0.0</v>
      </c>
      <c r="P788" s="1">
        <v>1.0</v>
      </c>
      <c r="Q788" s="1">
        <v>0.0</v>
      </c>
      <c r="R788" s="1">
        <v>0.0</v>
      </c>
      <c r="S788" s="1">
        <v>-3.0</v>
      </c>
      <c r="T788" s="1">
        <v>2.0</v>
      </c>
      <c r="U788" s="1">
        <v>0.0</v>
      </c>
    </row>
    <row r="789" ht="12.75" customHeight="1">
      <c r="A789" s="1" t="s">
        <v>823</v>
      </c>
      <c r="B789" s="1">
        <f t="shared" si="3"/>
        <v>775</v>
      </c>
      <c r="C789" s="1" t="str">
        <f>IFERROR(__xludf.DUMMYFUNCTION("split(A789, ""\"")"),"Dominic Toninato")</f>
        <v>Dominic Toninato</v>
      </c>
      <c r="D789" s="1" t="str">
        <f>IFERROR(__xludf.DUMMYFUNCTION("""COMPUTED_VALUE"""),"tonindo01")</f>
        <v>tonindo01</v>
      </c>
      <c r="E789" s="1" t="s">
        <v>31</v>
      </c>
      <c r="F789" s="1">
        <f t="shared" si="1"/>
        <v>35.1</v>
      </c>
      <c r="G789" s="1">
        <f t="shared" si="2"/>
        <v>0.95</v>
      </c>
      <c r="H789" s="1">
        <v>37.0</v>
      </c>
      <c r="I789" s="1">
        <v>0.0</v>
      </c>
      <c r="J789" s="1">
        <v>2.0</v>
      </c>
      <c r="K789" s="1">
        <v>2.0</v>
      </c>
      <c r="L789" s="1">
        <v>25.0</v>
      </c>
      <c r="M789" s="1">
        <v>24.0</v>
      </c>
      <c r="N789" s="1">
        <v>14.0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12.0</v>
      </c>
      <c r="U789" s="1">
        <v>0.0</v>
      </c>
    </row>
    <row r="790" ht="12.75" customHeight="1">
      <c r="A790" s="1" t="s">
        <v>834</v>
      </c>
      <c r="B790" s="1">
        <f t="shared" si="3"/>
        <v>776</v>
      </c>
      <c r="C790" s="1" t="str">
        <f>IFERROR(__xludf.DUMMYFUNCTION("split(A790, ""\"")"),"Seth Griffith")</f>
        <v>Seth Griffith</v>
      </c>
      <c r="D790" s="1" t="str">
        <f>IFERROR(__xludf.DUMMYFUNCTION("""COMPUTED_VALUE"""),"griffse01")</f>
        <v>griffse01</v>
      </c>
      <c r="E790" s="1" t="s">
        <v>31</v>
      </c>
      <c r="F790" s="1">
        <f t="shared" si="1"/>
        <v>34.8</v>
      </c>
      <c r="G790" s="1">
        <f t="shared" si="2"/>
        <v>1.66</v>
      </c>
      <c r="H790" s="1">
        <v>21.0</v>
      </c>
      <c r="I790" s="1">
        <v>2.0</v>
      </c>
      <c r="J790" s="1">
        <v>1.0</v>
      </c>
      <c r="K790" s="1">
        <v>3.0</v>
      </c>
      <c r="L790" s="1">
        <v>15.0</v>
      </c>
      <c r="M790" s="1">
        <v>10.0</v>
      </c>
      <c r="N790" s="1">
        <v>4.0</v>
      </c>
      <c r="O790" s="1">
        <v>0.0</v>
      </c>
      <c r="P790" s="1">
        <v>1.0</v>
      </c>
      <c r="Q790" s="1">
        <v>0.0</v>
      </c>
      <c r="R790" s="1">
        <v>0.0</v>
      </c>
      <c r="S790" s="1">
        <v>-6.0</v>
      </c>
      <c r="T790" s="1">
        <v>6.0</v>
      </c>
      <c r="U790" s="1">
        <v>0.0</v>
      </c>
    </row>
    <row r="791" ht="12.75" customHeight="1">
      <c r="A791" s="1" t="s">
        <v>792</v>
      </c>
      <c r="B791" s="1">
        <f t="shared" si="3"/>
        <v>777</v>
      </c>
      <c r="C791" s="1" t="str">
        <f>IFERROR(__xludf.DUMMYFUNCTION("split(A791, ""\"")"),"Dennis Rasmussen")</f>
        <v>Dennis Rasmussen</v>
      </c>
      <c r="D791" s="1" t="str">
        <f>IFERROR(__xludf.DUMMYFUNCTION("""COMPUTED_VALUE"""),"rasmude01")</f>
        <v>rasmude01</v>
      </c>
      <c r="E791" s="1" t="s">
        <v>31</v>
      </c>
      <c r="F791" s="1">
        <f t="shared" si="1"/>
        <v>34.65</v>
      </c>
      <c r="G791" s="1">
        <f t="shared" si="2"/>
        <v>1.28</v>
      </c>
      <c r="H791" s="1">
        <v>27.0</v>
      </c>
      <c r="I791" s="1">
        <v>1.0</v>
      </c>
      <c r="J791" s="1">
        <v>3.0</v>
      </c>
      <c r="K791" s="1">
        <v>4.0</v>
      </c>
      <c r="L791" s="1">
        <v>19.0</v>
      </c>
      <c r="M791" s="1">
        <v>31.0</v>
      </c>
      <c r="N791" s="1">
        <v>15.0</v>
      </c>
      <c r="O791" s="1">
        <v>0.0</v>
      </c>
      <c r="P791" s="1">
        <v>0.0</v>
      </c>
      <c r="Q791" s="1">
        <v>0.0</v>
      </c>
      <c r="R791" s="1">
        <v>0.0</v>
      </c>
      <c r="S791" s="1">
        <v>4.0</v>
      </c>
      <c r="T791" s="1">
        <v>8.0</v>
      </c>
      <c r="U791" s="1">
        <v>0.0</v>
      </c>
    </row>
    <row r="792" ht="12.75" customHeight="1">
      <c r="A792" s="1" t="s">
        <v>821</v>
      </c>
      <c r="B792" s="1">
        <f t="shared" si="3"/>
        <v>777</v>
      </c>
      <c r="C792" s="1" t="str">
        <f>IFERROR(__xludf.DUMMYFUNCTION("split(A792, ""\"")"),"Evgeny Svechnikov")</f>
        <v>Evgeny Svechnikov</v>
      </c>
      <c r="D792" s="1" t="str">
        <f>IFERROR(__xludf.DUMMYFUNCTION("""COMPUTED_VALUE"""),"svechev01")</f>
        <v>svechev01</v>
      </c>
      <c r="E792" s="1" t="s">
        <v>28</v>
      </c>
      <c r="F792" s="1">
        <f t="shared" si="1"/>
        <v>34.65</v>
      </c>
      <c r="G792" s="1">
        <f t="shared" si="2"/>
        <v>2.48</v>
      </c>
      <c r="H792" s="1">
        <v>14.0</v>
      </c>
      <c r="I792" s="1">
        <v>2.0</v>
      </c>
      <c r="J792" s="1">
        <v>2.0</v>
      </c>
      <c r="K792" s="1">
        <v>4.0</v>
      </c>
      <c r="L792" s="1">
        <v>15.0</v>
      </c>
      <c r="M792" s="1">
        <v>15.0</v>
      </c>
      <c r="N792" s="1">
        <v>6.0</v>
      </c>
      <c r="O792" s="1">
        <v>0.0</v>
      </c>
      <c r="P792" s="1">
        <v>0.0</v>
      </c>
      <c r="Q792" s="1">
        <v>0.0</v>
      </c>
      <c r="R792" s="1">
        <v>0.0</v>
      </c>
      <c r="S792" s="1">
        <v>-2.0</v>
      </c>
      <c r="T792" s="1">
        <v>8.0</v>
      </c>
      <c r="U792" s="1">
        <v>0.0</v>
      </c>
    </row>
    <row r="793" ht="12.75" customHeight="1">
      <c r="A793" s="1" t="s">
        <v>784</v>
      </c>
      <c r="B793" s="1">
        <f t="shared" si="3"/>
        <v>779</v>
      </c>
      <c r="C793" s="1" t="str">
        <f>IFERROR(__xludf.DUMMYFUNCTION("split(A793, ""\"")"),"Eric Fehr")</f>
        <v>Eric Fehr</v>
      </c>
      <c r="D793" s="1" t="str">
        <f>IFERROR(__xludf.DUMMYFUNCTION("""COMPUTED_VALUE"""),"fehrer01")</f>
        <v>fehrer01</v>
      </c>
      <c r="E793" s="1" t="s">
        <v>36</v>
      </c>
      <c r="F793" s="1">
        <f t="shared" si="1"/>
        <v>34.6</v>
      </c>
      <c r="G793" s="1">
        <f t="shared" si="2"/>
        <v>1.92</v>
      </c>
      <c r="H793" s="1">
        <v>18.0</v>
      </c>
      <c r="I793" s="1">
        <v>3.0</v>
      </c>
      <c r="J793" s="1">
        <v>1.0</v>
      </c>
      <c r="K793" s="1">
        <v>4.0</v>
      </c>
      <c r="L793" s="1">
        <v>27.0</v>
      </c>
      <c r="M793" s="1">
        <v>24.0</v>
      </c>
      <c r="N793" s="1">
        <v>14.0</v>
      </c>
      <c r="O793" s="1">
        <v>0.0</v>
      </c>
      <c r="P793" s="1">
        <v>0.0</v>
      </c>
      <c r="Q793" s="1">
        <v>0.0</v>
      </c>
      <c r="R793" s="1">
        <v>0.0</v>
      </c>
      <c r="S793" s="1">
        <v>6.0</v>
      </c>
      <c r="T793" s="1">
        <v>2.0</v>
      </c>
      <c r="U793" s="1">
        <v>0.0</v>
      </c>
    </row>
    <row r="794" ht="12.75" customHeight="1">
      <c r="A794" s="1" t="s">
        <v>832</v>
      </c>
      <c r="B794" s="1">
        <f t="shared" si="3"/>
        <v>780</v>
      </c>
      <c r="C794" s="1" t="str">
        <f>IFERROR(__xludf.DUMMYFUNCTION("split(A794, ""\"")"),"Matthew Highmore")</f>
        <v>Matthew Highmore</v>
      </c>
      <c r="D794" s="1" t="str">
        <f>IFERROR(__xludf.DUMMYFUNCTION("""COMPUTED_VALUE"""),"highmma01")</f>
        <v>highmma01</v>
      </c>
      <c r="E794" s="1" t="s">
        <v>28</v>
      </c>
      <c r="F794" s="1">
        <f t="shared" si="1"/>
        <v>34.25</v>
      </c>
      <c r="G794" s="1">
        <f t="shared" si="2"/>
        <v>2.63</v>
      </c>
      <c r="H794" s="1">
        <v>13.0</v>
      </c>
      <c r="I794" s="1">
        <v>2.0</v>
      </c>
      <c r="J794" s="1">
        <v>0.0</v>
      </c>
      <c r="K794" s="1">
        <v>2.0</v>
      </c>
      <c r="L794" s="1">
        <v>27.0</v>
      </c>
      <c r="M794" s="1">
        <v>9.0</v>
      </c>
      <c r="N794" s="1">
        <v>7.0</v>
      </c>
      <c r="O794" s="1">
        <v>0.0</v>
      </c>
      <c r="P794" s="1">
        <v>0.0</v>
      </c>
      <c r="Q794" s="1">
        <v>0.0</v>
      </c>
      <c r="R794" s="1">
        <v>0.0</v>
      </c>
      <c r="S794" s="1">
        <v>-4.0</v>
      </c>
      <c r="T794" s="1">
        <v>0.0</v>
      </c>
      <c r="U794" s="1">
        <v>0.0</v>
      </c>
    </row>
    <row r="795" ht="12.75" customHeight="1">
      <c r="A795" s="1" t="s">
        <v>789</v>
      </c>
      <c r="B795" s="1">
        <f t="shared" si="3"/>
        <v>781</v>
      </c>
      <c r="C795" s="1" t="str">
        <f>IFERROR(__xludf.DUMMYFUNCTION("split(A795, ""\"")"),"Ryan Murphy")</f>
        <v>Ryan Murphy</v>
      </c>
      <c r="D795" s="1" t="str">
        <f>IFERROR(__xludf.DUMMYFUNCTION("""COMPUTED_VALUE"""),"murphry01")</f>
        <v>murphry01</v>
      </c>
      <c r="E795" s="1" t="s">
        <v>66</v>
      </c>
      <c r="F795" s="1">
        <f t="shared" si="1"/>
        <v>34.05</v>
      </c>
      <c r="G795" s="1">
        <f t="shared" si="2"/>
        <v>1.62</v>
      </c>
      <c r="H795" s="1">
        <v>21.0</v>
      </c>
      <c r="I795" s="1">
        <v>2.0</v>
      </c>
      <c r="J795" s="1">
        <v>3.0</v>
      </c>
      <c r="K795" s="1">
        <v>5.0</v>
      </c>
      <c r="L795" s="1">
        <v>25.0</v>
      </c>
      <c r="M795" s="1">
        <v>5.0</v>
      </c>
      <c r="N795" s="1">
        <v>19.0</v>
      </c>
      <c r="O795" s="1">
        <v>1.0</v>
      </c>
      <c r="P795" s="1">
        <v>0.0</v>
      </c>
      <c r="Q795" s="1">
        <v>0.0</v>
      </c>
      <c r="R795" s="1">
        <v>0.0</v>
      </c>
      <c r="S795" s="1">
        <v>8.0</v>
      </c>
      <c r="T795" s="1">
        <v>16.0</v>
      </c>
      <c r="U795" s="1">
        <v>0.0</v>
      </c>
    </row>
    <row r="796" ht="12.75" customHeight="1">
      <c r="A796" s="1" t="s">
        <v>787</v>
      </c>
      <c r="B796" s="1">
        <f t="shared" si="3"/>
        <v>782</v>
      </c>
      <c r="C796" s="1" t="str">
        <f>IFERROR(__xludf.DUMMYFUNCTION("split(A796, ""\"")"),"Marcus Pettersson")</f>
        <v>Marcus Pettersson</v>
      </c>
      <c r="D796" s="1" t="str">
        <f>IFERROR(__xludf.DUMMYFUNCTION("""COMPUTED_VALUE"""),"pettema01")</f>
        <v>pettema01</v>
      </c>
      <c r="E796" s="1" t="s">
        <v>66</v>
      </c>
      <c r="F796" s="1">
        <f t="shared" si="1"/>
        <v>33.8</v>
      </c>
      <c r="G796" s="1">
        <f t="shared" si="2"/>
        <v>1.54</v>
      </c>
      <c r="H796" s="1">
        <v>22.0</v>
      </c>
      <c r="I796" s="1">
        <v>1.0</v>
      </c>
      <c r="J796" s="1">
        <v>3.0</v>
      </c>
      <c r="K796" s="1">
        <v>4.0</v>
      </c>
      <c r="L796" s="1">
        <v>16.0</v>
      </c>
      <c r="M796" s="1">
        <v>18.0</v>
      </c>
      <c r="N796" s="1">
        <v>27.0</v>
      </c>
      <c r="O796" s="1">
        <v>0.0</v>
      </c>
      <c r="P796" s="1">
        <v>1.0</v>
      </c>
      <c r="Q796" s="1">
        <v>0.0</v>
      </c>
      <c r="R796" s="1">
        <v>0.0</v>
      </c>
      <c r="S796" s="1">
        <v>5.0</v>
      </c>
      <c r="T796" s="1">
        <v>6.0</v>
      </c>
      <c r="U796" s="1">
        <v>0.0</v>
      </c>
    </row>
    <row r="797" ht="12.75" customHeight="1">
      <c r="A797" s="1" t="s">
        <v>822</v>
      </c>
      <c r="B797" s="1">
        <f t="shared" si="3"/>
        <v>783</v>
      </c>
      <c r="C797" s="1" t="str">
        <f>IFERROR(__xludf.DUMMYFUNCTION("split(A797, ""\"")"),"Alan Quine")</f>
        <v>Alan Quine</v>
      </c>
      <c r="D797" s="1" t="str">
        <f>IFERROR(__xludf.DUMMYFUNCTION("""COMPUTED_VALUE"""),"quineal01")</f>
        <v>quineal01</v>
      </c>
      <c r="E797" s="1" t="s">
        <v>31</v>
      </c>
      <c r="F797" s="1">
        <f t="shared" si="1"/>
        <v>33.2</v>
      </c>
      <c r="G797" s="1">
        <f t="shared" si="2"/>
        <v>1.58</v>
      </c>
      <c r="H797" s="1">
        <v>21.0</v>
      </c>
      <c r="I797" s="1">
        <v>0.0</v>
      </c>
      <c r="J797" s="1">
        <v>3.0</v>
      </c>
      <c r="K797" s="1">
        <v>3.0</v>
      </c>
      <c r="L797" s="1">
        <v>15.0</v>
      </c>
      <c r="M797" s="1">
        <v>32.0</v>
      </c>
      <c r="N797" s="1">
        <v>9.0</v>
      </c>
      <c r="O797" s="1">
        <v>0.0</v>
      </c>
      <c r="P797" s="1">
        <v>0.0</v>
      </c>
      <c r="Q797" s="1">
        <v>0.0</v>
      </c>
      <c r="R797" s="1">
        <v>0.0</v>
      </c>
      <c r="S797" s="1">
        <v>-2.0</v>
      </c>
      <c r="T797" s="1">
        <v>4.0</v>
      </c>
      <c r="U797" s="1">
        <v>0.0</v>
      </c>
    </row>
    <row r="798" ht="12.75" customHeight="1">
      <c r="A798" s="1" t="s">
        <v>802</v>
      </c>
      <c r="B798" s="1">
        <f t="shared" si="3"/>
        <v>784</v>
      </c>
      <c r="C798" s="1" t="str">
        <f>IFERROR(__xludf.DUMMYFUNCTION("split(A798, ""\"")"),"Valentin Zykov")</f>
        <v>Valentin Zykov</v>
      </c>
      <c r="D798" s="1" t="str">
        <f>IFERROR(__xludf.DUMMYFUNCTION("""COMPUTED_VALUE"""),"zykovva01")</f>
        <v>zykovva01</v>
      </c>
      <c r="E798" s="1" t="s">
        <v>28</v>
      </c>
      <c r="F798" s="1">
        <f t="shared" si="1"/>
        <v>32.35</v>
      </c>
      <c r="G798" s="1">
        <f t="shared" si="2"/>
        <v>3.24</v>
      </c>
      <c r="H798" s="1">
        <v>10.0</v>
      </c>
      <c r="I798" s="1">
        <v>3.0</v>
      </c>
      <c r="J798" s="1">
        <v>4.0</v>
      </c>
      <c r="K798" s="1">
        <v>7.0</v>
      </c>
      <c r="L798" s="1">
        <v>18.0</v>
      </c>
      <c r="M798" s="1">
        <v>3.0</v>
      </c>
      <c r="N798" s="1">
        <v>1.0</v>
      </c>
      <c r="O798" s="1">
        <v>0.0</v>
      </c>
      <c r="P798" s="1">
        <v>0.0</v>
      </c>
      <c r="Q798" s="1">
        <v>0.0</v>
      </c>
      <c r="R798" s="1">
        <v>0.0</v>
      </c>
      <c r="S798" s="1">
        <v>4.0</v>
      </c>
      <c r="T798" s="1">
        <v>2.0</v>
      </c>
      <c r="U798" s="1">
        <v>1.0</v>
      </c>
    </row>
    <row r="799" ht="12.75" customHeight="1">
      <c r="A799" s="1" t="s">
        <v>847</v>
      </c>
      <c r="B799" s="1">
        <f t="shared" si="3"/>
        <v>784</v>
      </c>
      <c r="C799" s="1" t="str">
        <f>IFERROR(__xludf.DUMMYFUNCTION("split(A799, ""\"")"),"Lawson Crouse")</f>
        <v>Lawson Crouse</v>
      </c>
      <c r="D799" s="1" t="str">
        <f>IFERROR(__xludf.DUMMYFUNCTION("""COMPUTED_VALUE"""),"crousla01")</f>
        <v>crousla01</v>
      </c>
      <c r="E799" s="1" t="s">
        <v>28</v>
      </c>
      <c r="F799" s="1">
        <f t="shared" si="1"/>
        <v>32.35</v>
      </c>
      <c r="G799" s="1">
        <f t="shared" si="2"/>
        <v>2.94</v>
      </c>
      <c r="H799" s="1">
        <v>11.0</v>
      </c>
      <c r="I799" s="1">
        <v>1.0</v>
      </c>
      <c r="J799" s="1">
        <v>0.0</v>
      </c>
      <c r="K799" s="1">
        <v>1.0</v>
      </c>
      <c r="L799" s="1">
        <v>13.0</v>
      </c>
      <c r="M799" s="1">
        <v>29.0</v>
      </c>
      <c r="N799" s="1">
        <v>6.0</v>
      </c>
      <c r="O799" s="1">
        <v>0.0</v>
      </c>
      <c r="P799" s="1">
        <v>0.0</v>
      </c>
      <c r="Q799" s="1">
        <v>0.0</v>
      </c>
      <c r="R799" s="1">
        <v>0.0</v>
      </c>
      <c r="S799" s="1">
        <v>-6.0</v>
      </c>
      <c r="T799" s="1">
        <v>7.0</v>
      </c>
      <c r="U799" s="1">
        <v>0.0</v>
      </c>
    </row>
    <row r="800" ht="12.75" customHeight="1">
      <c r="A800" s="1" t="s">
        <v>815</v>
      </c>
      <c r="B800" s="1">
        <f t="shared" si="3"/>
        <v>786</v>
      </c>
      <c r="C800" s="1" t="str">
        <f>IFERROR(__xludf.DUMMYFUNCTION("split(A800, ""\"")"),"Tucker Poolman")</f>
        <v>Tucker Poolman</v>
      </c>
      <c r="D800" s="1" t="str">
        <f>IFERROR(__xludf.DUMMYFUNCTION("""COMPUTED_VALUE"""),"poolmtu01")</f>
        <v>poolmtu01</v>
      </c>
      <c r="E800" s="1" t="s">
        <v>66</v>
      </c>
      <c r="F800" s="1">
        <f t="shared" si="1"/>
        <v>32</v>
      </c>
      <c r="G800" s="1">
        <f t="shared" si="2"/>
        <v>1.33</v>
      </c>
      <c r="H800" s="1">
        <v>24.0</v>
      </c>
      <c r="I800" s="1">
        <v>1.0</v>
      </c>
      <c r="J800" s="1">
        <v>1.0</v>
      </c>
      <c r="K800" s="1">
        <v>2.0</v>
      </c>
      <c r="L800" s="1">
        <v>27.0</v>
      </c>
      <c r="M800" s="1">
        <v>20.0</v>
      </c>
      <c r="N800" s="1">
        <v>18.0</v>
      </c>
      <c r="O800" s="1">
        <v>0.0</v>
      </c>
      <c r="P800" s="1">
        <v>0.0</v>
      </c>
      <c r="Q800" s="1">
        <v>0.0</v>
      </c>
      <c r="R800" s="1">
        <v>0.0</v>
      </c>
      <c r="S800" s="1">
        <v>2.0</v>
      </c>
      <c r="T800" s="1">
        <v>0.0</v>
      </c>
      <c r="U800" s="1">
        <v>0.0</v>
      </c>
    </row>
    <row r="801" ht="12.75" customHeight="1">
      <c r="A801" s="1" t="s">
        <v>781</v>
      </c>
      <c r="B801" s="1">
        <f t="shared" si="3"/>
        <v>787</v>
      </c>
      <c r="C801" s="1" t="str">
        <f>IFERROR(__xludf.DUMMYFUNCTION("split(A801, ""\"")"),"Taylor Chorney")</f>
        <v>Taylor Chorney</v>
      </c>
      <c r="D801" s="1" t="str">
        <f>IFERROR(__xludf.DUMMYFUNCTION("""COMPUTED_VALUE"""),"chornta01")</f>
        <v>chornta01</v>
      </c>
      <c r="E801" s="1" t="s">
        <v>66</v>
      </c>
      <c r="F801" s="1">
        <f t="shared" si="1"/>
        <v>31.65</v>
      </c>
      <c r="G801" s="1">
        <f t="shared" si="2"/>
        <v>1.27</v>
      </c>
      <c r="H801" s="1">
        <v>25.0</v>
      </c>
      <c r="I801" s="1">
        <v>1.0</v>
      </c>
      <c r="J801" s="1">
        <v>3.0</v>
      </c>
      <c r="K801" s="1">
        <v>4.0</v>
      </c>
      <c r="L801" s="1">
        <v>14.0</v>
      </c>
      <c r="M801" s="1">
        <v>21.0</v>
      </c>
      <c r="N801" s="1">
        <v>31.0</v>
      </c>
      <c r="O801" s="1">
        <v>0.0</v>
      </c>
      <c r="P801" s="1">
        <v>0.0</v>
      </c>
      <c r="Q801" s="1">
        <v>0.0</v>
      </c>
      <c r="R801" s="1">
        <v>1.0</v>
      </c>
      <c r="S801" s="1">
        <v>10.0</v>
      </c>
      <c r="T801" s="1">
        <v>8.0</v>
      </c>
      <c r="U801" s="1">
        <v>0.0</v>
      </c>
    </row>
    <row r="802" ht="12.75" customHeight="1">
      <c r="A802" s="1" t="s">
        <v>836</v>
      </c>
      <c r="B802" s="1">
        <f t="shared" si="3"/>
        <v>788</v>
      </c>
      <c r="C802" s="1" t="str">
        <f>IFERROR(__xludf.DUMMYFUNCTION("split(A802, ""\"")"),"Jordan Szwarz")</f>
        <v>Jordan Szwarz</v>
      </c>
      <c r="D802" s="1" t="str">
        <f>IFERROR(__xludf.DUMMYFUNCTION("""COMPUTED_VALUE"""),"szwarjo01")</f>
        <v>szwarjo01</v>
      </c>
      <c r="E802" s="1" t="s">
        <v>36</v>
      </c>
      <c r="F802" s="1">
        <f t="shared" si="1"/>
        <v>31.35</v>
      </c>
      <c r="G802" s="1">
        <f t="shared" si="2"/>
        <v>2.61</v>
      </c>
      <c r="H802" s="1">
        <v>12.0</v>
      </c>
      <c r="I802" s="1">
        <v>0.0</v>
      </c>
      <c r="J802" s="1">
        <v>3.0</v>
      </c>
      <c r="K802" s="1">
        <v>3.0</v>
      </c>
      <c r="L802" s="1">
        <v>19.0</v>
      </c>
      <c r="M802" s="1">
        <v>9.0</v>
      </c>
      <c r="N802" s="1">
        <v>8.0</v>
      </c>
      <c r="O802" s="1">
        <v>0.0</v>
      </c>
      <c r="P802" s="1">
        <v>1.0</v>
      </c>
      <c r="Q802" s="1">
        <v>0.0</v>
      </c>
      <c r="R802" s="1">
        <v>0.0</v>
      </c>
      <c r="S802" s="1">
        <v>-4.0</v>
      </c>
      <c r="T802" s="1">
        <v>2.0</v>
      </c>
      <c r="U802" s="1">
        <v>0.0</v>
      </c>
    </row>
    <row r="803" ht="12.75" customHeight="1">
      <c r="A803" s="1" t="s">
        <v>830</v>
      </c>
      <c r="B803" s="1">
        <f t="shared" si="3"/>
        <v>789</v>
      </c>
      <c r="C803" s="1" t="str">
        <f>IFERROR(__xludf.DUMMYFUNCTION("split(A803, ""\"")"),"A.J. Greer")</f>
        <v>A.J. Greer</v>
      </c>
      <c r="D803" s="1" t="str">
        <f>IFERROR(__xludf.DUMMYFUNCTION("""COMPUTED_VALUE"""),"greeraj01")</f>
        <v>greeraj01</v>
      </c>
      <c r="E803" s="1" t="s">
        <v>28</v>
      </c>
      <c r="F803" s="1">
        <f t="shared" si="1"/>
        <v>31.2</v>
      </c>
      <c r="G803" s="1">
        <f t="shared" si="2"/>
        <v>1.84</v>
      </c>
      <c r="H803" s="1">
        <v>17.0</v>
      </c>
      <c r="I803" s="1">
        <v>0.0</v>
      </c>
      <c r="J803" s="1">
        <v>3.0</v>
      </c>
      <c r="K803" s="1">
        <v>3.0</v>
      </c>
      <c r="L803" s="1">
        <v>13.0</v>
      </c>
      <c r="M803" s="1">
        <v>30.0</v>
      </c>
      <c r="N803" s="1">
        <v>5.0</v>
      </c>
      <c r="O803" s="1">
        <v>0.0</v>
      </c>
      <c r="P803" s="1">
        <v>0.0</v>
      </c>
      <c r="Q803" s="1">
        <v>0.0</v>
      </c>
      <c r="R803" s="1">
        <v>0.0</v>
      </c>
      <c r="S803" s="1">
        <v>2.0</v>
      </c>
      <c r="T803" s="1">
        <v>29.0</v>
      </c>
      <c r="U803" s="1">
        <v>0.0</v>
      </c>
    </row>
    <row r="804" ht="12.75" customHeight="1">
      <c r="A804" s="1" t="s">
        <v>857</v>
      </c>
      <c r="B804" s="1">
        <f t="shared" si="3"/>
        <v>790</v>
      </c>
      <c r="C804" s="1" t="str">
        <f>IFERROR(__xludf.DUMMYFUNCTION("split(A804, ""\"")"),"Filip Chytil")</f>
        <v>Filip Chytil</v>
      </c>
      <c r="D804" s="1" t="str">
        <f>IFERROR(__xludf.DUMMYFUNCTION("""COMPUTED_VALUE"""),"chytifi01")</f>
        <v>chytifi01</v>
      </c>
      <c r="E804" s="1" t="s">
        <v>31</v>
      </c>
      <c r="F804" s="1">
        <f t="shared" si="1"/>
        <v>30.95</v>
      </c>
      <c r="G804" s="1">
        <f t="shared" si="2"/>
        <v>3.44</v>
      </c>
      <c r="H804" s="1">
        <v>9.0</v>
      </c>
      <c r="I804" s="1">
        <v>1.0</v>
      </c>
      <c r="J804" s="1">
        <v>2.0</v>
      </c>
      <c r="K804" s="1">
        <v>3.0</v>
      </c>
      <c r="L804" s="1">
        <v>21.0</v>
      </c>
      <c r="M804" s="1">
        <v>3.0</v>
      </c>
      <c r="N804" s="1">
        <v>1.0</v>
      </c>
      <c r="O804" s="1">
        <v>0.0</v>
      </c>
      <c r="P804" s="1">
        <v>0.0</v>
      </c>
      <c r="Q804" s="1">
        <v>0.0</v>
      </c>
      <c r="R804" s="1">
        <v>0.0</v>
      </c>
      <c r="S804" s="1">
        <v>-5.0</v>
      </c>
      <c r="T804" s="1">
        <v>4.0</v>
      </c>
      <c r="U804" s="1">
        <v>0.0</v>
      </c>
    </row>
    <row r="805" ht="12.75" customHeight="1">
      <c r="A805" s="1" t="s">
        <v>864</v>
      </c>
      <c r="B805" s="1">
        <f t="shared" si="3"/>
        <v>790</v>
      </c>
      <c r="C805" s="1" t="str">
        <f>IFERROR(__xludf.DUMMYFUNCTION("split(A805, ""\"")"),"Tanner Glass")</f>
        <v>Tanner Glass</v>
      </c>
      <c r="D805" s="1" t="str">
        <f>IFERROR(__xludf.DUMMYFUNCTION("""COMPUTED_VALUE"""),"glassta01")</f>
        <v>glassta01</v>
      </c>
      <c r="E805" s="1" t="s">
        <v>28</v>
      </c>
      <c r="F805" s="1">
        <f t="shared" si="1"/>
        <v>30.95</v>
      </c>
      <c r="G805" s="1">
        <f t="shared" si="2"/>
        <v>1.93</v>
      </c>
      <c r="H805" s="1">
        <v>16.0</v>
      </c>
      <c r="I805" s="1">
        <v>0.0</v>
      </c>
      <c r="J805" s="1">
        <v>0.0</v>
      </c>
      <c r="K805" s="1">
        <v>0.0</v>
      </c>
      <c r="L805" s="1">
        <v>14.0</v>
      </c>
      <c r="M805" s="1">
        <v>35.0</v>
      </c>
      <c r="N805" s="1">
        <v>7.0</v>
      </c>
      <c r="O805" s="1">
        <v>0.0</v>
      </c>
      <c r="P805" s="1">
        <v>0.0</v>
      </c>
      <c r="Q805" s="1">
        <v>0.0</v>
      </c>
      <c r="R805" s="1">
        <v>0.0</v>
      </c>
      <c r="S805" s="1">
        <v>-4.0</v>
      </c>
      <c r="T805" s="1">
        <v>19.0</v>
      </c>
      <c r="U805" s="1">
        <v>0.0</v>
      </c>
    </row>
    <row r="806" ht="12.75" customHeight="1">
      <c r="A806" s="1" t="s">
        <v>829</v>
      </c>
      <c r="B806" s="1">
        <f t="shared" si="3"/>
        <v>793</v>
      </c>
      <c r="C806" s="1" t="str">
        <f>IFERROR(__xludf.DUMMYFUNCTION("split(A806, ""\"")"),"Josh Leivo")</f>
        <v>Josh Leivo</v>
      </c>
      <c r="D806" s="1" t="str">
        <f>IFERROR(__xludf.DUMMYFUNCTION("""COMPUTED_VALUE"""),"leivojo01")</f>
        <v>leivojo01</v>
      </c>
      <c r="E806" s="1" t="s">
        <v>28</v>
      </c>
      <c r="F806" s="1">
        <f t="shared" si="1"/>
        <v>30.8</v>
      </c>
      <c r="G806" s="1">
        <f t="shared" si="2"/>
        <v>1.93</v>
      </c>
      <c r="H806" s="1">
        <v>16.0</v>
      </c>
      <c r="I806" s="1">
        <v>1.0</v>
      </c>
      <c r="J806" s="1">
        <v>3.0</v>
      </c>
      <c r="K806" s="1">
        <v>4.0</v>
      </c>
      <c r="L806" s="1">
        <v>25.0</v>
      </c>
      <c r="M806" s="1">
        <v>2.0</v>
      </c>
      <c r="N806" s="1">
        <v>5.0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6.0</v>
      </c>
      <c r="U806" s="1">
        <v>0.0</v>
      </c>
    </row>
    <row r="807" ht="12.75" customHeight="1">
      <c r="A807" s="1" t="s">
        <v>811</v>
      </c>
      <c r="B807" s="1">
        <f t="shared" si="3"/>
        <v>794</v>
      </c>
      <c r="C807" s="1" t="str">
        <f>IFERROR(__xludf.DUMMYFUNCTION("split(A807, ""\"")"),"Paul Ladue")</f>
        <v>Paul Ladue</v>
      </c>
      <c r="D807" s="1" t="str">
        <f>IFERROR(__xludf.DUMMYFUNCTION("""COMPUTED_VALUE"""),"laduepa01")</f>
        <v>laduepa01</v>
      </c>
      <c r="E807" s="1" t="s">
        <v>66</v>
      </c>
      <c r="F807" s="1">
        <f t="shared" si="1"/>
        <v>29.8</v>
      </c>
      <c r="G807" s="1">
        <f t="shared" si="2"/>
        <v>2.48</v>
      </c>
      <c r="H807" s="1">
        <v>12.0</v>
      </c>
      <c r="I807" s="1">
        <v>3.0</v>
      </c>
      <c r="J807" s="1">
        <v>1.0</v>
      </c>
      <c r="K807" s="1">
        <v>4.0</v>
      </c>
      <c r="L807" s="1">
        <v>13.0</v>
      </c>
      <c r="M807" s="1">
        <v>12.0</v>
      </c>
      <c r="N807" s="1">
        <v>11.0</v>
      </c>
      <c r="O807" s="1">
        <v>1.0</v>
      </c>
      <c r="P807" s="1">
        <v>0.0</v>
      </c>
      <c r="Q807" s="1">
        <v>0.0</v>
      </c>
      <c r="R807" s="1">
        <v>0.0</v>
      </c>
      <c r="S807" s="1">
        <v>5.0</v>
      </c>
      <c r="T807" s="1">
        <v>6.0</v>
      </c>
      <c r="U807" s="1">
        <v>2.0</v>
      </c>
    </row>
    <row r="808" ht="12.75" customHeight="1">
      <c r="A808" s="1" t="s">
        <v>796</v>
      </c>
      <c r="B808" s="1">
        <f t="shared" si="3"/>
        <v>795</v>
      </c>
      <c r="C808" s="1" t="str">
        <f>IFERROR(__xludf.DUMMYFUNCTION("split(A808, ""\"")"),"Jack Campbell")</f>
        <v>Jack Campbell</v>
      </c>
      <c r="D808" s="2" t="str">
        <f>IFERROR(__xludf.DUMMYFUNCTION("""COMPUTED_VALUE"""),"campbja01")</f>
        <v>campbja01</v>
      </c>
      <c r="E808" s="1" t="s">
        <v>5</v>
      </c>
      <c r="F808" s="1">
        <f t="shared" si="1"/>
        <v>29.7</v>
      </c>
      <c r="G808" s="1">
        <f t="shared" si="2"/>
        <v>5.94</v>
      </c>
      <c r="H808" s="1">
        <v>5.0</v>
      </c>
      <c r="V808" s="1">
        <v>4.0</v>
      </c>
      <c r="W808" s="1">
        <v>2.0</v>
      </c>
      <c r="X808" s="1">
        <v>0.0</v>
      </c>
      <c r="Y808" s="1">
        <v>11.0</v>
      </c>
      <c r="Z808" s="1">
        <v>145.0</v>
      </c>
      <c r="AA808" s="1">
        <v>134.0</v>
      </c>
      <c r="AB808" s="1">
        <v>0.0</v>
      </c>
    </row>
    <row r="809" ht="12.75" customHeight="1">
      <c r="A809" s="1" t="s">
        <v>841</v>
      </c>
      <c r="B809" s="1">
        <f t="shared" si="3"/>
        <v>796</v>
      </c>
      <c r="C809" s="1" t="str">
        <f>IFERROR(__xludf.DUMMYFUNCTION("split(A809, ""\"")"),"Jaycob Megna")</f>
        <v>Jaycob Megna</v>
      </c>
      <c r="D809" s="1" t="str">
        <f>IFERROR(__xludf.DUMMYFUNCTION("""COMPUTED_VALUE"""),"megnaja02")</f>
        <v>megnaja02</v>
      </c>
      <c r="E809" s="1" t="s">
        <v>66</v>
      </c>
      <c r="F809" s="1">
        <f t="shared" si="1"/>
        <v>29.6</v>
      </c>
      <c r="G809" s="1">
        <f t="shared" si="2"/>
        <v>2.11</v>
      </c>
      <c r="H809" s="1">
        <v>14.0</v>
      </c>
      <c r="I809" s="1">
        <v>0.0</v>
      </c>
      <c r="J809" s="1">
        <v>1.0</v>
      </c>
      <c r="K809" s="1">
        <v>1.0</v>
      </c>
      <c r="L809" s="1">
        <v>7.0</v>
      </c>
      <c r="M809" s="1">
        <v>6.0</v>
      </c>
      <c r="N809" s="1">
        <v>30.0</v>
      </c>
      <c r="O809" s="1">
        <v>0.0</v>
      </c>
      <c r="P809" s="1">
        <v>0.0</v>
      </c>
      <c r="Q809" s="1">
        <v>0.0</v>
      </c>
      <c r="R809" s="1">
        <v>0.0</v>
      </c>
      <c r="S809" s="1">
        <v>-4.0</v>
      </c>
      <c r="T809" s="1">
        <v>2.0</v>
      </c>
      <c r="U809" s="1">
        <v>0.0</v>
      </c>
    </row>
    <row r="810" ht="12.75" customHeight="1">
      <c r="A810" s="1" t="s">
        <v>795</v>
      </c>
      <c r="B810" s="1">
        <f t="shared" si="3"/>
        <v>797</v>
      </c>
      <c r="C810" s="1" t="str">
        <f>IFERROR(__xludf.DUMMYFUNCTION("split(A810, ""\"")"),"Nick Seeler")</f>
        <v>Nick Seeler</v>
      </c>
      <c r="D810" s="1" t="str">
        <f>IFERROR(__xludf.DUMMYFUNCTION("""COMPUTED_VALUE"""),"seeleni01")</f>
        <v>seeleni01</v>
      </c>
      <c r="E810" s="1" t="s">
        <v>66</v>
      </c>
      <c r="F810" s="1">
        <f t="shared" si="1"/>
        <v>29.3</v>
      </c>
      <c r="G810" s="1">
        <f t="shared" si="2"/>
        <v>1.33</v>
      </c>
      <c r="H810" s="1">
        <v>22.0</v>
      </c>
      <c r="I810" s="1">
        <v>0.0</v>
      </c>
      <c r="J810" s="1">
        <v>4.0</v>
      </c>
      <c r="K810" s="1">
        <v>4.0</v>
      </c>
      <c r="L810" s="1">
        <v>17.0</v>
      </c>
      <c r="M810" s="1">
        <v>20.0</v>
      </c>
      <c r="N810" s="1">
        <v>25.0</v>
      </c>
      <c r="O810" s="1">
        <v>0.0</v>
      </c>
      <c r="P810" s="1">
        <v>0.0</v>
      </c>
      <c r="Q810" s="1">
        <v>0.0</v>
      </c>
      <c r="R810" s="1">
        <v>0.0</v>
      </c>
      <c r="S810" s="1">
        <v>10.0</v>
      </c>
      <c r="T810" s="1">
        <v>21.0</v>
      </c>
      <c r="U810" s="1">
        <v>0.0</v>
      </c>
    </row>
    <row r="811" ht="12.75" customHeight="1">
      <c r="A811" s="1" t="s">
        <v>863</v>
      </c>
      <c r="B811" s="1">
        <f t="shared" si="3"/>
        <v>797</v>
      </c>
      <c r="C811" s="1" t="str">
        <f>IFERROR(__xludf.DUMMYFUNCTION("split(A811, ""\"")"),"Shane Prince")</f>
        <v>Shane Prince</v>
      </c>
      <c r="D811" s="1" t="str">
        <f>IFERROR(__xludf.DUMMYFUNCTION("""COMPUTED_VALUE"""),"princsh01")</f>
        <v>princsh01</v>
      </c>
      <c r="E811" s="1" t="s">
        <v>31</v>
      </c>
      <c r="F811" s="1">
        <f t="shared" si="1"/>
        <v>29.3</v>
      </c>
      <c r="G811" s="1">
        <f t="shared" si="2"/>
        <v>2.09</v>
      </c>
      <c r="H811" s="1">
        <v>14.0</v>
      </c>
      <c r="I811" s="1">
        <v>1.0</v>
      </c>
      <c r="J811" s="1">
        <v>1.0</v>
      </c>
      <c r="K811" s="1">
        <v>2.0</v>
      </c>
      <c r="L811" s="1">
        <v>20.0</v>
      </c>
      <c r="M811" s="1">
        <v>10.0</v>
      </c>
      <c r="N811" s="1">
        <v>3.0</v>
      </c>
      <c r="O811" s="1">
        <v>0.0</v>
      </c>
      <c r="P811" s="1">
        <v>0.0</v>
      </c>
      <c r="Q811" s="1">
        <v>0.0</v>
      </c>
      <c r="R811" s="1">
        <v>0.0</v>
      </c>
      <c r="S811" s="1">
        <v>-3.0</v>
      </c>
      <c r="T811" s="1">
        <v>11.0</v>
      </c>
      <c r="U811" s="1">
        <v>0.0</v>
      </c>
    </row>
    <row r="812" ht="12.75" customHeight="1">
      <c r="A812" s="1" t="s">
        <v>812</v>
      </c>
      <c r="B812" s="1">
        <f t="shared" si="3"/>
        <v>799</v>
      </c>
      <c r="C812" s="1" t="str">
        <f>IFERROR(__xludf.DUMMYFUNCTION("split(A812, ""\"")"),"David Warsofsky")</f>
        <v>David Warsofsky</v>
      </c>
      <c r="D812" s="1" t="str">
        <f>IFERROR(__xludf.DUMMYFUNCTION("""COMPUTED_VALUE"""),"warsoda01")</f>
        <v>warsoda01</v>
      </c>
      <c r="E812" s="1" t="s">
        <v>66</v>
      </c>
      <c r="F812" s="1">
        <f t="shared" si="1"/>
        <v>29.25</v>
      </c>
      <c r="G812" s="1">
        <f t="shared" si="2"/>
        <v>1.83</v>
      </c>
      <c r="H812" s="1">
        <v>16.0</v>
      </c>
      <c r="I812" s="1">
        <v>0.0</v>
      </c>
      <c r="J812" s="1">
        <v>5.0</v>
      </c>
      <c r="K812" s="1">
        <v>5.0</v>
      </c>
      <c r="L812" s="1">
        <v>18.0</v>
      </c>
      <c r="M812" s="1">
        <v>1.0</v>
      </c>
      <c r="N812" s="1">
        <v>22.0</v>
      </c>
      <c r="O812" s="1">
        <v>0.0</v>
      </c>
      <c r="P812" s="1">
        <v>0.0</v>
      </c>
      <c r="Q812" s="1">
        <v>0.0</v>
      </c>
      <c r="R812" s="1">
        <v>0.0</v>
      </c>
      <c r="S812" s="1">
        <v>4.0</v>
      </c>
      <c r="T812" s="1">
        <v>0.0</v>
      </c>
      <c r="U812" s="1">
        <v>0.0</v>
      </c>
    </row>
    <row r="813" ht="12.75" customHeight="1">
      <c r="A813" s="1" t="s">
        <v>854</v>
      </c>
      <c r="B813" s="1">
        <f t="shared" si="3"/>
        <v>800</v>
      </c>
      <c r="C813" s="1" t="str">
        <f>IFERROR(__xludf.DUMMYFUNCTION("split(A813, ""\"")"),"Jordan Schroeder")</f>
        <v>Jordan Schroeder</v>
      </c>
      <c r="D813" s="1" t="str">
        <f>IFERROR(__xludf.DUMMYFUNCTION("""COMPUTED_VALUE"""),"schrojo01")</f>
        <v>schrojo01</v>
      </c>
      <c r="E813" s="1" t="s">
        <v>31</v>
      </c>
      <c r="F813" s="1">
        <f t="shared" si="1"/>
        <v>29.2</v>
      </c>
      <c r="G813" s="1">
        <f t="shared" si="2"/>
        <v>1.39</v>
      </c>
      <c r="H813" s="1">
        <v>21.0</v>
      </c>
      <c r="I813" s="1">
        <v>1.0</v>
      </c>
      <c r="J813" s="1">
        <v>1.0</v>
      </c>
      <c r="K813" s="1">
        <v>2.0</v>
      </c>
      <c r="L813" s="1">
        <v>20.0</v>
      </c>
      <c r="M813" s="1">
        <v>14.0</v>
      </c>
      <c r="N813" s="1">
        <v>2.0</v>
      </c>
      <c r="O813" s="1">
        <v>0.0</v>
      </c>
      <c r="P813" s="1">
        <v>0.0</v>
      </c>
      <c r="Q813" s="1">
        <v>0.0</v>
      </c>
      <c r="R813" s="1">
        <v>0.0</v>
      </c>
      <c r="S813" s="1">
        <v>-4.0</v>
      </c>
      <c r="T813" s="1">
        <v>4.0</v>
      </c>
      <c r="U813" s="1">
        <v>0.0</v>
      </c>
    </row>
    <row r="814" ht="12.75" customHeight="1">
      <c r="A814" s="1" t="s">
        <v>839</v>
      </c>
      <c r="B814" s="1">
        <f t="shared" si="3"/>
        <v>801</v>
      </c>
      <c r="C814" s="1" t="str">
        <f>IFERROR(__xludf.DUMMYFUNCTION("split(A814, ""\"")"),"Andreas Martinsen")</f>
        <v>Andreas Martinsen</v>
      </c>
      <c r="D814" s="1" t="str">
        <f>IFERROR(__xludf.DUMMYFUNCTION("""COMPUTED_VALUE"""),"martian01")</f>
        <v>martian01</v>
      </c>
      <c r="E814" s="1" t="s">
        <v>28</v>
      </c>
      <c r="F814" s="1">
        <f t="shared" si="1"/>
        <v>28.85</v>
      </c>
      <c r="G814" s="1">
        <f t="shared" si="2"/>
        <v>3.21</v>
      </c>
      <c r="H814" s="1">
        <v>9.0</v>
      </c>
      <c r="I814" s="1">
        <v>1.0</v>
      </c>
      <c r="J814" s="1">
        <v>0.0</v>
      </c>
      <c r="K814" s="1">
        <v>1.0</v>
      </c>
      <c r="L814" s="1">
        <v>14.0</v>
      </c>
      <c r="M814" s="1">
        <v>35.0</v>
      </c>
      <c r="N814" s="1">
        <v>4.0</v>
      </c>
      <c r="O814" s="1">
        <v>0.0</v>
      </c>
      <c r="P814" s="1">
        <v>0.0</v>
      </c>
      <c r="Q814" s="1">
        <v>0.0</v>
      </c>
      <c r="R814" s="1">
        <v>0.0</v>
      </c>
      <c r="S814" s="1">
        <v>-1.0</v>
      </c>
      <c r="T814" s="1">
        <v>17.0</v>
      </c>
      <c r="U814" s="1">
        <v>0.0</v>
      </c>
    </row>
    <row r="815" ht="12.75" customHeight="1">
      <c r="A815" s="1" t="s">
        <v>835</v>
      </c>
      <c r="B815" s="1">
        <f t="shared" si="3"/>
        <v>802</v>
      </c>
      <c r="C815" s="1" t="str">
        <f>IFERROR(__xludf.DUMMYFUNCTION("split(A815, ""\"")"),"Daniel O'Regan")</f>
        <v>Daniel O'Regan</v>
      </c>
      <c r="D815" s="1" t="str">
        <f>IFERROR(__xludf.DUMMYFUNCTION("""COMPUTED_VALUE"""),"oregada01")</f>
        <v>oregada01</v>
      </c>
      <c r="E815" s="1" t="s">
        <v>31</v>
      </c>
      <c r="F815" s="1">
        <f t="shared" si="1"/>
        <v>28.35</v>
      </c>
      <c r="G815" s="1">
        <f t="shared" si="2"/>
        <v>1.35</v>
      </c>
      <c r="H815" s="1">
        <v>21.0</v>
      </c>
      <c r="I815" s="1">
        <v>0.0</v>
      </c>
      <c r="J815" s="1">
        <v>4.0</v>
      </c>
      <c r="K815" s="1">
        <v>4.0</v>
      </c>
      <c r="L815" s="1">
        <v>17.0</v>
      </c>
      <c r="M815" s="1">
        <v>5.0</v>
      </c>
      <c r="N815" s="1">
        <v>6.0</v>
      </c>
      <c r="O815" s="1">
        <v>0.0</v>
      </c>
      <c r="P815" s="1">
        <v>1.0</v>
      </c>
      <c r="Q815" s="1">
        <v>0.0</v>
      </c>
      <c r="R815" s="1">
        <v>0.0</v>
      </c>
      <c r="S815" s="1">
        <v>-2.0</v>
      </c>
      <c r="T815" s="1">
        <v>2.0</v>
      </c>
      <c r="U815" s="1">
        <v>0.0</v>
      </c>
    </row>
    <row r="816" ht="12.75" customHeight="1">
      <c r="A816" s="1" t="s">
        <v>833</v>
      </c>
      <c r="B816" s="1">
        <f t="shared" si="3"/>
        <v>803</v>
      </c>
      <c r="C816" s="1" t="str">
        <f>IFERROR(__xludf.DUMMYFUNCTION("split(A816, ""\"")"),"Andreas Johnsson")</f>
        <v>Andreas Johnsson</v>
      </c>
      <c r="D816" s="1" t="str">
        <f>IFERROR(__xludf.DUMMYFUNCTION("""COMPUTED_VALUE"""),"johnsan01")</f>
        <v>johnsan01</v>
      </c>
      <c r="E816" s="1" t="s">
        <v>28</v>
      </c>
      <c r="F816" s="1">
        <f t="shared" si="1"/>
        <v>28.25</v>
      </c>
      <c r="G816" s="1">
        <f t="shared" si="2"/>
        <v>3.14</v>
      </c>
      <c r="H816" s="1">
        <v>9.0</v>
      </c>
      <c r="I816" s="1">
        <v>2.0</v>
      </c>
      <c r="J816" s="1">
        <v>1.0</v>
      </c>
      <c r="K816" s="1">
        <v>3.0</v>
      </c>
      <c r="L816" s="1">
        <v>19.0</v>
      </c>
      <c r="M816" s="1">
        <v>5.0</v>
      </c>
      <c r="N816" s="1">
        <v>5.0</v>
      </c>
      <c r="O816" s="1">
        <v>0.0</v>
      </c>
      <c r="P816" s="1">
        <v>1.0</v>
      </c>
      <c r="Q816" s="1">
        <v>0.0</v>
      </c>
      <c r="R816" s="1">
        <v>0.0</v>
      </c>
      <c r="S816" s="1">
        <v>-2.0</v>
      </c>
      <c r="T816" s="1">
        <v>0.0</v>
      </c>
      <c r="U816" s="1">
        <v>0.0</v>
      </c>
    </row>
    <row r="817" ht="12.75" customHeight="1">
      <c r="A817" s="1" t="s">
        <v>855</v>
      </c>
      <c r="B817" s="1">
        <f t="shared" si="3"/>
        <v>804</v>
      </c>
      <c r="C817" s="1" t="str">
        <f>IFERROR(__xludf.DUMMYFUNCTION("split(A817, ""\"")"),"Christian Wolanin")</f>
        <v>Christian Wolanin</v>
      </c>
      <c r="D817" s="1" t="str">
        <f>IFERROR(__xludf.DUMMYFUNCTION("""COMPUTED_VALUE"""),"wolanch01")</f>
        <v>wolanch01</v>
      </c>
      <c r="E817" s="1" t="s">
        <v>66</v>
      </c>
      <c r="F817" s="1">
        <f t="shared" si="1"/>
        <v>27.25</v>
      </c>
      <c r="G817" s="1">
        <f t="shared" si="2"/>
        <v>2.73</v>
      </c>
      <c r="H817" s="1">
        <v>10.0</v>
      </c>
      <c r="I817" s="1">
        <v>1.0</v>
      </c>
      <c r="J817" s="1">
        <v>2.0</v>
      </c>
      <c r="K817" s="1">
        <v>3.0</v>
      </c>
      <c r="L817" s="1">
        <v>14.0</v>
      </c>
      <c r="M817" s="1">
        <v>5.0</v>
      </c>
      <c r="N817" s="1">
        <v>5.0</v>
      </c>
      <c r="O817" s="1">
        <v>0.0</v>
      </c>
      <c r="P817" s="1">
        <v>0.0</v>
      </c>
      <c r="Q817" s="1">
        <v>0.0</v>
      </c>
      <c r="R817" s="1">
        <v>0.0</v>
      </c>
      <c r="S817" s="1">
        <v>-4.0</v>
      </c>
      <c r="T817" s="1">
        <v>0.0</v>
      </c>
      <c r="U817" s="1">
        <v>0.0</v>
      </c>
    </row>
    <row r="818" ht="12.75" customHeight="1">
      <c r="A818" s="1" t="s">
        <v>843</v>
      </c>
      <c r="B818" s="1">
        <f t="shared" si="3"/>
        <v>805</v>
      </c>
      <c r="C818" s="1" t="str">
        <f>IFERROR(__xludf.DUMMYFUNCTION("split(A818, ""\"")"),"Nikita Soshnikov")</f>
        <v>Nikita Soshnikov</v>
      </c>
      <c r="D818" s="1" t="str">
        <f>IFERROR(__xludf.DUMMYFUNCTION("""COMPUTED_VALUE"""),"soshnni01")</f>
        <v>soshnni01</v>
      </c>
      <c r="E818" s="1" t="s">
        <v>36</v>
      </c>
      <c r="F818" s="1">
        <f t="shared" si="1"/>
        <v>27.2</v>
      </c>
      <c r="G818" s="1">
        <f t="shared" si="2"/>
        <v>1.81</v>
      </c>
      <c r="H818" s="1">
        <v>15.0</v>
      </c>
      <c r="I818" s="1">
        <v>1.0</v>
      </c>
      <c r="J818" s="1">
        <v>1.0</v>
      </c>
      <c r="K818" s="1">
        <v>2.0</v>
      </c>
      <c r="L818" s="1">
        <v>17.0</v>
      </c>
      <c r="M818" s="1">
        <v>24.0</v>
      </c>
      <c r="N818" s="1">
        <v>2.0</v>
      </c>
      <c r="O818" s="1">
        <v>0.0</v>
      </c>
      <c r="P818" s="1">
        <v>0.0</v>
      </c>
      <c r="Q818" s="1">
        <v>0.0</v>
      </c>
      <c r="R818" s="1">
        <v>0.0</v>
      </c>
      <c r="S818" s="1">
        <v>-2.0</v>
      </c>
      <c r="T818" s="1">
        <v>4.0</v>
      </c>
      <c r="U818" s="1">
        <v>0.0</v>
      </c>
    </row>
    <row r="819" ht="12.75" customHeight="1">
      <c r="A819" s="1" t="s">
        <v>846</v>
      </c>
      <c r="B819" s="1">
        <f t="shared" si="3"/>
        <v>806</v>
      </c>
      <c r="C819" s="1" t="str">
        <f>IFERROR(__xludf.DUMMYFUNCTION("split(A819, ""\"")"),"Kailer Yamamoto")</f>
        <v>Kailer Yamamoto</v>
      </c>
      <c r="D819" s="1" t="str">
        <f>IFERROR(__xludf.DUMMYFUNCTION("""COMPUTED_VALUE"""),"yamamka01")</f>
        <v>yamamka01</v>
      </c>
      <c r="E819" s="1" t="s">
        <v>36</v>
      </c>
      <c r="F819" s="1">
        <f t="shared" si="1"/>
        <v>27.1</v>
      </c>
      <c r="G819" s="1">
        <f t="shared" si="2"/>
        <v>3.01</v>
      </c>
      <c r="H819" s="1">
        <v>9.0</v>
      </c>
      <c r="I819" s="1">
        <v>0.0</v>
      </c>
      <c r="J819" s="1">
        <v>3.0</v>
      </c>
      <c r="K819" s="1">
        <v>3.0</v>
      </c>
      <c r="L819" s="1">
        <v>23.0</v>
      </c>
      <c r="M819" s="1">
        <v>6.0</v>
      </c>
      <c r="N819" s="1">
        <v>3.0</v>
      </c>
      <c r="O819" s="1">
        <v>0.0</v>
      </c>
      <c r="P819" s="1">
        <v>1.0</v>
      </c>
      <c r="Q819" s="1">
        <v>0.0</v>
      </c>
      <c r="R819" s="1">
        <v>0.0</v>
      </c>
      <c r="S819" s="1">
        <v>-2.0</v>
      </c>
      <c r="T819" s="1">
        <v>2.0</v>
      </c>
      <c r="U819" s="1">
        <v>0.0</v>
      </c>
    </row>
    <row r="820" ht="12.75" customHeight="1">
      <c r="A820" s="1" t="s">
        <v>842</v>
      </c>
      <c r="B820" s="1">
        <f t="shared" si="3"/>
        <v>807</v>
      </c>
      <c r="C820" s="1" t="str">
        <f>IFERROR(__xludf.DUMMYFUNCTION("split(A820, ""\"")"),"Matt Read")</f>
        <v>Matt Read</v>
      </c>
      <c r="D820" s="1" t="str">
        <f>IFERROR(__xludf.DUMMYFUNCTION("""COMPUTED_VALUE"""),"readma01")</f>
        <v>readma01</v>
      </c>
      <c r="E820" s="1" t="s">
        <v>36</v>
      </c>
      <c r="F820" s="1">
        <f t="shared" si="1"/>
        <v>26.85</v>
      </c>
      <c r="G820" s="1">
        <f t="shared" si="2"/>
        <v>1.41</v>
      </c>
      <c r="H820" s="1">
        <v>19.0</v>
      </c>
      <c r="I820" s="1">
        <v>1.0</v>
      </c>
      <c r="J820" s="1">
        <v>0.0</v>
      </c>
      <c r="K820" s="1">
        <v>1.0</v>
      </c>
      <c r="L820" s="1">
        <v>16.0</v>
      </c>
      <c r="M820" s="1">
        <v>21.0</v>
      </c>
      <c r="N820" s="1">
        <v>11.0</v>
      </c>
      <c r="O820" s="1">
        <v>0.0</v>
      </c>
      <c r="P820" s="1">
        <v>0.0</v>
      </c>
      <c r="Q820" s="1">
        <v>0.0</v>
      </c>
      <c r="R820" s="1">
        <v>0.0</v>
      </c>
      <c r="S820" s="1">
        <v>-2.0</v>
      </c>
      <c r="T820" s="1">
        <v>2.0</v>
      </c>
      <c r="U820" s="1">
        <v>0.0</v>
      </c>
    </row>
    <row r="821" ht="12.75" customHeight="1">
      <c r="A821" s="1" t="s">
        <v>906</v>
      </c>
      <c r="B821" s="1">
        <f t="shared" si="3"/>
        <v>808</v>
      </c>
      <c r="C821" s="1" t="str">
        <f>IFERROR(__xludf.DUMMYFUNCTION("split(A821, ""\"")"),"Matt Moulson")</f>
        <v>Matt Moulson</v>
      </c>
      <c r="D821" s="1" t="str">
        <f>IFERROR(__xludf.DUMMYFUNCTION("""COMPUTED_VALUE"""),"moulsma01")</f>
        <v>moulsma01</v>
      </c>
      <c r="E821" s="1" t="s">
        <v>28</v>
      </c>
      <c r="F821" s="1">
        <f t="shared" si="1"/>
        <v>26.6</v>
      </c>
      <c r="G821" s="1">
        <f t="shared" si="2"/>
        <v>1.9</v>
      </c>
      <c r="H821" s="1">
        <v>14.0</v>
      </c>
      <c r="I821" s="1">
        <v>0.0</v>
      </c>
      <c r="J821" s="1">
        <v>0.0</v>
      </c>
      <c r="K821" s="1">
        <v>0.0</v>
      </c>
      <c r="L821" s="1">
        <v>13.0</v>
      </c>
      <c r="M821" s="1">
        <v>8.0</v>
      </c>
      <c r="N821" s="1">
        <v>8.0</v>
      </c>
      <c r="O821" s="1">
        <v>0.0</v>
      </c>
      <c r="P821" s="1">
        <v>0.0</v>
      </c>
      <c r="Q821" s="1">
        <v>0.0</v>
      </c>
      <c r="R821" s="1">
        <v>0.0</v>
      </c>
      <c r="S821" s="1">
        <v>-9.0</v>
      </c>
      <c r="T821" s="1">
        <v>2.0</v>
      </c>
      <c r="U821" s="1">
        <v>0.0</v>
      </c>
    </row>
    <row r="822" ht="12.75" customHeight="1">
      <c r="A822" s="1" t="s">
        <v>831</v>
      </c>
      <c r="B822" s="1">
        <f t="shared" si="3"/>
        <v>809</v>
      </c>
      <c r="C822" s="1" t="str">
        <f>IFERROR(__xludf.DUMMYFUNCTION("split(A822, ""\"")"),"Daniel Sprong")</f>
        <v>Daniel Sprong</v>
      </c>
      <c r="D822" s="1" t="str">
        <f>IFERROR(__xludf.DUMMYFUNCTION("""COMPUTED_VALUE"""),"spronda01")</f>
        <v>spronda01</v>
      </c>
      <c r="E822" s="1" t="s">
        <v>36</v>
      </c>
      <c r="F822" s="1">
        <f t="shared" si="1"/>
        <v>26.25</v>
      </c>
      <c r="G822" s="1">
        <f t="shared" si="2"/>
        <v>3.28</v>
      </c>
      <c r="H822" s="1">
        <v>8.0</v>
      </c>
      <c r="I822" s="1">
        <v>2.0</v>
      </c>
      <c r="J822" s="1">
        <v>1.0</v>
      </c>
      <c r="K822" s="1">
        <v>3.0</v>
      </c>
      <c r="L822" s="1">
        <v>22.0</v>
      </c>
      <c r="M822" s="1">
        <v>9.0</v>
      </c>
      <c r="N822" s="1">
        <v>4.0</v>
      </c>
      <c r="O822" s="1">
        <v>0.0</v>
      </c>
      <c r="P822" s="1">
        <v>0.0</v>
      </c>
      <c r="Q822" s="1">
        <v>0.0</v>
      </c>
      <c r="R822" s="1">
        <v>0.0</v>
      </c>
      <c r="S822" s="1">
        <v>2.0</v>
      </c>
      <c r="T822" s="1">
        <v>0.0</v>
      </c>
      <c r="U822" s="1">
        <v>1.0</v>
      </c>
    </row>
    <row r="823" ht="12.75" customHeight="1">
      <c r="A823" s="1" t="s">
        <v>794</v>
      </c>
      <c r="B823" s="1">
        <f t="shared" si="3"/>
        <v>810</v>
      </c>
      <c r="C823" s="1" t="str">
        <f>IFERROR(__xludf.DUMMYFUNCTION("split(A823, ""\"")"),"Peter Budaj")</f>
        <v>Peter Budaj</v>
      </c>
      <c r="D823" s="2" t="str">
        <f>IFERROR(__xludf.DUMMYFUNCTION("""COMPUTED_VALUE"""),"budajpe01")</f>
        <v>budajpe01</v>
      </c>
      <c r="E823" s="1" t="s">
        <v>5</v>
      </c>
      <c r="F823" s="1">
        <f t="shared" si="1"/>
        <v>25.5</v>
      </c>
      <c r="G823" s="1">
        <f t="shared" si="2"/>
        <v>3.19</v>
      </c>
      <c r="H823" s="1">
        <v>8.0</v>
      </c>
      <c r="V823" s="1">
        <v>7.0</v>
      </c>
      <c r="W823" s="1">
        <v>3.0</v>
      </c>
      <c r="X823" s="1">
        <v>3.0</v>
      </c>
      <c r="Y823" s="1">
        <v>27.0</v>
      </c>
      <c r="Z823" s="1">
        <v>217.0</v>
      </c>
      <c r="AA823" s="1">
        <v>190.0</v>
      </c>
      <c r="AB823" s="1">
        <v>0.0</v>
      </c>
    </row>
    <row r="824" ht="12.75" customHeight="1">
      <c r="A824" s="1" t="s">
        <v>819</v>
      </c>
      <c r="B824" s="1">
        <f t="shared" si="3"/>
        <v>810</v>
      </c>
      <c r="C824" s="1" t="str">
        <f>IFERROR(__xludf.DUMMYFUNCTION("split(A824, ""\"")"),"Linus Ullmark")</f>
        <v>Linus Ullmark</v>
      </c>
      <c r="D824" s="2" t="str">
        <f>IFERROR(__xludf.DUMMYFUNCTION("""COMPUTED_VALUE"""),"ullmali01")</f>
        <v>ullmali01</v>
      </c>
      <c r="E824" s="1" t="s">
        <v>5</v>
      </c>
      <c r="F824" s="1">
        <f t="shared" si="1"/>
        <v>25.5</v>
      </c>
      <c r="G824" s="1">
        <f t="shared" si="2"/>
        <v>5.1</v>
      </c>
      <c r="H824" s="1">
        <v>5.0</v>
      </c>
      <c r="V824" s="1">
        <v>3.0</v>
      </c>
      <c r="W824" s="1">
        <v>1.0</v>
      </c>
      <c r="X824" s="1">
        <v>2.0</v>
      </c>
      <c r="Y824" s="1">
        <v>8.0</v>
      </c>
      <c r="Z824" s="1">
        <v>123.0</v>
      </c>
      <c r="AA824" s="1">
        <v>115.0</v>
      </c>
      <c r="AB824" s="1">
        <v>0.0</v>
      </c>
    </row>
    <row r="825" ht="12.75" customHeight="1">
      <c r="A825" s="1" t="s">
        <v>828</v>
      </c>
      <c r="B825" s="1">
        <f t="shared" si="3"/>
        <v>810</v>
      </c>
      <c r="C825" s="1" t="str">
        <f>IFERROR(__xludf.DUMMYFUNCTION("split(A825, ""\"")"),"Nikolai Kulemin")</f>
        <v>Nikolai Kulemin</v>
      </c>
      <c r="D825" s="1" t="str">
        <f>IFERROR(__xludf.DUMMYFUNCTION("""COMPUTED_VALUE"""),"kulemni01")</f>
        <v>kulemni01</v>
      </c>
      <c r="E825" s="1" t="s">
        <v>28</v>
      </c>
      <c r="F825" s="1">
        <f t="shared" si="1"/>
        <v>25.5</v>
      </c>
      <c r="G825" s="1">
        <f t="shared" si="2"/>
        <v>1.96</v>
      </c>
      <c r="H825" s="1">
        <v>13.0</v>
      </c>
      <c r="I825" s="1">
        <v>1.0</v>
      </c>
      <c r="J825" s="1">
        <v>2.0</v>
      </c>
      <c r="K825" s="1">
        <v>3.0</v>
      </c>
      <c r="L825" s="1">
        <v>7.0</v>
      </c>
      <c r="M825" s="1">
        <v>16.0</v>
      </c>
      <c r="N825" s="1">
        <v>15.0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</row>
    <row r="826" ht="12.75" customHeight="1">
      <c r="A826" s="1" t="s">
        <v>827</v>
      </c>
      <c r="B826" s="1">
        <f t="shared" si="3"/>
        <v>813</v>
      </c>
      <c r="C826" s="1" t="str">
        <f>IFERROR(__xludf.DUMMYFUNCTION("split(A826, ""\"")"),"Andrei Mironov")</f>
        <v>Andrei Mironov</v>
      </c>
      <c r="D826" s="1" t="str">
        <f>IFERROR(__xludf.DUMMYFUNCTION("""COMPUTED_VALUE"""),"mironan01")</f>
        <v>mironan01</v>
      </c>
      <c r="E826" s="1" t="s">
        <v>66</v>
      </c>
      <c r="F826" s="1">
        <f t="shared" si="1"/>
        <v>25.35</v>
      </c>
      <c r="G826" s="1">
        <f t="shared" si="2"/>
        <v>2.54</v>
      </c>
      <c r="H826" s="1">
        <v>10.0</v>
      </c>
      <c r="I826" s="1">
        <v>1.0</v>
      </c>
      <c r="J826" s="1">
        <v>2.0</v>
      </c>
      <c r="K826" s="1">
        <v>3.0</v>
      </c>
      <c r="L826" s="1">
        <v>3.0</v>
      </c>
      <c r="M826" s="1">
        <v>19.0</v>
      </c>
      <c r="N826" s="1">
        <v>16.0</v>
      </c>
      <c r="O826" s="1">
        <v>0.0</v>
      </c>
      <c r="P826" s="1">
        <v>0.0</v>
      </c>
      <c r="Q826" s="1">
        <v>0.0</v>
      </c>
      <c r="R826" s="1">
        <v>0.0</v>
      </c>
      <c r="S826" s="1">
        <v>2.0</v>
      </c>
      <c r="T826" s="1">
        <v>12.0</v>
      </c>
      <c r="U826" s="1">
        <v>0.0</v>
      </c>
    </row>
    <row r="827" ht="12.75" customHeight="1">
      <c r="A827" s="1" t="s">
        <v>878</v>
      </c>
      <c r="B827" s="1">
        <f t="shared" si="3"/>
        <v>814</v>
      </c>
      <c r="C827" s="1" t="str">
        <f>IFERROR(__xludf.DUMMYFUNCTION("split(A827, ""\"")"),"Brooks Laich")</f>
        <v>Brooks Laich</v>
      </c>
      <c r="D827" s="1" t="str">
        <f>IFERROR(__xludf.DUMMYFUNCTION("""COMPUTED_VALUE"""),"laichbr01")</f>
        <v>laichbr01</v>
      </c>
      <c r="E827" s="1" t="s">
        <v>31</v>
      </c>
      <c r="F827" s="1">
        <f t="shared" si="1"/>
        <v>25.3</v>
      </c>
      <c r="G827" s="1">
        <f t="shared" si="2"/>
        <v>2.11</v>
      </c>
      <c r="H827" s="1">
        <v>12.0</v>
      </c>
      <c r="I827" s="1">
        <v>0.0</v>
      </c>
      <c r="J827" s="1">
        <v>1.0</v>
      </c>
      <c r="K827" s="1">
        <v>1.0</v>
      </c>
      <c r="L827" s="1">
        <v>10.0</v>
      </c>
      <c r="M827" s="1">
        <v>22.0</v>
      </c>
      <c r="N827" s="1">
        <v>5.0</v>
      </c>
      <c r="O827" s="1">
        <v>0.0</v>
      </c>
      <c r="P827" s="1">
        <v>0.0</v>
      </c>
      <c r="Q827" s="1">
        <v>0.0</v>
      </c>
      <c r="R827" s="1">
        <v>0.0</v>
      </c>
      <c r="S827" s="1">
        <v>-5.0</v>
      </c>
      <c r="T827" s="1">
        <v>6.0</v>
      </c>
      <c r="U827" s="1">
        <v>0.0</v>
      </c>
    </row>
    <row r="828" ht="12.75" customHeight="1">
      <c r="A828" s="1" t="s">
        <v>889</v>
      </c>
      <c r="B828" s="1">
        <f t="shared" si="3"/>
        <v>815</v>
      </c>
      <c r="C828" s="1" t="str">
        <f>IFERROR(__xludf.DUMMYFUNCTION("split(A828, ""\"")"),"Owen Tippett")</f>
        <v>Owen Tippett</v>
      </c>
      <c r="D828" s="1" t="str">
        <f>IFERROR(__xludf.DUMMYFUNCTION("""COMPUTED_VALUE"""),"tippeow01")</f>
        <v>tippeow01</v>
      </c>
      <c r="E828" s="1" t="s">
        <v>36</v>
      </c>
      <c r="F828" s="1">
        <f t="shared" si="1"/>
        <v>24.75</v>
      </c>
      <c r="G828" s="1">
        <f t="shared" si="2"/>
        <v>3.54</v>
      </c>
      <c r="H828" s="1">
        <v>7.0</v>
      </c>
      <c r="I828" s="1">
        <v>1.0</v>
      </c>
      <c r="J828" s="1">
        <v>0.0</v>
      </c>
      <c r="K828" s="1">
        <v>1.0</v>
      </c>
      <c r="L828" s="1">
        <v>17.0</v>
      </c>
      <c r="M828" s="1">
        <v>3.0</v>
      </c>
      <c r="N828" s="1">
        <v>4.0</v>
      </c>
      <c r="O828" s="1">
        <v>0.0</v>
      </c>
      <c r="P828" s="1">
        <v>0.0</v>
      </c>
      <c r="Q828" s="1">
        <v>0.0</v>
      </c>
      <c r="R828" s="1">
        <v>0.0</v>
      </c>
      <c r="S828" s="1">
        <v>-6.0</v>
      </c>
      <c r="T828" s="1">
        <v>0.0</v>
      </c>
      <c r="U828" s="1">
        <v>0.0</v>
      </c>
    </row>
    <row r="829" ht="12.75" customHeight="1">
      <c r="A829" s="1" t="s">
        <v>877</v>
      </c>
      <c r="B829" s="1">
        <f t="shared" si="3"/>
        <v>816</v>
      </c>
      <c r="C829" s="1" t="str">
        <f>IFERROR(__xludf.DUMMYFUNCTION("split(A829, ""\"")"),"Dryden Hunt")</f>
        <v>Dryden Hunt</v>
      </c>
      <c r="D829" s="1" t="str">
        <f>IFERROR(__xludf.DUMMYFUNCTION("""COMPUTED_VALUE"""),"huntdr01")</f>
        <v>huntdr01</v>
      </c>
      <c r="E829" s="1" t="s">
        <v>28</v>
      </c>
      <c r="F829" s="1">
        <f t="shared" si="1"/>
        <v>24.6</v>
      </c>
      <c r="G829" s="1">
        <f t="shared" si="2"/>
        <v>2.24</v>
      </c>
      <c r="H829" s="1">
        <v>11.0</v>
      </c>
      <c r="I829" s="1">
        <v>0.0</v>
      </c>
      <c r="J829" s="1">
        <v>1.0</v>
      </c>
      <c r="K829" s="1">
        <v>1.0</v>
      </c>
      <c r="L829" s="1">
        <v>12.0</v>
      </c>
      <c r="M829" s="1">
        <v>22.0</v>
      </c>
      <c r="N829" s="1">
        <v>4.0</v>
      </c>
      <c r="O829" s="1">
        <v>0.0</v>
      </c>
      <c r="P829" s="1">
        <v>0.0</v>
      </c>
      <c r="Q829" s="1">
        <v>0.0</v>
      </c>
      <c r="R829" s="1">
        <v>0.0</v>
      </c>
      <c r="S829" s="1">
        <v>-5.0</v>
      </c>
      <c r="T829" s="1">
        <v>2.0</v>
      </c>
      <c r="U829" s="1">
        <v>0.0</v>
      </c>
    </row>
    <row r="830" ht="12.75" customHeight="1">
      <c r="A830" s="1" t="s">
        <v>813</v>
      </c>
      <c r="B830" s="1">
        <f t="shared" si="3"/>
        <v>817</v>
      </c>
      <c r="C830" s="1" t="str">
        <f>IFERROR(__xludf.DUMMYFUNCTION("split(A830, ""\"")"),"Matthew Peca")</f>
        <v>Matthew Peca</v>
      </c>
      <c r="D830" s="1" t="str">
        <f>IFERROR(__xludf.DUMMYFUNCTION("""COMPUTED_VALUE"""),"pecama01")</f>
        <v>pecama01</v>
      </c>
      <c r="E830" s="1" t="s">
        <v>31</v>
      </c>
      <c r="F830" s="1">
        <f t="shared" si="1"/>
        <v>24.25</v>
      </c>
      <c r="G830" s="1">
        <f t="shared" si="2"/>
        <v>2.43</v>
      </c>
      <c r="H830" s="1">
        <v>10.0</v>
      </c>
      <c r="I830" s="1">
        <v>2.0</v>
      </c>
      <c r="J830" s="1">
        <v>3.0</v>
      </c>
      <c r="K830" s="1">
        <v>5.0</v>
      </c>
      <c r="L830" s="1">
        <v>17.0</v>
      </c>
      <c r="M830" s="1">
        <v>11.0</v>
      </c>
      <c r="N830" s="1">
        <v>8.0</v>
      </c>
      <c r="O830" s="1">
        <v>0.0</v>
      </c>
      <c r="P830" s="1">
        <v>0.0</v>
      </c>
      <c r="Q830" s="1">
        <v>0.0</v>
      </c>
      <c r="R830" s="1">
        <v>0.0</v>
      </c>
      <c r="S830" s="1">
        <v>6.0</v>
      </c>
      <c r="T830" s="1">
        <v>0.0</v>
      </c>
      <c r="U830" s="1">
        <v>0.0</v>
      </c>
    </row>
    <row r="831" ht="12.75" customHeight="1">
      <c r="A831" s="1" t="s">
        <v>856</v>
      </c>
      <c r="B831" s="1">
        <f t="shared" si="3"/>
        <v>818</v>
      </c>
      <c r="C831" s="1" t="str">
        <f>IFERROR(__xludf.DUMMYFUNCTION("split(A831, ""\"")"),"Carl Dahlstrom")</f>
        <v>Carl Dahlstrom</v>
      </c>
      <c r="D831" s="1" t="str">
        <f>IFERROR(__xludf.DUMMYFUNCTION("""COMPUTED_VALUE"""),"dahlsca01")</f>
        <v>dahlsca01</v>
      </c>
      <c r="E831" s="1" t="s">
        <v>66</v>
      </c>
      <c r="F831" s="1">
        <f t="shared" si="1"/>
        <v>24</v>
      </c>
      <c r="G831" s="1">
        <f t="shared" si="2"/>
        <v>2.18</v>
      </c>
      <c r="H831" s="1">
        <v>11.0</v>
      </c>
      <c r="I831" s="1">
        <v>0.0</v>
      </c>
      <c r="J831" s="1">
        <v>3.0</v>
      </c>
      <c r="K831" s="1">
        <v>3.0</v>
      </c>
      <c r="L831" s="1">
        <v>12.0</v>
      </c>
      <c r="M831" s="1">
        <v>6.0</v>
      </c>
      <c r="N831" s="1">
        <v>9.0</v>
      </c>
      <c r="O831" s="1">
        <v>0.0</v>
      </c>
      <c r="P831" s="1">
        <v>0.0</v>
      </c>
      <c r="Q831" s="1">
        <v>0.0</v>
      </c>
      <c r="R831" s="1">
        <v>0.0</v>
      </c>
      <c r="S831" s="1">
        <v>-2.0</v>
      </c>
      <c r="T831" s="1">
        <v>0.0</v>
      </c>
      <c r="U831" s="1">
        <v>0.0</v>
      </c>
    </row>
    <row r="832" ht="12.75" customHeight="1">
      <c r="A832" s="1" t="s">
        <v>862</v>
      </c>
      <c r="B832" s="1">
        <f t="shared" si="3"/>
        <v>819</v>
      </c>
      <c r="C832" s="1" t="str">
        <f>IFERROR(__xludf.DUMMYFUNCTION("split(A832, ""\"")"),"Jason Garrison")</f>
        <v>Jason Garrison</v>
      </c>
      <c r="D832" s="1" t="str">
        <f>IFERROR(__xludf.DUMMYFUNCTION("""COMPUTED_VALUE"""),"garrija01")</f>
        <v>garrija01</v>
      </c>
      <c r="E832" s="1" t="s">
        <v>66</v>
      </c>
      <c r="F832" s="1">
        <f t="shared" si="1"/>
        <v>23.95</v>
      </c>
      <c r="G832" s="1">
        <f t="shared" si="2"/>
        <v>2.99</v>
      </c>
      <c r="H832" s="1">
        <v>8.0</v>
      </c>
      <c r="I832" s="1">
        <v>0.0</v>
      </c>
      <c r="J832" s="1">
        <v>1.0</v>
      </c>
      <c r="K832" s="1">
        <v>1.0</v>
      </c>
      <c r="L832" s="1">
        <v>7.0</v>
      </c>
      <c r="M832" s="1">
        <v>7.0</v>
      </c>
      <c r="N832" s="1">
        <v>23.0</v>
      </c>
      <c r="O832" s="1">
        <v>0.0</v>
      </c>
      <c r="P832" s="1">
        <v>0.0</v>
      </c>
      <c r="Q832" s="1">
        <v>0.0</v>
      </c>
      <c r="R832" s="1">
        <v>0.0</v>
      </c>
      <c r="S832" s="1">
        <v>-2.0</v>
      </c>
      <c r="T832" s="1">
        <v>4.0</v>
      </c>
      <c r="U832" s="1">
        <v>0.0</v>
      </c>
    </row>
    <row r="833" ht="12.75" customHeight="1">
      <c r="A833" s="1" t="s">
        <v>867</v>
      </c>
      <c r="B833" s="1">
        <f t="shared" si="3"/>
        <v>820</v>
      </c>
      <c r="C833" s="1" t="str">
        <f>IFERROR(__xludf.DUMMYFUNCTION("split(A833, ""\"")"),"Nic Petan")</f>
        <v>Nic Petan</v>
      </c>
      <c r="D833" s="1" t="str">
        <f>IFERROR(__xludf.DUMMYFUNCTION("""COMPUTED_VALUE"""),"petanni01")</f>
        <v>petanni01</v>
      </c>
      <c r="E833" s="1" t="s">
        <v>31</v>
      </c>
      <c r="F833" s="1">
        <f t="shared" si="1"/>
        <v>23.8</v>
      </c>
      <c r="G833" s="1">
        <f t="shared" si="2"/>
        <v>1.59</v>
      </c>
      <c r="H833" s="1">
        <v>15.0</v>
      </c>
      <c r="I833" s="1">
        <v>2.0</v>
      </c>
      <c r="J833" s="1">
        <v>0.0</v>
      </c>
      <c r="K833" s="1">
        <v>2.0</v>
      </c>
      <c r="L833" s="1">
        <v>16.0</v>
      </c>
      <c r="M833" s="1">
        <v>4.0</v>
      </c>
      <c r="N833" s="1">
        <v>4.0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6.0</v>
      </c>
      <c r="U833" s="1">
        <v>1.0</v>
      </c>
    </row>
    <row r="834" ht="12.75" customHeight="1">
      <c r="A834" s="1" t="s">
        <v>873</v>
      </c>
      <c r="B834" s="1">
        <f t="shared" si="3"/>
        <v>820</v>
      </c>
      <c r="C834" s="1" t="str">
        <f>IFERROR(__xludf.DUMMYFUNCTION("split(A834, ""\"")"),"Korbinian Holzer")</f>
        <v>Korbinian Holzer</v>
      </c>
      <c r="D834" s="1" t="str">
        <f>IFERROR(__xludf.DUMMYFUNCTION("""COMPUTED_VALUE"""),"holzeko01")</f>
        <v>holzeko01</v>
      </c>
      <c r="E834" s="1" t="s">
        <v>66</v>
      </c>
      <c r="F834" s="1">
        <f t="shared" si="1"/>
        <v>23.8</v>
      </c>
      <c r="G834" s="1">
        <f t="shared" si="2"/>
        <v>1.49</v>
      </c>
      <c r="H834" s="1">
        <v>16.0</v>
      </c>
      <c r="I834" s="1">
        <v>0.0</v>
      </c>
      <c r="J834" s="1">
        <v>0.0</v>
      </c>
      <c r="K834" s="1">
        <v>0.0</v>
      </c>
      <c r="L834" s="1">
        <v>10.0</v>
      </c>
      <c r="M834" s="1">
        <v>22.0</v>
      </c>
      <c r="N834" s="1">
        <v>14.0</v>
      </c>
      <c r="O834" s="1">
        <v>0.0</v>
      </c>
      <c r="P834" s="1">
        <v>0.0</v>
      </c>
      <c r="Q834" s="1">
        <v>0.0</v>
      </c>
      <c r="R834" s="1">
        <v>0.0</v>
      </c>
      <c r="S834" s="1">
        <v>-3.0</v>
      </c>
      <c r="T834" s="1">
        <v>6.0</v>
      </c>
      <c r="U834" s="1">
        <v>0.0</v>
      </c>
    </row>
    <row r="835" ht="12.75" customHeight="1">
      <c r="A835" s="1" t="s">
        <v>853</v>
      </c>
      <c r="B835" s="1">
        <f t="shared" si="3"/>
        <v>822</v>
      </c>
      <c r="C835" s="1" t="str">
        <f>IFERROR(__xludf.DUMMYFUNCTION("split(A835, ""\"")"),"Gabriel Carlsson")</f>
        <v>Gabriel Carlsson</v>
      </c>
      <c r="D835" s="1" t="str">
        <f>IFERROR(__xludf.DUMMYFUNCTION("""COMPUTED_VALUE"""),"carlsga01")</f>
        <v>carlsga01</v>
      </c>
      <c r="E835" s="1" t="s">
        <v>66</v>
      </c>
      <c r="F835" s="1">
        <f t="shared" si="1"/>
        <v>23.7</v>
      </c>
      <c r="G835" s="1">
        <f t="shared" si="2"/>
        <v>1.69</v>
      </c>
      <c r="H835" s="1">
        <v>14.0</v>
      </c>
      <c r="I835" s="1">
        <v>0.0</v>
      </c>
      <c r="J835" s="1">
        <v>2.0</v>
      </c>
      <c r="K835" s="1">
        <v>2.0</v>
      </c>
      <c r="L835" s="1">
        <v>18.0</v>
      </c>
      <c r="M835" s="1">
        <v>10.0</v>
      </c>
      <c r="N835" s="1">
        <v>10.0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4.0</v>
      </c>
      <c r="U835" s="1">
        <v>0.0</v>
      </c>
    </row>
    <row r="836" ht="12.75" customHeight="1">
      <c r="A836" s="1" t="s">
        <v>884</v>
      </c>
      <c r="B836" s="1">
        <f t="shared" si="3"/>
        <v>823</v>
      </c>
      <c r="C836" s="1" t="str">
        <f>IFERROR(__xludf.DUMMYFUNCTION("split(A836, ""\"")"),"Lucas Wallmark")</f>
        <v>Lucas Wallmark</v>
      </c>
      <c r="D836" s="1" t="str">
        <f>IFERROR(__xludf.DUMMYFUNCTION("""COMPUTED_VALUE"""),"wallmlu01")</f>
        <v>wallmlu01</v>
      </c>
      <c r="E836" s="1" t="s">
        <v>31</v>
      </c>
      <c r="F836" s="1">
        <f t="shared" si="1"/>
        <v>22.85</v>
      </c>
      <c r="G836" s="1">
        <f t="shared" si="2"/>
        <v>2.08</v>
      </c>
      <c r="H836" s="1">
        <v>11.0</v>
      </c>
      <c r="I836" s="1">
        <v>1.0</v>
      </c>
      <c r="J836" s="1">
        <v>0.0</v>
      </c>
      <c r="K836" s="1">
        <v>1.0</v>
      </c>
      <c r="L836" s="1">
        <v>16.0</v>
      </c>
      <c r="M836" s="1">
        <v>13.0</v>
      </c>
      <c r="N836" s="1">
        <v>1.0</v>
      </c>
      <c r="O836" s="1">
        <v>0.0</v>
      </c>
      <c r="P836" s="1">
        <v>0.0</v>
      </c>
      <c r="Q836" s="1">
        <v>0.0</v>
      </c>
      <c r="R836" s="1">
        <v>0.0</v>
      </c>
      <c r="S836" s="1">
        <v>-4.0</v>
      </c>
      <c r="T836" s="1">
        <v>2.0</v>
      </c>
      <c r="U836" s="1">
        <v>0.0</v>
      </c>
    </row>
    <row r="837" ht="12.75" customHeight="1">
      <c r="A837" s="1" t="s">
        <v>850</v>
      </c>
      <c r="B837" s="1">
        <f t="shared" si="3"/>
        <v>824</v>
      </c>
      <c r="C837" s="1" t="str">
        <f>IFERROR(__xludf.DUMMYFUNCTION("split(A837, ""\"")"),"Frederick Gaudreau")</f>
        <v>Frederick Gaudreau</v>
      </c>
      <c r="D837" s="1" t="str">
        <f>IFERROR(__xludf.DUMMYFUNCTION("""COMPUTED_VALUE"""),"gaudrfr01")</f>
        <v>gaudrfr01</v>
      </c>
      <c r="E837" s="1" t="s">
        <v>31</v>
      </c>
      <c r="F837" s="1">
        <f t="shared" si="1"/>
        <v>22.6</v>
      </c>
      <c r="G837" s="1">
        <f t="shared" si="2"/>
        <v>1.13</v>
      </c>
      <c r="H837" s="1">
        <v>20.0</v>
      </c>
      <c r="I837" s="1">
        <v>0.0</v>
      </c>
      <c r="J837" s="1">
        <v>3.0</v>
      </c>
      <c r="K837" s="1">
        <v>3.0</v>
      </c>
      <c r="L837" s="1">
        <v>14.0</v>
      </c>
      <c r="M837" s="1">
        <v>8.0</v>
      </c>
      <c r="N837" s="1">
        <v>8.0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2.0</v>
      </c>
      <c r="U837" s="1">
        <v>0.0</v>
      </c>
    </row>
    <row r="838" ht="12.75" customHeight="1">
      <c r="A838" s="1" t="s">
        <v>882</v>
      </c>
      <c r="B838" s="1">
        <f t="shared" si="3"/>
        <v>825</v>
      </c>
      <c r="C838" s="1" t="str">
        <f>IFERROR(__xludf.DUMMYFUNCTION("split(A838, ""\"")"),"Frederik Gauthier")</f>
        <v>Frederik Gauthier</v>
      </c>
      <c r="D838" s="1" t="str">
        <f>IFERROR(__xludf.DUMMYFUNCTION("""COMPUTED_VALUE"""),"gauthfr01")</f>
        <v>gauthfr01</v>
      </c>
      <c r="E838" s="1" t="s">
        <v>31</v>
      </c>
      <c r="F838" s="1">
        <f t="shared" si="1"/>
        <v>22</v>
      </c>
      <c r="G838" s="1">
        <f t="shared" si="2"/>
        <v>2.44</v>
      </c>
      <c r="H838" s="1">
        <v>9.0</v>
      </c>
      <c r="I838" s="1">
        <v>1.0</v>
      </c>
      <c r="J838" s="1">
        <v>0.0</v>
      </c>
      <c r="K838" s="1">
        <v>1.0</v>
      </c>
      <c r="L838" s="1">
        <v>12.0</v>
      </c>
      <c r="M838" s="1">
        <v>12.0</v>
      </c>
      <c r="N838" s="1">
        <v>5.0</v>
      </c>
      <c r="O838" s="1">
        <v>0.0</v>
      </c>
      <c r="P838" s="1">
        <v>0.0</v>
      </c>
      <c r="Q838" s="1">
        <v>0.0</v>
      </c>
      <c r="R838" s="1">
        <v>0.0</v>
      </c>
      <c r="S838" s="1">
        <v>-4.0</v>
      </c>
      <c r="T838" s="1">
        <v>0.0</v>
      </c>
      <c r="U838" s="1">
        <v>0.0</v>
      </c>
    </row>
    <row r="839" ht="12.75" customHeight="1">
      <c r="A839" s="1" t="s">
        <v>879</v>
      </c>
      <c r="B839" s="1">
        <f t="shared" si="3"/>
        <v>825</v>
      </c>
      <c r="C839" s="1" t="str">
        <f>IFERROR(__xludf.DUMMYFUNCTION("split(A839, ""\"")"),"Nick Paul")</f>
        <v>Nick Paul</v>
      </c>
      <c r="D839" s="1" t="str">
        <f>IFERROR(__xludf.DUMMYFUNCTION("""COMPUTED_VALUE"""),"paulni01")</f>
        <v>paulni01</v>
      </c>
      <c r="E839" s="1" t="s">
        <v>28</v>
      </c>
      <c r="F839" s="1">
        <f t="shared" si="1"/>
        <v>22</v>
      </c>
      <c r="G839" s="1">
        <f t="shared" si="2"/>
        <v>2</v>
      </c>
      <c r="H839" s="1">
        <v>11.0</v>
      </c>
      <c r="I839" s="1">
        <v>1.0</v>
      </c>
      <c r="J839" s="1">
        <v>0.0</v>
      </c>
      <c r="K839" s="1">
        <v>1.0</v>
      </c>
      <c r="L839" s="1">
        <v>11.0</v>
      </c>
      <c r="M839" s="1">
        <v>16.0</v>
      </c>
      <c r="N839" s="1">
        <v>4.0</v>
      </c>
      <c r="O839" s="1">
        <v>0.0</v>
      </c>
      <c r="P839" s="1">
        <v>0.0</v>
      </c>
      <c r="Q839" s="1">
        <v>0.0</v>
      </c>
      <c r="R839" s="1">
        <v>0.0</v>
      </c>
      <c r="S839" s="1">
        <v>-4.0</v>
      </c>
      <c r="T839" s="1">
        <v>0.0</v>
      </c>
      <c r="U839" s="1">
        <v>0.0</v>
      </c>
    </row>
    <row r="840" ht="12.75" customHeight="1">
      <c r="A840" s="1" t="s">
        <v>876</v>
      </c>
      <c r="B840" s="1">
        <f t="shared" si="3"/>
        <v>827</v>
      </c>
      <c r="C840" s="1" t="str">
        <f>IFERROR(__xludf.DUMMYFUNCTION("split(A840, ""\"")"),"Paul Postma")</f>
        <v>Paul Postma</v>
      </c>
      <c r="D840" s="1" t="str">
        <f>IFERROR(__xludf.DUMMYFUNCTION("""COMPUTED_VALUE"""),"postmpa01")</f>
        <v>postmpa01</v>
      </c>
      <c r="E840" s="1" t="s">
        <v>66</v>
      </c>
      <c r="F840" s="1">
        <f t="shared" si="1"/>
        <v>21.85</v>
      </c>
      <c r="G840" s="1">
        <f t="shared" si="2"/>
        <v>1.56</v>
      </c>
      <c r="H840" s="1">
        <v>14.0</v>
      </c>
      <c r="I840" s="1">
        <v>0.0</v>
      </c>
      <c r="J840" s="1">
        <v>1.0</v>
      </c>
      <c r="K840" s="1">
        <v>1.0</v>
      </c>
      <c r="L840" s="1">
        <v>14.0</v>
      </c>
      <c r="M840" s="1">
        <v>13.0</v>
      </c>
      <c r="N840" s="1">
        <v>10.0</v>
      </c>
      <c r="O840" s="1">
        <v>0.0</v>
      </c>
      <c r="P840" s="1">
        <v>0.0</v>
      </c>
      <c r="Q840" s="1">
        <v>0.0</v>
      </c>
      <c r="R840" s="1">
        <v>0.0</v>
      </c>
      <c r="S840" s="1">
        <v>-2.0</v>
      </c>
      <c r="T840" s="1">
        <v>2.0</v>
      </c>
      <c r="U840" s="1">
        <v>0.0</v>
      </c>
    </row>
    <row r="841" ht="12.75" customHeight="1">
      <c r="A841" s="1" t="s">
        <v>881</v>
      </c>
      <c r="B841" s="1">
        <f t="shared" si="3"/>
        <v>828</v>
      </c>
      <c r="C841" s="1" t="str">
        <f>IFERROR(__xludf.DUMMYFUNCTION("split(A841, ""\"")"),"Kalle Kossila")</f>
        <v>Kalle Kossila</v>
      </c>
      <c r="D841" s="1" t="str">
        <f>IFERROR(__xludf.DUMMYFUNCTION("""COMPUTED_VALUE"""),"kossika01")</f>
        <v>kossika01</v>
      </c>
      <c r="E841" s="1" t="s">
        <v>28</v>
      </c>
      <c r="F841" s="1">
        <f t="shared" si="1"/>
        <v>21.75</v>
      </c>
      <c r="G841" s="1">
        <f t="shared" si="2"/>
        <v>2.18</v>
      </c>
      <c r="H841" s="1">
        <v>10.0</v>
      </c>
      <c r="I841" s="1">
        <v>1.0</v>
      </c>
      <c r="J841" s="1">
        <v>1.0</v>
      </c>
      <c r="K841" s="1">
        <v>2.0</v>
      </c>
      <c r="L841" s="1">
        <v>9.0</v>
      </c>
      <c r="M841" s="1">
        <v>7.0</v>
      </c>
      <c r="N841" s="1">
        <v>4.0</v>
      </c>
      <c r="O841" s="1">
        <v>0.0</v>
      </c>
      <c r="P841" s="1">
        <v>0.0</v>
      </c>
      <c r="Q841" s="1">
        <v>0.0</v>
      </c>
      <c r="R841" s="1">
        <v>0.0</v>
      </c>
      <c r="S841" s="1">
        <v>-4.0</v>
      </c>
      <c r="T841" s="1">
        <v>0.0</v>
      </c>
      <c r="U841" s="1">
        <v>0.0</v>
      </c>
    </row>
    <row r="842" ht="12.75" customHeight="1">
      <c r="A842" s="1" t="s">
        <v>837</v>
      </c>
      <c r="B842" s="1">
        <f t="shared" si="3"/>
        <v>829</v>
      </c>
      <c r="C842" s="1" t="str">
        <f>IFERROR(__xludf.DUMMYFUNCTION("split(A842, ""\"")"),"Casey Mittelstadt")</f>
        <v>Casey Mittelstadt</v>
      </c>
      <c r="D842" s="1" t="str">
        <f>IFERROR(__xludf.DUMMYFUNCTION("""COMPUTED_VALUE"""),"mitteca01")</f>
        <v>mitteca01</v>
      </c>
      <c r="E842" s="1" t="s">
        <v>31</v>
      </c>
      <c r="F842" s="1">
        <f t="shared" si="1"/>
        <v>21.6</v>
      </c>
      <c r="G842" s="1">
        <f t="shared" si="2"/>
        <v>3.6</v>
      </c>
      <c r="H842" s="1">
        <v>6.0</v>
      </c>
      <c r="I842" s="1">
        <v>1.0</v>
      </c>
      <c r="J842" s="1">
        <v>4.0</v>
      </c>
      <c r="K842" s="1">
        <v>5.0</v>
      </c>
      <c r="L842" s="1">
        <v>9.0</v>
      </c>
      <c r="M842" s="1">
        <v>2.0</v>
      </c>
      <c r="N842" s="1">
        <v>2.0</v>
      </c>
      <c r="O842" s="1">
        <v>1.0</v>
      </c>
      <c r="P842" s="1">
        <v>0.0</v>
      </c>
      <c r="Q842" s="1">
        <v>0.0</v>
      </c>
      <c r="R842" s="1">
        <v>0.0</v>
      </c>
      <c r="S842" s="1">
        <v>1.0</v>
      </c>
      <c r="T842" s="1">
        <v>2.0</v>
      </c>
      <c r="U842" s="1">
        <v>0.0</v>
      </c>
    </row>
    <row r="843" ht="12.75" customHeight="1">
      <c r="A843" s="1" t="s">
        <v>861</v>
      </c>
      <c r="B843" s="1">
        <f t="shared" si="3"/>
        <v>830</v>
      </c>
      <c r="C843" s="1" t="str">
        <f>IFERROR(__xludf.DUMMYFUNCTION("split(A843, ""\"")"),"Freddie Hamilton")</f>
        <v>Freddie Hamilton</v>
      </c>
      <c r="D843" s="1" t="str">
        <f>IFERROR(__xludf.DUMMYFUNCTION("""COMPUTED_VALUE"""),"hamilfr01")</f>
        <v>hamilfr01</v>
      </c>
      <c r="E843" s="1" t="s">
        <v>31</v>
      </c>
      <c r="F843" s="1">
        <f t="shared" si="1"/>
        <v>21.35</v>
      </c>
      <c r="G843" s="1">
        <f t="shared" si="2"/>
        <v>1.33</v>
      </c>
      <c r="H843" s="1">
        <v>16.0</v>
      </c>
      <c r="I843" s="1">
        <v>0.0</v>
      </c>
      <c r="J843" s="1">
        <v>1.0</v>
      </c>
      <c r="K843" s="1">
        <v>1.0</v>
      </c>
      <c r="L843" s="1">
        <v>12.0</v>
      </c>
      <c r="M843" s="1">
        <v>35.0</v>
      </c>
      <c r="N843" s="1">
        <v>0.0</v>
      </c>
      <c r="O843" s="1">
        <v>0.0</v>
      </c>
      <c r="P843" s="1">
        <v>0.0</v>
      </c>
      <c r="Q843" s="1">
        <v>0.0</v>
      </c>
      <c r="R843" s="1">
        <v>1.0</v>
      </c>
      <c r="S843" s="1">
        <v>0.0</v>
      </c>
      <c r="T843" s="1">
        <v>2.0</v>
      </c>
      <c r="U843" s="1">
        <v>0.0</v>
      </c>
    </row>
    <row r="844" ht="12.75" customHeight="1">
      <c r="A844" s="1" t="s">
        <v>844</v>
      </c>
      <c r="B844" s="1">
        <f t="shared" si="3"/>
        <v>831</v>
      </c>
      <c r="C844" s="1" t="str">
        <f>IFERROR(__xludf.DUMMYFUNCTION("split(A844, ""\"")"),"Dean Kukan")</f>
        <v>Dean Kukan</v>
      </c>
      <c r="D844" s="1" t="str">
        <f>IFERROR(__xludf.DUMMYFUNCTION("""COMPUTED_VALUE"""),"kukande01")</f>
        <v>kukande01</v>
      </c>
      <c r="E844" s="1" t="s">
        <v>66</v>
      </c>
      <c r="F844" s="1">
        <f t="shared" si="1"/>
        <v>21.1</v>
      </c>
      <c r="G844" s="1">
        <f t="shared" si="2"/>
        <v>1.92</v>
      </c>
      <c r="H844" s="1">
        <v>11.0</v>
      </c>
      <c r="I844" s="1">
        <v>0.0</v>
      </c>
      <c r="J844" s="1">
        <v>4.0</v>
      </c>
      <c r="K844" s="1">
        <v>4.0</v>
      </c>
      <c r="L844" s="1">
        <v>12.0</v>
      </c>
      <c r="M844" s="1">
        <v>2.0</v>
      </c>
      <c r="N844" s="1">
        <v>10.0</v>
      </c>
      <c r="O844" s="1">
        <v>0.0</v>
      </c>
      <c r="P844" s="1">
        <v>0.0</v>
      </c>
      <c r="Q844" s="1">
        <v>0.0</v>
      </c>
      <c r="R844" s="1">
        <v>0.0</v>
      </c>
      <c r="S844" s="1">
        <v>2.0</v>
      </c>
      <c r="T844" s="1">
        <v>2.0</v>
      </c>
      <c r="U844" s="1">
        <v>0.0</v>
      </c>
    </row>
    <row r="845" ht="12.75" customHeight="1">
      <c r="A845" s="1" t="s">
        <v>875</v>
      </c>
      <c r="B845" s="1">
        <f t="shared" si="3"/>
        <v>831</v>
      </c>
      <c r="C845" s="1" t="str">
        <f>IFERROR(__xludf.DUMMYFUNCTION("split(A845, ""\"")"),"Chris Bigras")</f>
        <v>Chris Bigras</v>
      </c>
      <c r="D845" s="1" t="str">
        <f>IFERROR(__xludf.DUMMYFUNCTION("""COMPUTED_VALUE"""),"bigrach01")</f>
        <v>bigrach01</v>
      </c>
      <c r="E845" s="1" t="s">
        <v>66</v>
      </c>
      <c r="F845" s="1">
        <f t="shared" si="1"/>
        <v>21.1</v>
      </c>
      <c r="G845" s="1">
        <f t="shared" si="2"/>
        <v>1.41</v>
      </c>
      <c r="H845" s="1">
        <v>15.0</v>
      </c>
      <c r="I845" s="1">
        <v>0.0</v>
      </c>
      <c r="J845" s="1">
        <v>1.0</v>
      </c>
      <c r="K845" s="1">
        <v>1.0</v>
      </c>
      <c r="L845" s="1">
        <v>8.0</v>
      </c>
      <c r="M845" s="1">
        <v>12.0</v>
      </c>
      <c r="N845" s="1">
        <v>15.0</v>
      </c>
      <c r="O845" s="1">
        <v>0.0</v>
      </c>
      <c r="P845" s="1">
        <v>0.0</v>
      </c>
      <c r="Q845" s="1">
        <v>0.0</v>
      </c>
      <c r="R845" s="1">
        <v>0.0</v>
      </c>
      <c r="S845" s="1">
        <v>-2.0</v>
      </c>
      <c r="T845" s="1">
        <v>2.0</v>
      </c>
      <c r="U845" s="1">
        <v>0.0</v>
      </c>
    </row>
    <row r="846" ht="12.75" customHeight="1">
      <c r="A846" s="1" t="s">
        <v>910</v>
      </c>
      <c r="B846" s="1">
        <f t="shared" si="3"/>
        <v>833</v>
      </c>
      <c r="C846" s="1" t="str">
        <f>IFERROR(__xludf.DUMMYFUNCTION("split(A846, ""\"")"),"Zac Dalpe")</f>
        <v>Zac Dalpe</v>
      </c>
      <c r="D846" s="1" t="str">
        <f>IFERROR(__xludf.DUMMYFUNCTION("""COMPUTED_VALUE"""),"dalpeza01")</f>
        <v>dalpeza01</v>
      </c>
      <c r="E846" s="1" t="s">
        <v>36</v>
      </c>
      <c r="F846" s="1">
        <f t="shared" si="1"/>
        <v>20.9</v>
      </c>
      <c r="G846" s="1">
        <f t="shared" si="2"/>
        <v>1.74</v>
      </c>
      <c r="H846" s="1">
        <v>12.0</v>
      </c>
      <c r="I846" s="1">
        <v>0.0</v>
      </c>
      <c r="J846" s="1">
        <v>0.0</v>
      </c>
      <c r="K846" s="1">
        <v>0.0</v>
      </c>
      <c r="L846" s="1">
        <v>18.0</v>
      </c>
      <c r="M846" s="1">
        <v>6.0</v>
      </c>
      <c r="N846" s="1">
        <v>4.0</v>
      </c>
      <c r="O846" s="1">
        <v>0.0</v>
      </c>
      <c r="P846" s="1">
        <v>0.0</v>
      </c>
      <c r="Q846" s="1">
        <v>0.0</v>
      </c>
      <c r="R846" s="1">
        <v>0.0</v>
      </c>
      <c r="S846" s="1">
        <v>-3.0</v>
      </c>
      <c r="T846" s="1">
        <v>13.0</v>
      </c>
      <c r="U846" s="1">
        <v>0.0</v>
      </c>
    </row>
    <row r="847" ht="12.75" customHeight="1">
      <c r="A847" s="1" t="s">
        <v>869</v>
      </c>
      <c r="B847" s="1">
        <f t="shared" si="3"/>
        <v>834</v>
      </c>
      <c r="C847" s="1" t="str">
        <f>IFERROR(__xludf.DUMMYFUNCTION("split(A847, ""\"")"),"Mark Alt")</f>
        <v>Mark Alt</v>
      </c>
      <c r="D847" s="1" t="str">
        <f>IFERROR(__xludf.DUMMYFUNCTION("""COMPUTED_VALUE"""),"altma01")</f>
        <v>altma01</v>
      </c>
      <c r="E847" s="1" t="s">
        <v>66</v>
      </c>
      <c r="F847" s="1">
        <f t="shared" si="1"/>
        <v>20.85</v>
      </c>
      <c r="G847" s="1">
        <f t="shared" si="2"/>
        <v>1.39</v>
      </c>
      <c r="H847" s="1">
        <v>15.0</v>
      </c>
      <c r="I847" s="1">
        <v>0.0</v>
      </c>
      <c r="J847" s="1">
        <v>0.0</v>
      </c>
      <c r="K847" s="1">
        <v>0.0</v>
      </c>
      <c r="L847" s="1">
        <v>11.0</v>
      </c>
      <c r="M847" s="1">
        <v>17.0</v>
      </c>
      <c r="N847" s="1">
        <v>18.0</v>
      </c>
      <c r="O847" s="1">
        <v>0.0</v>
      </c>
      <c r="P847" s="1">
        <v>0.0</v>
      </c>
      <c r="Q847" s="1">
        <v>0.0</v>
      </c>
      <c r="R847" s="1">
        <v>0.0</v>
      </c>
      <c r="S847" s="1">
        <v>-1.0</v>
      </c>
      <c r="T847" s="1">
        <v>2.0</v>
      </c>
      <c r="U847" s="1">
        <v>0.0</v>
      </c>
    </row>
    <row r="848" ht="12.75" customHeight="1">
      <c r="A848" s="1" t="s">
        <v>848</v>
      </c>
      <c r="B848" s="1">
        <f t="shared" si="3"/>
        <v>835</v>
      </c>
      <c r="C848" s="1" t="str">
        <f>IFERROR(__xludf.DUMMYFUNCTION("split(A848, ""\"")"),"Samuel Blais")</f>
        <v>Samuel Blais</v>
      </c>
      <c r="D848" s="1" t="str">
        <f>IFERROR(__xludf.DUMMYFUNCTION("""COMPUTED_VALUE"""),"blaissa01")</f>
        <v>blaissa01</v>
      </c>
      <c r="E848" s="1" t="s">
        <v>28</v>
      </c>
      <c r="F848" s="1">
        <f t="shared" si="1"/>
        <v>20.05</v>
      </c>
      <c r="G848" s="1">
        <f t="shared" si="2"/>
        <v>1.82</v>
      </c>
      <c r="H848" s="1">
        <v>11.0</v>
      </c>
      <c r="I848" s="1">
        <v>1.0</v>
      </c>
      <c r="J848" s="1">
        <v>2.0</v>
      </c>
      <c r="K848" s="1">
        <v>3.0</v>
      </c>
      <c r="L848" s="1">
        <v>9.0</v>
      </c>
      <c r="M848" s="1">
        <v>15.0</v>
      </c>
      <c r="N848" s="1">
        <v>2.0</v>
      </c>
      <c r="O848" s="1">
        <v>1.0</v>
      </c>
      <c r="P848" s="1">
        <v>0.0</v>
      </c>
      <c r="Q848" s="1">
        <v>0.0</v>
      </c>
      <c r="R848" s="1">
        <v>0.0</v>
      </c>
      <c r="S848" s="1">
        <v>1.0</v>
      </c>
      <c r="T848" s="1">
        <v>6.0</v>
      </c>
      <c r="U848" s="1">
        <v>0.0</v>
      </c>
    </row>
    <row r="849" ht="12.75" customHeight="1">
      <c r="A849" s="1" t="s">
        <v>838</v>
      </c>
      <c r="B849" s="1">
        <f t="shared" si="3"/>
        <v>836</v>
      </c>
      <c r="C849" s="1" t="str">
        <f>IFERROR(__xludf.DUMMYFUNCTION("split(A849, ""\"")"),"Reto Berra")</f>
        <v>Reto Berra</v>
      </c>
      <c r="D849" s="2" t="str">
        <f>IFERROR(__xludf.DUMMYFUNCTION("""COMPUTED_VALUE"""),"berrare01")</f>
        <v>berrare01</v>
      </c>
      <c r="E849" s="1" t="s">
        <v>5</v>
      </c>
      <c r="F849" s="1">
        <f t="shared" si="1"/>
        <v>18.9</v>
      </c>
      <c r="G849" s="1">
        <f t="shared" si="2"/>
        <v>3.78</v>
      </c>
      <c r="H849" s="1">
        <v>5.0</v>
      </c>
      <c r="V849" s="1">
        <v>1.0</v>
      </c>
      <c r="W849" s="1">
        <v>1.0</v>
      </c>
      <c r="X849" s="1">
        <v>1.0</v>
      </c>
      <c r="Y849" s="1">
        <v>7.0</v>
      </c>
      <c r="Z849" s="1">
        <v>95.0</v>
      </c>
      <c r="AA849" s="1">
        <v>88.0</v>
      </c>
      <c r="AB849" s="1">
        <v>0.0</v>
      </c>
    </row>
    <row r="850" ht="12.75" customHeight="1">
      <c r="A850" s="1" t="s">
        <v>880</v>
      </c>
      <c r="B850" s="1">
        <f t="shared" si="3"/>
        <v>837</v>
      </c>
      <c r="C850" s="1" t="str">
        <f>IFERROR(__xludf.DUMMYFUNCTION("split(A850, ""\"")"),"Kerby Rychel")</f>
        <v>Kerby Rychel</v>
      </c>
      <c r="D850" s="1" t="str">
        <f>IFERROR(__xludf.DUMMYFUNCTION("""COMPUTED_VALUE"""),"rycheke01")</f>
        <v>rycheke01</v>
      </c>
      <c r="E850" s="1" t="s">
        <v>28</v>
      </c>
      <c r="F850" s="1">
        <f t="shared" si="1"/>
        <v>18.85</v>
      </c>
      <c r="G850" s="1">
        <f t="shared" si="2"/>
        <v>4.71</v>
      </c>
      <c r="H850" s="1">
        <v>4.0</v>
      </c>
      <c r="I850" s="1">
        <v>1.0</v>
      </c>
      <c r="J850" s="1">
        <v>1.0</v>
      </c>
      <c r="K850" s="1">
        <v>2.0</v>
      </c>
      <c r="L850" s="1">
        <v>7.0</v>
      </c>
      <c r="M850" s="1">
        <v>13.0</v>
      </c>
      <c r="N850" s="1">
        <v>2.0</v>
      </c>
      <c r="O850" s="1">
        <v>0.0</v>
      </c>
      <c r="P850" s="1">
        <v>0.0</v>
      </c>
      <c r="Q850" s="1">
        <v>0.0</v>
      </c>
      <c r="R850" s="1">
        <v>0.0</v>
      </c>
      <c r="S850" s="1">
        <v>-2.0</v>
      </c>
      <c r="T850" s="1">
        <v>2.0</v>
      </c>
      <c r="U850" s="1">
        <v>0.0</v>
      </c>
    </row>
    <row r="851" ht="12.75" customHeight="1">
      <c r="A851" s="1" t="s">
        <v>849</v>
      </c>
      <c r="B851" s="1">
        <f t="shared" si="3"/>
        <v>839</v>
      </c>
      <c r="C851" s="1" t="str">
        <f>IFERROR(__xludf.DUMMYFUNCTION("split(A851, ""\"")"),"Tomas Hyka")</f>
        <v>Tomas Hyka</v>
      </c>
      <c r="D851" s="1" t="str">
        <f>IFERROR(__xludf.DUMMYFUNCTION("""COMPUTED_VALUE"""),"hykato01")</f>
        <v>hykato01</v>
      </c>
      <c r="E851" s="1" t="s">
        <v>36</v>
      </c>
      <c r="F851" s="1">
        <f t="shared" si="1"/>
        <v>18</v>
      </c>
      <c r="G851" s="1">
        <f t="shared" si="2"/>
        <v>1.8</v>
      </c>
      <c r="H851" s="1">
        <v>10.0</v>
      </c>
      <c r="I851" s="1">
        <v>1.0</v>
      </c>
      <c r="J851" s="1">
        <v>2.0</v>
      </c>
      <c r="K851" s="1">
        <v>3.0</v>
      </c>
      <c r="L851" s="1">
        <v>15.0</v>
      </c>
      <c r="M851" s="1">
        <v>6.0</v>
      </c>
      <c r="N851" s="1">
        <v>3.0</v>
      </c>
      <c r="O851" s="1">
        <v>0.0</v>
      </c>
      <c r="P851" s="1">
        <v>1.0</v>
      </c>
      <c r="Q851" s="1">
        <v>0.0</v>
      </c>
      <c r="R851" s="1">
        <v>0.0</v>
      </c>
      <c r="S851" s="1">
        <v>2.0</v>
      </c>
      <c r="T851" s="1">
        <v>0.0</v>
      </c>
      <c r="U851" s="1">
        <v>0.0</v>
      </c>
    </row>
    <row r="852" ht="12.75" customHeight="1">
      <c r="A852" s="1" t="s">
        <v>871</v>
      </c>
      <c r="B852" s="1">
        <f t="shared" si="3"/>
        <v>839</v>
      </c>
      <c r="C852" s="1" t="str">
        <f>IFERROR(__xludf.DUMMYFUNCTION("split(A852, ""\"")"),"Austin Czarnik")</f>
        <v>Austin Czarnik</v>
      </c>
      <c r="D852" s="1" t="str">
        <f>IFERROR(__xludf.DUMMYFUNCTION("""COMPUTED_VALUE"""),"czarnau01")</f>
        <v>czarnau01</v>
      </c>
      <c r="E852" s="1" t="s">
        <v>31</v>
      </c>
      <c r="F852" s="1">
        <f t="shared" si="1"/>
        <v>18</v>
      </c>
      <c r="G852" s="1">
        <f t="shared" si="2"/>
        <v>1.8</v>
      </c>
      <c r="H852" s="1">
        <v>10.0</v>
      </c>
      <c r="I852" s="1">
        <v>0.0</v>
      </c>
      <c r="J852" s="1">
        <v>4.0</v>
      </c>
      <c r="K852" s="1">
        <v>4.0</v>
      </c>
      <c r="L852" s="1">
        <v>7.0</v>
      </c>
      <c r="M852" s="1">
        <v>4.0</v>
      </c>
      <c r="N852" s="1">
        <v>0.0</v>
      </c>
      <c r="O852" s="1">
        <v>0.0</v>
      </c>
      <c r="P852" s="1">
        <v>1.0</v>
      </c>
      <c r="Q852" s="1">
        <v>0.0</v>
      </c>
      <c r="R852" s="1">
        <v>0.0</v>
      </c>
      <c r="S852" s="1">
        <v>-1.0</v>
      </c>
      <c r="T852" s="1">
        <v>0.0</v>
      </c>
      <c r="U852" s="1">
        <v>0.0</v>
      </c>
    </row>
    <row r="853" ht="12.75" customHeight="1">
      <c r="A853" s="1" t="s">
        <v>826</v>
      </c>
      <c r="B853" s="1">
        <f t="shared" si="3"/>
        <v>841</v>
      </c>
      <c r="C853" s="1" t="str">
        <f>IFERROR(__xludf.DUMMYFUNCTION("split(A853, ""\"")"),"Eddie Lack")</f>
        <v>Eddie Lack</v>
      </c>
      <c r="D853" s="2" t="str">
        <f>IFERROR(__xludf.DUMMYFUNCTION("""COMPUTED_VALUE"""),"lacked01")</f>
        <v>lacked01</v>
      </c>
      <c r="E853" s="1" t="s">
        <v>5</v>
      </c>
      <c r="F853" s="1">
        <f t="shared" si="1"/>
        <v>17.7</v>
      </c>
      <c r="G853" s="1">
        <f t="shared" si="2"/>
        <v>2.21</v>
      </c>
      <c r="H853" s="1">
        <v>8.0</v>
      </c>
      <c r="V853" s="1">
        <v>5.0</v>
      </c>
      <c r="W853" s="1">
        <v>2.0</v>
      </c>
      <c r="X853" s="1">
        <v>4.0</v>
      </c>
      <c r="Y853" s="1">
        <v>23.0</v>
      </c>
      <c r="Z853" s="1">
        <v>177.0</v>
      </c>
      <c r="AA853" s="1">
        <v>154.0</v>
      </c>
      <c r="AB853" s="1">
        <v>0.0</v>
      </c>
    </row>
    <row r="854" ht="12.75" customHeight="1">
      <c r="A854" s="1" t="s">
        <v>874</v>
      </c>
      <c r="B854" s="1">
        <f t="shared" si="3"/>
        <v>842</v>
      </c>
      <c r="C854" s="1" t="str">
        <f>IFERROR(__xludf.DUMMYFUNCTION("split(A854, ""\"")"),"Rocco Grimaldi")</f>
        <v>Rocco Grimaldi</v>
      </c>
      <c r="D854" s="1" t="str">
        <f>IFERROR(__xludf.DUMMYFUNCTION("""COMPUTED_VALUE"""),"grimaro01")</f>
        <v>grimaro01</v>
      </c>
      <c r="E854" s="1" t="s">
        <v>31</v>
      </c>
      <c r="F854" s="1">
        <f t="shared" si="1"/>
        <v>17.25</v>
      </c>
      <c r="G854" s="1">
        <f t="shared" si="2"/>
        <v>2.88</v>
      </c>
      <c r="H854" s="1">
        <v>6.0</v>
      </c>
      <c r="I854" s="1">
        <v>1.0</v>
      </c>
      <c r="J854" s="1">
        <v>2.0</v>
      </c>
      <c r="K854" s="1">
        <v>3.0</v>
      </c>
      <c r="L854" s="1">
        <v>7.0</v>
      </c>
      <c r="M854" s="1">
        <v>3.0</v>
      </c>
      <c r="N854" s="1">
        <v>5.0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</row>
    <row r="855" ht="12.75" customHeight="1">
      <c r="A855" s="1" t="s">
        <v>883</v>
      </c>
      <c r="B855" s="1">
        <f t="shared" si="3"/>
        <v>843</v>
      </c>
      <c r="C855" s="1" t="str">
        <f>IFERROR(__xludf.DUMMYFUNCTION("split(A855, ""\"")"),"Roland McKeown")</f>
        <v>Roland McKeown</v>
      </c>
      <c r="D855" s="1" t="str">
        <f>IFERROR(__xludf.DUMMYFUNCTION("""COMPUTED_VALUE"""),"mckeoro01")</f>
        <v>mckeoro01</v>
      </c>
      <c r="E855" s="1" t="s">
        <v>66</v>
      </c>
      <c r="F855" s="1">
        <f t="shared" si="1"/>
        <v>16.95</v>
      </c>
      <c r="G855" s="1">
        <f t="shared" si="2"/>
        <v>1.7</v>
      </c>
      <c r="H855" s="1">
        <v>10.0</v>
      </c>
      <c r="I855" s="1">
        <v>0.0</v>
      </c>
      <c r="J855" s="1">
        <v>3.0</v>
      </c>
      <c r="K855" s="1">
        <v>3.0</v>
      </c>
      <c r="L855" s="1">
        <v>7.0</v>
      </c>
      <c r="M855" s="1">
        <v>3.0</v>
      </c>
      <c r="N855" s="1">
        <v>5.0</v>
      </c>
      <c r="O855" s="1">
        <v>0.0</v>
      </c>
      <c r="P855" s="1">
        <v>0.0</v>
      </c>
      <c r="Q855" s="1">
        <v>0.0</v>
      </c>
      <c r="R855" s="1">
        <v>0.0</v>
      </c>
      <c r="S855" s="1">
        <v>3.0</v>
      </c>
      <c r="T855" s="1">
        <v>19.0</v>
      </c>
      <c r="U855" s="1">
        <v>0.0</v>
      </c>
    </row>
    <row r="856" ht="12.75" customHeight="1">
      <c r="A856" s="1" t="s">
        <v>868</v>
      </c>
      <c r="B856" s="1">
        <f t="shared" si="3"/>
        <v>844</v>
      </c>
      <c r="C856" s="1" t="str">
        <f>IFERROR(__xludf.DUMMYFUNCTION("split(A856, ""\"")"),"Tanner Kero")</f>
        <v>Tanner Kero</v>
      </c>
      <c r="D856" s="1" t="str">
        <f>IFERROR(__xludf.DUMMYFUNCTION("""COMPUTED_VALUE"""),"kerota01")</f>
        <v>kerota01</v>
      </c>
      <c r="E856" s="1" t="s">
        <v>36</v>
      </c>
      <c r="F856" s="1">
        <f t="shared" si="1"/>
        <v>16.75</v>
      </c>
      <c r="G856" s="1">
        <f t="shared" si="2"/>
        <v>2.09</v>
      </c>
      <c r="H856" s="1">
        <v>8.0</v>
      </c>
      <c r="I856" s="1">
        <v>1.0</v>
      </c>
      <c r="J856" s="1">
        <v>2.0</v>
      </c>
      <c r="K856" s="1">
        <v>3.0</v>
      </c>
      <c r="L856" s="1">
        <v>7.0</v>
      </c>
      <c r="M856" s="1">
        <v>3.0</v>
      </c>
      <c r="N856" s="1">
        <v>7.0</v>
      </c>
      <c r="O856" s="1">
        <v>0.0</v>
      </c>
      <c r="P856" s="1">
        <v>0.0</v>
      </c>
      <c r="Q856" s="1">
        <v>0.0</v>
      </c>
      <c r="R856" s="1">
        <v>0.0</v>
      </c>
      <c r="S856" s="1">
        <v>1.0</v>
      </c>
      <c r="T856" s="1">
        <v>0.0</v>
      </c>
      <c r="U856" s="1">
        <v>0.0</v>
      </c>
    </row>
    <row r="857" ht="12.75" customHeight="1">
      <c r="A857" s="1" t="s">
        <v>887</v>
      </c>
      <c r="B857" s="1">
        <f t="shared" si="3"/>
        <v>844</v>
      </c>
      <c r="C857" s="1" t="str">
        <f>IFERROR(__xludf.DUMMYFUNCTION("split(A857, ""\"")"),"Blake Hillman")</f>
        <v>Blake Hillman</v>
      </c>
      <c r="D857" s="1" t="str">
        <f>IFERROR(__xludf.DUMMYFUNCTION("""COMPUTED_VALUE"""),"hillmbl01")</f>
        <v>hillmbl01</v>
      </c>
      <c r="E857" s="1" t="s">
        <v>66</v>
      </c>
      <c r="F857" s="1">
        <f t="shared" si="1"/>
        <v>16.75</v>
      </c>
      <c r="G857" s="1">
        <f t="shared" si="2"/>
        <v>4.19</v>
      </c>
      <c r="H857" s="1">
        <v>4.0</v>
      </c>
      <c r="I857" s="1">
        <v>1.0</v>
      </c>
      <c r="J857" s="1">
        <v>0.0</v>
      </c>
      <c r="K857" s="1">
        <v>1.0</v>
      </c>
      <c r="L857" s="1">
        <v>5.0</v>
      </c>
      <c r="M857" s="1">
        <v>5.0</v>
      </c>
      <c r="N857" s="1">
        <v>8.0</v>
      </c>
      <c r="O857" s="1">
        <v>0.0</v>
      </c>
      <c r="P857" s="1">
        <v>0.0</v>
      </c>
      <c r="Q857" s="1">
        <v>1.0</v>
      </c>
      <c r="R857" s="1">
        <v>0.0</v>
      </c>
      <c r="S857" s="1">
        <v>-1.0</v>
      </c>
      <c r="T857" s="1">
        <v>0.0</v>
      </c>
      <c r="U857" s="1">
        <v>0.0</v>
      </c>
    </row>
    <row r="858" ht="12.75" customHeight="1">
      <c r="A858" s="1" t="s">
        <v>840</v>
      </c>
      <c r="B858" s="1">
        <f t="shared" si="3"/>
        <v>846</v>
      </c>
      <c r="C858" s="1" t="str">
        <f>IFERROR(__xludf.DUMMYFUNCTION("split(A858, ""\"")"),"Adin Hill")</f>
        <v>Adin Hill</v>
      </c>
      <c r="D858" s="2" t="str">
        <f>IFERROR(__xludf.DUMMYFUNCTION("""COMPUTED_VALUE"""),"hillad01")</f>
        <v>hillad01</v>
      </c>
      <c r="E858" s="1" t="s">
        <v>5</v>
      </c>
      <c r="F858" s="1">
        <f t="shared" si="1"/>
        <v>16.5</v>
      </c>
      <c r="G858" s="1">
        <f t="shared" si="2"/>
        <v>4.13</v>
      </c>
      <c r="H858" s="1">
        <v>4.0</v>
      </c>
      <c r="V858" s="1">
        <v>4.0</v>
      </c>
      <c r="W858" s="1">
        <v>1.0</v>
      </c>
      <c r="X858" s="1">
        <v>3.0</v>
      </c>
      <c r="Y858" s="1">
        <v>14.0</v>
      </c>
      <c r="Z858" s="1">
        <v>129.0</v>
      </c>
      <c r="AA858" s="1">
        <v>115.0</v>
      </c>
      <c r="AB858" s="1">
        <v>0.0</v>
      </c>
    </row>
    <row r="859" ht="12.75" customHeight="1">
      <c r="A859" s="1" t="s">
        <v>859</v>
      </c>
      <c r="B859" s="1">
        <f t="shared" si="3"/>
        <v>848</v>
      </c>
      <c r="C859" s="1" t="str">
        <f>IFERROR(__xludf.DUMMYFUNCTION("split(A859, ""\"")"),"Paul Martin")</f>
        <v>Paul Martin</v>
      </c>
      <c r="D859" s="1" t="str">
        <f>IFERROR(__xludf.DUMMYFUNCTION("""COMPUTED_VALUE"""),"martipa01")</f>
        <v>martipa01</v>
      </c>
      <c r="E859" s="1" t="s">
        <v>66</v>
      </c>
      <c r="F859" s="1">
        <f t="shared" si="1"/>
        <v>15.6</v>
      </c>
      <c r="G859" s="1">
        <f t="shared" si="2"/>
        <v>1.11</v>
      </c>
      <c r="H859" s="1">
        <v>14.0</v>
      </c>
      <c r="I859" s="1">
        <v>0.0</v>
      </c>
      <c r="J859" s="1">
        <v>2.0</v>
      </c>
      <c r="K859" s="1">
        <v>2.0</v>
      </c>
      <c r="L859" s="1">
        <v>6.0</v>
      </c>
      <c r="M859" s="1">
        <v>8.0</v>
      </c>
      <c r="N859" s="1">
        <v>17.0</v>
      </c>
      <c r="O859" s="1">
        <v>0.0</v>
      </c>
      <c r="P859" s="1">
        <v>0.0</v>
      </c>
      <c r="Q859" s="1">
        <v>0.0</v>
      </c>
      <c r="R859" s="1">
        <v>0.0</v>
      </c>
      <c r="S859" s="1">
        <v>3.0</v>
      </c>
      <c r="T859" s="1">
        <v>2.0</v>
      </c>
      <c r="U859" s="1">
        <v>0.0</v>
      </c>
    </row>
    <row r="860" ht="12.75" customHeight="1">
      <c r="A860" s="1" t="s">
        <v>888</v>
      </c>
      <c r="B860" s="1">
        <f t="shared" si="3"/>
        <v>849</v>
      </c>
      <c r="C860" s="1" t="str">
        <f>IFERROR(__xludf.DUMMYFUNCTION("split(A860, ""\"")"),"Andy Welinski")</f>
        <v>Andy Welinski</v>
      </c>
      <c r="D860" s="1" t="str">
        <f>IFERROR(__xludf.DUMMYFUNCTION("""COMPUTED_VALUE"""),"welinan01")</f>
        <v>welinan01</v>
      </c>
      <c r="E860" s="1" t="s">
        <v>66</v>
      </c>
      <c r="F860" s="1">
        <f t="shared" si="1"/>
        <v>15.5</v>
      </c>
      <c r="G860" s="1">
        <f t="shared" si="2"/>
        <v>2.21</v>
      </c>
      <c r="H860" s="1">
        <v>7.0</v>
      </c>
      <c r="I860" s="1">
        <v>0.0</v>
      </c>
      <c r="J860" s="1">
        <v>2.0</v>
      </c>
      <c r="K860" s="1">
        <v>2.0</v>
      </c>
      <c r="L860" s="1">
        <v>6.0</v>
      </c>
      <c r="M860" s="1">
        <v>4.0</v>
      </c>
      <c r="N860" s="1">
        <v>8.0</v>
      </c>
      <c r="O860" s="1">
        <v>0.0</v>
      </c>
      <c r="P860" s="1">
        <v>0.0</v>
      </c>
      <c r="Q860" s="1">
        <v>0.0</v>
      </c>
      <c r="R860" s="1">
        <v>0.0</v>
      </c>
      <c r="S860" s="1">
        <v>-1.0</v>
      </c>
      <c r="T860" s="1">
        <v>0.0</v>
      </c>
      <c r="U860" s="1">
        <v>0.0</v>
      </c>
    </row>
    <row r="861" ht="12.75" customHeight="1">
      <c r="A861" s="1" t="s">
        <v>900</v>
      </c>
      <c r="B861" s="1">
        <f t="shared" si="3"/>
        <v>850</v>
      </c>
      <c r="C861" s="1" t="str">
        <f>IFERROR(__xludf.DUMMYFUNCTION("split(A861, ""\"")"),"Taylor Fedun")</f>
        <v>Taylor Fedun</v>
      </c>
      <c r="D861" s="1" t="str">
        <f>IFERROR(__xludf.DUMMYFUNCTION("""COMPUTED_VALUE"""),"fedunta01")</f>
        <v>fedunta01</v>
      </c>
      <c r="E861" s="1" t="s">
        <v>66</v>
      </c>
      <c r="F861" s="1">
        <f t="shared" si="1"/>
        <v>15.1</v>
      </c>
      <c r="G861" s="1">
        <f t="shared" si="2"/>
        <v>2.16</v>
      </c>
      <c r="H861" s="1">
        <v>7.0</v>
      </c>
      <c r="I861" s="1">
        <v>0.0</v>
      </c>
      <c r="J861" s="1">
        <v>1.0</v>
      </c>
      <c r="K861" s="1">
        <v>1.0</v>
      </c>
      <c r="L861" s="1">
        <v>8.0</v>
      </c>
      <c r="M861" s="1">
        <v>4.0</v>
      </c>
      <c r="N861" s="1">
        <v>10.0</v>
      </c>
      <c r="O861" s="1">
        <v>0.0</v>
      </c>
      <c r="P861" s="1">
        <v>0.0</v>
      </c>
      <c r="Q861" s="1">
        <v>0.0</v>
      </c>
      <c r="R861" s="1">
        <v>0.0</v>
      </c>
      <c r="S861" s="1">
        <v>-1.0</v>
      </c>
      <c r="T861" s="1">
        <v>2.0</v>
      </c>
      <c r="U861" s="1">
        <v>0.0</v>
      </c>
    </row>
    <row r="862" ht="12.75" customHeight="1">
      <c r="A862" s="1" t="s">
        <v>911</v>
      </c>
      <c r="B862" s="1">
        <f t="shared" si="3"/>
        <v>851</v>
      </c>
      <c r="C862" s="1" t="str">
        <f>IFERROR(__xludf.DUMMYFUNCTION("split(A862, ""\"")"),"Mike Liambas")</f>
        <v>Mike Liambas</v>
      </c>
      <c r="D862" s="1" t="str">
        <f>IFERROR(__xludf.DUMMYFUNCTION("""COMPUTED_VALUE"""),"liambmi01")</f>
        <v>liambmi01</v>
      </c>
      <c r="E862" s="1" t="s">
        <v>28</v>
      </c>
      <c r="F862" s="1">
        <f t="shared" si="1"/>
        <v>15.05</v>
      </c>
      <c r="G862" s="1">
        <f t="shared" si="2"/>
        <v>2.15</v>
      </c>
      <c r="H862" s="1">
        <v>7.0</v>
      </c>
      <c r="I862" s="1">
        <v>0.0</v>
      </c>
      <c r="J862" s="1">
        <v>1.0</v>
      </c>
      <c r="K862" s="1">
        <v>1.0</v>
      </c>
      <c r="L862" s="1">
        <v>3.0</v>
      </c>
      <c r="M862" s="1">
        <v>15.0</v>
      </c>
      <c r="N862" s="1">
        <v>1.0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21.0</v>
      </c>
      <c r="U862" s="1">
        <v>0.0</v>
      </c>
    </row>
    <row r="863" ht="12.75" customHeight="1">
      <c r="A863" s="1" t="s">
        <v>898</v>
      </c>
      <c r="B863" s="1">
        <f t="shared" si="3"/>
        <v>852</v>
      </c>
      <c r="C863" s="1" t="str">
        <f>IFERROR(__xludf.DUMMYFUNCTION("split(A863, ""\"")"),"Jim O'Brien")</f>
        <v>Jim O'Brien</v>
      </c>
      <c r="D863" s="1" t="str">
        <f>IFERROR(__xludf.DUMMYFUNCTION("""COMPUTED_VALUE"""),"obrieji01")</f>
        <v>obrieji01</v>
      </c>
      <c r="E863" s="1" t="s">
        <v>31</v>
      </c>
      <c r="F863" s="1">
        <f t="shared" si="1"/>
        <v>15</v>
      </c>
      <c r="G863" s="1">
        <f t="shared" si="2"/>
        <v>1.5</v>
      </c>
      <c r="H863" s="1">
        <v>10.0</v>
      </c>
      <c r="I863" s="1">
        <v>0.0</v>
      </c>
      <c r="J863" s="1">
        <v>1.0</v>
      </c>
      <c r="K863" s="1">
        <v>1.0</v>
      </c>
      <c r="L863" s="1">
        <v>11.0</v>
      </c>
      <c r="M863" s="1">
        <v>10.0</v>
      </c>
      <c r="N863" s="1">
        <v>5.0</v>
      </c>
      <c r="O863" s="1">
        <v>0.0</v>
      </c>
      <c r="P863" s="1">
        <v>0.0</v>
      </c>
      <c r="Q863" s="1">
        <v>0.0</v>
      </c>
      <c r="R863" s="1">
        <v>0.0</v>
      </c>
      <c r="S863" s="1">
        <v>-1.0</v>
      </c>
      <c r="T863" s="1">
        <v>0.0</v>
      </c>
      <c r="U863" s="1">
        <v>0.0</v>
      </c>
    </row>
    <row r="864" ht="12.75" customHeight="1">
      <c r="A864" s="1" t="s">
        <v>925</v>
      </c>
      <c r="B864" s="1">
        <f t="shared" si="3"/>
        <v>854</v>
      </c>
      <c r="C864" s="1" t="str">
        <f>IFERROR(__xludf.DUMMYFUNCTION("split(A864, ""\"")"),"Kyle Criscuolo")</f>
        <v>Kyle Criscuolo</v>
      </c>
      <c r="D864" s="1" t="str">
        <f>IFERROR(__xludf.DUMMYFUNCTION("""COMPUTED_VALUE"""),"criscky01")</f>
        <v>criscky01</v>
      </c>
      <c r="E864" s="1" t="s">
        <v>31</v>
      </c>
      <c r="F864" s="1">
        <f t="shared" si="1"/>
        <v>14.45</v>
      </c>
      <c r="G864" s="1">
        <f t="shared" si="2"/>
        <v>1.61</v>
      </c>
      <c r="H864" s="1">
        <v>9.0</v>
      </c>
      <c r="I864" s="1">
        <v>0.0</v>
      </c>
      <c r="J864" s="1">
        <v>0.0</v>
      </c>
      <c r="K864" s="1">
        <v>0.0</v>
      </c>
      <c r="L864" s="1">
        <v>5.0</v>
      </c>
      <c r="M864" s="1">
        <v>13.0</v>
      </c>
      <c r="N864" s="1">
        <v>3.0</v>
      </c>
      <c r="O864" s="1">
        <v>0.0</v>
      </c>
      <c r="P864" s="1">
        <v>0.0</v>
      </c>
      <c r="Q864" s="1">
        <v>0.0</v>
      </c>
      <c r="R864" s="1">
        <v>0.0</v>
      </c>
      <c r="S864" s="1">
        <v>-4.0</v>
      </c>
      <c r="T864" s="1">
        <v>4.0</v>
      </c>
      <c r="U864" s="1">
        <v>0.0</v>
      </c>
    </row>
    <row r="865" ht="12.75" customHeight="1">
      <c r="A865" s="1" t="s">
        <v>891</v>
      </c>
      <c r="B865" s="1">
        <f t="shared" si="3"/>
        <v>855</v>
      </c>
      <c r="C865" s="1" t="str">
        <f>IFERROR(__xludf.DUMMYFUNCTION("split(A865, ""\"")"),"Nathan Walker")</f>
        <v>Nathan Walker</v>
      </c>
      <c r="D865" s="1" t="str">
        <f>IFERROR(__xludf.DUMMYFUNCTION("""COMPUTED_VALUE"""),"walkena01")</f>
        <v>walkena01</v>
      </c>
      <c r="E865" s="1" t="s">
        <v>31</v>
      </c>
      <c r="F865" s="1">
        <f t="shared" si="1"/>
        <v>14.3</v>
      </c>
      <c r="G865" s="1">
        <f t="shared" si="2"/>
        <v>1.59</v>
      </c>
      <c r="H865" s="1">
        <v>9.0</v>
      </c>
      <c r="I865" s="1">
        <v>1.0</v>
      </c>
      <c r="J865" s="1">
        <v>0.0</v>
      </c>
      <c r="K865" s="1">
        <v>1.0</v>
      </c>
      <c r="L865" s="1">
        <v>6.0</v>
      </c>
      <c r="M865" s="1">
        <v>18.0</v>
      </c>
      <c r="N865" s="1">
        <v>1.0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6.0</v>
      </c>
      <c r="U865" s="1">
        <v>0.0</v>
      </c>
    </row>
    <row r="866" ht="12.75" customHeight="1">
      <c r="A866" s="1" t="s">
        <v>899</v>
      </c>
      <c r="B866" s="1">
        <f t="shared" si="3"/>
        <v>855</v>
      </c>
      <c r="C866" s="1" t="str">
        <f>IFERROR(__xludf.DUMMYFUNCTION("split(A866, ""\"")"),"Jordan Schmaltz")</f>
        <v>Jordan Schmaltz</v>
      </c>
      <c r="D866" s="1" t="str">
        <f>IFERROR(__xludf.DUMMYFUNCTION("""COMPUTED_VALUE"""),"schmajo01")</f>
        <v>schmajo01</v>
      </c>
      <c r="E866" s="1" t="s">
        <v>66</v>
      </c>
      <c r="F866" s="1">
        <f t="shared" si="1"/>
        <v>14.3</v>
      </c>
      <c r="G866" s="1">
        <f t="shared" si="2"/>
        <v>1.1</v>
      </c>
      <c r="H866" s="1">
        <v>13.0</v>
      </c>
      <c r="I866" s="1">
        <v>0.0</v>
      </c>
      <c r="J866" s="1">
        <v>1.0</v>
      </c>
      <c r="K866" s="1">
        <v>1.0</v>
      </c>
      <c r="L866" s="1">
        <v>5.0</v>
      </c>
      <c r="M866" s="1">
        <v>4.0</v>
      </c>
      <c r="N866" s="1">
        <v>12.0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6.0</v>
      </c>
      <c r="U866" s="1">
        <v>0.0</v>
      </c>
    </row>
    <row r="867" ht="12.75" customHeight="1">
      <c r="A867" s="1" t="s">
        <v>904</v>
      </c>
      <c r="B867" s="1">
        <f t="shared" si="3"/>
        <v>855</v>
      </c>
      <c r="C867" s="1" t="str">
        <f>IFERROR(__xludf.DUMMYFUNCTION("split(A867, ""\"")"),"Brendan Lemieux")</f>
        <v>Brendan Lemieux</v>
      </c>
      <c r="D867" s="1" t="str">
        <f>IFERROR(__xludf.DUMMYFUNCTION("""COMPUTED_VALUE"""),"lemiebr01")</f>
        <v>lemiebr01</v>
      </c>
      <c r="E867" s="1" t="s">
        <v>28</v>
      </c>
      <c r="F867" s="1">
        <f t="shared" si="1"/>
        <v>14.3</v>
      </c>
      <c r="G867" s="1">
        <f t="shared" si="2"/>
        <v>1.59</v>
      </c>
      <c r="H867" s="1">
        <v>9.0</v>
      </c>
      <c r="I867" s="1">
        <v>1.0</v>
      </c>
      <c r="J867" s="1">
        <v>0.0</v>
      </c>
      <c r="K867" s="1">
        <v>1.0</v>
      </c>
      <c r="L867" s="1">
        <v>6.0</v>
      </c>
      <c r="M867" s="1">
        <v>12.0</v>
      </c>
      <c r="N867" s="1">
        <v>1.0</v>
      </c>
      <c r="O867" s="1">
        <v>0.0</v>
      </c>
      <c r="P867" s="1">
        <v>0.0</v>
      </c>
      <c r="Q867" s="1">
        <v>0.0</v>
      </c>
      <c r="R867" s="1">
        <v>0.0</v>
      </c>
      <c r="S867" s="1">
        <v>2.0</v>
      </c>
      <c r="T867" s="1">
        <v>21.0</v>
      </c>
      <c r="U867" s="1">
        <v>0.0</v>
      </c>
    </row>
    <row r="868" ht="12.75" customHeight="1">
      <c r="A868" s="1" t="s">
        <v>903</v>
      </c>
      <c r="B868" s="1">
        <f t="shared" si="3"/>
        <v>858</v>
      </c>
      <c r="C868" s="1" t="str">
        <f>IFERROR(__xludf.DUMMYFUNCTION("split(A868, ""\"")"),"Adam Clendening")</f>
        <v>Adam Clendening</v>
      </c>
      <c r="D868" s="1" t="str">
        <f>IFERROR(__xludf.DUMMYFUNCTION("""COMPUTED_VALUE"""),"clendad01")</f>
        <v>clendad01</v>
      </c>
      <c r="E868" s="1" t="s">
        <v>66</v>
      </c>
      <c r="F868" s="1">
        <f t="shared" si="1"/>
        <v>13.6</v>
      </c>
      <c r="G868" s="1">
        <f t="shared" si="2"/>
        <v>2.72</v>
      </c>
      <c r="H868" s="1">
        <v>5.0</v>
      </c>
      <c r="I868" s="1">
        <v>0.0</v>
      </c>
      <c r="J868" s="1">
        <v>2.0</v>
      </c>
      <c r="K868" s="1">
        <v>2.0</v>
      </c>
      <c r="L868" s="1">
        <v>4.0</v>
      </c>
      <c r="M868" s="1">
        <v>2.0</v>
      </c>
      <c r="N868" s="1">
        <v>6.0</v>
      </c>
      <c r="O868" s="1">
        <v>0.0</v>
      </c>
      <c r="P868" s="1">
        <v>0.0</v>
      </c>
      <c r="Q868" s="1">
        <v>0.0</v>
      </c>
      <c r="R868" s="1">
        <v>0.0</v>
      </c>
      <c r="S868" s="1">
        <v>-1.0</v>
      </c>
      <c r="T868" s="1">
        <v>2.0</v>
      </c>
      <c r="U868" s="1">
        <v>0.0</v>
      </c>
    </row>
    <row r="869" ht="12.75" customHeight="1">
      <c r="A869" s="1" t="s">
        <v>912</v>
      </c>
      <c r="B869" s="1">
        <f t="shared" si="3"/>
        <v>859</v>
      </c>
      <c r="C869" s="1" t="str">
        <f>IFERROR(__xludf.DUMMYFUNCTION("split(A869, ""\"")"),"Jared Boll")</f>
        <v>Jared Boll</v>
      </c>
      <c r="D869" s="1" t="str">
        <f>IFERROR(__xludf.DUMMYFUNCTION("""COMPUTED_VALUE"""),"bollja01")</f>
        <v>bollja01</v>
      </c>
      <c r="E869" s="1" t="s">
        <v>36</v>
      </c>
      <c r="F869" s="1">
        <f t="shared" si="1"/>
        <v>13.55</v>
      </c>
      <c r="G869" s="1">
        <f t="shared" si="2"/>
        <v>1.36</v>
      </c>
      <c r="H869" s="1">
        <v>10.0</v>
      </c>
      <c r="I869" s="1">
        <v>1.0</v>
      </c>
      <c r="J869" s="1">
        <v>0.0</v>
      </c>
      <c r="K869" s="1">
        <v>1.0</v>
      </c>
      <c r="L869" s="1">
        <v>4.0</v>
      </c>
      <c r="M869" s="1">
        <v>9.0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16.0</v>
      </c>
      <c r="U869" s="1">
        <v>0.0</v>
      </c>
    </row>
    <row r="870" ht="12.75" customHeight="1">
      <c r="A870" s="1" t="s">
        <v>932</v>
      </c>
      <c r="B870" s="1">
        <f t="shared" si="3"/>
        <v>860</v>
      </c>
      <c r="C870" s="1" t="str">
        <f>IFERROR(__xludf.DUMMYFUNCTION("split(A870, ""\"")"),"Michael Chaput")</f>
        <v>Michael Chaput</v>
      </c>
      <c r="D870" s="1" t="str">
        <f>IFERROR(__xludf.DUMMYFUNCTION("""COMPUTED_VALUE"""),"chapumi01")</f>
        <v>chapumi01</v>
      </c>
      <c r="E870" s="1" t="s">
        <v>31</v>
      </c>
      <c r="F870" s="1">
        <f t="shared" si="1"/>
        <v>13.5</v>
      </c>
      <c r="G870" s="1">
        <f t="shared" si="2"/>
        <v>1.5</v>
      </c>
      <c r="H870" s="1">
        <v>9.0</v>
      </c>
      <c r="I870" s="1">
        <v>0.0</v>
      </c>
      <c r="J870" s="1">
        <v>0.0</v>
      </c>
      <c r="K870" s="1">
        <v>0.0</v>
      </c>
      <c r="L870" s="1">
        <v>2.0</v>
      </c>
      <c r="M870" s="1">
        <v>16.0</v>
      </c>
      <c r="N870" s="1">
        <v>2.0</v>
      </c>
      <c r="O870" s="1">
        <v>0.0</v>
      </c>
      <c r="P870" s="1">
        <v>0.0</v>
      </c>
      <c r="Q870" s="1">
        <v>0.0</v>
      </c>
      <c r="R870" s="1">
        <v>0.0</v>
      </c>
      <c r="S870" s="1">
        <v>-4.0</v>
      </c>
      <c r="T870" s="1">
        <v>5.0</v>
      </c>
      <c r="U870" s="1">
        <v>0.0</v>
      </c>
    </row>
    <row r="871" ht="12.75" customHeight="1">
      <c r="A871" s="1" t="s">
        <v>914</v>
      </c>
      <c r="B871" s="1">
        <f t="shared" si="3"/>
        <v>861</v>
      </c>
      <c r="C871" s="1" t="str">
        <f>IFERROR(__xludf.DUMMYFUNCTION("split(A871, ""\"")"),"Ryan Lomberg")</f>
        <v>Ryan Lomberg</v>
      </c>
      <c r="D871" s="1" t="str">
        <f>IFERROR(__xludf.DUMMYFUNCTION("""COMPUTED_VALUE"""),"lombery01")</f>
        <v>lombery01</v>
      </c>
      <c r="E871" s="1" t="s">
        <v>28</v>
      </c>
      <c r="F871" s="1">
        <f t="shared" si="1"/>
        <v>13.25</v>
      </c>
      <c r="G871" s="1">
        <f t="shared" si="2"/>
        <v>1.89</v>
      </c>
      <c r="H871" s="1">
        <v>7.0</v>
      </c>
      <c r="I871" s="1">
        <v>0.0</v>
      </c>
      <c r="J871" s="1">
        <v>1.0</v>
      </c>
      <c r="K871" s="1">
        <v>1.0</v>
      </c>
      <c r="L871" s="1">
        <v>5.0</v>
      </c>
      <c r="M871" s="1">
        <v>11.0</v>
      </c>
      <c r="N871" s="1">
        <v>1.0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15.0</v>
      </c>
      <c r="U871" s="1">
        <v>0.0</v>
      </c>
    </row>
    <row r="872" ht="12.75" customHeight="1">
      <c r="A872" s="1" t="s">
        <v>928</v>
      </c>
      <c r="B872" s="1">
        <f t="shared" si="3"/>
        <v>862</v>
      </c>
      <c r="C872" s="1" t="str">
        <f>IFERROR(__xludf.DUMMYFUNCTION("split(A872, ""\"")"),"Andrew Mangiapane")</f>
        <v>Andrew Mangiapane</v>
      </c>
      <c r="D872" s="1" t="str">
        <f>IFERROR(__xludf.DUMMYFUNCTION("""COMPUTED_VALUE"""),"mangian01")</f>
        <v>mangian01</v>
      </c>
      <c r="E872" s="1" t="s">
        <v>28</v>
      </c>
      <c r="F872" s="1">
        <f t="shared" si="1"/>
        <v>12.85</v>
      </c>
      <c r="G872" s="1">
        <f t="shared" si="2"/>
        <v>1.29</v>
      </c>
      <c r="H872" s="1">
        <v>10.0</v>
      </c>
      <c r="I872" s="1">
        <v>0.0</v>
      </c>
      <c r="J872" s="1">
        <v>0.0</v>
      </c>
      <c r="K872" s="1">
        <v>0.0</v>
      </c>
      <c r="L872" s="1">
        <v>7.0</v>
      </c>
      <c r="M872" s="1">
        <v>9.0</v>
      </c>
      <c r="N872" s="1">
        <v>4.0</v>
      </c>
      <c r="O872" s="1">
        <v>0.0</v>
      </c>
      <c r="P872" s="1">
        <v>0.0</v>
      </c>
      <c r="Q872" s="1">
        <v>0.0</v>
      </c>
      <c r="R872" s="1">
        <v>0.0</v>
      </c>
      <c r="S872" s="1">
        <v>-3.0</v>
      </c>
      <c r="T872" s="1">
        <v>2.0</v>
      </c>
      <c r="U872" s="1">
        <v>0.0</v>
      </c>
    </row>
    <row r="873" ht="12.75" customHeight="1">
      <c r="A873" s="1" t="s">
        <v>894</v>
      </c>
      <c r="B873" s="1">
        <f t="shared" si="3"/>
        <v>863</v>
      </c>
      <c r="C873" s="1" t="str">
        <f>IFERROR(__xludf.DUMMYFUNCTION("split(A873, ""\"")"),"Curtis McKenzie")</f>
        <v>Curtis McKenzie</v>
      </c>
      <c r="D873" s="1" t="str">
        <f>IFERROR(__xludf.DUMMYFUNCTION("""COMPUTED_VALUE"""),"mckencu01")</f>
        <v>mckencu01</v>
      </c>
      <c r="E873" s="1" t="s">
        <v>28</v>
      </c>
      <c r="F873" s="1">
        <f t="shared" si="1"/>
        <v>12.8</v>
      </c>
      <c r="G873" s="1">
        <f t="shared" si="2"/>
        <v>1.83</v>
      </c>
      <c r="H873" s="1">
        <v>7.0</v>
      </c>
      <c r="I873" s="1">
        <v>0.0</v>
      </c>
      <c r="J873" s="1">
        <v>2.0</v>
      </c>
      <c r="K873" s="1">
        <v>2.0</v>
      </c>
      <c r="L873" s="1">
        <v>11.0</v>
      </c>
      <c r="M873" s="1">
        <v>8.0</v>
      </c>
      <c r="N873" s="1">
        <v>1.0</v>
      </c>
      <c r="O873" s="1">
        <v>0.0</v>
      </c>
      <c r="P873" s="1">
        <v>0.0</v>
      </c>
      <c r="Q873" s="1">
        <v>0.0</v>
      </c>
      <c r="R873" s="1">
        <v>0.0</v>
      </c>
      <c r="S873" s="1">
        <v>3.0</v>
      </c>
      <c r="T873" s="1">
        <v>11.0</v>
      </c>
      <c r="U873" s="1">
        <v>0.0</v>
      </c>
    </row>
    <row r="874" ht="12.75" customHeight="1">
      <c r="A874" s="1" t="s">
        <v>909</v>
      </c>
      <c r="B874" s="1">
        <f t="shared" si="3"/>
        <v>864</v>
      </c>
      <c r="C874" s="1" t="str">
        <f>IFERROR(__xludf.DUMMYFUNCTION("split(A874, ""\"")"),"Kenny Agostino")</f>
        <v>Kenny Agostino</v>
      </c>
      <c r="D874" s="1" t="str">
        <f>IFERROR(__xludf.DUMMYFUNCTION("""COMPUTED_VALUE"""),"agostke01")</f>
        <v>agostke01</v>
      </c>
      <c r="E874" s="1" t="s">
        <v>28</v>
      </c>
      <c r="F874" s="1">
        <f t="shared" si="1"/>
        <v>12.7</v>
      </c>
      <c r="G874" s="1">
        <f t="shared" si="2"/>
        <v>2.54</v>
      </c>
      <c r="H874" s="1">
        <v>5.0</v>
      </c>
      <c r="I874" s="1">
        <v>0.0</v>
      </c>
      <c r="J874" s="1">
        <v>1.0</v>
      </c>
      <c r="K874" s="1">
        <v>1.0</v>
      </c>
      <c r="L874" s="1">
        <v>11.0</v>
      </c>
      <c r="M874" s="1">
        <v>4.0</v>
      </c>
      <c r="N874" s="1">
        <v>1.0</v>
      </c>
      <c r="O874" s="1">
        <v>0.0</v>
      </c>
      <c r="P874" s="1">
        <v>1.0</v>
      </c>
      <c r="Q874" s="1">
        <v>0.0</v>
      </c>
      <c r="R874" s="1">
        <v>0.0</v>
      </c>
      <c r="S874" s="1">
        <v>-1.0</v>
      </c>
      <c r="T874" s="1">
        <v>4.0</v>
      </c>
      <c r="U874" s="1">
        <v>0.0</v>
      </c>
    </row>
    <row r="875" ht="12.75" customHeight="1">
      <c r="A875" s="1" t="s">
        <v>944</v>
      </c>
      <c r="B875" s="1">
        <f t="shared" si="3"/>
        <v>865</v>
      </c>
      <c r="C875" s="1" t="str">
        <f>IFERROR(__xludf.DUMMYFUNCTION("split(A875, ""\"")"),"Dalton Prout")</f>
        <v>Dalton Prout</v>
      </c>
      <c r="D875" s="1" t="str">
        <f>IFERROR(__xludf.DUMMYFUNCTION("""COMPUTED_VALUE"""),"proutda01")</f>
        <v>proutda01</v>
      </c>
      <c r="E875" s="1" t="s">
        <v>66</v>
      </c>
      <c r="F875" s="1">
        <f t="shared" si="1"/>
        <v>12.65</v>
      </c>
      <c r="G875" s="1">
        <f t="shared" si="2"/>
        <v>3.16</v>
      </c>
      <c r="H875" s="1">
        <v>4.0</v>
      </c>
      <c r="I875" s="1">
        <v>0.0</v>
      </c>
      <c r="J875" s="1">
        <v>0.0</v>
      </c>
      <c r="K875" s="1">
        <v>0.0</v>
      </c>
      <c r="L875" s="1">
        <v>5.0</v>
      </c>
      <c r="M875" s="1">
        <v>7.0</v>
      </c>
      <c r="N875" s="1">
        <v>3.0</v>
      </c>
      <c r="O875" s="1">
        <v>0.0</v>
      </c>
      <c r="P875" s="1">
        <v>0.0</v>
      </c>
      <c r="Q875" s="1">
        <v>0.0</v>
      </c>
      <c r="R875" s="1">
        <v>0.0</v>
      </c>
      <c r="S875" s="1">
        <v>-2.0</v>
      </c>
      <c r="T875" s="1">
        <v>13.0</v>
      </c>
      <c r="U875" s="1">
        <v>0.0</v>
      </c>
    </row>
    <row r="876" ht="12.75" customHeight="1">
      <c r="A876" s="1" t="s">
        <v>907</v>
      </c>
      <c r="B876" s="1">
        <f t="shared" si="3"/>
        <v>866</v>
      </c>
      <c r="C876" s="1" t="str">
        <f>IFERROR(__xludf.DUMMYFUNCTION("split(A876, ""\"")"),"Brad Malone")</f>
        <v>Brad Malone</v>
      </c>
      <c r="D876" s="1" t="str">
        <f>IFERROR(__xludf.DUMMYFUNCTION("""COMPUTED_VALUE"""),"malonbr01")</f>
        <v>malonbr01</v>
      </c>
      <c r="E876" s="1" t="s">
        <v>141</v>
      </c>
      <c r="F876" s="1">
        <f t="shared" si="1"/>
        <v>12.55</v>
      </c>
      <c r="G876" s="1">
        <f t="shared" si="2"/>
        <v>1.79</v>
      </c>
      <c r="H876" s="1">
        <v>7.0</v>
      </c>
      <c r="I876" s="1">
        <v>0.0</v>
      </c>
      <c r="J876" s="1">
        <v>0.0</v>
      </c>
      <c r="K876" s="1">
        <v>0.0</v>
      </c>
      <c r="L876" s="1">
        <v>9.0</v>
      </c>
      <c r="M876" s="1">
        <v>19.0</v>
      </c>
      <c r="N876" s="1">
        <v>3.0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6.0</v>
      </c>
      <c r="U876" s="1">
        <v>0.0</v>
      </c>
    </row>
    <row r="877" ht="12.75" customHeight="1">
      <c r="A877" s="1" t="s">
        <v>908</v>
      </c>
      <c r="B877" s="1">
        <f t="shared" si="3"/>
        <v>867</v>
      </c>
      <c r="C877" s="1" t="str">
        <f>IFERROR(__xludf.DUMMYFUNCTION("split(A877, ""\"")"),"Victor Ejdsell")</f>
        <v>Victor Ejdsell</v>
      </c>
      <c r="D877" s="1" t="str">
        <f>IFERROR(__xludf.DUMMYFUNCTION("""COMPUTED_VALUE"""),"ejdsevi01")</f>
        <v>ejdsevi01</v>
      </c>
      <c r="E877" s="1" t="s">
        <v>31</v>
      </c>
      <c r="F877" s="1">
        <f t="shared" si="1"/>
        <v>12.5</v>
      </c>
      <c r="G877" s="1">
        <f t="shared" si="2"/>
        <v>2.08</v>
      </c>
      <c r="H877" s="1">
        <v>6.0</v>
      </c>
      <c r="I877" s="1">
        <v>0.0</v>
      </c>
      <c r="J877" s="1">
        <v>1.0</v>
      </c>
      <c r="K877" s="1">
        <v>1.0</v>
      </c>
      <c r="L877" s="1">
        <v>7.0</v>
      </c>
      <c r="M877" s="1">
        <v>6.0</v>
      </c>
      <c r="N877" s="1">
        <v>6.0</v>
      </c>
      <c r="O877" s="1">
        <v>0.0</v>
      </c>
      <c r="P877" s="1">
        <v>0.0</v>
      </c>
      <c r="Q877" s="1">
        <v>0.0</v>
      </c>
      <c r="R877" s="1">
        <v>0.0</v>
      </c>
      <c r="S877" s="1">
        <v>-1.0</v>
      </c>
      <c r="T877" s="1">
        <v>0.0</v>
      </c>
      <c r="U877" s="1">
        <v>0.0</v>
      </c>
    </row>
    <row r="878" ht="12.75" customHeight="1">
      <c r="A878" s="1" t="s">
        <v>892</v>
      </c>
      <c r="B878" s="1">
        <f t="shared" si="3"/>
        <v>868</v>
      </c>
      <c r="C878" s="1" t="str">
        <f>IFERROR(__xludf.DUMMYFUNCTION("split(A878, ""\"")"),"Chris Kelly")</f>
        <v>Chris Kelly</v>
      </c>
      <c r="D878" s="1" t="str">
        <f>IFERROR(__xludf.DUMMYFUNCTION("""COMPUTED_VALUE"""),"kellych01")</f>
        <v>kellych01</v>
      </c>
      <c r="E878" s="1" t="s">
        <v>141</v>
      </c>
      <c r="F878" s="1">
        <f t="shared" si="1"/>
        <v>12.35</v>
      </c>
      <c r="G878" s="1">
        <f t="shared" si="2"/>
        <v>1.03</v>
      </c>
      <c r="H878" s="1">
        <v>12.0</v>
      </c>
      <c r="I878" s="1">
        <v>0.0</v>
      </c>
      <c r="J878" s="1">
        <v>2.0</v>
      </c>
      <c r="K878" s="1">
        <v>2.0</v>
      </c>
      <c r="L878" s="1">
        <v>5.0</v>
      </c>
      <c r="M878" s="1">
        <v>7.0</v>
      </c>
      <c r="N878" s="1">
        <v>6.0</v>
      </c>
      <c r="O878" s="1">
        <v>0.0</v>
      </c>
      <c r="P878" s="1">
        <v>0.0</v>
      </c>
      <c r="Q878" s="1">
        <v>0.0</v>
      </c>
      <c r="R878" s="1">
        <v>0.0</v>
      </c>
      <c r="S878" s="1">
        <v>1.0</v>
      </c>
      <c r="T878" s="1">
        <v>2.0</v>
      </c>
      <c r="U878" s="1">
        <v>0.0</v>
      </c>
    </row>
    <row r="879" ht="12.75" customHeight="1">
      <c r="A879" s="1" t="s">
        <v>845</v>
      </c>
      <c r="B879" s="1">
        <f t="shared" si="3"/>
        <v>869</v>
      </c>
      <c r="C879" s="1" t="str">
        <f>IFERROR(__xludf.DUMMYFUNCTION("split(A879, ""\"")"),"Jared Coreau")</f>
        <v>Jared Coreau</v>
      </c>
      <c r="D879" s="2" t="str">
        <f>IFERROR(__xludf.DUMMYFUNCTION("""COMPUTED_VALUE"""),"coreaja01")</f>
        <v>coreaja01</v>
      </c>
      <c r="E879" s="1" t="s">
        <v>5</v>
      </c>
      <c r="F879" s="1">
        <f t="shared" si="1"/>
        <v>12.3</v>
      </c>
      <c r="G879" s="1">
        <f t="shared" si="2"/>
        <v>1.76</v>
      </c>
      <c r="H879" s="1">
        <v>7.0</v>
      </c>
      <c r="V879" s="1">
        <v>7.0</v>
      </c>
      <c r="W879" s="1">
        <v>0.0</v>
      </c>
      <c r="X879" s="1">
        <v>5.0</v>
      </c>
      <c r="Y879" s="1">
        <v>27.0</v>
      </c>
      <c r="Z879" s="1">
        <v>203.0</v>
      </c>
      <c r="AA879" s="1">
        <v>176.0</v>
      </c>
      <c r="AB879" s="1">
        <v>0.0</v>
      </c>
    </row>
    <row r="880" ht="12.75" customHeight="1">
      <c r="A880" s="1" t="s">
        <v>886</v>
      </c>
      <c r="B880" s="1">
        <f t="shared" si="3"/>
        <v>870</v>
      </c>
      <c r="C880" s="1" t="str">
        <f>IFERROR(__xludf.DUMMYFUNCTION("split(A880, ""\"")"),"Lias Andersson")</f>
        <v>Lias Andersson</v>
      </c>
      <c r="D880" s="1" t="str">
        <f>IFERROR(__xludf.DUMMYFUNCTION("""COMPUTED_VALUE"""),"anderli01")</f>
        <v>anderli01</v>
      </c>
      <c r="E880" s="1" t="s">
        <v>31</v>
      </c>
      <c r="F880" s="1">
        <f t="shared" si="1"/>
        <v>12.25</v>
      </c>
      <c r="G880" s="1">
        <f t="shared" si="2"/>
        <v>1.75</v>
      </c>
      <c r="H880" s="1">
        <v>7.0</v>
      </c>
      <c r="I880" s="1">
        <v>1.0</v>
      </c>
      <c r="J880" s="1">
        <v>1.0</v>
      </c>
      <c r="K880" s="1">
        <v>2.0</v>
      </c>
      <c r="L880" s="1">
        <v>5.0</v>
      </c>
      <c r="M880" s="1">
        <v>9.0</v>
      </c>
      <c r="N880" s="1">
        <v>3.0</v>
      </c>
      <c r="O880" s="1">
        <v>0.0</v>
      </c>
      <c r="P880" s="1">
        <v>0.0</v>
      </c>
      <c r="Q880" s="1">
        <v>0.0</v>
      </c>
      <c r="R880" s="1">
        <v>0.0</v>
      </c>
      <c r="S880" s="1">
        <v>1.0</v>
      </c>
      <c r="T880" s="1">
        <v>0.0</v>
      </c>
      <c r="U880" s="1">
        <v>0.0</v>
      </c>
    </row>
    <row r="881" ht="12.75" customHeight="1">
      <c r="A881" s="1" t="s">
        <v>917</v>
      </c>
      <c r="B881" s="1">
        <f t="shared" si="3"/>
        <v>872</v>
      </c>
      <c r="C881" s="1" t="str">
        <f>IFERROR(__xludf.DUMMYFUNCTION("split(A881, ""\"")"),"Rasmus Andersson")</f>
        <v>Rasmus Andersson</v>
      </c>
      <c r="D881" s="1" t="str">
        <f>IFERROR(__xludf.DUMMYFUNCTION("""COMPUTED_VALUE"""),"anderra01")</f>
        <v>anderra01</v>
      </c>
      <c r="E881" s="1" t="s">
        <v>66</v>
      </c>
      <c r="F881" s="1">
        <f t="shared" si="1"/>
        <v>12.2</v>
      </c>
      <c r="G881" s="1">
        <f t="shared" si="2"/>
        <v>1.22</v>
      </c>
      <c r="H881" s="1">
        <v>10.0</v>
      </c>
      <c r="I881" s="1">
        <v>0.0</v>
      </c>
      <c r="J881" s="1">
        <v>0.0</v>
      </c>
      <c r="K881" s="1">
        <v>0.0</v>
      </c>
      <c r="L881" s="1">
        <v>8.0</v>
      </c>
      <c r="M881" s="1">
        <v>2.0</v>
      </c>
      <c r="N881" s="1">
        <v>10.0</v>
      </c>
      <c r="O881" s="1">
        <v>0.0</v>
      </c>
      <c r="P881" s="1">
        <v>0.0</v>
      </c>
      <c r="Q881" s="1">
        <v>0.0</v>
      </c>
      <c r="R881" s="1">
        <v>0.0</v>
      </c>
      <c r="S881" s="1">
        <v>-1.0</v>
      </c>
      <c r="T881" s="1">
        <v>4.0</v>
      </c>
      <c r="U881" s="1">
        <v>0.0</v>
      </c>
    </row>
    <row r="882" ht="12.75" customHeight="1">
      <c r="A882" s="1" t="s">
        <v>916</v>
      </c>
      <c r="B882" s="1">
        <f t="shared" si="3"/>
        <v>873</v>
      </c>
      <c r="C882" s="1" t="str">
        <f>IFERROR(__xludf.DUMMYFUNCTION("split(A882, ""\"")"),"Dillon Heatherington")</f>
        <v>Dillon Heatherington</v>
      </c>
      <c r="D882" s="1" t="str">
        <f>IFERROR(__xludf.DUMMYFUNCTION("""COMPUTED_VALUE"""),"heathdi01")</f>
        <v>heathdi01</v>
      </c>
      <c r="E882" s="1" t="s">
        <v>66</v>
      </c>
      <c r="F882" s="1">
        <f t="shared" si="1"/>
        <v>12.05</v>
      </c>
      <c r="G882" s="1">
        <f t="shared" si="2"/>
        <v>2.01</v>
      </c>
      <c r="H882" s="1">
        <v>6.0</v>
      </c>
      <c r="I882" s="1">
        <v>0.0</v>
      </c>
      <c r="J882" s="1">
        <v>1.0</v>
      </c>
      <c r="K882" s="1">
        <v>1.0</v>
      </c>
      <c r="L882" s="1">
        <v>6.0</v>
      </c>
      <c r="M882" s="1">
        <v>7.0</v>
      </c>
      <c r="N882" s="1">
        <v>2.0</v>
      </c>
      <c r="O882" s="1">
        <v>0.0</v>
      </c>
      <c r="P882" s="1">
        <v>0.0</v>
      </c>
      <c r="Q882" s="1">
        <v>0.0</v>
      </c>
      <c r="R882" s="1">
        <v>0.0</v>
      </c>
      <c r="S882" s="1">
        <v>3.0</v>
      </c>
      <c r="T882" s="1">
        <v>26.0</v>
      </c>
      <c r="U882" s="1">
        <v>0.0</v>
      </c>
    </row>
    <row r="883" ht="12.75" customHeight="1">
      <c r="A883" s="1" t="s">
        <v>858</v>
      </c>
      <c r="B883" s="1">
        <f t="shared" si="3"/>
        <v>874</v>
      </c>
      <c r="C883" s="1" t="str">
        <f>IFERROR(__xludf.DUMMYFUNCTION("split(A883, ""\"")"),"Trevor Murphy")</f>
        <v>Trevor Murphy</v>
      </c>
      <c r="D883" s="1" t="str">
        <f>IFERROR(__xludf.DUMMYFUNCTION("""COMPUTED_VALUE"""),"murphtr01")</f>
        <v>murphtr01</v>
      </c>
      <c r="E883" s="1" t="s">
        <v>66</v>
      </c>
      <c r="F883" s="1">
        <f t="shared" si="1"/>
        <v>11.5</v>
      </c>
      <c r="G883" s="1">
        <f t="shared" si="2"/>
        <v>1.44</v>
      </c>
      <c r="H883" s="1">
        <v>8.0</v>
      </c>
      <c r="I883" s="1">
        <v>1.0</v>
      </c>
      <c r="J883" s="1">
        <v>2.0</v>
      </c>
      <c r="K883" s="1">
        <v>3.0</v>
      </c>
      <c r="L883" s="1">
        <v>5.0</v>
      </c>
      <c r="M883" s="1">
        <v>6.0</v>
      </c>
      <c r="N883" s="1">
        <v>9.0</v>
      </c>
      <c r="O883" s="1">
        <v>0.0</v>
      </c>
      <c r="P883" s="1">
        <v>0.0</v>
      </c>
      <c r="Q883" s="1">
        <v>0.0</v>
      </c>
      <c r="R883" s="1">
        <v>0.0</v>
      </c>
      <c r="S883" s="1">
        <v>5.0</v>
      </c>
      <c r="T883" s="1">
        <v>0.0</v>
      </c>
      <c r="U883" s="1">
        <v>0.0</v>
      </c>
    </row>
    <row r="884" ht="12.75" customHeight="1">
      <c r="A884" s="1" t="s">
        <v>890</v>
      </c>
      <c r="B884" s="1">
        <f t="shared" si="3"/>
        <v>874</v>
      </c>
      <c r="C884" s="1" t="str">
        <f>IFERROR(__xludf.DUMMYFUNCTION("split(A884, ""\"")"),"Dylan Sikura")</f>
        <v>Dylan Sikura</v>
      </c>
      <c r="D884" s="1" t="str">
        <f>IFERROR(__xludf.DUMMYFUNCTION("""COMPUTED_VALUE"""),"sikurdy01")</f>
        <v>sikurdy01</v>
      </c>
      <c r="E884" s="1" t="s">
        <v>31</v>
      </c>
      <c r="F884" s="1">
        <f t="shared" si="1"/>
        <v>11.5</v>
      </c>
      <c r="G884" s="1">
        <f t="shared" si="2"/>
        <v>2.3</v>
      </c>
      <c r="H884" s="1">
        <v>5.0</v>
      </c>
      <c r="I884" s="1">
        <v>0.0</v>
      </c>
      <c r="J884" s="1">
        <v>3.0</v>
      </c>
      <c r="K884" s="1">
        <v>3.0</v>
      </c>
      <c r="L884" s="1">
        <v>9.0</v>
      </c>
      <c r="M884" s="1">
        <v>0.0</v>
      </c>
      <c r="N884" s="1">
        <v>2.0</v>
      </c>
      <c r="O884" s="1">
        <v>0.0</v>
      </c>
      <c r="P884" s="1">
        <v>0.0</v>
      </c>
      <c r="Q884" s="1">
        <v>0.0</v>
      </c>
      <c r="R884" s="1">
        <v>0.0</v>
      </c>
      <c r="S884" s="1">
        <v>2.0</v>
      </c>
      <c r="T884" s="1">
        <v>0.0</v>
      </c>
      <c r="U884" s="1">
        <v>0.0</v>
      </c>
    </row>
    <row r="885" ht="12.75" customHeight="1">
      <c r="A885" s="1" t="s">
        <v>948</v>
      </c>
      <c r="B885" s="1">
        <f t="shared" si="3"/>
        <v>876</v>
      </c>
      <c r="C885" s="1" t="str">
        <f>IFERROR(__xludf.DUMMYFUNCTION("split(A885, ""\"")"),"Calle Rosen")</f>
        <v>Calle Rosen</v>
      </c>
      <c r="D885" s="1" t="str">
        <f>IFERROR(__xludf.DUMMYFUNCTION("""COMPUTED_VALUE"""),"rosenca01")</f>
        <v>rosenca01</v>
      </c>
      <c r="E885" s="1" t="s">
        <v>66</v>
      </c>
      <c r="F885" s="1">
        <f t="shared" si="1"/>
        <v>11.45</v>
      </c>
      <c r="G885" s="1">
        <f t="shared" si="2"/>
        <v>2.86</v>
      </c>
      <c r="H885" s="1">
        <v>4.0</v>
      </c>
      <c r="I885" s="1">
        <v>0.0</v>
      </c>
      <c r="J885" s="1">
        <v>1.0</v>
      </c>
      <c r="K885" s="1">
        <v>1.0</v>
      </c>
      <c r="L885" s="1">
        <v>5.0</v>
      </c>
      <c r="M885" s="1">
        <v>1.0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-3.0</v>
      </c>
      <c r="T885" s="1">
        <v>4.0</v>
      </c>
      <c r="U885" s="1">
        <v>0.0</v>
      </c>
    </row>
    <row r="886" ht="12.75" customHeight="1">
      <c r="A886" s="1" t="s">
        <v>851</v>
      </c>
      <c r="B886" s="1">
        <f t="shared" si="3"/>
        <v>877</v>
      </c>
      <c r="C886" s="1" t="str">
        <f>IFERROR(__xludf.DUMMYFUNCTION("split(A886, ""\"")"),"Joe Hicketts")</f>
        <v>Joe Hicketts</v>
      </c>
      <c r="D886" s="1" t="str">
        <f>IFERROR(__xludf.DUMMYFUNCTION("""COMPUTED_VALUE"""),"hickejo01")</f>
        <v>hickejo01</v>
      </c>
      <c r="E886" s="1" t="s">
        <v>66</v>
      </c>
      <c r="F886" s="1">
        <f t="shared" si="1"/>
        <v>11.35</v>
      </c>
      <c r="G886" s="1">
        <f t="shared" si="2"/>
        <v>2.27</v>
      </c>
      <c r="H886" s="1">
        <v>5.0</v>
      </c>
      <c r="I886" s="1">
        <v>0.0</v>
      </c>
      <c r="J886" s="1">
        <v>3.0</v>
      </c>
      <c r="K886" s="1">
        <v>3.0</v>
      </c>
      <c r="L886" s="1">
        <v>2.0</v>
      </c>
      <c r="M886" s="1">
        <v>9.0</v>
      </c>
      <c r="N886" s="1">
        <v>12.0</v>
      </c>
      <c r="O886" s="1">
        <v>0.0</v>
      </c>
      <c r="P886" s="1">
        <v>1.0</v>
      </c>
      <c r="Q886" s="1">
        <v>0.0</v>
      </c>
      <c r="R886" s="1">
        <v>0.0</v>
      </c>
      <c r="S886" s="1">
        <v>5.0</v>
      </c>
      <c r="T886" s="1">
        <v>2.0</v>
      </c>
      <c r="U886" s="1">
        <v>0.0</v>
      </c>
    </row>
    <row r="887" ht="12.75" customHeight="1">
      <c r="A887" s="1" t="s">
        <v>896</v>
      </c>
      <c r="B887" s="1">
        <f t="shared" si="3"/>
        <v>878</v>
      </c>
      <c r="C887" s="1" t="str">
        <f>IFERROR(__xludf.DUMMYFUNCTION("split(A887, ""\"")"),"Ken Appleby")</f>
        <v>Ken Appleby</v>
      </c>
      <c r="D887" s="2" t="str">
        <f>IFERROR(__xludf.DUMMYFUNCTION("""COMPUTED_VALUE"""),"appleke01")</f>
        <v>appleke01</v>
      </c>
      <c r="E887" s="1" t="s">
        <v>5</v>
      </c>
      <c r="F887" s="1">
        <f t="shared" si="1"/>
        <v>11.1</v>
      </c>
      <c r="G887" s="1">
        <f t="shared" si="2"/>
        <v>3.7</v>
      </c>
      <c r="H887" s="1">
        <v>3.0</v>
      </c>
      <c r="V887" s="1">
        <v>1.0</v>
      </c>
      <c r="W887" s="1">
        <v>0.0</v>
      </c>
      <c r="X887" s="1">
        <v>1.0</v>
      </c>
      <c r="Y887" s="1">
        <v>3.0</v>
      </c>
      <c r="Z887" s="1">
        <v>55.0</v>
      </c>
      <c r="AA887" s="1">
        <v>52.0</v>
      </c>
      <c r="AB887" s="1">
        <v>0.0</v>
      </c>
    </row>
    <row r="888" ht="12.75" customHeight="1">
      <c r="A888" s="1" t="s">
        <v>931</v>
      </c>
      <c r="B888" s="1">
        <f t="shared" si="3"/>
        <v>879</v>
      </c>
      <c r="C888" s="1" t="str">
        <f>IFERROR(__xludf.DUMMYFUNCTION("split(A888, ""\"")"),"Dakota Mermis")</f>
        <v>Dakota Mermis</v>
      </c>
      <c r="D888" s="1" t="str">
        <f>IFERROR(__xludf.DUMMYFUNCTION("""COMPUTED_VALUE"""),"mermida01")</f>
        <v>mermida01</v>
      </c>
      <c r="E888" s="1" t="s">
        <v>66</v>
      </c>
      <c r="F888" s="1">
        <f t="shared" si="1"/>
        <v>10.75</v>
      </c>
      <c r="G888" s="1">
        <f t="shared" si="2"/>
        <v>1.19</v>
      </c>
      <c r="H888" s="1">
        <v>9.0</v>
      </c>
      <c r="I888" s="1">
        <v>0.0</v>
      </c>
      <c r="J888" s="1">
        <v>0.0</v>
      </c>
      <c r="K888" s="1">
        <v>0.0</v>
      </c>
      <c r="L888" s="1">
        <v>7.0</v>
      </c>
      <c r="M888" s="1">
        <v>5.0</v>
      </c>
      <c r="N888" s="1">
        <v>6.0</v>
      </c>
      <c r="O888" s="1">
        <v>0.0</v>
      </c>
      <c r="P888" s="1">
        <v>0.0</v>
      </c>
      <c r="Q888" s="1">
        <v>0.0</v>
      </c>
      <c r="R888" s="1">
        <v>0.0</v>
      </c>
      <c r="S888" s="1">
        <v>-2.0</v>
      </c>
      <c r="T888" s="1">
        <v>0.0</v>
      </c>
      <c r="U888" s="1">
        <v>0.0</v>
      </c>
    </row>
    <row r="889" ht="12.75" customHeight="1">
      <c r="A889" s="1" t="s">
        <v>942</v>
      </c>
      <c r="B889" s="1">
        <f t="shared" si="3"/>
        <v>880</v>
      </c>
      <c r="C889" s="1" t="str">
        <f>IFERROR(__xludf.DUMMYFUNCTION("split(A889, ""\"")"),"Alexander Nylander")</f>
        <v>Alexander Nylander</v>
      </c>
      <c r="D889" s="1" t="str">
        <f>IFERROR(__xludf.DUMMYFUNCTION("""COMPUTED_VALUE"""),"nylanal01")</f>
        <v>nylanal01</v>
      </c>
      <c r="E889" s="1" t="s">
        <v>28</v>
      </c>
      <c r="F889" s="1">
        <f t="shared" si="1"/>
        <v>10</v>
      </c>
      <c r="G889" s="1">
        <f t="shared" si="2"/>
        <v>3.33</v>
      </c>
      <c r="H889" s="1">
        <v>3.0</v>
      </c>
      <c r="I889" s="1">
        <v>1.0</v>
      </c>
      <c r="J889" s="1">
        <v>0.0</v>
      </c>
      <c r="K889" s="1">
        <v>1.0</v>
      </c>
      <c r="L889" s="1">
        <v>2.0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-3.0</v>
      </c>
      <c r="T889" s="1">
        <v>0.0</v>
      </c>
      <c r="U889" s="1">
        <v>0.0</v>
      </c>
    </row>
    <row r="890" ht="12.75" customHeight="1">
      <c r="A890" s="1" t="s">
        <v>941</v>
      </c>
      <c r="B890" s="1">
        <f t="shared" si="3"/>
        <v>881</v>
      </c>
      <c r="C890" s="1" t="str">
        <f>IFERROR(__xludf.DUMMYFUNCTION("split(A890, ""\"")"),"Dominic Turgeon")</f>
        <v>Dominic Turgeon</v>
      </c>
      <c r="D890" s="1" t="str">
        <f>IFERROR(__xludf.DUMMYFUNCTION("""COMPUTED_VALUE"""),"turgedo01")</f>
        <v>turgedo01</v>
      </c>
      <c r="E890" s="1" t="s">
        <v>31</v>
      </c>
      <c r="F890" s="1">
        <f t="shared" si="1"/>
        <v>9.85</v>
      </c>
      <c r="G890" s="1">
        <f t="shared" si="2"/>
        <v>1.97</v>
      </c>
      <c r="H890" s="1">
        <v>5.0</v>
      </c>
      <c r="I890" s="1">
        <v>0.0</v>
      </c>
      <c r="J890" s="1">
        <v>0.0</v>
      </c>
      <c r="K890" s="1">
        <v>0.0</v>
      </c>
      <c r="L890" s="1">
        <v>3.0</v>
      </c>
      <c r="M890" s="1">
        <v>3.0</v>
      </c>
      <c r="N890" s="1">
        <v>8.0</v>
      </c>
      <c r="O890" s="1">
        <v>0.0</v>
      </c>
      <c r="P890" s="1">
        <v>0.0</v>
      </c>
      <c r="Q890" s="1">
        <v>0.0</v>
      </c>
      <c r="R890" s="1">
        <v>0.0</v>
      </c>
      <c r="S890" s="1">
        <v>-2.0</v>
      </c>
      <c r="T890" s="1">
        <v>2.0</v>
      </c>
      <c r="U890" s="1">
        <v>0.0</v>
      </c>
    </row>
    <row r="891" ht="12.75" customHeight="1">
      <c r="A891" s="1" t="s">
        <v>920</v>
      </c>
      <c r="B891" s="1">
        <f t="shared" si="3"/>
        <v>882</v>
      </c>
      <c r="C891" s="1" t="str">
        <f>IFERROR(__xludf.DUMMYFUNCTION("split(A891, ""\"")"),"Henrik Borgström")</f>
        <v>Henrik Borgström</v>
      </c>
      <c r="D891" s="1" t="str">
        <f>IFERROR(__xludf.DUMMYFUNCTION("""COMPUTED_VALUE"""),"borgshe01")</f>
        <v>borgshe01</v>
      </c>
      <c r="E891" s="1" t="s">
        <v>31</v>
      </c>
      <c r="F891" s="1">
        <f t="shared" si="1"/>
        <v>9.75</v>
      </c>
      <c r="G891" s="1">
        <f t="shared" si="2"/>
        <v>2.44</v>
      </c>
      <c r="H891" s="1">
        <v>4.0</v>
      </c>
      <c r="I891" s="1">
        <v>1.0</v>
      </c>
      <c r="J891" s="1">
        <v>0.0</v>
      </c>
      <c r="K891" s="1">
        <v>1.0</v>
      </c>
      <c r="L891" s="1">
        <v>6.0</v>
      </c>
      <c r="M891" s="1">
        <v>1.0</v>
      </c>
      <c r="N891" s="1">
        <v>1.0</v>
      </c>
      <c r="O891" s="1">
        <v>0.0</v>
      </c>
      <c r="P891" s="1">
        <v>0.0</v>
      </c>
      <c r="Q891" s="1">
        <v>0.0</v>
      </c>
      <c r="R891" s="1">
        <v>0.0</v>
      </c>
      <c r="S891" s="1">
        <v>-1.0</v>
      </c>
      <c r="T891" s="1">
        <v>0.0</v>
      </c>
      <c r="U891" s="1">
        <v>0.0</v>
      </c>
    </row>
    <row r="892" ht="12.75" customHeight="1">
      <c r="A892" s="1" t="s">
        <v>919</v>
      </c>
      <c r="B892" s="1">
        <f t="shared" si="3"/>
        <v>882</v>
      </c>
      <c r="C892" s="1" t="str">
        <f>IFERROR(__xludf.DUMMYFUNCTION("split(A892, ""\"")"),"Patrick Eaves")</f>
        <v>Patrick Eaves</v>
      </c>
      <c r="D892" s="1" t="str">
        <f>IFERROR(__xludf.DUMMYFUNCTION("""COMPUTED_VALUE"""),"eavespa01")</f>
        <v>eavespa01</v>
      </c>
      <c r="E892" s="1" t="s">
        <v>36</v>
      </c>
      <c r="F892" s="1">
        <f t="shared" si="1"/>
        <v>9.75</v>
      </c>
      <c r="G892" s="1">
        <f t="shared" si="2"/>
        <v>4.88</v>
      </c>
      <c r="H892" s="1">
        <v>2.0</v>
      </c>
      <c r="I892" s="1">
        <v>1.0</v>
      </c>
      <c r="J892" s="1">
        <v>0.0</v>
      </c>
      <c r="K892" s="1">
        <v>1.0</v>
      </c>
      <c r="L892" s="1">
        <v>3.0</v>
      </c>
      <c r="M892" s="1">
        <v>5.0</v>
      </c>
      <c r="N892" s="1">
        <v>1.0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1.0</v>
      </c>
    </row>
    <row r="893">
      <c r="A893" s="1" t="s">
        <v>885</v>
      </c>
      <c r="B893" s="1">
        <f t="shared" si="3"/>
        <v>885</v>
      </c>
      <c r="C893" s="1" t="str">
        <f>IFERROR(__xludf.DUMMYFUNCTION("split(A893, ""\"")"),"Eric Comrie")</f>
        <v>Eric Comrie</v>
      </c>
      <c r="D893" s="2" t="str">
        <f>IFERROR(__xludf.DUMMYFUNCTION("""COMPUTED_VALUE"""),"comrier01")</f>
        <v>comrier01</v>
      </c>
      <c r="E893" s="1" t="s">
        <v>5</v>
      </c>
      <c r="F893" s="1">
        <f t="shared" si="1"/>
        <v>9.6</v>
      </c>
      <c r="G893" s="1">
        <f t="shared" si="2"/>
        <v>3.2</v>
      </c>
      <c r="H893" s="1">
        <v>3.0</v>
      </c>
      <c r="V893" s="1">
        <v>3.0</v>
      </c>
      <c r="W893" s="1">
        <v>1.0</v>
      </c>
      <c r="X893" s="1">
        <v>2.0</v>
      </c>
      <c r="Y893" s="1">
        <v>12.0</v>
      </c>
      <c r="Z893" s="1">
        <v>94.0</v>
      </c>
      <c r="AA893" s="1">
        <v>82.0</v>
      </c>
      <c r="AB893" s="1">
        <v>0.0</v>
      </c>
    </row>
    <row r="894">
      <c r="A894" s="1" t="s">
        <v>915</v>
      </c>
      <c r="B894" s="1">
        <f t="shared" si="3"/>
        <v>886</v>
      </c>
      <c r="C894" s="1" t="str">
        <f>IFERROR(__xludf.DUMMYFUNCTION("split(A894, ""\"")"),"Stefan Matteau")</f>
        <v>Stefan Matteau</v>
      </c>
      <c r="D894" s="1" t="str">
        <f>IFERROR(__xludf.DUMMYFUNCTION("""COMPUTED_VALUE"""),"mattest02")</f>
        <v>mattest02</v>
      </c>
      <c r="E894" s="1" t="s">
        <v>28</v>
      </c>
      <c r="F894" s="1">
        <f t="shared" si="1"/>
        <v>9.5</v>
      </c>
      <c r="G894" s="1">
        <f t="shared" si="2"/>
        <v>1.19</v>
      </c>
      <c r="H894" s="1">
        <v>8.0</v>
      </c>
      <c r="I894" s="1">
        <v>0.0</v>
      </c>
      <c r="J894" s="1">
        <v>1.0</v>
      </c>
      <c r="K894" s="1">
        <v>1.0</v>
      </c>
      <c r="L894" s="1">
        <v>8.0</v>
      </c>
      <c r="M894" s="1">
        <v>8.0</v>
      </c>
      <c r="N894" s="1">
        <v>1.0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</row>
    <row r="895">
      <c r="A895" s="1" t="s">
        <v>927</v>
      </c>
      <c r="B895" s="1">
        <f t="shared" si="3"/>
        <v>886</v>
      </c>
      <c r="C895" s="1" t="str">
        <f>IFERROR(__xludf.DUMMYFUNCTION("split(A895, ""\"")"),"Danick Martel")</f>
        <v>Danick Martel</v>
      </c>
      <c r="D895" s="1" t="str">
        <f>IFERROR(__xludf.DUMMYFUNCTION("""COMPUTED_VALUE"""),"marteda01")</f>
        <v>marteda01</v>
      </c>
      <c r="E895" s="1" t="s">
        <v>28</v>
      </c>
      <c r="F895" s="1">
        <f t="shared" si="1"/>
        <v>9.5</v>
      </c>
      <c r="G895" s="1">
        <f t="shared" si="2"/>
        <v>2.38</v>
      </c>
      <c r="H895" s="1">
        <v>4.0</v>
      </c>
      <c r="I895" s="1">
        <v>0.0</v>
      </c>
      <c r="J895" s="1">
        <v>0.0</v>
      </c>
      <c r="K895" s="1">
        <v>0.0</v>
      </c>
      <c r="L895" s="1">
        <v>6.0</v>
      </c>
      <c r="M895" s="1">
        <v>2.0</v>
      </c>
      <c r="N895" s="1">
        <v>9.0</v>
      </c>
      <c r="O895" s="1">
        <v>0.0</v>
      </c>
      <c r="P895" s="1">
        <v>0.0</v>
      </c>
      <c r="Q895" s="1">
        <v>0.0</v>
      </c>
      <c r="R895" s="1">
        <v>0.0</v>
      </c>
      <c r="S895" s="1">
        <v>-1.0</v>
      </c>
      <c r="T895" s="1">
        <v>0.0</v>
      </c>
      <c r="U895" s="1">
        <v>0.0</v>
      </c>
    </row>
    <row r="896">
      <c r="A896" s="1" t="s">
        <v>935</v>
      </c>
      <c r="B896" s="1">
        <f t="shared" si="3"/>
        <v>888</v>
      </c>
      <c r="C896" s="1" t="str">
        <f>IFERROR(__xludf.DUMMYFUNCTION("split(A896, ""\"")"),"Frank Corrado")</f>
        <v>Frank Corrado</v>
      </c>
      <c r="D896" s="1" t="str">
        <f>IFERROR(__xludf.DUMMYFUNCTION("""COMPUTED_VALUE"""),"corrafr01")</f>
        <v>corrafr01</v>
      </c>
      <c r="E896" s="1" t="s">
        <v>66</v>
      </c>
      <c r="F896" s="1">
        <f t="shared" si="1"/>
        <v>9.35</v>
      </c>
      <c r="G896" s="1">
        <f t="shared" si="2"/>
        <v>1.87</v>
      </c>
      <c r="H896" s="1">
        <v>5.0</v>
      </c>
      <c r="I896" s="1">
        <v>0.0</v>
      </c>
      <c r="J896" s="1">
        <v>0.0</v>
      </c>
      <c r="K896" s="1">
        <v>0.0</v>
      </c>
      <c r="L896" s="1">
        <v>6.0</v>
      </c>
      <c r="M896" s="1">
        <v>5.0</v>
      </c>
      <c r="N896" s="1">
        <v>6.0</v>
      </c>
      <c r="O896" s="1">
        <v>0.0</v>
      </c>
      <c r="P896" s="1">
        <v>0.0</v>
      </c>
      <c r="Q896" s="1">
        <v>0.0</v>
      </c>
      <c r="R896" s="1">
        <v>0.0</v>
      </c>
      <c r="S896" s="1">
        <v>-1.0</v>
      </c>
      <c r="T896" s="1">
        <v>2.0</v>
      </c>
      <c r="U896" s="1">
        <v>0.0</v>
      </c>
    </row>
    <row r="897">
      <c r="A897" s="1" t="s">
        <v>937</v>
      </c>
      <c r="B897" s="1">
        <f t="shared" si="3"/>
        <v>888</v>
      </c>
      <c r="C897" s="1" t="str">
        <f>IFERROR(__xludf.DUMMYFUNCTION("split(A897, ""\"")"),"Tyrell Goulbourne")</f>
        <v>Tyrell Goulbourne</v>
      </c>
      <c r="D897" s="1" t="str">
        <f>IFERROR(__xludf.DUMMYFUNCTION("""COMPUTED_VALUE"""),"goulbty01")</f>
        <v>goulbty01</v>
      </c>
      <c r="E897" s="1" t="s">
        <v>28</v>
      </c>
      <c r="F897" s="1">
        <f t="shared" si="1"/>
        <v>9.35</v>
      </c>
      <c r="G897" s="1">
        <f t="shared" si="2"/>
        <v>1.04</v>
      </c>
      <c r="H897" s="1">
        <v>9.0</v>
      </c>
      <c r="I897" s="1">
        <v>0.0</v>
      </c>
      <c r="J897" s="1">
        <v>0.0</v>
      </c>
      <c r="K897" s="1">
        <v>0.0</v>
      </c>
      <c r="L897" s="1">
        <v>2.0</v>
      </c>
      <c r="M897" s="1">
        <v>15.0</v>
      </c>
      <c r="N897" s="1">
        <v>2.0</v>
      </c>
      <c r="O897" s="1">
        <v>0.0</v>
      </c>
      <c r="P897" s="1">
        <v>0.0</v>
      </c>
      <c r="Q897" s="1">
        <v>0.0</v>
      </c>
      <c r="R897" s="1">
        <v>0.0</v>
      </c>
      <c r="S897" s="1">
        <v>-2.0</v>
      </c>
      <c r="T897" s="1">
        <v>2.0</v>
      </c>
      <c r="U897" s="1">
        <v>0.0</v>
      </c>
    </row>
    <row r="898">
      <c r="A898" s="1" t="s">
        <v>905</v>
      </c>
      <c r="B898" s="1">
        <f t="shared" si="3"/>
        <v>891</v>
      </c>
      <c r="C898" s="1" t="str">
        <f>IFERROR(__xludf.DUMMYFUNCTION("split(A898, ""\"")"),"Nick Lappin")</f>
        <v>Nick Lappin</v>
      </c>
      <c r="D898" s="1" t="str">
        <f>IFERROR(__xludf.DUMMYFUNCTION("""COMPUTED_VALUE"""),"lappini01")</f>
        <v>lappini01</v>
      </c>
      <c r="E898" s="1" t="s">
        <v>36</v>
      </c>
      <c r="F898" s="1">
        <f t="shared" si="1"/>
        <v>9.2</v>
      </c>
      <c r="G898" s="1">
        <f t="shared" si="2"/>
        <v>1.53</v>
      </c>
      <c r="H898" s="1">
        <v>6.0</v>
      </c>
      <c r="I898" s="1">
        <v>1.0</v>
      </c>
      <c r="J898" s="1">
        <v>0.0</v>
      </c>
      <c r="K898" s="1">
        <v>1.0</v>
      </c>
      <c r="L898" s="1">
        <v>7.0</v>
      </c>
      <c r="M898" s="1">
        <v>8.0</v>
      </c>
      <c r="N898" s="1">
        <v>2.0</v>
      </c>
      <c r="O898" s="1">
        <v>0.0</v>
      </c>
      <c r="P898" s="1">
        <v>0.0</v>
      </c>
      <c r="Q898" s="1">
        <v>0.0</v>
      </c>
      <c r="R898" s="1">
        <v>0.0</v>
      </c>
      <c r="S898" s="1">
        <v>2.0</v>
      </c>
      <c r="T898" s="1">
        <v>4.0</v>
      </c>
      <c r="U898" s="1">
        <v>0.0</v>
      </c>
    </row>
    <row r="899">
      <c r="A899" s="1" t="s">
        <v>901</v>
      </c>
      <c r="B899" s="1">
        <f t="shared" si="3"/>
        <v>892</v>
      </c>
      <c r="C899" s="1" t="str">
        <f>IFERROR(__xludf.DUMMYFUNCTION("split(A899, ""\"")"),"Mike McKenna")</f>
        <v>Mike McKenna</v>
      </c>
      <c r="D899" s="2" t="str">
        <f>IFERROR(__xludf.DUMMYFUNCTION("""COMPUTED_VALUE"""),"mckenmi01")</f>
        <v>mckenmi01</v>
      </c>
      <c r="E899" s="1" t="s">
        <v>5</v>
      </c>
      <c r="F899" s="1">
        <f t="shared" si="1"/>
        <v>9</v>
      </c>
      <c r="G899" s="1">
        <f t="shared" si="2"/>
        <v>4.5</v>
      </c>
      <c r="H899" s="1">
        <v>2.0</v>
      </c>
      <c r="V899" s="1">
        <v>1.0</v>
      </c>
      <c r="W899" s="1">
        <v>1.0</v>
      </c>
      <c r="X899" s="1">
        <v>1.0</v>
      </c>
      <c r="Y899" s="1">
        <v>5.0</v>
      </c>
      <c r="Z899" s="1">
        <v>50.0</v>
      </c>
      <c r="AA899" s="1">
        <v>45.0</v>
      </c>
      <c r="AB899" s="1">
        <v>0.0</v>
      </c>
    </row>
    <row r="900">
      <c r="A900" s="1" t="s">
        <v>902</v>
      </c>
      <c r="B900" s="1">
        <f t="shared" si="3"/>
        <v>893</v>
      </c>
      <c r="C900" s="1" t="str">
        <f>IFERROR(__xludf.DUMMYFUNCTION("split(A900, ""\"")"),"Peter Cehlarik")</f>
        <v>Peter Cehlarik</v>
      </c>
      <c r="D900" s="1" t="str">
        <f>IFERROR(__xludf.DUMMYFUNCTION("""COMPUTED_VALUE"""),"cehlape01")</f>
        <v>cehlape01</v>
      </c>
      <c r="E900" s="1" t="s">
        <v>28</v>
      </c>
      <c r="F900" s="1">
        <f t="shared" si="1"/>
        <v>8.85</v>
      </c>
      <c r="G900" s="1">
        <f t="shared" si="2"/>
        <v>1.48</v>
      </c>
      <c r="H900" s="1">
        <v>6.0</v>
      </c>
      <c r="I900" s="1">
        <v>1.0</v>
      </c>
      <c r="J900" s="1">
        <v>1.0</v>
      </c>
      <c r="K900" s="1">
        <v>2.0</v>
      </c>
      <c r="L900" s="1">
        <v>3.0</v>
      </c>
      <c r="M900" s="1">
        <v>3.0</v>
      </c>
      <c r="N900" s="1">
        <v>3.0</v>
      </c>
      <c r="O900" s="1">
        <v>0.0</v>
      </c>
      <c r="P900" s="1">
        <v>0.0</v>
      </c>
      <c r="Q900" s="1">
        <v>0.0</v>
      </c>
      <c r="R900" s="1">
        <v>0.0</v>
      </c>
      <c r="S900" s="1">
        <v>2.0</v>
      </c>
      <c r="T900" s="1">
        <v>2.0</v>
      </c>
      <c r="U900" s="1">
        <v>0.0</v>
      </c>
    </row>
    <row r="901">
      <c r="A901" s="1" t="s">
        <v>913</v>
      </c>
      <c r="B901" s="1">
        <f t="shared" si="3"/>
        <v>893</v>
      </c>
      <c r="C901" s="1" t="str">
        <f>IFERROR(__xludf.DUMMYFUNCTION("split(A901, ""\"")"),"Jean-Sebastien Dea")</f>
        <v>Jean-Sebastien Dea</v>
      </c>
      <c r="D901" s="1" t="str">
        <f>IFERROR(__xludf.DUMMYFUNCTION("""COMPUTED_VALUE"""),"deaje01")</f>
        <v>deaje01</v>
      </c>
      <c r="E901" s="1" t="s">
        <v>31</v>
      </c>
      <c r="F901" s="1">
        <f t="shared" si="1"/>
        <v>8.85</v>
      </c>
      <c r="G901" s="1">
        <f t="shared" si="2"/>
        <v>1.77</v>
      </c>
      <c r="H901" s="1">
        <v>5.0</v>
      </c>
      <c r="I901" s="1">
        <v>1.0</v>
      </c>
      <c r="J901" s="1">
        <v>0.0</v>
      </c>
      <c r="K901" s="1">
        <v>1.0</v>
      </c>
      <c r="L901" s="1">
        <v>1.0</v>
      </c>
      <c r="M901" s="1">
        <v>9.0</v>
      </c>
      <c r="N901" s="1">
        <v>1.0</v>
      </c>
      <c r="O901" s="1">
        <v>0.0</v>
      </c>
      <c r="P901" s="1">
        <v>0.0</v>
      </c>
      <c r="Q901" s="1">
        <v>0.0</v>
      </c>
      <c r="R901" s="1">
        <v>0.0</v>
      </c>
      <c r="S901" s="1">
        <v>1.0</v>
      </c>
      <c r="T901" s="1">
        <v>2.0</v>
      </c>
      <c r="U901" s="1">
        <v>1.0</v>
      </c>
    </row>
    <row r="902">
      <c r="A902" s="1" t="s">
        <v>947</v>
      </c>
      <c r="B902" s="1">
        <f t="shared" si="3"/>
        <v>895</v>
      </c>
      <c r="C902" s="1" t="str">
        <f>IFERROR(__xludf.DUMMYFUNCTION("split(A902, ""\"")"),"Beau Bennett")</f>
        <v>Beau Bennett</v>
      </c>
      <c r="D902" s="1" t="str">
        <f>IFERROR(__xludf.DUMMYFUNCTION("""COMPUTED_VALUE"""),"bennebe01")</f>
        <v>bennebe01</v>
      </c>
      <c r="E902" s="1" t="s">
        <v>36</v>
      </c>
      <c r="F902" s="1">
        <f t="shared" si="1"/>
        <v>8.75</v>
      </c>
      <c r="G902" s="1">
        <f t="shared" si="2"/>
        <v>1.46</v>
      </c>
      <c r="H902" s="1">
        <v>6.0</v>
      </c>
      <c r="I902" s="1">
        <v>0.0</v>
      </c>
      <c r="J902" s="1">
        <v>0.0</v>
      </c>
      <c r="K902" s="1">
        <v>0.0</v>
      </c>
      <c r="L902" s="1">
        <v>6.0</v>
      </c>
      <c r="M902" s="1">
        <v>9.0</v>
      </c>
      <c r="N902" s="1">
        <v>1.0</v>
      </c>
      <c r="O902" s="1">
        <v>0.0</v>
      </c>
      <c r="P902" s="1">
        <v>0.0</v>
      </c>
      <c r="Q902" s="1">
        <v>0.0</v>
      </c>
      <c r="R902" s="1">
        <v>0.0</v>
      </c>
      <c r="S902" s="1">
        <v>-2.0</v>
      </c>
      <c r="T902" s="1">
        <v>0.0</v>
      </c>
      <c r="U902" s="1">
        <v>0.0</v>
      </c>
    </row>
    <row r="903">
      <c r="A903" s="1" t="s">
        <v>958</v>
      </c>
      <c r="B903" s="1">
        <f t="shared" si="3"/>
        <v>895</v>
      </c>
      <c r="C903" s="1" t="str">
        <f>IFERROR(__xludf.DUMMYFUNCTION("split(A903, ""\"")"),"Zach Trotman")</f>
        <v>Zach Trotman</v>
      </c>
      <c r="D903" s="1" t="str">
        <f>IFERROR(__xludf.DUMMYFUNCTION("""COMPUTED_VALUE"""),"trotmza01")</f>
        <v>trotmza01</v>
      </c>
      <c r="E903" s="1" t="s">
        <v>66</v>
      </c>
      <c r="F903" s="1">
        <f t="shared" si="1"/>
        <v>8.75</v>
      </c>
      <c r="G903" s="1">
        <f t="shared" si="2"/>
        <v>2.92</v>
      </c>
      <c r="H903" s="1">
        <v>3.0</v>
      </c>
      <c r="I903" s="1">
        <v>0.0</v>
      </c>
      <c r="J903" s="1">
        <v>0.0</v>
      </c>
      <c r="K903" s="1">
        <v>0.0</v>
      </c>
      <c r="L903" s="1">
        <v>6.0</v>
      </c>
      <c r="M903" s="1">
        <v>1.0</v>
      </c>
      <c r="N903" s="1">
        <v>2.0</v>
      </c>
      <c r="O903" s="1">
        <v>0.0</v>
      </c>
      <c r="P903" s="1">
        <v>0.0</v>
      </c>
      <c r="Q903" s="1">
        <v>0.0</v>
      </c>
      <c r="R903" s="1">
        <v>0.0</v>
      </c>
      <c r="S903" s="1">
        <v>-3.0</v>
      </c>
      <c r="T903" s="1">
        <v>0.0</v>
      </c>
      <c r="U903" s="1">
        <v>0.0</v>
      </c>
    </row>
    <row r="904">
      <c r="A904" s="1" t="s">
        <v>945</v>
      </c>
      <c r="B904" s="1">
        <f t="shared" si="3"/>
        <v>897</v>
      </c>
      <c r="C904" s="1" t="str">
        <f>IFERROR(__xludf.DUMMYFUNCTION("split(A904, ""\"")"),"Steve Bernier")</f>
        <v>Steve Bernier</v>
      </c>
      <c r="D904" s="1" t="str">
        <f>IFERROR(__xludf.DUMMYFUNCTION("""COMPUTED_VALUE"""),"bernist01")</f>
        <v>bernist01</v>
      </c>
      <c r="E904" s="1" t="s">
        <v>36</v>
      </c>
      <c r="F904" s="1">
        <f t="shared" si="1"/>
        <v>8.25</v>
      </c>
      <c r="G904" s="1">
        <f t="shared" si="2"/>
        <v>2.06</v>
      </c>
      <c r="H904" s="1">
        <v>4.0</v>
      </c>
      <c r="I904" s="1">
        <v>0.0</v>
      </c>
      <c r="J904" s="1">
        <v>0.0</v>
      </c>
      <c r="K904" s="1">
        <v>0.0</v>
      </c>
      <c r="L904" s="1">
        <v>4.0</v>
      </c>
      <c r="M904" s="1">
        <v>11.0</v>
      </c>
      <c r="N904" s="1">
        <v>1.0</v>
      </c>
      <c r="O904" s="1">
        <v>0.0</v>
      </c>
      <c r="P904" s="1">
        <v>0.0</v>
      </c>
      <c r="Q904" s="1">
        <v>0.0</v>
      </c>
      <c r="R904" s="1">
        <v>0.0</v>
      </c>
      <c r="S904" s="1">
        <v>-2.0</v>
      </c>
      <c r="T904" s="1">
        <v>0.0</v>
      </c>
      <c r="U904" s="1">
        <v>0.0</v>
      </c>
    </row>
    <row r="905">
      <c r="A905" s="1" t="s">
        <v>965</v>
      </c>
      <c r="B905" s="1">
        <f t="shared" si="3"/>
        <v>897</v>
      </c>
      <c r="C905" s="1" t="str">
        <f>IFERROR(__xludf.DUMMYFUNCTION("split(A905, ""\"")"),"Janne Kuokkanen")</f>
        <v>Janne Kuokkanen</v>
      </c>
      <c r="D905" s="1" t="str">
        <f>IFERROR(__xludf.DUMMYFUNCTION("""COMPUTED_VALUE"""),"kuokkja01")</f>
        <v>kuokkja01</v>
      </c>
      <c r="E905" s="1" t="s">
        <v>141</v>
      </c>
      <c r="F905" s="1">
        <f t="shared" si="1"/>
        <v>8.25</v>
      </c>
      <c r="G905" s="1">
        <f t="shared" si="2"/>
        <v>2.06</v>
      </c>
      <c r="H905" s="1">
        <v>4.0</v>
      </c>
      <c r="I905" s="1">
        <v>0.0</v>
      </c>
      <c r="J905" s="1">
        <v>0.0</v>
      </c>
      <c r="K905" s="1">
        <v>0.0</v>
      </c>
      <c r="L905" s="1">
        <v>6.0</v>
      </c>
      <c r="M905" s="1">
        <v>1.0</v>
      </c>
      <c r="N905" s="1">
        <v>1.0</v>
      </c>
      <c r="O905" s="1">
        <v>0.0</v>
      </c>
      <c r="P905" s="1">
        <v>0.0</v>
      </c>
      <c r="Q905" s="1">
        <v>0.0</v>
      </c>
      <c r="R905" s="1">
        <v>0.0</v>
      </c>
      <c r="S905" s="1">
        <v>-3.0</v>
      </c>
      <c r="T905" s="1">
        <v>0.0</v>
      </c>
      <c r="U905" s="1">
        <v>0.0</v>
      </c>
    </row>
    <row r="906">
      <c r="A906" s="1" t="s">
        <v>955</v>
      </c>
      <c r="B906" s="1">
        <f t="shared" si="3"/>
        <v>899</v>
      </c>
      <c r="C906" s="1" t="str">
        <f>IFERROR(__xludf.DUMMYFUNCTION("split(A906, ""\"")"),"Carson Soucy")</f>
        <v>Carson Soucy</v>
      </c>
      <c r="D906" s="1" t="str">
        <f>IFERROR(__xludf.DUMMYFUNCTION("""COMPUTED_VALUE"""),"soucyca01")</f>
        <v>soucyca01</v>
      </c>
      <c r="E906" s="1" t="s">
        <v>66</v>
      </c>
      <c r="F906" s="1">
        <f t="shared" si="1"/>
        <v>8.1</v>
      </c>
      <c r="G906" s="1">
        <f t="shared" si="2"/>
        <v>2.7</v>
      </c>
      <c r="H906" s="1">
        <v>3.0</v>
      </c>
      <c r="I906" s="1">
        <v>0.0</v>
      </c>
      <c r="J906" s="1">
        <v>0.0</v>
      </c>
      <c r="K906" s="1">
        <v>0.0</v>
      </c>
      <c r="L906" s="1">
        <v>4.0</v>
      </c>
      <c r="M906" s="1">
        <v>4.0</v>
      </c>
      <c r="N906" s="1">
        <v>3.0</v>
      </c>
      <c r="O906" s="1">
        <v>0.0</v>
      </c>
      <c r="P906" s="1">
        <v>0.0</v>
      </c>
      <c r="Q906" s="1">
        <v>0.0</v>
      </c>
      <c r="R906" s="1">
        <v>0.0</v>
      </c>
      <c r="S906" s="1">
        <v>-2.0</v>
      </c>
      <c r="T906" s="1">
        <v>2.0</v>
      </c>
      <c r="U906" s="1">
        <v>0.0</v>
      </c>
    </row>
    <row r="907">
      <c r="A907" s="1" t="s">
        <v>940</v>
      </c>
      <c r="B907" s="1">
        <f t="shared" si="3"/>
        <v>900</v>
      </c>
      <c r="C907" s="1" t="str">
        <f>IFERROR(__xludf.DUMMYFUNCTION("split(A907, ""\"")"),"Adam Cracknell")</f>
        <v>Adam Cracknell</v>
      </c>
      <c r="D907" s="1" t="str">
        <f>IFERROR(__xludf.DUMMYFUNCTION("""COMPUTED_VALUE"""),"crackad01")</f>
        <v>crackad01</v>
      </c>
      <c r="E907" s="1" t="s">
        <v>36</v>
      </c>
      <c r="F907" s="1">
        <f t="shared" si="1"/>
        <v>8</v>
      </c>
      <c r="G907" s="1">
        <f t="shared" si="2"/>
        <v>1.6</v>
      </c>
      <c r="H907" s="1">
        <v>5.0</v>
      </c>
      <c r="I907" s="1">
        <v>0.0</v>
      </c>
      <c r="J907" s="1">
        <v>0.0</v>
      </c>
      <c r="K907" s="1">
        <v>0.0</v>
      </c>
      <c r="L907" s="1">
        <v>6.0</v>
      </c>
      <c r="M907" s="1">
        <v>12.0</v>
      </c>
      <c r="N907" s="1">
        <v>1.0</v>
      </c>
      <c r="O907" s="1">
        <v>0.0</v>
      </c>
      <c r="P907" s="1">
        <v>0.0</v>
      </c>
      <c r="Q907" s="1">
        <v>0.0</v>
      </c>
      <c r="R907" s="1">
        <v>0.0</v>
      </c>
      <c r="S907" s="1">
        <v>-1.0</v>
      </c>
      <c r="T907" s="1">
        <v>0.0</v>
      </c>
      <c r="U907" s="1">
        <v>0.0</v>
      </c>
    </row>
    <row r="908">
      <c r="A908" s="1" t="s">
        <v>954</v>
      </c>
      <c r="B908" s="1">
        <f t="shared" si="3"/>
        <v>900</v>
      </c>
      <c r="C908" s="1" t="str">
        <f>IFERROR(__xludf.DUMMYFUNCTION("split(A908, ""\"")"),"Chase Balisy")</f>
        <v>Chase Balisy</v>
      </c>
      <c r="D908" s="1" t="str">
        <f>IFERROR(__xludf.DUMMYFUNCTION("""COMPUTED_VALUE"""),"balisch01")</f>
        <v>balisch01</v>
      </c>
      <c r="E908" s="1" t="s">
        <v>31</v>
      </c>
      <c r="F908" s="1">
        <f t="shared" si="1"/>
        <v>8</v>
      </c>
      <c r="G908" s="1">
        <f t="shared" si="2"/>
        <v>1</v>
      </c>
      <c r="H908" s="1">
        <v>8.0</v>
      </c>
      <c r="I908" s="1">
        <v>0.0</v>
      </c>
      <c r="J908" s="1">
        <v>0.0</v>
      </c>
      <c r="K908" s="1">
        <v>0.0</v>
      </c>
      <c r="L908" s="1">
        <v>6.0</v>
      </c>
      <c r="M908" s="1">
        <v>4.0</v>
      </c>
      <c r="N908" s="1">
        <v>2.0</v>
      </c>
      <c r="O908" s="1">
        <v>0.0</v>
      </c>
      <c r="P908" s="1">
        <v>0.0</v>
      </c>
      <c r="Q908" s="1">
        <v>0.0</v>
      </c>
      <c r="R908" s="1">
        <v>0.0</v>
      </c>
      <c r="S908" s="1">
        <v>-2.0</v>
      </c>
      <c r="T908" s="1">
        <v>0.0</v>
      </c>
      <c r="U908" s="1">
        <v>0.0</v>
      </c>
    </row>
    <row r="909">
      <c r="A909" s="1" t="s">
        <v>964</v>
      </c>
      <c r="B909" s="1">
        <f t="shared" si="3"/>
        <v>900</v>
      </c>
      <c r="C909" s="1" t="str">
        <f>IFERROR(__xludf.DUMMYFUNCTION("split(A909, ""\"")"),"John Quenneville")</f>
        <v>John Quenneville</v>
      </c>
      <c r="D909" s="1" t="str">
        <f>IFERROR(__xludf.DUMMYFUNCTION("""COMPUTED_VALUE"""),"quennjo02")</f>
        <v>quennjo02</v>
      </c>
      <c r="E909" s="1" t="s">
        <v>31</v>
      </c>
      <c r="F909" s="1">
        <f t="shared" si="1"/>
        <v>8</v>
      </c>
      <c r="G909" s="1">
        <f t="shared" si="2"/>
        <v>4</v>
      </c>
      <c r="H909" s="1">
        <v>2.0</v>
      </c>
      <c r="I909" s="1">
        <v>0.0</v>
      </c>
      <c r="J909" s="1">
        <v>0.0</v>
      </c>
      <c r="K909" s="1">
        <v>0.0</v>
      </c>
      <c r="L909" s="1">
        <v>5.0</v>
      </c>
      <c r="M909" s="1">
        <v>4.0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-3.0</v>
      </c>
      <c r="T909" s="1">
        <v>0.0</v>
      </c>
      <c r="U909" s="1">
        <v>0.0</v>
      </c>
    </row>
    <row r="910">
      <c r="A910" s="1" t="s">
        <v>968</v>
      </c>
      <c r="B910" s="1">
        <f t="shared" si="3"/>
        <v>900</v>
      </c>
      <c r="C910" s="1" t="str">
        <f>IFERROR(__xludf.DUMMYFUNCTION("split(A910, ""\"")"),"Ales Hemsky")</f>
        <v>Ales Hemsky</v>
      </c>
      <c r="D910" s="1" t="str">
        <f>IFERROR(__xludf.DUMMYFUNCTION("""COMPUTED_VALUE"""),"hemskal01")</f>
        <v>hemskal01</v>
      </c>
      <c r="E910" s="1" t="s">
        <v>36</v>
      </c>
      <c r="F910" s="1">
        <f t="shared" si="1"/>
        <v>8</v>
      </c>
      <c r="G910" s="1">
        <f t="shared" si="2"/>
        <v>1.14</v>
      </c>
      <c r="H910" s="1">
        <v>7.0</v>
      </c>
      <c r="I910" s="1">
        <v>0.0</v>
      </c>
      <c r="J910" s="1">
        <v>0.0</v>
      </c>
      <c r="K910" s="1">
        <v>0.0</v>
      </c>
      <c r="L910" s="1">
        <v>5.0</v>
      </c>
      <c r="M910" s="1">
        <v>0.0</v>
      </c>
      <c r="N910" s="1">
        <v>2.0</v>
      </c>
      <c r="O910" s="1">
        <v>0.0</v>
      </c>
      <c r="P910" s="1">
        <v>0.0</v>
      </c>
      <c r="Q910" s="1">
        <v>0.0</v>
      </c>
      <c r="R910" s="1">
        <v>0.0</v>
      </c>
      <c r="S910" s="1">
        <v>-1.0</v>
      </c>
      <c r="T910" s="1">
        <v>10.0</v>
      </c>
      <c r="U910" s="1">
        <v>0.0</v>
      </c>
    </row>
    <row r="911">
      <c r="A911" s="1" t="s">
        <v>921</v>
      </c>
      <c r="B911" s="1">
        <f t="shared" si="3"/>
        <v>904</v>
      </c>
      <c r="C911" s="1" t="str">
        <f>IFERROR(__xludf.DUMMYFUNCTION("split(A911, ""\"")"),"Jordan Greenway")</f>
        <v>Jordan Greenway</v>
      </c>
      <c r="D911" s="1" t="str">
        <f>IFERROR(__xludf.DUMMYFUNCTION("""COMPUTED_VALUE"""),"greenjo02")</f>
        <v>greenjo02</v>
      </c>
      <c r="E911" s="1" t="s">
        <v>28</v>
      </c>
      <c r="F911" s="1">
        <f t="shared" si="1"/>
        <v>7.75</v>
      </c>
      <c r="G911" s="1">
        <f t="shared" si="2"/>
        <v>1.29</v>
      </c>
      <c r="H911" s="1">
        <v>6.0</v>
      </c>
      <c r="I911" s="1">
        <v>0.0</v>
      </c>
      <c r="J911" s="1">
        <v>1.0</v>
      </c>
      <c r="K911" s="1">
        <v>1.0</v>
      </c>
      <c r="L911" s="1">
        <v>4.0</v>
      </c>
      <c r="M911" s="1">
        <v>5.0</v>
      </c>
      <c r="N911" s="1">
        <v>3.0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</row>
    <row r="912">
      <c r="A912" s="1" t="s">
        <v>918</v>
      </c>
      <c r="B912" s="1">
        <f t="shared" si="3"/>
        <v>905</v>
      </c>
      <c r="C912" s="1" t="str">
        <f>IFERROR(__xludf.DUMMYFUNCTION("split(A912, ""\"")"),"Aaron Ness")</f>
        <v>Aaron Ness</v>
      </c>
      <c r="D912" s="1" t="str">
        <f>IFERROR(__xludf.DUMMYFUNCTION("""COMPUTED_VALUE"""),"nessaa01")</f>
        <v>nessaa01</v>
      </c>
      <c r="E912" s="1" t="s">
        <v>66</v>
      </c>
      <c r="F912" s="1">
        <f t="shared" si="1"/>
        <v>7.65</v>
      </c>
      <c r="G912" s="1">
        <f t="shared" si="2"/>
        <v>0.96</v>
      </c>
      <c r="H912" s="1">
        <v>8.0</v>
      </c>
      <c r="I912" s="1">
        <v>0.0</v>
      </c>
      <c r="J912" s="1">
        <v>1.0</v>
      </c>
      <c r="K912" s="1">
        <v>1.0</v>
      </c>
      <c r="L912" s="1">
        <v>2.0</v>
      </c>
      <c r="M912" s="1">
        <v>1.0</v>
      </c>
      <c r="N912" s="1">
        <v>8.0</v>
      </c>
      <c r="O912" s="1">
        <v>0.0</v>
      </c>
      <c r="P912" s="1">
        <v>0.0</v>
      </c>
      <c r="Q912" s="1">
        <v>0.0</v>
      </c>
      <c r="R912" s="1">
        <v>0.0</v>
      </c>
      <c r="S912" s="1">
        <v>2.0</v>
      </c>
      <c r="T912" s="1">
        <v>8.0</v>
      </c>
      <c r="U912" s="1">
        <v>0.0</v>
      </c>
    </row>
    <row r="913">
      <c r="A913" s="1" t="s">
        <v>943</v>
      </c>
      <c r="B913" s="1">
        <f t="shared" si="3"/>
        <v>906</v>
      </c>
      <c r="C913" s="1" t="str">
        <f>IFERROR(__xludf.DUMMYFUNCTION("split(A913, ""\"")"),"Shane Gersich")</f>
        <v>Shane Gersich</v>
      </c>
      <c r="D913" s="1" t="str">
        <f>IFERROR(__xludf.DUMMYFUNCTION("""COMPUTED_VALUE"""),"gersish01")</f>
        <v>gersish01</v>
      </c>
      <c r="E913" s="1" t="s">
        <v>141</v>
      </c>
      <c r="F913" s="1">
        <f t="shared" si="1"/>
        <v>7.5</v>
      </c>
      <c r="G913" s="1">
        <f t="shared" si="2"/>
        <v>2.5</v>
      </c>
      <c r="H913" s="1">
        <v>3.0</v>
      </c>
      <c r="I913" s="1">
        <v>0.0</v>
      </c>
      <c r="J913" s="1">
        <v>1.0</v>
      </c>
      <c r="K913" s="1">
        <v>1.0</v>
      </c>
      <c r="L913" s="1">
        <v>4.0</v>
      </c>
      <c r="M913" s="1">
        <v>0.0</v>
      </c>
      <c r="N913" s="1">
        <v>2.0</v>
      </c>
      <c r="O913" s="1">
        <v>0.0</v>
      </c>
      <c r="P913" s="1">
        <v>0.0</v>
      </c>
      <c r="Q913" s="1">
        <v>0.0</v>
      </c>
      <c r="R913" s="1">
        <v>0.0</v>
      </c>
      <c r="S913" s="1">
        <v>-1.0</v>
      </c>
      <c r="T913" s="1">
        <v>0.0</v>
      </c>
      <c r="U913" s="1">
        <v>0.0</v>
      </c>
    </row>
    <row r="914">
      <c r="A914" s="1" t="s">
        <v>971</v>
      </c>
      <c r="B914" s="1">
        <f t="shared" si="3"/>
        <v>907</v>
      </c>
      <c r="C914" s="1" t="str">
        <f>IFERROR(__xludf.DUMMYFUNCTION("split(A914, ""\"")"),"Tyler Graovac")</f>
        <v>Tyler Graovac</v>
      </c>
      <c r="D914" s="1" t="str">
        <f>IFERROR(__xludf.DUMMYFUNCTION("""COMPUTED_VALUE"""),"graovty01")</f>
        <v>graovty01</v>
      </c>
      <c r="E914" s="1" t="s">
        <v>31</v>
      </c>
      <c r="F914" s="1">
        <f t="shared" si="1"/>
        <v>7.35</v>
      </c>
      <c r="G914" s="1">
        <f t="shared" si="2"/>
        <v>1.47</v>
      </c>
      <c r="H914" s="1">
        <v>5.0</v>
      </c>
      <c r="I914" s="1">
        <v>0.0</v>
      </c>
      <c r="J914" s="1">
        <v>0.0</v>
      </c>
      <c r="K914" s="1">
        <v>0.0</v>
      </c>
      <c r="L914" s="1">
        <v>1.0</v>
      </c>
      <c r="M914" s="1">
        <v>5.0</v>
      </c>
      <c r="N914" s="1">
        <v>1.0</v>
      </c>
      <c r="O914" s="1">
        <v>0.0</v>
      </c>
      <c r="P914" s="1">
        <v>0.0</v>
      </c>
      <c r="Q914" s="1">
        <v>0.0</v>
      </c>
      <c r="R914" s="1">
        <v>0.0</v>
      </c>
      <c r="S914" s="1">
        <v>-3.0</v>
      </c>
      <c r="T914" s="1">
        <v>2.0</v>
      </c>
      <c r="U914" s="1">
        <v>0.0</v>
      </c>
    </row>
    <row r="915">
      <c r="A915" s="1" t="s">
        <v>924</v>
      </c>
      <c r="B915" s="1">
        <f t="shared" si="3"/>
        <v>908</v>
      </c>
      <c r="C915" s="1" t="str">
        <f>IFERROR(__xludf.DUMMYFUNCTION("split(A915, ""\"")"),"Henrik Haapala")</f>
        <v>Henrik Haapala</v>
      </c>
      <c r="D915" s="1" t="str">
        <f>IFERROR(__xludf.DUMMYFUNCTION("""COMPUTED_VALUE"""),"haapahe01")</f>
        <v>haapahe01</v>
      </c>
      <c r="E915" s="1" t="s">
        <v>28</v>
      </c>
      <c r="F915" s="1">
        <f t="shared" si="1"/>
        <v>7.25</v>
      </c>
      <c r="G915" s="1">
        <f t="shared" si="2"/>
        <v>1.45</v>
      </c>
      <c r="H915" s="1">
        <v>5.0</v>
      </c>
      <c r="I915" s="1">
        <v>0.0</v>
      </c>
      <c r="J915" s="1">
        <v>1.0</v>
      </c>
      <c r="K915" s="1">
        <v>1.0</v>
      </c>
      <c r="L915" s="1">
        <v>3.0</v>
      </c>
      <c r="M915" s="1">
        <v>5.0</v>
      </c>
      <c r="N915" s="1">
        <v>3.0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</row>
    <row r="916">
      <c r="A916" s="1" t="s">
        <v>934</v>
      </c>
      <c r="B916" s="1">
        <f t="shared" si="3"/>
        <v>909</v>
      </c>
      <c r="C916" s="1" t="str">
        <f>IFERROR(__xludf.DUMMYFUNCTION("split(A916, ""\"")"),"Michael Bournival")</f>
        <v>Michael Bournival</v>
      </c>
      <c r="D916" s="1" t="str">
        <f>IFERROR(__xludf.DUMMYFUNCTION("""COMPUTED_VALUE"""),"bournmi01")</f>
        <v>bournmi01</v>
      </c>
      <c r="E916" s="1" t="s">
        <v>28</v>
      </c>
      <c r="F916" s="1">
        <f t="shared" si="1"/>
        <v>7</v>
      </c>
      <c r="G916" s="1">
        <f t="shared" si="2"/>
        <v>1.4</v>
      </c>
      <c r="H916" s="1">
        <v>5.0</v>
      </c>
      <c r="I916" s="1">
        <v>0.0</v>
      </c>
      <c r="J916" s="1">
        <v>0.0</v>
      </c>
      <c r="K916" s="1">
        <v>0.0</v>
      </c>
      <c r="L916" s="1">
        <v>5.0</v>
      </c>
      <c r="M916" s="1">
        <v>8.0</v>
      </c>
      <c r="N916" s="1">
        <v>5.0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</row>
    <row r="917">
      <c r="A917" s="1" t="s">
        <v>897</v>
      </c>
      <c r="B917" s="1">
        <f t="shared" si="3"/>
        <v>911</v>
      </c>
      <c r="C917" s="1" t="str">
        <f>IFERROR(__xludf.DUMMYFUNCTION("split(A917, ""\"")"),"Ashton Sautner")</f>
        <v>Ashton Sautner</v>
      </c>
      <c r="D917" s="1" t="str">
        <f>IFERROR(__xludf.DUMMYFUNCTION("""COMPUTED_VALUE"""),"sautnas01")</f>
        <v>sautnas01</v>
      </c>
      <c r="E917" s="1" t="s">
        <v>66</v>
      </c>
      <c r="F917" s="1">
        <f t="shared" si="1"/>
        <v>6.85</v>
      </c>
      <c r="G917" s="1">
        <f t="shared" si="2"/>
        <v>1.37</v>
      </c>
      <c r="H917" s="1">
        <v>5.0</v>
      </c>
      <c r="I917" s="1">
        <v>0.0</v>
      </c>
      <c r="J917" s="1">
        <v>2.0</v>
      </c>
      <c r="K917" s="1">
        <v>2.0</v>
      </c>
      <c r="L917" s="1">
        <v>3.0</v>
      </c>
      <c r="M917" s="1">
        <v>9.0</v>
      </c>
      <c r="N917" s="1">
        <v>5.0</v>
      </c>
      <c r="O917" s="1">
        <v>0.0</v>
      </c>
      <c r="P917" s="1">
        <v>0.0</v>
      </c>
      <c r="Q917" s="1">
        <v>0.0</v>
      </c>
      <c r="R917" s="1">
        <v>0.0</v>
      </c>
      <c r="S917" s="1">
        <v>4.0</v>
      </c>
      <c r="T917" s="1">
        <v>2.0</v>
      </c>
      <c r="U917" s="1">
        <v>0.0</v>
      </c>
    </row>
    <row r="918">
      <c r="A918" s="1" t="s">
        <v>933</v>
      </c>
      <c r="B918" s="1">
        <f t="shared" si="3"/>
        <v>912</v>
      </c>
      <c r="C918" s="1" t="str">
        <f>IFERROR(__xludf.DUMMYFUNCTION("split(A918, ""\"")"),"Kyle Rau")</f>
        <v>Kyle Rau</v>
      </c>
      <c r="D918" s="1" t="str">
        <f>IFERROR(__xludf.DUMMYFUNCTION("""COMPUTED_VALUE"""),"rauky01")</f>
        <v>rauky01</v>
      </c>
      <c r="E918" s="1" t="s">
        <v>31</v>
      </c>
      <c r="F918" s="1">
        <f t="shared" si="1"/>
        <v>6.75</v>
      </c>
      <c r="G918" s="1">
        <f t="shared" si="2"/>
        <v>2.25</v>
      </c>
      <c r="H918" s="1">
        <v>3.0</v>
      </c>
      <c r="I918" s="1">
        <v>0.0</v>
      </c>
      <c r="J918" s="1">
        <v>1.0</v>
      </c>
      <c r="K918" s="1">
        <v>1.0</v>
      </c>
      <c r="L918" s="1">
        <v>4.0</v>
      </c>
      <c r="M918" s="1">
        <v>7.0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</row>
    <row r="919">
      <c r="A919" s="1" t="s">
        <v>972</v>
      </c>
      <c r="B919" s="1">
        <f t="shared" si="3"/>
        <v>915</v>
      </c>
      <c r="C919" s="1" t="str">
        <f>IFERROR(__xludf.DUMMYFUNCTION("split(A919, ""\"")"),"Martin Marincin")</f>
        <v>Martin Marincin</v>
      </c>
      <c r="D919" s="1" t="str">
        <f>IFERROR(__xludf.DUMMYFUNCTION("""COMPUTED_VALUE"""),"marinma01")</f>
        <v>marinma01</v>
      </c>
      <c r="E919" s="1" t="s">
        <v>66</v>
      </c>
      <c r="F919" s="1">
        <f t="shared" si="1"/>
        <v>5.85</v>
      </c>
      <c r="G919" s="1">
        <f t="shared" si="2"/>
        <v>2.93</v>
      </c>
      <c r="H919" s="1">
        <v>2.0</v>
      </c>
      <c r="I919" s="1">
        <v>0.0</v>
      </c>
      <c r="J919" s="1">
        <v>0.0</v>
      </c>
      <c r="K919" s="1">
        <v>0.0</v>
      </c>
      <c r="L919" s="1">
        <v>0.0</v>
      </c>
      <c r="M919" s="1">
        <v>1.0</v>
      </c>
      <c r="N919" s="1">
        <v>4.0</v>
      </c>
      <c r="O919" s="1">
        <v>0.0</v>
      </c>
      <c r="P919" s="1">
        <v>0.0</v>
      </c>
      <c r="Q919" s="1">
        <v>0.0</v>
      </c>
      <c r="R919" s="1">
        <v>0.0</v>
      </c>
      <c r="S919" s="1">
        <v>-2.0</v>
      </c>
      <c r="T919" s="1">
        <v>2.0</v>
      </c>
      <c r="U919" s="1">
        <v>0.0</v>
      </c>
    </row>
    <row r="920">
      <c r="A920" s="1" t="s">
        <v>946</v>
      </c>
      <c r="B920" s="1">
        <f t="shared" si="3"/>
        <v>916</v>
      </c>
      <c r="C920" s="1" t="str">
        <f>IFERROR(__xludf.DUMMYFUNCTION("split(A920, ""\"")"),"Logan Brown")</f>
        <v>Logan Brown</v>
      </c>
      <c r="D920" s="1" t="str">
        <f>IFERROR(__xludf.DUMMYFUNCTION("""COMPUTED_VALUE"""),"brownlo01")</f>
        <v>brownlo01</v>
      </c>
      <c r="E920" s="1" t="s">
        <v>31</v>
      </c>
      <c r="F920" s="1">
        <f t="shared" si="1"/>
        <v>5.75</v>
      </c>
      <c r="G920" s="1">
        <f t="shared" si="2"/>
        <v>1.44</v>
      </c>
      <c r="H920" s="1">
        <v>4.0</v>
      </c>
      <c r="I920" s="1">
        <v>0.0</v>
      </c>
      <c r="J920" s="1">
        <v>1.0</v>
      </c>
      <c r="K920" s="1">
        <v>1.0</v>
      </c>
      <c r="L920" s="1">
        <v>4.0</v>
      </c>
      <c r="M920" s="1">
        <v>1.0</v>
      </c>
      <c r="N920" s="1">
        <v>1.0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</row>
    <row r="921">
      <c r="A921" s="1" t="s">
        <v>957</v>
      </c>
      <c r="B921" s="1">
        <f t="shared" si="3"/>
        <v>917</v>
      </c>
      <c r="C921" s="1" t="str">
        <f>IFERROR(__xludf.DUMMYFUNCTION("split(A921, ""\"")"),"Hudson Fasching")</f>
        <v>Hudson Fasching</v>
      </c>
      <c r="D921" s="1" t="str">
        <f>IFERROR(__xludf.DUMMYFUNCTION("""COMPUTED_VALUE"""),"faschhu01")</f>
        <v>faschhu01</v>
      </c>
      <c r="E921" s="1" t="s">
        <v>36</v>
      </c>
      <c r="F921" s="1">
        <f t="shared" si="1"/>
        <v>5.35</v>
      </c>
      <c r="G921" s="1">
        <f t="shared" si="2"/>
        <v>1.07</v>
      </c>
      <c r="H921" s="1">
        <v>5.0</v>
      </c>
      <c r="I921" s="1">
        <v>0.0</v>
      </c>
      <c r="J921" s="1">
        <v>0.0</v>
      </c>
      <c r="K921" s="1">
        <v>0.0</v>
      </c>
      <c r="L921" s="1">
        <v>1.0</v>
      </c>
      <c r="M921" s="1">
        <v>7.0</v>
      </c>
      <c r="N921" s="1">
        <v>2.0</v>
      </c>
      <c r="O921" s="1">
        <v>0.0</v>
      </c>
      <c r="P921" s="1">
        <v>0.0</v>
      </c>
      <c r="Q921" s="1">
        <v>0.0</v>
      </c>
      <c r="R921" s="1">
        <v>0.0</v>
      </c>
      <c r="S921" s="1">
        <v>-1.0</v>
      </c>
      <c r="T921" s="1">
        <v>2.0</v>
      </c>
      <c r="U921" s="1">
        <v>0.0</v>
      </c>
    </row>
    <row r="922">
      <c r="A922" s="1" t="s">
        <v>986</v>
      </c>
      <c r="B922" s="1">
        <f t="shared" si="3"/>
        <v>919</v>
      </c>
      <c r="C922" s="1" t="str">
        <f>IFERROR(__xludf.DUMMYFUNCTION("split(A922, ""\"")"),"Mark Streit")</f>
        <v>Mark Streit</v>
      </c>
      <c r="D922" s="1" t="str">
        <f>IFERROR(__xludf.DUMMYFUNCTION("""COMPUTED_VALUE"""),"streima01")</f>
        <v>streima01</v>
      </c>
      <c r="E922" s="1" t="s">
        <v>66</v>
      </c>
      <c r="F922" s="1">
        <f t="shared" si="1"/>
        <v>5</v>
      </c>
      <c r="G922" s="1">
        <f t="shared" si="2"/>
        <v>2.5</v>
      </c>
      <c r="H922" s="1">
        <v>2.0</v>
      </c>
      <c r="I922" s="1">
        <v>0.0</v>
      </c>
      <c r="J922" s="1">
        <v>0.0</v>
      </c>
      <c r="K922" s="1">
        <v>0.0</v>
      </c>
      <c r="L922" s="1">
        <v>3.0</v>
      </c>
      <c r="M922" s="1">
        <v>2.0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-2.0</v>
      </c>
      <c r="T922" s="1">
        <v>0.0</v>
      </c>
      <c r="U922" s="1">
        <v>0.0</v>
      </c>
    </row>
    <row r="923">
      <c r="A923" s="1" t="s">
        <v>938</v>
      </c>
      <c r="B923" s="1">
        <f t="shared" si="3"/>
        <v>921</v>
      </c>
      <c r="C923" s="1" t="str">
        <f>IFERROR(__xludf.DUMMYFUNCTION("split(A923, ""\"")"),"Landon Ferraro")</f>
        <v>Landon Ferraro</v>
      </c>
      <c r="D923" s="1" t="str">
        <f>IFERROR(__xludf.DUMMYFUNCTION("""COMPUTED_VALUE"""),"ferrala01")</f>
        <v>ferrala01</v>
      </c>
      <c r="E923" s="1" t="s">
        <v>31</v>
      </c>
      <c r="F923" s="1">
        <f t="shared" si="1"/>
        <v>4.75</v>
      </c>
      <c r="G923" s="1">
        <f t="shared" si="2"/>
        <v>2.38</v>
      </c>
      <c r="H923" s="1">
        <v>2.0</v>
      </c>
      <c r="I923" s="1">
        <v>1.0</v>
      </c>
      <c r="J923" s="1">
        <v>0.0</v>
      </c>
      <c r="K923" s="1">
        <v>1.0</v>
      </c>
      <c r="L923" s="1">
        <v>3.0</v>
      </c>
      <c r="M923" s="1">
        <v>1.0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1.0</v>
      </c>
      <c r="T923" s="1">
        <v>0.0</v>
      </c>
      <c r="U923" s="1">
        <v>0.0</v>
      </c>
    </row>
    <row r="924">
      <c r="A924" s="1" t="s">
        <v>951</v>
      </c>
      <c r="B924" s="1">
        <f t="shared" si="3"/>
        <v>922</v>
      </c>
      <c r="C924" s="1" t="str">
        <f>IFERROR(__xludf.DUMMYFUNCTION("split(A924, ""\"")"),"Zach Redmond")</f>
        <v>Zach Redmond</v>
      </c>
      <c r="D924" s="1" t="str">
        <f>IFERROR(__xludf.DUMMYFUNCTION("""COMPUTED_VALUE"""),"redmoza01")</f>
        <v>redmoza01</v>
      </c>
      <c r="E924" s="1" t="s">
        <v>66</v>
      </c>
      <c r="F924" s="1">
        <f t="shared" si="1"/>
        <v>4.6</v>
      </c>
      <c r="G924" s="1">
        <f t="shared" si="2"/>
        <v>1.53</v>
      </c>
      <c r="H924" s="1">
        <v>3.0</v>
      </c>
      <c r="I924" s="1">
        <v>0.0</v>
      </c>
      <c r="J924" s="1">
        <v>0.0</v>
      </c>
      <c r="K924" s="1">
        <v>0.0</v>
      </c>
      <c r="L924" s="1">
        <v>7.0</v>
      </c>
      <c r="M924" s="1">
        <v>4.0</v>
      </c>
      <c r="N924" s="1">
        <v>2.0</v>
      </c>
      <c r="O924" s="1">
        <v>0.0</v>
      </c>
      <c r="P924" s="1">
        <v>0.0</v>
      </c>
      <c r="Q924" s="1">
        <v>0.0</v>
      </c>
      <c r="R924" s="1">
        <v>0.0</v>
      </c>
      <c r="S924" s="1">
        <v>1.0</v>
      </c>
      <c r="T924" s="1">
        <v>2.0</v>
      </c>
      <c r="U924" s="1">
        <v>0.0</v>
      </c>
    </row>
    <row r="925">
      <c r="A925" s="1" t="s">
        <v>939</v>
      </c>
      <c r="B925" s="1">
        <f t="shared" si="3"/>
        <v>923</v>
      </c>
      <c r="C925" s="1" t="str">
        <f>IFERROR(__xludf.DUMMYFUNCTION("split(A925, ""\"")"),"Vadim Shipachyov")</f>
        <v>Vadim Shipachyov</v>
      </c>
      <c r="D925" s="1" t="str">
        <f>IFERROR(__xludf.DUMMYFUNCTION("""COMPUTED_VALUE"""),"shipava01")</f>
        <v>shipava01</v>
      </c>
      <c r="E925" s="1" t="s">
        <v>28</v>
      </c>
      <c r="F925" s="1">
        <f t="shared" si="1"/>
        <v>4.35</v>
      </c>
      <c r="G925" s="1">
        <f t="shared" si="2"/>
        <v>1.45</v>
      </c>
      <c r="H925" s="1">
        <v>3.0</v>
      </c>
      <c r="I925" s="1">
        <v>1.0</v>
      </c>
      <c r="J925" s="1">
        <v>0.0</v>
      </c>
      <c r="K925" s="1">
        <v>1.0</v>
      </c>
      <c r="L925" s="1">
        <v>3.0</v>
      </c>
      <c r="M925" s="1">
        <v>1.0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3.0</v>
      </c>
      <c r="T925" s="1">
        <v>2.0</v>
      </c>
      <c r="U925" s="1">
        <v>1.0</v>
      </c>
    </row>
    <row r="926">
      <c r="A926" s="1" t="s">
        <v>967</v>
      </c>
      <c r="B926" s="1">
        <f t="shared" si="3"/>
        <v>923</v>
      </c>
      <c r="C926" s="1" t="str">
        <f>IFERROR(__xludf.DUMMYFUNCTION("split(A926, ""\"")"),"Jack Rodewald")</f>
        <v>Jack Rodewald</v>
      </c>
      <c r="D926" s="1" t="str">
        <f>IFERROR(__xludf.DUMMYFUNCTION("""COMPUTED_VALUE"""),"rodewja01")</f>
        <v>rodewja01</v>
      </c>
      <c r="E926" s="1" t="s">
        <v>36</v>
      </c>
      <c r="F926" s="1">
        <f t="shared" si="1"/>
        <v>4.35</v>
      </c>
      <c r="G926" s="1">
        <f t="shared" si="2"/>
        <v>1.09</v>
      </c>
      <c r="H926" s="1">
        <v>4.0</v>
      </c>
      <c r="I926" s="1">
        <v>0.0</v>
      </c>
      <c r="J926" s="1">
        <v>0.0</v>
      </c>
      <c r="K926" s="1">
        <v>0.0</v>
      </c>
      <c r="L926" s="1">
        <v>0.0</v>
      </c>
      <c r="M926" s="1">
        <v>5.0</v>
      </c>
      <c r="N926" s="1">
        <v>2.0</v>
      </c>
      <c r="O926" s="1">
        <v>0.0</v>
      </c>
      <c r="P926" s="1">
        <v>0.0</v>
      </c>
      <c r="Q926" s="1">
        <v>0.0</v>
      </c>
      <c r="R926" s="1">
        <v>0.0</v>
      </c>
      <c r="S926" s="1">
        <v>-1.0</v>
      </c>
      <c r="T926" s="1">
        <v>2.0</v>
      </c>
      <c r="U926" s="1">
        <v>0.0</v>
      </c>
    </row>
    <row r="927">
      <c r="A927" s="1" t="s">
        <v>976</v>
      </c>
      <c r="B927" s="1">
        <f t="shared" si="3"/>
        <v>925</v>
      </c>
      <c r="C927" s="1" t="str">
        <f>IFERROR(__xludf.DUMMYFUNCTION("split(A927, ""\"")"),"Keegan Lowe")</f>
        <v>Keegan Lowe</v>
      </c>
      <c r="D927" s="1" t="str">
        <f>IFERROR(__xludf.DUMMYFUNCTION("""COMPUTED_VALUE"""),"loweke02")</f>
        <v>loweke02</v>
      </c>
      <c r="E927" s="1" t="s">
        <v>66</v>
      </c>
      <c r="F927" s="1">
        <f t="shared" si="1"/>
        <v>4.25</v>
      </c>
      <c r="G927" s="1">
        <f t="shared" si="2"/>
        <v>2.13</v>
      </c>
      <c r="H927" s="1">
        <v>2.0</v>
      </c>
      <c r="I927" s="1">
        <v>0.0</v>
      </c>
      <c r="J927" s="1">
        <v>0.0</v>
      </c>
      <c r="K927" s="1">
        <v>0.0</v>
      </c>
      <c r="L927" s="1">
        <v>4.0</v>
      </c>
      <c r="M927" s="1">
        <v>1.0</v>
      </c>
      <c r="N927" s="1">
        <v>1.0</v>
      </c>
      <c r="O927" s="1">
        <v>0.0</v>
      </c>
      <c r="P927" s="1">
        <v>0.0</v>
      </c>
      <c r="Q927" s="1">
        <v>0.0</v>
      </c>
      <c r="R927" s="1">
        <v>0.0</v>
      </c>
      <c r="S927" s="1">
        <v>-1.0</v>
      </c>
      <c r="T927" s="1">
        <v>0.0</v>
      </c>
      <c r="U927" s="1">
        <v>0.0</v>
      </c>
    </row>
    <row r="928">
      <c r="A928" s="1" t="s">
        <v>994</v>
      </c>
      <c r="B928" s="1">
        <f t="shared" si="3"/>
        <v>925</v>
      </c>
      <c r="C928" s="1" t="str">
        <f>IFERROR(__xludf.DUMMYFUNCTION("split(A928, ""\"")"),"Vladislav Kamenev")</f>
        <v>Vladislav Kamenev</v>
      </c>
      <c r="D928" s="1" t="str">
        <f>IFERROR(__xludf.DUMMYFUNCTION("""COMPUTED_VALUE"""),"kamenvl01")</f>
        <v>kamenvl01</v>
      </c>
      <c r="E928" s="1" t="s">
        <v>28</v>
      </c>
      <c r="F928" s="1">
        <f t="shared" si="1"/>
        <v>4.25</v>
      </c>
      <c r="G928" s="1">
        <f t="shared" si="2"/>
        <v>1.42</v>
      </c>
      <c r="H928" s="1">
        <v>3.0</v>
      </c>
      <c r="I928" s="1">
        <v>0.0</v>
      </c>
      <c r="J928" s="1">
        <v>0.0</v>
      </c>
      <c r="K928" s="1">
        <v>0.0</v>
      </c>
      <c r="L928" s="1">
        <v>1.0</v>
      </c>
      <c r="M928" s="1">
        <v>3.0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-2.0</v>
      </c>
      <c r="T928" s="1">
        <v>0.0</v>
      </c>
      <c r="U928" s="1">
        <v>0.0</v>
      </c>
    </row>
    <row r="929">
      <c r="A929" s="1" t="s">
        <v>953</v>
      </c>
      <c r="B929" s="1">
        <f t="shared" si="3"/>
        <v>927</v>
      </c>
      <c r="C929" s="1" t="str">
        <f>IFERROR(__xludf.DUMMYFUNCTION("split(A929, ""\"")"),"Adam Wilcox")</f>
        <v>Adam Wilcox</v>
      </c>
      <c r="D929" s="2" t="str">
        <f>IFERROR(__xludf.DUMMYFUNCTION("""COMPUTED_VALUE"""),"wilcoad01")</f>
        <v>wilcoad01</v>
      </c>
      <c r="E929" s="1" t="s">
        <v>5</v>
      </c>
      <c r="F929" s="1">
        <f t="shared" si="1"/>
        <v>4.2</v>
      </c>
      <c r="G929" s="1">
        <f t="shared" si="2"/>
        <v>4.2</v>
      </c>
      <c r="H929" s="1">
        <v>1.0</v>
      </c>
      <c r="V929" s="1">
        <v>0.0</v>
      </c>
      <c r="W929" s="1">
        <v>0.0</v>
      </c>
      <c r="X929" s="1">
        <v>1.0</v>
      </c>
      <c r="Y929" s="1">
        <v>0.0</v>
      </c>
      <c r="Z929" s="1">
        <v>14.0</v>
      </c>
      <c r="AA929" s="1">
        <v>14.0</v>
      </c>
      <c r="AB929" s="1">
        <v>0.0</v>
      </c>
    </row>
    <row r="930">
      <c r="A930" s="1" t="s">
        <v>982</v>
      </c>
      <c r="B930" s="1">
        <f t="shared" si="3"/>
        <v>928</v>
      </c>
      <c r="C930" s="1" t="str">
        <f>IFERROR(__xludf.DUMMYFUNCTION("split(A930, ""\"")"),"Laurent Dauphin")</f>
        <v>Laurent Dauphin</v>
      </c>
      <c r="D930" s="1" t="str">
        <f>IFERROR(__xludf.DUMMYFUNCTION("""COMPUTED_VALUE"""),"dauphla01")</f>
        <v>dauphla01</v>
      </c>
      <c r="E930" s="1" t="s">
        <v>31</v>
      </c>
      <c r="F930" s="1">
        <f t="shared" si="1"/>
        <v>3.85</v>
      </c>
      <c r="G930" s="1">
        <f t="shared" si="2"/>
        <v>1.93</v>
      </c>
      <c r="H930" s="1">
        <v>2.0</v>
      </c>
      <c r="I930" s="1">
        <v>0.0</v>
      </c>
      <c r="J930" s="1">
        <v>0.0</v>
      </c>
      <c r="K930" s="1">
        <v>0.0</v>
      </c>
      <c r="L930" s="1">
        <v>1.0</v>
      </c>
      <c r="M930" s="1">
        <v>1.0</v>
      </c>
      <c r="N930" s="1">
        <v>2.0</v>
      </c>
      <c r="O930" s="1">
        <v>0.0</v>
      </c>
      <c r="P930" s="1">
        <v>0.0</v>
      </c>
      <c r="Q930" s="1">
        <v>0.0</v>
      </c>
      <c r="R930" s="1">
        <v>0.0</v>
      </c>
      <c r="S930" s="1">
        <v>-1.0</v>
      </c>
      <c r="T930" s="1">
        <v>2.0</v>
      </c>
      <c r="U930" s="1">
        <v>0.0</v>
      </c>
    </row>
    <row r="931">
      <c r="A931" s="1" t="s">
        <v>949</v>
      </c>
      <c r="B931" s="1">
        <f t="shared" si="3"/>
        <v>929</v>
      </c>
      <c r="C931" s="1" t="str">
        <f>IFERROR(__xludf.DUMMYFUNCTION("split(A931, ""\"")"),"Adam Gaudette")</f>
        <v>Adam Gaudette</v>
      </c>
      <c r="D931" s="1" t="str">
        <f>IFERROR(__xludf.DUMMYFUNCTION("""COMPUTED_VALUE"""),"gaudead01")</f>
        <v>gaudead01</v>
      </c>
      <c r="E931" s="1" t="s">
        <v>31</v>
      </c>
      <c r="F931" s="1">
        <f t="shared" si="1"/>
        <v>3.5</v>
      </c>
      <c r="G931" s="1">
        <f t="shared" si="2"/>
        <v>0.7</v>
      </c>
      <c r="H931" s="1">
        <v>5.0</v>
      </c>
      <c r="I931" s="1">
        <v>0.0</v>
      </c>
      <c r="J931" s="1">
        <v>0.0</v>
      </c>
      <c r="K931" s="1">
        <v>0.0</v>
      </c>
      <c r="L931" s="1">
        <v>9.0</v>
      </c>
      <c r="M931" s="1">
        <v>2.0</v>
      </c>
      <c r="N931" s="1">
        <v>3.0</v>
      </c>
      <c r="O931" s="1">
        <v>0.0</v>
      </c>
      <c r="P931" s="1">
        <v>0.0</v>
      </c>
      <c r="Q931" s="1">
        <v>0.0</v>
      </c>
      <c r="R931" s="1">
        <v>0.0</v>
      </c>
      <c r="S931" s="1">
        <v>2.0</v>
      </c>
      <c r="T931" s="1">
        <v>0.0</v>
      </c>
      <c r="U931" s="1">
        <v>0.0</v>
      </c>
    </row>
    <row r="932">
      <c r="A932" s="1" t="s">
        <v>975</v>
      </c>
      <c r="B932" s="1">
        <f t="shared" si="3"/>
        <v>929</v>
      </c>
      <c r="C932" s="1" t="str">
        <f>IFERROR(__xludf.DUMMYFUNCTION("split(A932, ""\"")"),"Ben Sexton")</f>
        <v>Ben Sexton</v>
      </c>
      <c r="D932" s="1" t="str">
        <f>IFERROR(__xludf.DUMMYFUNCTION("""COMPUTED_VALUE"""),"sextobe01")</f>
        <v>sextobe01</v>
      </c>
      <c r="E932" s="1" t="s">
        <v>31</v>
      </c>
      <c r="F932" s="1">
        <f t="shared" si="1"/>
        <v>3.5</v>
      </c>
      <c r="G932" s="1">
        <f t="shared" si="2"/>
        <v>1.75</v>
      </c>
      <c r="H932" s="1">
        <v>2.0</v>
      </c>
      <c r="I932" s="1">
        <v>0.0</v>
      </c>
      <c r="J932" s="1">
        <v>0.0</v>
      </c>
      <c r="K932" s="1">
        <v>0.0</v>
      </c>
      <c r="L932" s="1">
        <v>1.0</v>
      </c>
      <c r="M932" s="1">
        <v>6.0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-1.0</v>
      </c>
      <c r="T932" s="1">
        <v>0.0</v>
      </c>
      <c r="U932" s="1">
        <v>0.0</v>
      </c>
    </row>
    <row r="933">
      <c r="A933" s="1" t="s">
        <v>979</v>
      </c>
      <c r="B933" s="1">
        <f t="shared" si="3"/>
        <v>929</v>
      </c>
      <c r="C933" s="1" t="str">
        <f>IFERROR(__xludf.DUMMYFUNCTION("split(A933, ""\"")"),"Justin Auger")</f>
        <v>Justin Auger</v>
      </c>
      <c r="D933" s="1" t="str">
        <f>IFERROR(__xludf.DUMMYFUNCTION("""COMPUTED_VALUE"""),"augerju01")</f>
        <v>augerju01</v>
      </c>
      <c r="E933" s="1" t="s">
        <v>36</v>
      </c>
      <c r="F933" s="1">
        <f t="shared" si="1"/>
        <v>3.5</v>
      </c>
      <c r="G933" s="1">
        <f t="shared" si="2"/>
        <v>1.75</v>
      </c>
      <c r="H933" s="1">
        <v>2.0</v>
      </c>
      <c r="I933" s="1">
        <v>0.0</v>
      </c>
      <c r="J933" s="1">
        <v>0.0</v>
      </c>
      <c r="K933" s="1">
        <v>0.0</v>
      </c>
      <c r="L933" s="1">
        <v>1.0</v>
      </c>
      <c r="M933" s="1">
        <v>2.0</v>
      </c>
      <c r="N933" s="1">
        <v>2.0</v>
      </c>
      <c r="O933" s="1">
        <v>0.0</v>
      </c>
      <c r="P933" s="1">
        <v>0.0</v>
      </c>
      <c r="Q933" s="1">
        <v>0.0</v>
      </c>
      <c r="R933" s="1">
        <v>0.0</v>
      </c>
      <c r="S933" s="1">
        <v>-1.0</v>
      </c>
      <c r="T933" s="1">
        <v>0.0</v>
      </c>
      <c r="U933" s="1">
        <v>0.0</v>
      </c>
    </row>
    <row r="934">
      <c r="A934" s="1" t="s">
        <v>966</v>
      </c>
      <c r="B934" s="1">
        <f t="shared" si="3"/>
        <v>932</v>
      </c>
      <c r="C934" s="1" t="str">
        <f>IFERROR(__xludf.DUMMYFUNCTION("split(A934, ""\"")"),"Colby Cave")</f>
        <v>Colby Cave</v>
      </c>
      <c r="D934" s="1" t="str">
        <f>IFERROR(__xludf.DUMMYFUNCTION("""COMPUTED_VALUE"""),"caveco01")</f>
        <v>caveco01</v>
      </c>
      <c r="E934" s="1" t="s">
        <v>31</v>
      </c>
      <c r="F934" s="1">
        <f t="shared" si="1"/>
        <v>3.35</v>
      </c>
      <c r="G934" s="1">
        <f t="shared" si="2"/>
        <v>1.12</v>
      </c>
      <c r="H934" s="1">
        <v>3.0</v>
      </c>
      <c r="I934" s="1">
        <v>0.0</v>
      </c>
      <c r="J934" s="1">
        <v>0.0</v>
      </c>
      <c r="K934" s="1">
        <v>0.0</v>
      </c>
      <c r="L934" s="1">
        <v>2.0</v>
      </c>
      <c r="M934" s="1">
        <v>3.0</v>
      </c>
      <c r="N934" s="1">
        <v>2.0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2.0</v>
      </c>
      <c r="U934" s="1">
        <v>0.0</v>
      </c>
    </row>
    <row r="935">
      <c r="A935" s="1" t="s">
        <v>936</v>
      </c>
      <c r="B935" s="1">
        <f t="shared" si="3"/>
        <v>933</v>
      </c>
      <c r="C935" s="1" t="str">
        <f>IFERROR(__xludf.DUMMYFUNCTION("split(A935, ""\"")"),"Erik Burgdoerfer")</f>
        <v>Erik Burgdoerfer</v>
      </c>
      <c r="D935" s="1" t="str">
        <f>IFERROR(__xludf.DUMMYFUNCTION("""COMPUTED_VALUE"""),"burgder01")</f>
        <v>burgder01</v>
      </c>
      <c r="E935" s="1" t="s">
        <v>66</v>
      </c>
      <c r="F935" s="1">
        <f t="shared" si="1"/>
        <v>3.25</v>
      </c>
      <c r="G935" s="1">
        <f t="shared" si="2"/>
        <v>1.63</v>
      </c>
      <c r="H935" s="1">
        <v>2.0</v>
      </c>
      <c r="I935" s="1">
        <v>0.0</v>
      </c>
      <c r="J935" s="1">
        <v>1.0</v>
      </c>
      <c r="K935" s="1">
        <v>1.0</v>
      </c>
      <c r="L935" s="1">
        <v>2.0</v>
      </c>
      <c r="M935" s="1">
        <v>5.0</v>
      </c>
      <c r="N935" s="1">
        <v>2.0</v>
      </c>
      <c r="O935" s="1">
        <v>0.0</v>
      </c>
      <c r="P935" s="1">
        <v>0.0</v>
      </c>
      <c r="Q935" s="1">
        <v>0.0</v>
      </c>
      <c r="R935" s="1">
        <v>0.0</v>
      </c>
      <c r="S935" s="1">
        <v>2.0</v>
      </c>
      <c r="T935" s="1">
        <v>0.0</v>
      </c>
      <c r="U935" s="1">
        <v>0.0</v>
      </c>
    </row>
    <row r="936">
      <c r="A936" s="1" t="s">
        <v>962</v>
      </c>
      <c r="B936" s="1">
        <f t="shared" si="3"/>
        <v>933</v>
      </c>
      <c r="C936" s="1" t="str">
        <f>IFERROR(__xludf.DUMMYFUNCTION("split(A936, ""\"")"),"Joel Hanley")</f>
        <v>Joel Hanley</v>
      </c>
      <c r="D936" s="1" t="str">
        <f>IFERROR(__xludf.DUMMYFUNCTION("""COMPUTED_VALUE"""),"hanlejo01")</f>
        <v>hanlejo01</v>
      </c>
      <c r="E936" s="1" t="s">
        <v>66</v>
      </c>
      <c r="F936" s="1">
        <f t="shared" si="1"/>
        <v>3.25</v>
      </c>
      <c r="G936" s="1">
        <f t="shared" si="2"/>
        <v>0.65</v>
      </c>
      <c r="H936" s="1">
        <v>5.0</v>
      </c>
      <c r="I936" s="1">
        <v>0.0</v>
      </c>
      <c r="J936" s="1">
        <v>0.0</v>
      </c>
      <c r="K936" s="1">
        <v>0.0</v>
      </c>
      <c r="L936" s="1">
        <v>2.0</v>
      </c>
      <c r="M936" s="1">
        <v>1.0</v>
      </c>
      <c r="N936" s="1">
        <v>4.0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</row>
    <row r="937">
      <c r="A937" s="1" t="s">
        <v>1005</v>
      </c>
      <c r="B937" s="1">
        <f t="shared" si="3"/>
        <v>933</v>
      </c>
      <c r="C937" s="1" t="str">
        <f>IFERROR(__xludf.DUMMYFUNCTION("split(A937, ""\"")"),"Philip Holm")</f>
        <v>Philip Holm</v>
      </c>
      <c r="D937" s="1" t="str">
        <f>IFERROR(__xludf.DUMMYFUNCTION("""COMPUTED_VALUE"""),"holmph01")</f>
        <v>holmph01</v>
      </c>
      <c r="E937" s="1" t="s">
        <v>66</v>
      </c>
      <c r="F937" s="1">
        <f t="shared" si="1"/>
        <v>3.25</v>
      </c>
      <c r="G937" s="1">
        <f t="shared" si="2"/>
        <v>3.25</v>
      </c>
      <c r="H937" s="1">
        <v>1.0</v>
      </c>
      <c r="I937" s="1">
        <v>0.0</v>
      </c>
      <c r="J937" s="1">
        <v>0.0</v>
      </c>
      <c r="K937" s="1">
        <v>0.0</v>
      </c>
      <c r="L937" s="1">
        <v>0.0</v>
      </c>
      <c r="M937" s="1">
        <v>1.0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-2.0</v>
      </c>
      <c r="T937" s="1">
        <v>0.0</v>
      </c>
      <c r="U937" s="1">
        <v>0.0</v>
      </c>
    </row>
    <row r="938">
      <c r="A938" s="1" t="s">
        <v>952</v>
      </c>
      <c r="B938" s="1">
        <f t="shared" si="3"/>
        <v>936</v>
      </c>
      <c r="C938" s="1" t="str">
        <f>IFERROR(__xludf.DUMMYFUNCTION("split(A938, ""\"")"),"Daniel Taylor")</f>
        <v>Daniel Taylor</v>
      </c>
      <c r="D938" s="2" t="str">
        <f>IFERROR(__xludf.DUMMYFUNCTION("""COMPUTED_VALUE"""),"tayloda02")</f>
        <v>tayloda02</v>
      </c>
      <c r="E938" s="1" t="s">
        <v>5</v>
      </c>
      <c r="F938" s="1">
        <f t="shared" si="1"/>
        <v>3</v>
      </c>
      <c r="G938" s="1">
        <f t="shared" si="2"/>
        <v>3</v>
      </c>
      <c r="H938" s="1">
        <v>1.0</v>
      </c>
      <c r="V938" s="1">
        <v>1.0</v>
      </c>
      <c r="W938" s="1">
        <v>0.0</v>
      </c>
      <c r="X938" s="1">
        <v>1.0</v>
      </c>
      <c r="Y938" s="1">
        <v>4.0</v>
      </c>
      <c r="Z938" s="1">
        <v>34.0</v>
      </c>
      <c r="AA938" s="1">
        <v>30.0</v>
      </c>
      <c r="AB938" s="1">
        <v>0.0</v>
      </c>
    </row>
    <row r="939">
      <c r="A939" s="1" t="s">
        <v>959</v>
      </c>
      <c r="B939" s="1">
        <f t="shared" si="3"/>
        <v>936</v>
      </c>
      <c r="C939" s="1" t="str">
        <f>IFERROR(__xludf.DUMMYFUNCTION("split(A939, ""\"")"),"Marek Langhamer")</f>
        <v>Marek Langhamer</v>
      </c>
      <c r="D939" s="2" t="str">
        <f>IFERROR(__xludf.DUMMYFUNCTION("""COMPUTED_VALUE"""),"langhma01")</f>
        <v>langhma01</v>
      </c>
      <c r="E939" s="1" t="s">
        <v>5</v>
      </c>
      <c r="F939" s="1">
        <f t="shared" si="1"/>
        <v>3</v>
      </c>
      <c r="G939" s="1">
        <f t="shared" si="2"/>
        <v>3</v>
      </c>
      <c r="H939" s="1">
        <v>1.0</v>
      </c>
      <c r="V939" s="1">
        <v>0.0</v>
      </c>
      <c r="W939" s="1">
        <v>0.0</v>
      </c>
      <c r="X939" s="1">
        <v>0.0</v>
      </c>
      <c r="Y939" s="1">
        <v>0.0</v>
      </c>
      <c r="Z939" s="1">
        <v>10.0</v>
      </c>
      <c r="AA939" s="1">
        <v>10.0</v>
      </c>
      <c r="AB939" s="1">
        <v>0.0</v>
      </c>
    </row>
    <row r="940">
      <c r="A940" s="1" t="s">
        <v>985</v>
      </c>
      <c r="B940" s="1">
        <f t="shared" si="3"/>
        <v>936</v>
      </c>
      <c r="C940" s="1" t="str">
        <f>IFERROR(__xludf.DUMMYFUNCTION("split(A940, ""\"")"),"Nathan Gerbe")</f>
        <v>Nathan Gerbe</v>
      </c>
      <c r="D940" s="1" t="str">
        <f>IFERROR(__xludf.DUMMYFUNCTION("""COMPUTED_VALUE"""),"gerbena01")</f>
        <v>gerbena01</v>
      </c>
      <c r="E940" s="1" t="s">
        <v>31</v>
      </c>
      <c r="F940" s="1">
        <f t="shared" si="1"/>
        <v>3</v>
      </c>
      <c r="G940" s="1">
        <f t="shared" si="2"/>
        <v>1.5</v>
      </c>
      <c r="H940" s="1">
        <v>2.0</v>
      </c>
      <c r="I940" s="1">
        <v>0.0</v>
      </c>
      <c r="J940" s="1">
        <v>0.0</v>
      </c>
      <c r="K940" s="1">
        <v>0.0</v>
      </c>
      <c r="L940" s="1">
        <v>1.0</v>
      </c>
      <c r="M940" s="1">
        <v>4.0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-1.0</v>
      </c>
      <c r="T940" s="1">
        <v>0.0</v>
      </c>
      <c r="U940" s="1">
        <v>0.0</v>
      </c>
    </row>
    <row r="941">
      <c r="A941" s="1" t="s">
        <v>987</v>
      </c>
      <c r="B941" s="1">
        <f t="shared" si="3"/>
        <v>936</v>
      </c>
      <c r="C941" s="1" t="str">
        <f>IFERROR(__xludf.DUMMYFUNCTION("split(A941, ""\"")"),"Liam O'Brien")</f>
        <v>Liam O'Brien</v>
      </c>
      <c r="D941" s="1" t="str">
        <f>IFERROR(__xludf.DUMMYFUNCTION("""COMPUTED_VALUE"""),"obrieli01")</f>
        <v>obrieli01</v>
      </c>
      <c r="E941" s="1" t="s">
        <v>31</v>
      </c>
      <c r="F941" s="1">
        <f t="shared" si="1"/>
        <v>3</v>
      </c>
      <c r="G941" s="1">
        <f t="shared" si="2"/>
        <v>1</v>
      </c>
      <c r="H941" s="1">
        <v>3.0</v>
      </c>
      <c r="I941" s="1">
        <v>0.0</v>
      </c>
      <c r="J941" s="1">
        <v>0.0</v>
      </c>
      <c r="K941" s="1">
        <v>0.0</v>
      </c>
      <c r="L941" s="1">
        <v>1.0</v>
      </c>
      <c r="M941" s="1">
        <v>4.0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5.0</v>
      </c>
      <c r="U941" s="1">
        <v>0.0</v>
      </c>
    </row>
    <row r="942">
      <c r="A942" s="1" t="s">
        <v>990</v>
      </c>
      <c r="B942" s="1">
        <f t="shared" si="3"/>
        <v>936</v>
      </c>
      <c r="C942" s="1" t="str">
        <f>IFERROR(__xludf.DUMMYFUNCTION("split(A942, ""\"")"),"Dylan Gambrell")</f>
        <v>Dylan Gambrell</v>
      </c>
      <c r="D942" s="1" t="str">
        <f>IFERROR(__xludf.DUMMYFUNCTION("""COMPUTED_VALUE"""),"gambrdy01")</f>
        <v>gambrdy01</v>
      </c>
      <c r="E942" s="1" t="s">
        <v>31</v>
      </c>
      <c r="F942" s="1">
        <f t="shared" si="1"/>
        <v>3</v>
      </c>
      <c r="G942" s="1">
        <f t="shared" si="2"/>
        <v>1</v>
      </c>
      <c r="H942" s="1">
        <v>3.0</v>
      </c>
      <c r="I942" s="1">
        <v>0.0</v>
      </c>
      <c r="J942" s="1">
        <v>0.0</v>
      </c>
      <c r="K942" s="1">
        <v>0.0</v>
      </c>
      <c r="L942" s="1">
        <v>1.0</v>
      </c>
      <c r="M942" s="1">
        <v>0.0</v>
      </c>
      <c r="N942" s="1">
        <v>2.0</v>
      </c>
      <c r="O942" s="1">
        <v>0.0</v>
      </c>
      <c r="P942" s="1">
        <v>0.0</v>
      </c>
      <c r="Q942" s="1">
        <v>0.0</v>
      </c>
      <c r="R942" s="1">
        <v>0.0</v>
      </c>
      <c r="S942" s="1">
        <v>-1.0</v>
      </c>
      <c r="T942" s="1">
        <v>0.0</v>
      </c>
      <c r="U942" s="1">
        <v>0.0</v>
      </c>
    </row>
    <row r="943">
      <c r="A943" s="1" t="s">
        <v>988</v>
      </c>
      <c r="B943" s="1">
        <f t="shared" si="3"/>
        <v>941</v>
      </c>
      <c r="C943" s="1" t="str">
        <f>IFERROR(__xludf.DUMMYFUNCTION("split(A943, ""\"")"),"Kyle Capobianco")</f>
        <v>Kyle Capobianco</v>
      </c>
      <c r="D943" s="1" t="str">
        <f>IFERROR(__xludf.DUMMYFUNCTION("""COMPUTED_VALUE"""),"capobky01")</f>
        <v>capobky01</v>
      </c>
      <c r="E943" s="1" t="s">
        <v>66</v>
      </c>
      <c r="F943" s="1">
        <f t="shared" si="1"/>
        <v>2.75</v>
      </c>
      <c r="G943" s="1">
        <f t="shared" si="2"/>
        <v>2.75</v>
      </c>
      <c r="H943" s="1">
        <v>1.0</v>
      </c>
      <c r="I943" s="1">
        <v>0.0</v>
      </c>
      <c r="J943" s="1">
        <v>0.0</v>
      </c>
      <c r="K943" s="1">
        <v>0.0</v>
      </c>
      <c r="L943" s="1">
        <v>0.0</v>
      </c>
      <c r="M943" s="1">
        <v>3.0</v>
      </c>
      <c r="N943" s="1">
        <v>1.0</v>
      </c>
      <c r="O943" s="1">
        <v>0.0</v>
      </c>
      <c r="P943" s="1">
        <v>0.0</v>
      </c>
      <c r="Q943" s="1">
        <v>0.0</v>
      </c>
      <c r="R943" s="1">
        <v>0.0</v>
      </c>
      <c r="S943" s="1">
        <v>-1.0</v>
      </c>
      <c r="T943" s="1">
        <v>0.0</v>
      </c>
      <c r="U943" s="1">
        <v>0.0</v>
      </c>
    </row>
    <row r="944">
      <c r="A944" s="1" t="s">
        <v>995</v>
      </c>
      <c r="B944" s="1">
        <f t="shared" si="3"/>
        <v>941</v>
      </c>
      <c r="C944" s="1" t="str">
        <f>IFERROR(__xludf.DUMMYFUNCTION("split(A944, ""\"")"),"Daniel Catenacci")</f>
        <v>Daniel Catenacci</v>
      </c>
      <c r="D944" s="1" t="str">
        <f>IFERROR(__xludf.DUMMYFUNCTION("""COMPUTED_VALUE"""),"catenda01")</f>
        <v>catenda01</v>
      </c>
      <c r="E944" s="1" t="s">
        <v>31</v>
      </c>
      <c r="F944" s="1">
        <f t="shared" si="1"/>
        <v>2.75</v>
      </c>
      <c r="G944" s="1">
        <f t="shared" si="2"/>
        <v>2.75</v>
      </c>
      <c r="H944" s="1">
        <v>1.0</v>
      </c>
      <c r="I944" s="1">
        <v>0.0</v>
      </c>
      <c r="J944" s="1">
        <v>0.0</v>
      </c>
      <c r="K944" s="1">
        <v>0.0</v>
      </c>
      <c r="L944" s="1">
        <v>1.0</v>
      </c>
      <c r="M944" s="1">
        <v>1.0</v>
      </c>
      <c r="N944" s="1">
        <v>1.0</v>
      </c>
      <c r="O944" s="1">
        <v>0.0</v>
      </c>
      <c r="P944" s="1">
        <v>0.0</v>
      </c>
      <c r="Q944" s="1">
        <v>0.0</v>
      </c>
      <c r="R944" s="1">
        <v>0.0</v>
      </c>
      <c r="S944" s="1">
        <v>-1.0</v>
      </c>
      <c r="T944" s="1">
        <v>0.0</v>
      </c>
      <c r="U944" s="1">
        <v>0.0</v>
      </c>
    </row>
    <row r="945">
      <c r="A945" s="1" t="s">
        <v>950</v>
      </c>
      <c r="B945" s="1">
        <f t="shared" si="3"/>
        <v>943</v>
      </c>
      <c r="C945" s="1" t="str">
        <f>IFERROR(__xludf.DUMMYFUNCTION("split(A945, ""\"")"),"Travis Boyd")</f>
        <v>Travis Boyd</v>
      </c>
      <c r="D945" s="1" t="str">
        <f>IFERROR(__xludf.DUMMYFUNCTION("""COMPUTED_VALUE"""),"boydtr01")</f>
        <v>boydtr01</v>
      </c>
      <c r="E945" s="1" t="s">
        <v>31</v>
      </c>
      <c r="F945" s="1">
        <f t="shared" si="1"/>
        <v>2.6</v>
      </c>
      <c r="G945" s="1">
        <f t="shared" si="2"/>
        <v>0.33</v>
      </c>
      <c r="H945" s="1">
        <v>8.0</v>
      </c>
      <c r="I945" s="1">
        <v>0.0</v>
      </c>
      <c r="J945" s="1">
        <v>1.0</v>
      </c>
      <c r="K945" s="1">
        <v>1.0</v>
      </c>
      <c r="L945" s="1">
        <v>2.0</v>
      </c>
      <c r="M945" s="1">
        <v>2.0</v>
      </c>
      <c r="N945" s="1">
        <v>1.0</v>
      </c>
      <c r="O945" s="1">
        <v>0.0</v>
      </c>
      <c r="P945" s="1">
        <v>0.0</v>
      </c>
      <c r="Q945" s="1">
        <v>0.0</v>
      </c>
      <c r="R945" s="1">
        <v>0.0</v>
      </c>
      <c r="S945" s="1">
        <v>2.0</v>
      </c>
      <c r="T945" s="1">
        <v>2.0</v>
      </c>
      <c r="U945" s="1">
        <v>0.0</v>
      </c>
    </row>
    <row r="946">
      <c r="A946" s="1" t="s">
        <v>983</v>
      </c>
      <c r="B946" s="1">
        <f t="shared" si="3"/>
        <v>943</v>
      </c>
      <c r="C946" s="1" t="str">
        <f>IFERROR(__xludf.DUMMYFUNCTION("split(A946, ""\"")"),"Rinat Valiev")</f>
        <v>Rinat Valiev</v>
      </c>
      <c r="D946" s="1" t="str">
        <f>IFERROR(__xludf.DUMMYFUNCTION("""COMPUTED_VALUE"""),"valieri01")</f>
        <v>valieri01</v>
      </c>
      <c r="E946" s="1" t="s">
        <v>66</v>
      </c>
      <c r="F946" s="1">
        <f t="shared" si="1"/>
        <v>2.6</v>
      </c>
      <c r="G946" s="1">
        <f t="shared" si="2"/>
        <v>1.3</v>
      </c>
      <c r="H946" s="1">
        <v>2.0</v>
      </c>
      <c r="I946" s="1">
        <v>0.0</v>
      </c>
      <c r="J946" s="1">
        <v>0.0</v>
      </c>
      <c r="K946" s="1">
        <v>0.0</v>
      </c>
      <c r="L946" s="1">
        <v>2.0</v>
      </c>
      <c r="M946" s="1">
        <v>0.0</v>
      </c>
      <c r="N946" s="1">
        <v>2.0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2.0</v>
      </c>
      <c r="U946" s="1">
        <v>0.0</v>
      </c>
    </row>
    <row r="947">
      <c r="A947" s="1" t="s">
        <v>980</v>
      </c>
      <c r="B947" s="1">
        <f t="shared" si="3"/>
        <v>945</v>
      </c>
      <c r="C947" s="1" t="str">
        <f>IFERROR(__xludf.DUMMYFUNCTION("split(A947, ""\"")"),"Troy Terry")</f>
        <v>Troy Terry</v>
      </c>
      <c r="D947" s="1" t="str">
        <f>IFERROR(__xludf.DUMMYFUNCTION("""COMPUTED_VALUE"""),"terrytr01")</f>
        <v>terrytr01</v>
      </c>
      <c r="E947" s="1" t="s">
        <v>42</v>
      </c>
      <c r="F947" s="1">
        <f t="shared" si="1"/>
        <v>2.5</v>
      </c>
      <c r="G947" s="1">
        <f t="shared" si="2"/>
        <v>1.25</v>
      </c>
      <c r="H947" s="1">
        <v>2.0</v>
      </c>
      <c r="I947" s="1">
        <v>0.0</v>
      </c>
      <c r="J947" s="1">
        <v>0.0</v>
      </c>
      <c r="K947" s="1">
        <v>0.0</v>
      </c>
      <c r="L947" s="1">
        <v>3.0</v>
      </c>
      <c r="M947" s="1">
        <v>0.0</v>
      </c>
      <c r="N947" s="1">
        <v>2.0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</row>
    <row r="948">
      <c r="A948" s="1" t="s">
        <v>977</v>
      </c>
      <c r="B948" s="1">
        <f t="shared" si="3"/>
        <v>945</v>
      </c>
      <c r="C948" s="1" t="str">
        <f>IFERROR(__xludf.DUMMYFUNCTION("split(A948, ""\"")"),"Eeli Tolvanen")</f>
        <v>Eeli Tolvanen</v>
      </c>
      <c r="D948" s="1" t="str">
        <f>IFERROR(__xludf.DUMMYFUNCTION("""COMPUTED_VALUE"""),"tolvaee01")</f>
        <v>tolvaee01</v>
      </c>
      <c r="E948" s="1" t="s">
        <v>36</v>
      </c>
      <c r="F948" s="1">
        <f t="shared" si="1"/>
        <v>2.5</v>
      </c>
      <c r="G948" s="1">
        <f t="shared" si="2"/>
        <v>0.83</v>
      </c>
      <c r="H948" s="1">
        <v>3.0</v>
      </c>
      <c r="I948" s="1">
        <v>0.0</v>
      </c>
      <c r="J948" s="1">
        <v>0.0</v>
      </c>
      <c r="K948" s="1">
        <v>0.0</v>
      </c>
      <c r="L948" s="1">
        <v>3.0</v>
      </c>
      <c r="M948" s="1">
        <v>2.0</v>
      </c>
      <c r="N948" s="1">
        <v>1.0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</row>
    <row r="949">
      <c r="A949" s="1" t="s">
        <v>999</v>
      </c>
      <c r="B949" s="1">
        <f t="shared" si="3"/>
        <v>945</v>
      </c>
      <c r="C949" s="1" t="str">
        <f>IFERROR(__xludf.DUMMYFUNCTION("split(A949, ""\"")"),"Nicolas Roy")</f>
        <v>Nicolas Roy</v>
      </c>
      <c r="D949" s="1" t="str">
        <f>IFERROR(__xludf.DUMMYFUNCTION("""COMPUTED_VALUE"""),"royni01")</f>
        <v>royni01</v>
      </c>
      <c r="E949" s="1" t="s">
        <v>31</v>
      </c>
      <c r="F949" s="1">
        <f t="shared" si="1"/>
        <v>2.5</v>
      </c>
      <c r="G949" s="1">
        <f t="shared" si="2"/>
        <v>2.5</v>
      </c>
      <c r="H949" s="1">
        <v>1.0</v>
      </c>
      <c r="I949" s="1">
        <v>0.0</v>
      </c>
      <c r="J949" s="1">
        <v>0.0</v>
      </c>
      <c r="K949" s="1">
        <v>0.0</v>
      </c>
      <c r="L949" s="1">
        <v>1.0</v>
      </c>
      <c r="M949" s="1">
        <v>2.0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-1.0</v>
      </c>
      <c r="T949" s="1">
        <v>0.0</v>
      </c>
      <c r="U949" s="1">
        <v>0.0</v>
      </c>
    </row>
    <row r="950">
      <c r="A950" s="1" t="s">
        <v>961</v>
      </c>
      <c r="B950" s="1">
        <f t="shared" si="3"/>
        <v>948</v>
      </c>
      <c r="C950" s="1" t="str">
        <f>IFERROR(__xludf.DUMMYFUNCTION("split(A950, ""\"")"),"Samuel Morin")</f>
        <v>Samuel Morin</v>
      </c>
      <c r="D950" s="1" t="str">
        <f>IFERROR(__xludf.DUMMYFUNCTION("""COMPUTED_VALUE"""),"morinsa01")</f>
        <v>morinsa01</v>
      </c>
      <c r="E950" s="1" t="s">
        <v>66</v>
      </c>
      <c r="F950" s="1">
        <f t="shared" si="1"/>
        <v>2.45</v>
      </c>
      <c r="G950" s="1">
        <f t="shared" si="2"/>
        <v>1.23</v>
      </c>
      <c r="H950" s="1">
        <v>2.0</v>
      </c>
      <c r="I950" s="1">
        <v>0.0</v>
      </c>
      <c r="J950" s="1">
        <v>0.0</v>
      </c>
      <c r="K950" s="1">
        <v>0.0</v>
      </c>
      <c r="L950" s="1">
        <v>1.0</v>
      </c>
      <c r="M950" s="1">
        <v>7.0</v>
      </c>
      <c r="N950" s="1">
        <v>1.0</v>
      </c>
      <c r="O950" s="1">
        <v>0.0</v>
      </c>
      <c r="P950" s="1">
        <v>0.0</v>
      </c>
      <c r="Q950" s="1">
        <v>0.0</v>
      </c>
      <c r="R950" s="1">
        <v>0.0</v>
      </c>
      <c r="S950" s="1">
        <v>1.0</v>
      </c>
      <c r="T950" s="1">
        <v>4.0</v>
      </c>
      <c r="U950" s="1">
        <v>0.0</v>
      </c>
    </row>
    <row r="951">
      <c r="A951" s="1" t="s">
        <v>960</v>
      </c>
      <c r="B951" s="1">
        <f t="shared" si="3"/>
        <v>949</v>
      </c>
      <c r="C951" s="1" t="str">
        <f>IFERROR(__xludf.DUMMYFUNCTION("split(A951, ""\"")"),"Chris Butler")</f>
        <v>Chris Butler</v>
      </c>
      <c r="D951" s="1" t="str">
        <f>IFERROR(__xludf.DUMMYFUNCTION("""COMPUTED_VALUE"""),"butlech01")</f>
        <v>butlech01</v>
      </c>
      <c r="E951" s="1" t="s">
        <v>66</v>
      </c>
      <c r="F951" s="1">
        <f t="shared" si="1"/>
        <v>2.35</v>
      </c>
      <c r="G951" s="1">
        <f t="shared" si="2"/>
        <v>0.39</v>
      </c>
      <c r="H951" s="1">
        <v>6.0</v>
      </c>
      <c r="I951" s="1">
        <v>0.0</v>
      </c>
      <c r="J951" s="1">
        <v>0.0</v>
      </c>
      <c r="K951" s="1">
        <v>0.0</v>
      </c>
      <c r="L951" s="1">
        <v>2.0</v>
      </c>
      <c r="M951" s="1">
        <v>3.0</v>
      </c>
      <c r="N951" s="1">
        <v>3.0</v>
      </c>
      <c r="O951" s="1">
        <v>0.0</v>
      </c>
      <c r="P951" s="1">
        <v>0.0</v>
      </c>
      <c r="Q951" s="1">
        <v>0.0</v>
      </c>
      <c r="R951" s="1">
        <v>0.0</v>
      </c>
      <c r="S951" s="1">
        <v>1.0</v>
      </c>
      <c r="T951" s="1">
        <v>2.0</v>
      </c>
      <c r="U951" s="1">
        <v>0.0</v>
      </c>
    </row>
    <row r="952">
      <c r="A952" s="1" t="s">
        <v>956</v>
      </c>
      <c r="B952" s="1">
        <f t="shared" si="3"/>
        <v>950</v>
      </c>
      <c r="C952" s="1" t="str">
        <f>IFERROR(__xludf.DUMMYFUNCTION("split(A952, ""\"")"),"Daniel Brickley")</f>
        <v>Daniel Brickley</v>
      </c>
      <c r="D952" s="1" t="str">
        <f>IFERROR(__xludf.DUMMYFUNCTION("""COMPUTED_VALUE"""),"brickda01")</f>
        <v>brickda01</v>
      </c>
      <c r="E952" s="1" t="s">
        <v>66</v>
      </c>
      <c r="F952" s="1">
        <f t="shared" si="1"/>
        <v>2.25</v>
      </c>
      <c r="G952" s="1">
        <f t="shared" si="2"/>
        <v>2.25</v>
      </c>
      <c r="H952" s="1">
        <v>1.0</v>
      </c>
      <c r="I952" s="1">
        <v>0.0</v>
      </c>
      <c r="J952" s="1">
        <v>1.0</v>
      </c>
      <c r="K952" s="1">
        <v>1.0</v>
      </c>
      <c r="L952" s="1">
        <v>0.0</v>
      </c>
      <c r="M952" s="1">
        <v>1.0</v>
      </c>
      <c r="N952" s="1">
        <v>1.0</v>
      </c>
      <c r="O952" s="1">
        <v>0.0</v>
      </c>
      <c r="P952" s="1">
        <v>0.0</v>
      </c>
      <c r="Q952" s="1">
        <v>0.0</v>
      </c>
      <c r="R952" s="1">
        <v>0.0</v>
      </c>
      <c r="S952" s="1">
        <v>1.0</v>
      </c>
      <c r="T952" s="1">
        <v>0.0</v>
      </c>
      <c r="U952" s="1">
        <v>0.0</v>
      </c>
    </row>
    <row r="953">
      <c r="A953" s="1" t="s">
        <v>993</v>
      </c>
      <c r="B953" s="1">
        <f t="shared" si="3"/>
        <v>951</v>
      </c>
      <c r="C953" s="1" t="str">
        <f>IFERROR(__xludf.DUMMYFUNCTION("split(A953, ""\"")"),"Anthony Peluso")</f>
        <v>Anthony Peluso</v>
      </c>
      <c r="D953" s="1" t="str">
        <f>IFERROR(__xludf.DUMMYFUNCTION("""COMPUTED_VALUE"""),"pelusan01")</f>
        <v>pelusan01</v>
      </c>
      <c r="E953" s="1" t="s">
        <v>36</v>
      </c>
      <c r="F953" s="1">
        <f t="shared" si="1"/>
        <v>2.2</v>
      </c>
      <c r="G953" s="1">
        <f t="shared" si="2"/>
        <v>1.1</v>
      </c>
      <c r="H953" s="1">
        <v>2.0</v>
      </c>
      <c r="I953" s="1">
        <v>0.0</v>
      </c>
      <c r="J953" s="1">
        <v>0.0</v>
      </c>
      <c r="K953" s="1">
        <v>0.0</v>
      </c>
      <c r="L953" s="1">
        <v>0.0</v>
      </c>
      <c r="M953" s="1">
        <v>4.0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4.0</v>
      </c>
      <c r="U953" s="1">
        <v>0.0</v>
      </c>
    </row>
    <row r="954">
      <c r="A954" s="1" t="s">
        <v>974</v>
      </c>
      <c r="B954" s="1">
        <f t="shared" si="3"/>
        <v>952</v>
      </c>
      <c r="C954" s="1" t="str">
        <f>IFERROR(__xludf.DUMMYFUNCTION("split(A954, ""\"")"),"Scott Foster")</f>
        <v>Scott Foster</v>
      </c>
      <c r="D954" s="2" t="str">
        <f>IFERROR(__xludf.DUMMYFUNCTION("""COMPUTED_VALUE"""),"fostesc01")</f>
        <v>fostesc01</v>
      </c>
      <c r="E954" s="1" t="s">
        <v>5</v>
      </c>
      <c r="F954" s="1">
        <f t="shared" si="1"/>
        <v>2.1</v>
      </c>
      <c r="G954" s="1">
        <f t="shared" si="2"/>
        <v>2.1</v>
      </c>
      <c r="H954" s="1">
        <v>1.0</v>
      </c>
      <c r="V954" s="1">
        <v>0.0</v>
      </c>
      <c r="W954" s="1">
        <v>0.0</v>
      </c>
      <c r="X954" s="1">
        <v>0.0</v>
      </c>
      <c r="Y954" s="1">
        <v>0.0</v>
      </c>
      <c r="Z954" s="1">
        <v>7.0</v>
      </c>
      <c r="AA954" s="1">
        <v>7.0</v>
      </c>
      <c r="AB954" s="1">
        <v>0.0</v>
      </c>
    </row>
    <row r="955">
      <c r="A955" s="1" t="s">
        <v>973</v>
      </c>
      <c r="B955" s="1">
        <f t="shared" si="3"/>
        <v>953</v>
      </c>
      <c r="C955" s="1" t="str">
        <f>IFERROR(__xludf.DUMMYFUNCTION("split(A955, ""\"")"),"Mike Blunden")</f>
        <v>Mike Blunden</v>
      </c>
      <c r="D955" s="1" t="str">
        <f>IFERROR(__xludf.DUMMYFUNCTION("""COMPUTED_VALUE"""),"blundmi01")</f>
        <v>blundmi01</v>
      </c>
      <c r="E955" s="1" t="s">
        <v>36</v>
      </c>
      <c r="F955" s="1">
        <f t="shared" si="1"/>
        <v>2</v>
      </c>
      <c r="G955" s="1">
        <f t="shared" si="2"/>
        <v>2</v>
      </c>
      <c r="H955" s="1">
        <v>1.0</v>
      </c>
      <c r="I955" s="1">
        <v>0.0</v>
      </c>
      <c r="J955" s="1">
        <v>0.0</v>
      </c>
      <c r="K955" s="1">
        <v>0.0</v>
      </c>
      <c r="L955" s="1">
        <v>1.0</v>
      </c>
      <c r="M955" s="1">
        <v>6.0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</row>
    <row r="956">
      <c r="A956" s="1" t="s">
        <v>984</v>
      </c>
      <c r="B956" s="1">
        <f t="shared" si="3"/>
        <v>953</v>
      </c>
      <c r="C956" s="1" t="str">
        <f>IFERROR(__xludf.DUMMYFUNCTION("split(A956, ""\"")"),"Kevin Rooney")</f>
        <v>Kevin Rooney</v>
      </c>
      <c r="D956" s="1" t="str">
        <f>IFERROR(__xludf.DUMMYFUNCTION("""COMPUTED_VALUE"""),"rooneke01")</f>
        <v>rooneke01</v>
      </c>
      <c r="E956" s="1" t="s">
        <v>31</v>
      </c>
      <c r="F956" s="1">
        <f t="shared" si="1"/>
        <v>2</v>
      </c>
      <c r="G956" s="1">
        <f t="shared" si="2"/>
        <v>2</v>
      </c>
      <c r="H956" s="1">
        <v>1.0</v>
      </c>
      <c r="I956" s="1">
        <v>0.0</v>
      </c>
      <c r="J956" s="1">
        <v>0.0</v>
      </c>
      <c r="K956" s="1">
        <v>0.0</v>
      </c>
      <c r="L956" s="1">
        <v>3.0</v>
      </c>
      <c r="M956" s="1">
        <v>2.0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</row>
    <row r="957">
      <c r="A957" s="1" t="s">
        <v>981</v>
      </c>
      <c r="B957" s="1">
        <f t="shared" si="3"/>
        <v>955</v>
      </c>
      <c r="C957" s="1" t="str">
        <f>IFERROR(__xludf.DUMMYFUNCTION("split(A957, ""\"")"),"Blake Pietila")</f>
        <v>Blake Pietila</v>
      </c>
      <c r="D957" s="1" t="str">
        <f>IFERROR(__xludf.DUMMYFUNCTION("""COMPUTED_VALUE"""),"pietibl01")</f>
        <v>pietibl01</v>
      </c>
      <c r="E957" s="1" t="s">
        <v>28</v>
      </c>
      <c r="F957" s="1">
        <f t="shared" si="1"/>
        <v>1.75</v>
      </c>
      <c r="G957" s="1">
        <f t="shared" si="2"/>
        <v>0.88</v>
      </c>
      <c r="H957" s="1">
        <v>2.0</v>
      </c>
      <c r="I957" s="1">
        <v>0.0</v>
      </c>
      <c r="J957" s="1">
        <v>0.0</v>
      </c>
      <c r="K957" s="1">
        <v>0.0</v>
      </c>
      <c r="L957" s="1">
        <v>1.0</v>
      </c>
      <c r="M957" s="1">
        <v>5.0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</row>
    <row r="958">
      <c r="A958" s="1" t="s">
        <v>998</v>
      </c>
      <c r="B958" s="1">
        <f t="shared" si="3"/>
        <v>956</v>
      </c>
      <c r="C958" s="1" t="str">
        <f>IFERROR(__xludf.DUMMYFUNCTION("split(A958, ""\"")"),"Steven Fogarty")</f>
        <v>Steven Fogarty</v>
      </c>
      <c r="D958" s="1" t="str">
        <f>IFERROR(__xludf.DUMMYFUNCTION("""COMPUTED_VALUE"""),"fogarst01")</f>
        <v>fogarst01</v>
      </c>
      <c r="E958" s="1" t="s">
        <v>31</v>
      </c>
      <c r="F958" s="1">
        <f t="shared" si="1"/>
        <v>1.6</v>
      </c>
      <c r="G958" s="1">
        <f t="shared" si="2"/>
        <v>1.6</v>
      </c>
      <c r="H958" s="1">
        <v>1.0</v>
      </c>
      <c r="I958" s="1">
        <v>0.0</v>
      </c>
      <c r="J958" s="1">
        <v>0.0</v>
      </c>
      <c r="K958" s="1">
        <v>0.0</v>
      </c>
      <c r="L958" s="1">
        <v>1.0</v>
      </c>
      <c r="M958" s="1">
        <v>2.0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2.0</v>
      </c>
      <c r="U958" s="1">
        <v>0.0</v>
      </c>
    </row>
    <row r="959">
      <c r="A959" s="1" t="s">
        <v>991</v>
      </c>
      <c r="B959" s="1">
        <f t="shared" si="3"/>
        <v>956</v>
      </c>
      <c r="C959" s="1" t="str">
        <f>IFERROR(__xludf.DUMMYFUNCTION("split(A959, ""\"")"),"Andrew Crescenzi")</f>
        <v>Andrew Crescenzi</v>
      </c>
      <c r="D959" s="1" t="str">
        <f>IFERROR(__xludf.DUMMYFUNCTION("""COMPUTED_VALUE"""),"crescan01")</f>
        <v>crescan01</v>
      </c>
      <c r="E959" s="1" t="s">
        <v>31</v>
      </c>
      <c r="F959" s="1">
        <f t="shared" si="1"/>
        <v>1.6</v>
      </c>
      <c r="G959" s="1">
        <f t="shared" si="2"/>
        <v>0.8</v>
      </c>
      <c r="H959" s="1">
        <v>2.0</v>
      </c>
      <c r="I959" s="1">
        <v>0.0</v>
      </c>
      <c r="J959" s="1">
        <v>0.0</v>
      </c>
      <c r="K959" s="1">
        <v>0.0</v>
      </c>
      <c r="L959" s="1">
        <v>0.0</v>
      </c>
      <c r="M959" s="1">
        <v>4.0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2.0</v>
      </c>
      <c r="U959" s="1">
        <v>0.0</v>
      </c>
    </row>
    <row r="960">
      <c r="A960" s="1" t="s">
        <v>989</v>
      </c>
      <c r="B960" s="1">
        <f t="shared" si="3"/>
        <v>958</v>
      </c>
      <c r="C960" s="1" t="str">
        <f>IFERROR(__xludf.DUMMYFUNCTION("split(A960, ""\"")"),"Mitch Reinke")</f>
        <v>Mitch Reinke</v>
      </c>
      <c r="D960" s="1" t="str">
        <f>IFERROR(__xludf.DUMMYFUNCTION("""COMPUTED_VALUE"""),"reinkmi01")</f>
        <v>reinkmi01</v>
      </c>
      <c r="E960" s="1" t="s">
        <v>66</v>
      </c>
      <c r="F960" s="1">
        <f t="shared" si="1"/>
        <v>1.5</v>
      </c>
      <c r="G960" s="1">
        <f t="shared" si="2"/>
        <v>1.5</v>
      </c>
      <c r="H960" s="1">
        <v>1.0</v>
      </c>
      <c r="I960" s="1">
        <v>0.0</v>
      </c>
      <c r="J960" s="1">
        <v>0.0</v>
      </c>
      <c r="K960" s="1">
        <v>0.0</v>
      </c>
      <c r="L960" s="1">
        <v>1.0</v>
      </c>
      <c r="M960" s="1">
        <v>0.0</v>
      </c>
      <c r="N960" s="1">
        <v>2.0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</row>
    <row r="961">
      <c r="A961" s="1" t="s">
        <v>1000</v>
      </c>
      <c r="B961" s="1">
        <f t="shared" si="3"/>
        <v>958</v>
      </c>
      <c r="C961" s="1" t="str">
        <f>IFERROR(__xludf.DUMMYFUNCTION("split(A961, ""\"")"),"Will O'Neill")</f>
        <v>Will O'Neill</v>
      </c>
      <c r="D961" s="1" t="str">
        <f>IFERROR(__xludf.DUMMYFUNCTION("""COMPUTED_VALUE"""),"oneilwi01")</f>
        <v>oneilwi01</v>
      </c>
      <c r="E961" s="1" t="s">
        <v>66</v>
      </c>
      <c r="F961" s="1">
        <f t="shared" si="1"/>
        <v>1.5</v>
      </c>
      <c r="G961" s="1">
        <f t="shared" si="2"/>
        <v>1.5</v>
      </c>
      <c r="H961" s="1">
        <v>1.0</v>
      </c>
      <c r="I961" s="1">
        <v>0.0</v>
      </c>
      <c r="J961" s="1">
        <v>0.0</v>
      </c>
      <c r="K961" s="1">
        <v>0.0</v>
      </c>
      <c r="L961" s="1">
        <v>3.0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</row>
    <row r="962">
      <c r="A962" s="1" t="s">
        <v>1014</v>
      </c>
      <c r="B962" s="1">
        <f t="shared" si="3"/>
        <v>958</v>
      </c>
      <c r="C962" s="1" t="str">
        <f>IFERROR(__xludf.DUMMYFUNCTION("split(A962, ""\"")"),"Giovanni Fiore")</f>
        <v>Giovanni Fiore</v>
      </c>
      <c r="D962" s="1" t="str">
        <f>IFERROR(__xludf.DUMMYFUNCTION("""COMPUTED_VALUE"""),"fioregi01")</f>
        <v>fioregi01</v>
      </c>
      <c r="E962" s="1" t="s">
        <v>28</v>
      </c>
      <c r="F962" s="1">
        <f t="shared" si="1"/>
        <v>1.5</v>
      </c>
      <c r="G962" s="1">
        <f t="shared" si="2"/>
        <v>1.5</v>
      </c>
      <c r="H962" s="1">
        <v>1.0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-1.0</v>
      </c>
      <c r="T962" s="1">
        <v>0.0</v>
      </c>
      <c r="U962" s="1">
        <v>0.0</v>
      </c>
    </row>
    <row r="963">
      <c r="A963" s="1" t="s">
        <v>996</v>
      </c>
      <c r="B963" s="1">
        <f t="shared" si="3"/>
        <v>961</v>
      </c>
      <c r="C963" s="1" t="str">
        <f>IFERROR(__xludf.DUMMYFUNCTION("split(A963, ""\"")"),"Michael Dal Colle")</f>
        <v>Michael Dal Colle</v>
      </c>
      <c r="D963" s="1" t="str">
        <f>IFERROR(__xludf.DUMMYFUNCTION("""COMPUTED_VALUE"""),"dalcomi01")</f>
        <v>dalcomi01</v>
      </c>
      <c r="E963" s="1" t="s">
        <v>28</v>
      </c>
      <c r="F963" s="1">
        <f t="shared" si="1"/>
        <v>1.25</v>
      </c>
      <c r="G963" s="1">
        <f t="shared" si="2"/>
        <v>0.31</v>
      </c>
      <c r="H963" s="1">
        <v>4.0</v>
      </c>
      <c r="I963" s="1">
        <v>0.0</v>
      </c>
      <c r="J963" s="1">
        <v>0.0</v>
      </c>
      <c r="K963" s="1">
        <v>0.0</v>
      </c>
      <c r="L963" s="1">
        <v>1.0</v>
      </c>
      <c r="M963" s="1">
        <v>1.0</v>
      </c>
      <c r="N963" s="1">
        <v>1.0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</row>
    <row r="964">
      <c r="A964" s="1" t="s">
        <v>969</v>
      </c>
      <c r="B964" s="1">
        <f t="shared" si="3"/>
        <v>962</v>
      </c>
      <c r="C964" s="1" t="str">
        <f>IFERROR(__xludf.DUMMYFUNCTION("split(A964, ""\"")"),"Calvin Pickard")</f>
        <v>Calvin Pickard</v>
      </c>
      <c r="D964" s="2" t="str">
        <f>IFERROR(__xludf.DUMMYFUNCTION("""COMPUTED_VALUE"""),"pickaca01")</f>
        <v>pickaca01</v>
      </c>
      <c r="E964" s="1" t="s">
        <v>5</v>
      </c>
      <c r="F964" s="1">
        <f t="shared" si="1"/>
        <v>1.2</v>
      </c>
      <c r="G964" s="1">
        <f t="shared" si="2"/>
        <v>1.2</v>
      </c>
      <c r="H964" s="1">
        <v>1.0</v>
      </c>
      <c r="V964" s="1">
        <v>1.0</v>
      </c>
      <c r="W964" s="1">
        <v>0.0</v>
      </c>
      <c r="X964" s="1">
        <v>0.0</v>
      </c>
      <c r="Y964" s="1">
        <v>4.0</v>
      </c>
      <c r="Z964" s="1">
        <v>28.0</v>
      </c>
      <c r="AA964" s="1">
        <v>24.0</v>
      </c>
      <c r="AB964" s="1">
        <v>0.0</v>
      </c>
    </row>
    <row r="965">
      <c r="A965" s="1" t="s">
        <v>963</v>
      </c>
      <c r="B965" s="1">
        <f t="shared" si="3"/>
        <v>963</v>
      </c>
      <c r="C965" s="1" t="str">
        <f>IFERROR(__xludf.DUMMYFUNCTION("split(A965, ""\"")"),"Joseph Blandisi")</f>
        <v>Joseph Blandisi</v>
      </c>
      <c r="D965" s="1" t="str">
        <f>IFERROR(__xludf.DUMMYFUNCTION("""COMPUTED_VALUE"""),"blandjo01")</f>
        <v>blandjo01</v>
      </c>
      <c r="E965" s="1" t="s">
        <v>31</v>
      </c>
      <c r="F965" s="1">
        <f t="shared" si="1"/>
        <v>1.1</v>
      </c>
      <c r="G965" s="1">
        <f t="shared" si="2"/>
        <v>0.37</v>
      </c>
      <c r="H965" s="1">
        <v>3.0</v>
      </c>
      <c r="I965" s="1">
        <v>0.0</v>
      </c>
      <c r="J965" s="1">
        <v>0.0</v>
      </c>
      <c r="K965" s="1">
        <v>0.0</v>
      </c>
      <c r="L965" s="1">
        <v>4.0</v>
      </c>
      <c r="M965" s="1">
        <v>2.0</v>
      </c>
      <c r="N965" s="1">
        <v>2.0</v>
      </c>
      <c r="O965" s="1">
        <v>0.0</v>
      </c>
      <c r="P965" s="1">
        <v>0.0</v>
      </c>
      <c r="Q965" s="1">
        <v>0.0</v>
      </c>
      <c r="R965" s="1">
        <v>0.0</v>
      </c>
      <c r="S965" s="1">
        <v>2.0</v>
      </c>
      <c r="T965" s="1">
        <v>2.0</v>
      </c>
      <c r="U965" s="1">
        <v>0.0</v>
      </c>
    </row>
    <row r="966">
      <c r="A966" s="1" t="s">
        <v>1008</v>
      </c>
      <c r="B966" s="1">
        <f t="shared" si="3"/>
        <v>963</v>
      </c>
      <c r="C966" s="1" t="str">
        <f>IFERROR(__xludf.DUMMYFUNCTION("split(A966, ""\"")"),"Trevor Carrick")</f>
        <v>Trevor Carrick</v>
      </c>
      <c r="D966" s="1" t="str">
        <f>IFERROR(__xludf.DUMMYFUNCTION("""COMPUTED_VALUE"""),"carritr01")</f>
        <v>carritr01</v>
      </c>
      <c r="E966" s="1" t="s">
        <v>66</v>
      </c>
      <c r="F966" s="1">
        <f t="shared" si="1"/>
        <v>1.1</v>
      </c>
      <c r="G966" s="1">
        <f t="shared" si="2"/>
        <v>1.1</v>
      </c>
      <c r="H966" s="1">
        <v>1.0</v>
      </c>
      <c r="I966" s="1">
        <v>0.0</v>
      </c>
      <c r="J966" s="1">
        <v>0.0</v>
      </c>
      <c r="K966" s="1">
        <v>0.0</v>
      </c>
      <c r="L966" s="1">
        <v>1.0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2.0</v>
      </c>
      <c r="U966" s="1">
        <v>0.0</v>
      </c>
    </row>
    <row r="967">
      <c r="A967" s="1" t="s">
        <v>1012</v>
      </c>
      <c r="B967" s="1">
        <f t="shared" si="3"/>
        <v>963</v>
      </c>
      <c r="C967" s="1" t="str">
        <f>IFERROR(__xludf.DUMMYFUNCTION("split(A967, ""\"")"),"Alex Broadhurst")</f>
        <v>Alex Broadhurst</v>
      </c>
      <c r="D967" s="1" t="str">
        <f>IFERROR(__xludf.DUMMYFUNCTION("""COMPUTED_VALUE"""),"broadal01")</f>
        <v>broadal01</v>
      </c>
      <c r="E967" s="1" t="s">
        <v>31</v>
      </c>
      <c r="F967" s="1">
        <f t="shared" si="1"/>
        <v>1.1</v>
      </c>
      <c r="G967" s="1">
        <f t="shared" si="2"/>
        <v>0.55</v>
      </c>
      <c r="H967" s="1">
        <v>2.0</v>
      </c>
      <c r="I967" s="1">
        <v>0.0</v>
      </c>
      <c r="J967" s="1">
        <v>0.0</v>
      </c>
      <c r="K967" s="1">
        <v>0.0</v>
      </c>
      <c r="L967" s="1">
        <v>1.0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2.0</v>
      </c>
      <c r="U967" s="1">
        <v>0.0</v>
      </c>
    </row>
    <row r="968">
      <c r="A968" s="1" t="s">
        <v>970</v>
      </c>
      <c r="B968" s="1">
        <f t="shared" si="3"/>
        <v>966</v>
      </c>
      <c r="C968" s="1" t="str">
        <f>IFERROR(__xludf.DUMMYFUNCTION("split(A968, ""\"")"),"Marek Hrivik")</f>
        <v>Marek Hrivik</v>
      </c>
      <c r="D968" s="1" t="str">
        <f>IFERROR(__xludf.DUMMYFUNCTION("""COMPUTED_VALUE"""),"hrivima01")</f>
        <v>hrivima01</v>
      </c>
      <c r="E968" s="1" t="s">
        <v>28</v>
      </c>
      <c r="F968" s="1">
        <f t="shared" si="1"/>
        <v>1</v>
      </c>
      <c r="G968" s="1">
        <f t="shared" si="2"/>
        <v>0.33</v>
      </c>
      <c r="H968" s="1">
        <v>3.0</v>
      </c>
      <c r="I968" s="1">
        <v>0.0</v>
      </c>
      <c r="J968" s="1">
        <v>0.0</v>
      </c>
      <c r="K968" s="1">
        <v>0.0</v>
      </c>
      <c r="L968" s="1">
        <v>2.0</v>
      </c>
      <c r="M968" s="1">
        <v>4.0</v>
      </c>
      <c r="N968" s="1">
        <v>1.0</v>
      </c>
      <c r="O968" s="1">
        <v>0.0</v>
      </c>
      <c r="P968" s="1">
        <v>0.0</v>
      </c>
      <c r="Q968" s="1">
        <v>0.0</v>
      </c>
      <c r="R968" s="1">
        <v>0.0</v>
      </c>
      <c r="S968" s="1">
        <v>1.0</v>
      </c>
      <c r="T968" s="1">
        <v>0.0</v>
      </c>
      <c r="U968" s="1">
        <v>0.0</v>
      </c>
    </row>
    <row r="969">
      <c r="A969" s="1" t="s">
        <v>1002</v>
      </c>
      <c r="B969" s="1">
        <f t="shared" si="3"/>
        <v>966</v>
      </c>
      <c r="C969" s="1" t="str">
        <f>IFERROR(__xludf.DUMMYFUNCTION("split(A969, ""\"")"),"Cal O'Reilly")</f>
        <v>Cal O'Reilly</v>
      </c>
      <c r="D969" s="1" t="str">
        <f>IFERROR(__xludf.DUMMYFUNCTION("""COMPUTED_VALUE"""),"oreilca01")</f>
        <v>oreilca01</v>
      </c>
      <c r="E969" s="1" t="s">
        <v>31</v>
      </c>
      <c r="F969" s="1">
        <f t="shared" si="1"/>
        <v>1</v>
      </c>
      <c r="G969" s="1">
        <f t="shared" si="2"/>
        <v>1</v>
      </c>
      <c r="H969" s="1">
        <v>1.0</v>
      </c>
      <c r="I969" s="1">
        <v>0.0</v>
      </c>
      <c r="J969" s="1">
        <v>0.0</v>
      </c>
      <c r="K969" s="1">
        <v>0.0</v>
      </c>
      <c r="L969" s="1">
        <v>1.0</v>
      </c>
      <c r="M969" s="1">
        <v>0.0</v>
      </c>
      <c r="N969" s="1">
        <v>1.0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</row>
    <row r="970">
      <c r="A970" s="1" t="s">
        <v>992</v>
      </c>
      <c r="B970" s="1">
        <f t="shared" si="3"/>
        <v>966</v>
      </c>
      <c r="C970" s="1" t="str">
        <f>IFERROR(__xludf.DUMMYFUNCTION("split(A970, ""\"")"),"Christian Jaros")</f>
        <v>Christian Jaros</v>
      </c>
      <c r="D970" s="1" t="str">
        <f>IFERROR(__xludf.DUMMYFUNCTION("""COMPUTED_VALUE"""),"jarosch01")</f>
        <v>jarosch01</v>
      </c>
      <c r="E970" s="1" t="s">
        <v>66</v>
      </c>
      <c r="F970" s="1">
        <f t="shared" si="1"/>
        <v>1</v>
      </c>
      <c r="G970" s="1">
        <f t="shared" si="2"/>
        <v>0.5</v>
      </c>
      <c r="H970" s="1">
        <v>2.0</v>
      </c>
      <c r="I970" s="1">
        <v>0.0</v>
      </c>
      <c r="J970" s="1">
        <v>0.0</v>
      </c>
      <c r="K970" s="1">
        <v>0.0</v>
      </c>
      <c r="L970" s="1">
        <v>0.0</v>
      </c>
      <c r="M970" s="1">
        <v>4.0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</row>
    <row r="971">
      <c r="A971" s="1" t="s">
        <v>997</v>
      </c>
      <c r="B971" s="1">
        <f t="shared" si="3"/>
        <v>969</v>
      </c>
      <c r="C971" s="1" t="str">
        <f>IFERROR(__xludf.DUMMYFUNCTION("split(A971, ""\"")"),"Anton Blidh")</f>
        <v>Anton Blidh</v>
      </c>
      <c r="D971" s="1" t="str">
        <f>IFERROR(__xludf.DUMMYFUNCTION("""COMPUTED_VALUE"""),"blidhan01")</f>
        <v>blidhan01</v>
      </c>
      <c r="E971" s="1" t="s">
        <v>28</v>
      </c>
      <c r="F971" s="1">
        <f t="shared" si="1"/>
        <v>0.75</v>
      </c>
      <c r="G971" s="1">
        <f t="shared" si="2"/>
        <v>0.75</v>
      </c>
      <c r="H971" s="1">
        <v>1.0</v>
      </c>
      <c r="I971" s="1">
        <v>0.0</v>
      </c>
      <c r="J971" s="1">
        <v>0.0</v>
      </c>
      <c r="K971" s="1">
        <v>0.0</v>
      </c>
      <c r="L971" s="1">
        <v>0.0</v>
      </c>
      <c r="M971" s="1">
        <v>3.0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</row>
    <row r="972">
      <c r="A972" s="1" t="s">
        <v>1001</v>
      </c>
      <c r="B972" s="1">
        <f t="shared" si="3"/>
        <v>969</v>
      </c>
      <c r="C972" s="1" t="str">
        <f>IFERROR(__xludf.DUMMYFUNCTION("split(A972, ""\"")"),"Alex Formenton")</f>
        <v>Alex Formenton</v>
      </c>
      <c r="D972" s="1" t="str">
        <f>IFERROR(__xludf.DUMMYFUNCTION("""COMPUTED_VALUE"""),"formeal01")</f>
        <v>formeal01</v>
      </c>
      <c r="E972" s="1" t="s">
        <v>28</v>
      </c>
      <c r="F972" s="1">
        <f t="shared" si="1"/>
        <v>0.75</v>
      </c>
      <c r="G972" s="1">
        <f t="shared" si="2"/>
        <v>0.75</v>
      </c>
      <c r="H972" s="1">
        <v>1.0</v>
      </c>
      <c r="I972" s="1">
        <v>0.0</v>
      </c>
      <c r="J972" s="1">
        <v>0.0</v>
      </c>
      <c r="K972" s="1">
        <v>0.0</v>
      </c>
      <c r="L972" s="1">
        <v>0.0</v>
      </c>
      <c r="M972" s="1">
        <v>1.0</v>
      </c>
      <c r="N972" s="1">
        <v>1.0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</row>
    <row r="973">
      <c r="A973" s="1" t="s">
        <v>1015</v>
      </c>
      <c r="B973" s="1">
        <f t="shared" si="3"/>
        <v>971</v>
      </c>
      <c r="C973" s="1" t="str">
        <f>IFERROR(__xludf.DUMMYFUNCTION("split(A973, ""\"")"),"Justin Kloos")</f>
        <v>Justin Kloos</v>
      </c>
      <c r="D973" s="1" t="str">
        <f>IFERROR(__xludf.DUMMYFUNCTION("""COMPUTED_VALUE"""),"kloosju01")</f>
        <v>kloosju01</v>
      </c>
      <c r="E973" s="1" t="s">
        <v>31</v>
      </c>
      <c r="F973" s="1">
        <f t="shared" si="1"/>
        <v>0.6</v>
      </c>
      <c r="G973" s="1">
        <f t="shared" si="2"/>
        <v>0.6</v>
      </c>
      <c r="H973" s="1">
        <v>1.0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2.0</v>
      </c>
      <c r="U973" s="1">
        <v>0.0</v>
      </c>
    </row>
    <row r="974">
      <c r="A974" s="1" t="s">
        <v>1018</v>
      </c>
      <c r="B974" s="1">
        <f t="shared" si="3"/>
        <v>971</v>
      </c>
      <c r="C974" s="1" t="str">
        <f>IFERROR(__xludf.DUMMYFUNCTION("split(A974, ""\"")"),"Nicholas Merkley")</f>
        <v>Nicholas Merkley</v>
      </c>
      <c r="D974" s="1" t="str">
        <f>IFERROR(__xludf.DUMMYFUNCTION("""COMPUTED_VALUE"""),"merklni01")</f>
        <v>merklni01</v>
      </c>
      <c r="E974" s="1" t="s">
        <v>36</v>
      </c>
      <c r="F974" s="1">
        <f t="shared" si="1"/>
        <v>0.6</v>
      </c>
      <c r="G974" s="1">
        <f t="shared" si="2"/>
        <v>0.6</v>
      </c>
      <c r="H974" s="1">
        <v>1.0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2.0</v>
      </c>
      <c r="U974" s="1">
        <v>0.0</v>
      </c>
    </row>
    <row r="975">
      <c r="A975" s="1" t="s">
        <v>1009</v>
      </c>
      <c r="B975" s="1">
        <f t="shared" si="3"/>
        <v>973</v>
      </c>
      <c r="C975" s="1" t="str">
        <f>IFERROR(__xludf.DUMMYFUNCTION("split(A975, ""\"")"),"Wade Megan")</f>
        <v>Wade Megan</v>
      </c>
      <c r="D975" s="1" t="str">
        <f>IFERROR(__xludf.DUMMYFUNCTION("""COMPUTED_VALUE"""),"meganwa01")</f>
        <v>meganwa01</v>
      </c>
      <c r="E975" s="1" t="s">
        <v>31</v>
      </c>
      <c r="F975" s="1">
        <f t="shared" si="1"/>
        <v>0.5</v>
      </c>
      <c r="G975" s="1">
        <f t="shared" si="2"/>
        <v>0.5</v>
      </c>
      <c r="H975" s="1">
        <v>1.0</v>
      </c>
      <c r="I975" s="1">
        <v>0.0</v>
      </c>
      <c r="J975" s="1">
        <v>0.0</v>
      </c>
      <c r="K975" s="1">
        <v>0.0</v>
      </c>
      <c r="L975" s="1">
        <v>1.0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</row>
    <row r="976">
      <c r="A976" s="1" t="s">
        <v>978</v>
      </c>
      <c r="B976" s="1">
        <f t="shared" si="3"/>
        <v>974</v>
      </c>
      <c r="C976" s="1" t="str">
        <f>IFERROR(__xludf.DUMMYFUNCTION("split(A976, ""\"")"),"Andreas Englund")</f>
        <v>Andreas Englund</v>
      </c>
      <c r="D976" s="1" t="str">
        <f>IFERROR(__xludf.DUMMYFUNCTION("""COMPUTED_VALUE"""),"engluan01")</f>
        <v>engluan01</v>
      </c>
      <c r="E976" s="1" t="s">
        <v>66</v>
      </c>
      <c r="F976" s="1">
        <f t="shared" si="1"/>
        <v>0.25</v>
      </c>
      <c r="G976" s="1">
        <f t="shared" si="2"/>
        <v>0.25</v>
      </c>
      <c r="H976" s="1">
        <v>1.0</v>
      </c>
      <c r="I976" s="1">
        <v>0.0</v>
      </c>
      <c r="J976" s="1">
        <v>0.0</v>
      </c>
      <c r="K976" s="1">
        <v>0.0</v>
      </c>
      <c r="L976" s="1">
        <v>0.0</v>
      </c>
      <c r="M976" s="1">
        <v>3.0</v>
      </c>
      <c r="N976" s="1">
        <v>2.0</v>
      </c>
      <c r="O976" s="1">
        <v>0.0</v>
      </c>
      <c r="P976" s="1">
        <v>0.0</v>
      </c>
      <c r="Q976" s="1">
        <v>0.0</v>
      </c>
      <c r="R976" s="1">
        <v>0.0</v>
      </c>
      <c r="S976" s="1">
        <v>1.0</v>
      </c>
      <c r="T976" s="1">
        <v>0.0</v>
      </c>
      <c r="U976" s="1">
        <v>0.0</v>
      </c>
    </row>
    <row r="977">
      <c r="A977" s="1" t="s">
        <v>1006</v>
      </c>
      <c r="B977" s="1">
        <f t="shared" si="3"/>
        <v>974</v>
      </c>
      <c r="C977" s="1" t="str">
        <f>IFERROR(__xludf.DUMMYFUNCTION("split(A977, ""\"")"),"Morgan Klimchuk")</f>
        <v>Morgan Klimchuk</v>
      </c>
      <c r="D977" s="1" t="str">
        <f>IFERROR(__xludf.DUMMYFUNCTION("""COMPUTED_VALUE"""),"klimcmo01")</f>
        <v>klimcmo01</v>
      </c>
      <c r="E977" s="1" t="s">
        <v>28</v>
      </c>
      <c r="F977" s="1">
        <f t="shared" si="1"/>
        <v>0.25</v>
      </c>
      <c r="G977" s="1">
        <f t="shared" si="2"/>
        <v>0.25</v>
      </c>
      <c r="H977" s="1">
        <v>1.0</v>
      </c>
      <c r="I977" s="1">
        <v>0.0</v>
      </c>
      <c r="J977" s="1">
        <v>0.0</v>
      </c>
      <c r="K977" s="1">
        <v>0.0</v>
      </c>
      <c r="L977" s="1">
        <v>0.0</v>
      </c>
      <c r="M977" s="1">
        <v>1.0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</row>
    <row r="978">
      <c r="A978" s="1" t="s">
        <v>1007</v>
      </c>
      <c r="B978" s="1">
        <f t="shared" si="3"/>
        <v>974</v>
      </c>
      <c r="C978" s="1" t="str">
        <f>IFERROR(__xludf.DUMMYFUNCTION("split(A978, ""\"")"),"Curtis Valk")</f>
        <v>Curtis Valk</v>
      </c>
      <c r="D978" s="1" t="str">
        <f>IFERROR(__xludf.DUMMYFUNCTION("""COMPUTED_VALUE"""),"valkcu01")</f>
        <v>valkcu01</v>
      </c>
      <c r="E978" s="1" t="s">
        <v>28</v>
      </c>
      <c r="F978" s="1">
        <f t="shared" si="1"/>
        <v>0.25</v>
      </c>
      <c r="G978" s="1">
        <f t="shared" si="2"/>
        <v>0.25</v>
      </c>
      <c r="H978" s="1">
        <v>1.0</v>
      </c>
      <c r="I978" s="1">
        <v>0.0</v>
      </c>
      <c r="J978" s="1">
        <v>0.0</v>
      </c>
      <c r="K978" s="1">
        <v>0.0</v>
      </c>
      <c r="L978" s="1">
        <v>0.0</v>
      </c>
      <c r="M978" s="1">
        <v>1.0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</row>
    <row r="979">
      <c r="A979" s="1" t="s">
        <v>1011</v>
      </c>
      <c r="B979" s="1">
        <f t="shared" si="3"/>
        <v>974</v>
      </c>
      <c r="C979" s="1" t="str">
        <f>IFERROR(__xludf.DUMMYFUNCTION("split(A979, ""\"")"),"Nicolas Kerdiles")</f>
        <v>Nicolas Kerdiles</v>
      </c>
      <c r="D979" s="1" t="str">
        <f>IFERROR(__xludf.DUMMYFUNCTION("""COMPUTED_VALUE"""),"kerdini01")</f>
        <v>kerdini01</v>
      </c>
      <c r="E979" s="1" t="s">
        <v>28</v>
      </c>
      <c r="F979" s="1">
        <f t="shared" si="1"/>
        <v>0.25</v>
      </c>
      <c r="G979" s="1">
        <f t="shared" si="2"/>
        <v>0.13</v>
      </c>
      <c r="H979" s="1">
        <v>2.0</v>
      </c>
      <c r="I979" s="1">
        <v>0.0</v>
      </c>
      <c r="J979" s="1">
        <v>0.0</v>
      </c>
      <c r="K979" s="1">
        <v>0.0</v>
      </c>
      <c r="L979" s="1">
        <v>0.0</v>
      </c>
      <c r="M979" s="1">
        <v>1.0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</row>
    <row r="980">
      <c r="A980" s="1" t="s">
        <v>1010</v>
      </c>
      <c r="B980" s="1">
        <f t="shared" si="3"/>
        <v>978</v>
      </c>
      <c r="C980" s="1" t="str">
        <f>IFERROR(__xludf.DUMMYFUNCTION("split(A980, ""\"")"),"Brandon Halverson")</f>
        <v>Brandon Halverson</v>
      </c>
      <c r="D980" s="2" t="str">
        <f>IFERROR(__xludf.DUMMYFUNCTION("""COMPUTED_VALUE"""),"halvebr01")</f>
        <v>halvebr01</v>
      </c>
      <c r="E980" s="1" t="s">
        <v>5</v>
      </c>
      <c r="F980" s="1">
        <f t="shared" si="1"/>
        <v>0</v>
      </c>
      <c r="G980" s="1">
        <f t="shared" si="2"/>
        <v>0</v>
      </c>
      <c r="H980" s="1">
        <v>1.0</v>
      </c>
      <c r="V980" s="1">
        <v>0.0</v>
      </c>
      <c r="W980" s="1">
        <v>0.0</v>
      </c>
      <c r="X980" s="1">
        <v>0.0</v>
      </c>
      <c r="Y980" s="1">
        <v>1.0</v>
      </c>
      <c r="Z980" s="1">
        <v>6.0</v>
      </c>
      <c r="AA980" s="1">
        <v>5.0</v>
      </c>
      <c r="AB980" s="1">
        <v>0.0</v>
      </c>
    </row>
    <row r="981">
      <c r="A981" s="1" t="s">
        <v>1016</v>
      </c>
      <c r="B981" s="1">
        <f t="shared" si="3"/>
        <v>978</v>
      </c>
      <c r="C981" s="1" t="str">
        <f>IFERROR(__xludf.DUMMYFUNCTION("split(A981, ""\"")"),"Brian Lashoff")</f>
        <v>Brian Lashoff</v>
      </c>
      <c r="D981" s="1" t="str">
        <f>IFERROR(__xludf.DUMMYFUNCTION("""COMPUTED_VALUE"""),"lashobr01")</f>
        <v>lashobr01</v>
      </c>
      <c r="E981" s="1" t="s">
        <v>66</v>
      </c>
      <c r="F981" s="1">
        <f t="shared" si="1"/>
        <v>0</v>
      </c>
      <c r="G981" s="1">
        <f t="shared" si="2"/>
        <v>0</v>
      </c>
      <c r="H981" s="1">
        <v>1.0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/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</row>
    <row r="982">
      <c r="A982" s="1" t="s">
        <v>1017</v>
      </c>
      <c r="B982" s="1">
        <f t="shared" si="3"/>
        <v>978</v>
      </c>
      <c r="C982" s="1" t="str">
        <f>IFERROR(__xludf.DUMMYFUNCTION("split(A982, ""\"")"),"Jayson Megna")</f>
        <v>Jayson Megna</v>
      </c>
      <c r="D982" s="1" t="str">
        <f>IFERROR(__xludf.DUMMYFUNCTION("""COMPUTED_VALUE"""),"megnaja01")</f>
        <v>megnaja01</v>
      </c>
      <c r="E982" s="1" t="s">
        <v>31</v>
      </c>
      <c r="F982" s="1">
        <f t="shared" si="1"/>
        <v>0</v>
      </c>
      <c r="G982" s="1">
        <f t="shared" si="2"/>
        <v>0</v>
      </c>
      <c r="H982" s="1">
        <v>1.0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</row>
    <row r="983">
      <c r="A983" s="1" t="s">
        <v>1019</v>
      </c>
      <c r="B983" s="1">
        <f t="shared" si="3"/>
        <v>978</v>
      </c>
      <c r="C983" s="1" t="str">
        <f>IFERROR(__xludf.DUMMYFUNCTION("split(A983, ""\"")"),"Martin Necas")</f>
        <v>Martin Necas</v>
      </c>
      <c r="D983" s="1" t="str">
        <f>IFERROR(__xludf.DUMMYFUNCTION("""COMPUTED_VALUE"""),"necasma01")</f>
        <v>necasma01</v>
      </c>
      <c r="E983" s="1" t="s">
        <v>31</v>
      </c>
      <c r="F983" s="1">
        <f t="shared" si="1"/>
        <v>0</v>
      </c>
      <c r="G983" s="1">
        <f t="shared" si="2"/>
        <v>0</v>
      </c>
      <c r="H983" s="1">
        <v>1.0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</row>
    <row r="984">
      <c r="A984" s="1" t="s">
        <v>1013</v>
      </c>
      <c r="B984" s="1">
        <f t="shared" si="3"/>
        <v>982</v>
      </c>
      <c r="C984" s="1" t="str">
        <f>IFERROR(__xludf.DUMMYFUNCTION("split(A984, ""\"")"),"Christoph Bertschy")</f>
        <v>Christoph Bertschy</v>
      </c>
      <c r="D984" s="1" t="str">
        <f>IFERROR(__xludf.DUMMYFUNCTION("""COMPUTED_VALUE"""),"bertsch02")</f>
        <v>bertsch02</v>
      </c>
      <c r="E984" s="1" t="s">
        <v>31</v>
      </c>
      <c r="F984" s="1">
        <f t="shared" si="1"/>
        <v>-0.3</v>
      </c>
      <c r="G984" s="1">
        <f t="shared" si="2"/>
        <v>-0.3</v>
      </c>
      <c r="H984" s="1">
        <v>1.0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1.0</v>
      </c>
      <c r="T984" s="1">
        <v>4.0</v>
      </c>
      <c r="U984" s="1">
        <v>0.0</v>
      </c>
    </row>
    <row r="985">
      <c r="A985" s="1" t="s">
        <v>1003</v>
      </c>
      <c r="B985" s="1">
        <f t="shared" si="3"/>
        <v>983</v>
      </c>
      <c r="C985" s="1" t="str">
        <f>IFERROR(__xludf.DUMMYFUNCTION("split(A985, ""\"")"),"Eric Robinson")</f>
        <v>Eric Robinson</v>
      </c>
      <c r="D985" s="1" t="str">
        <f>IFERROR(__xludf.DUMMYFUNCTION("""COMPUTED_VALUE"""),"robiner01")</f>
        <v>robiner01</v>
      </c>
      <c r="E985" s="1" t="s">
        <v>28</v>
      </c>
      <c r="F985" s="1">
        <f t="shared" si="1"/>
        <v>-0.5</v>
      </c>
      <c r="G985" s="1">
        <f t="shared" si="2"/>
        <v>-0.5</v>
      </c>
      <c r="H985" s="1">
        <v>1.0</v>
      </c>
      <c r="I985" s="1">
        <v>0.0</v>
      </c>
      <c r="J985" s="1">
        <v>0.0</v>
      </c>
      <c r="K985" s="1">
        <v>0.0</v>
      </c>
      <c r="L985" s="1">
        <v>2.0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1.0</v>
      </c>
      <c r="T985" s="1">
        <v>0.0</v>
      </c>
      <c r="U985" s="1">
        <v>0.0</v>
      </c>
    </row>
    <row r="986">
      <c r="A986" s="1" t="s">
        <v>1020</v>
      </c>
      <c r="B986" s="1">
        <f t="shared" si="3"/>
        <v>984</v>
      </c>
      <c r="C986" s="1" t="str">
        <f>IFERROR(__xludf.DUMMYFUNCTION("split(A986, ""\"")"),"Dylan Ferguson")</f>
        <v>Dylan Ferguson</v>
      </c>
      <c r="D986" s="2" t="str">
        <f>IFERROR(__xludf.DUMMYFUNCTION("""COMPUTED_VALUE"""),"fergudy01")</f>
        <v>fergudy01</v>
      </c>
      <c r="E986" s="1" t="s">
        <v>5</v>
      </c>
      <c r="F986" s="1">
        <f t="shared" si="1"/>
        <v>-1.2</v>
      </c>
      <c r="G986" s="1">
        <f t="shared" si="2"/>
        <v>-1.2</v>
      </c>
      <c r="H986" s="1">
        <v>1.0</v>
      </c>
      <c r="V986" s="1">
        <v>0.0</v>
      </c>
      <c r="W986" s="1">
        <v>0.0</v>
      </c>
      <c r="X986" s="1">
        <v>0.0</v>
      </c>
      <c r="Y986" s="1">
        <v>1.0</v>
      </c>
      <c r="Z986" s="1">
        <v>2.0</v>
      </c>
      <c r="AA986" s="1">
        <v>1.0</v>
      </c>
      <c r="AB986" s="1">
        <v>0.0</v>
      </c>
    </row>
    <row r="987">
      <c r="A987" s="1" t="s">
        <v>1004</v>
      </c>
      <c r="B987" s="1">
        <f t="shared" si="3"/>
        <v>985</v>
      </c>
      <c r="C987" s="1" t="str">
        <f>IFERROR(__xludf.DUMMYFUNCTION("split(A987, ""\"")"),"Zach Whitecloud")</f>
        <v>Zach Whitecloud</v>
      </c>
      <c r="D987" s="1" t="str">
        <f>IFERROR(__xludf.DUMMYFUNCTION("""COMPUTED_VALUE"""),"whiteza01")</f>
        <v>whiteza01</v>
      </c>
      <c r="E987" s="1" t="s">
        <v>66</v>
      </c>
      <c r="F987" s="1">
        <f t="shared" si="1"/>
        <v>-4</v>
      </c>
      <c r="G987" s="1">
        <f t="shared" si="2"/>
        <v>-4</v>
      </c>
      <c r="H987" s="1">
        <v>1.0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1.0</v>
      </c>
      <c r="O987" s="1">
        <v>0.0</v>
      </c>
      <c r="P987" s="1">
        <v>0.0</v>
      </c>
      <c r="Q987" s="1">
        <v>0.0</v>
      </c>
      <c r="R987" s="1">
        <v>0.0</v>
      </c>
      <c r="S987" s="1">
        <v>3.0</v>
      </c>
      <c r="T987" s="1">
        <v>0.0</v>
      </c>
      <c r="U987" s="1">
        <v>0.0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